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https://fksgroups-my.sharepoint.com/personal/nadia_veronica_fksgroup_com/Documents/Documents/BD - 2026/Pj Ruby/"/>
    </mc:Choice>
  </mc:AlternateContent>
  <xr:revisionPtr revIDLastSave="11" documentId="11_C4E7BC5E2DDFDD5FE1445677ED95B8DB49395B05" xr6:coauthVersionLast="36" xr6:coauthVersionMax="36" xr10:uidLastSave="{77D26B3E-8CCF-46BF-8B89-BA536AD2B731}"/>
  <bookViews>
    <workbookView xWindow="0" yWindow="0" windowWidth="16380" windowHeight="8190" tabRatio="959" firstSheet="1" activeTab="1" xr2:uid="{00000000-000D-0000-FFFF-FFFF00000000}"/>
  </bookViews>
  <sheets>
    <sheet name="Model Flow" sheetId="1" r:id="rId1"/>
    <sheet name="Inputs" sheetId="2" r:id="rId2"/>
    <sheet name="FS Data Request" sheetId="3" r:id="rId3"/>
    <sheet name="Revenue Calculation" sheetId="4" r:id="rId4"/>
    <sheet name="Cost Calculation" sheetId="5" r:id="rId5"/>
    <sheet name="BUMN Synergy Calculation" sheetId="6" r:id="rId6"/>
    <sheet name="Capex &amp; Depreciation" sheetId="7" r:id="rId7"/>
    <sheet name="Working Capital" sheetId="8" r:id="rId8"/>
    <sheet name="Financing" sheetId="9" r:id="rId9"/>
    <sheet name="Funding Requirement" sheetId="10" r:id="rId10"/>
    <sheet name="FSL Output - Without BUMN" sheetId="11" r:id="rId11"/>
    <sheet name="FSL Output - With BUMN" sheetId="12" r:id="rId12"/>
    <sheet name="Valuation — Without BUMN" sheetId="13" r:id="rId13"/>
    <sheet name="Project Summary" sheetId="16" r:id="rId14"/>
    <sheet name="Valuation — With BUMN" sheetId="14" r:id="rId15"/>
    <sheet name="Project Cash Flows" sheetId="15" r:id="rId16"/>
    <sheet name="Checks &amp; Reconciliation" sheetId="17" r:id="rId17"/>
    <sheet name="Source Data" sheetId="18" r:id="rId18"/>
  </sheets>
  <definedNames>
    <definedName name="_xlnm.Print_Area" localSheetId="5">'BUMN Synergy Calculation'!$A$1:$U$106</definedName>
    <definedName name="_xlnm.Print_Area" localSheetId="6">'Capex &amp; Depreciation'!$A$1:$U$377</definedName>
    <definedName name="_xlnm.Print_Area" localSheetId="16">'Checks &amp; Reconciliation'!$A$1:$U$1440</definedName>
    <definedName name="_xlnm.Print_Area" localSheetId="4">'Cost Calculation'!$A$1:$U$300</definedName>
    <definedName name="_xlnm.Print_Area" localSheetId="8">Financing!$A$1:$U$115</definedName>
    <definedName name="_xlnm.Print_Area" localSheetId="2">'FS Data Request'!$A$1:$T$64</definedName>
    <definedName name="_xlnm.Print_Area" localSheetId="11">'FSL Output - With BUMN'!$A$1:$U$305</definedName>
    <definedName name="_xlnm.Print_Area" localSheetId="10">'FSL Output - Without BUMN'!$A$1:$U$254</definedName>
    <definedName name="_xlnm.Print_Area" localSheetId="9">'Funding Requirement'!$A$1:$U$169</definedName>
    <definedName name="_xlnm.Print_Area" localSheetId="1">Inputs!$A$1:$V$754</definedName>
    <definedName name="_xlnm.Print_Area" localSheetId="0">'Model Flow'!$A$1:$T$215</definedName>
    <definedName name="_xlnm.Print_Area" localSheetId="15">'Project Cash Flows'!$A$1:$U$427</definedName>
    <definedName name="_xlnm.Print_Area" localSheetId="13">'Project Summary'!$A$1:$U$923</definedName>
    <definedName name="_xlnm.Print_Area" localSheetId="3">'Revenue Calculation'!$A$1:$U$227</definedName>
    <definedName name="_xlnm.Print_Area" localSheetId="17">'Source Data'!$A$1:$V$1180</definedName>
    <definedName name="_xlnm.Print_Area" localSheetId="14">'Valuation — With BUMN'!$A$1:$U$121</definedName>
    <definedName name="_xlnm.Print_Area" localSheetId="12">'Valuation — Without BUMN'!$A$1:$U$113</definedName>
    <definedName name="_xlnm.Print_Area" localSheetId="7">'Working Capital'!$A$1:$U$123</definedName>
  </definedName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H82" i="2" l="1"/>
  <c r="H181" i="4"/>
  <c r="U1143" i="18"/>
  <c r="C1143" i="18"/>
  <c r="U1142" i="18"/>
  <c r="C1142" i="18"/>
  <c r="U1141" i="18"/>
  <c r="C1141" i="18"/>
  <c r="U1140" i="18"/>
  <c r="C1140" i="18"/>
  <c r="U1139" i="18"/>
  <c r="C1139" i="18"/>
  <c r="U1138" i="18"/>
  <c r="C1138" i="18"/>
  <c r="U1137" i="18"/>
  <c r="C1137" i="18"/>
  <c r="U1136" i="18"/>
  <c r="C1136" i="18"/>
  <c r="U1135" i="18"/>
  <c r="C1135" i="18"/>
  <c r="U1134" i="18"/>
  <c r="C1134" i="18"/>
  <c r="U1133" i="18"/>
  <c r="C1133" i="18"/>
  <c r="U1132" i="18"/>
  <c r="C1132" i="18"/>
  <c r="U1131" i="18"/>
  <c r="C1131" i="18"/>
  <c r="T962" i="18"/>
  <c r="S962" i="18"/>
  <c r="R962" i="18"/>
  <c r="Q962" i="18"/>
  <c r="P962" i="18"/>
  <c r="O962" i="18"/>
  <c r="O1322" i="17" s="1"/>
  <c r="N962" i="18"/>
  <c r="M962" i="18"/>
  <c r="L962" i="18"/>
  <c r="K962" i="18"/>
  <c r="K1322" i="17" s="1"/>
  <c r="J962" i="18"/>
  <c r="J1322" i="17" s="1"/>
  <c r="I962" i="18"/>
  <c r="H962" i="18"/>
  <c r="T961" i="18"/>
  <c r="T131" i="4" s="1"/>
  <c r="S961" i="18"/>
  <c r="R961" i="18"/>
  <c r="Q961" i="18"/>
  <c r="P961" i="18"/>
  <c r="O961" i="18"/>
  <c r="N961" i="18"/>
  <c r="M961" i="18"/>
  <c r="L961" i="18"/>
  <c r="L131" i="4" s="1"/>
  <c r="K961" i="18"/>
  <c r="K131" i="4" s="1"/>
  <c r="J961" i="18"/>
  <c r="J131" i="4" s="1"/>
  <c r="I961" i="18"/>
  <c r="I131" i="4" s="1"/>
  <c r="H961" i="18"/>
  <c r="T960" i="18"/>
  <c r="S960" i="18"/>
  <c r="R960" i="18"/>
  <c r="Q960" i="18"/>
  <c r="P960" i="18"/>
  <c r="O960" i="18"/>
  <c r="N960" i="18"/>
  <c r="M960" i="18"/>
  <c r="L960" i="18"/>
  <c r="K960" i="18"/>
  <c r="J960" i="18"/>
  <c r="I960" i="18"/>
  <c r="H960" i="18"/>
  <c r="H1325" i="17" s="1"/>
  <c r="T958" i="18"/>
  <c r="S958" i="18"/>
  <c r="S69" i="4" s="1"/>
  <c r="R958" i="18"/>
  <c r="R69" i="4" s="1"/>
  <c r="Q958" i="18"/>
  <c r="P958" i="18"/>
  <c r="O958" i="18"/>
  <c r="N958" i="18"/>
  <c r="M958" i="18"/>
  <c r="L958" i="18"/>
  <c r="K958" i="18"/>
  <c r="J958" i="18"/>
  <c r="I958" i="18"/>
  <c r="I69" i="4" s="1"/>
  <c r="H958" i="18"/>
  <c r="H69" i="4" s="1"/>
  <c r="E818" i="18"/>
  <c r="G106" i="9" s="1"/>
  <c r="G210" i="11" s="1"/>
  <c r="E817" i="18"/>
  <c r="E816" i="18"/>
  <c r="E815" i="18"/>
  <c r="E814" i="18"/>
  <c r="G1304" i="17" s="1"/>
  <c r="E813" i="18"/>
  <c r="E812" i="18"/>
  <c r="E811" i="18"/>
  <c r="E808" i="18"/>
  <c r="E807" i="18"/>
  <c r="E806" i="18"/>
  <c r="E805" i="18"/>
  <c r="E804" i="18"/>
  <c r="E803" i="18"/>
  <c r="E802" i="18"/>
  <c r="E801" i="18"/>
  <c r="E800" i="18"/>
  <c r="G119" i="8" s="1"/>
  <c r="G191" i="11" s="1"/>
  <c r="E799" i="18"/>
  <c r="E796" i="18"/>
  <c r="H778" i="18"/>
  <c r="G777" i="18"/>
  <c r="F777" i="18"/>
  <c r="E777" i="18"/>
  <c r="D777" i="18"/>
  <c r="H776" i="18"/>
  <c r="G775" i="18"/>
  <c r="F775" i="18"/>
  <c r="H775" i="18" s="1"/>
  <c r="E775" i="18"/>
  <c r="D775" i="18"/>
  <c r="H774" i="18"/>
  <c r="H773" i="18"/>
  <c r="G772" i="18"/>
  <c r="F772" i="18"/>
  <c r="E772" i="18"/>
  <c r="D772" i="18"/>
  <c r="H772" i="18" s="1"/>
  <c r="H771" i="18"/>
  <c r="E810" i="18" s="1"/>
  <c r="H770" i="18"/>
  <c r="E809" i="18" s="1"/>
  <c r="H769" i="18"/>
  <c r="H768" i="18"/>
  <c r="H767" i="18"/>
  <c r="H777" i="18" s="1"/>
  <c r="D62" i="17" s="1"/>
  <c r="F62" i="17" s="1"/>
  <c r="H766" i="18"/>
  <c r="G766" i="18"/>
  <c r="F766" i="18"/>
  <c r="E766" i="18"/>
  <c r="D766" i="18"/>
  <c r="H765" i="18"/>
  <c r="H764" i="18"/>
  <c r="H763" i="18"/>
  <c r="H762" i="18"/>
  <c r="G1318" i="17" s="1"/>
  <c r="H1321" i="17" s="1"/>
  <c r="H761" i="18"/>
  <c r="H760" i="18"/>
  <c r="E700" i="18"/>
  <c r="E699" i="18"/>
  <c r="E698" i="18"/>
  <c r="E702" i="18" s="1"/>
  <c r="E697" i="18"/>
  <c r="E696" i="18"/>
  <c r="E695" i="18"/>
  <c r="E694" i="18"/>
  <c r="E693" i="18"/>
  <c r="E692" i="18"/>
  <c r="E691" i="18"/>
  <c r="E690" i="18"/>
  <c r="E689" i="18"/>
  <c r="E666" i="18"/>
  <c r="E665" i="18"/>
  <c r="E664" i="18"/>
  <c r="E663" i="18"/>
  <c r="E668" i="18" s="1"/>
  <c r="E662" i="18"/>
  <c r="E661" i="18"/>
  <c r="E660" i="18"/>
  <c r="E659" i="18"/>
  <c r="E658" i="18"/>
  <c r="E657" i="18"/>
  <c r="E656" i="18"/>
  <c r="E655" i="18"/>
  <c r="E632" i="18"/>
  <c r="E631" i="18"/>
  <c r="E630" i="18"/>
  <c r="E629" i="18"/>
  <c r="E628" i="18"/>
  <c r="E627" i="18"/>
  <c r="E626" i="18"/>
  <c r="E634" i="18" s="1"/>
  <c r="E625" i="18"/>
  <c r="E624" i="18"/>
  <c r="E623" i="18"/>
  <c r="E622" i="18"/>
  <c r="E621" i="18"/>
  <c r="E1440" i="17"/>
  <c r="E1439" i="17"/>
  <c r="E1435" i="17"/>
  <c r="D66" i="17" s="1"/>
  <c r="T1378" i="17"/>
  <c r="S1378" i="17"/>
  <c r="R1378" i="17"/>
  <c r="Q1378" i="17"/>
  <c r="P1378" i="17"/>
  <c r="O1378" i="17"/>
  <c r="N1378" i="17"/>
  <c r="M1378" i="17"/>
  <c r="L1378" i="17"/>
  <c r="K1378" i="17"/>
  <c r="J1378" i="17"/>
  <c r="I1378" i="17"/>
  <c r="H1378" i="17"/>
  <c r="T1374" i="17"/>
  <c r="S1374" i="17"/>
  <c r="R1374" i="17"/>
  <c r="Q1374" i="17"/>
  <c r="P1374" i="17"/>
  <c r="O1374" i="17"/>
  <c r="N1374" i="17"/>
  <c r="M1374" i="17"/>
  <c r="L1374" i="17"/>
  <c r="K1374" i="17"/>
  <c r="J1374" i="17"/>
  <c r="I1374" i="17"/>
  <c r="H1374" i="17"/>
  <c r="T1367" i="17"/>
  <c r="S1367" i="17"/>
  <c r="R1367" i="17"/>
  <c r="Q1367" i="17"/>
  <c r="P1367" i="17"/>
  <c r="O1367" i="17"/>
  <c r="N1367" i="17"/>
  <c r="M1367" i="17"/>
  <c r="L1367" i="17"/>
  <c r="K1367" i="17"/>
  <c r="J1367" i="17"/>
  <c r="I1367" i="17"/>
  <c r="H1367" i="17"/>
  <c r="T1362" i="17"/>
  <c r="S1362" i="17"/>
  <c r="R1362" i="17"/>
  <c r="Q1362" i="17"/>
  <c r="P1362" i="17"/>
  <c r="O1362" i="17"/>
  <c r="N1362" i="17"/>
  <c r="M1362" i="17"/>
  <c r="L1362" i="17"/>
  <c r="K1362" i="17"/>
  <c r="J1362" i="17"/>
  <c r="I1362" i="17"/>
  <c r="H1362" i="17"/>
  <c r="T1353" i="17"/>
  <c r="S1353" i="17"/>
  <c r="R1353" i="17"/>
  <c r="Q1353" i="17"/>
  <c r="P1353" i="17"/>
  <c r="O1353" i="17"/>
  <c r="N1353" i="17"/>
  <c r="M1353" i="17"/>
  <c r="L1353" i="17"/>
  <c r="K1353" i="17"/>
  <c r="J1353" i="17"/>
  <c r="I1353" i="17"/>
  <c r="H1353" i="17"/>
  <c r="T1349" i="17"/>
  <c r="S1349" i="17"/>
  <c r="R1349" i="17"/>
  <c r="Q1349" i="17"/>
  <c r="P1349" i="17"/>
  <c r="O1349" i="17"/>
  <c r="N1349" i="17"/>
  <c r="M1349" i="17"/>
  <c r="L1349" i="17"/>
  <c r="K1349" i="17"/>
  <c r="J1349" i="17"/>
  <c r="I1349" i="17"/>
  <c r="H1349" i="17"/>
  <c r="T1342" i="17"/>
  <c r="S1342" i="17"/>
  <c r="R1342" i="17"/>
  <c r="Q1342" i="17"/>
  <c r="P1342" i="17"/>
  <c r="O1342" i="17"/>
  <c r="N1342" i="17"/>
  <c r="M1342" i="17"/>
  <c r="L1342" i="17"/>
  <c r="K1342" i="17"/>
  <c r="J1342" i="17"/>
  <c r="I1342" i="17"/>
  <c r="H1342" i="17"/>
  <c r="T1337" i="17"/>
  <c r="S1337" i="17"/>
  <c r="R1337" i="17"/>
  <c r="Q1337" i="17"/>
  <c r="P1337" i="17"/>
  <c r="O1337" i="17"/>
  <c r="N1337" i="17"/>
  <c r="M1337" i="17"/>
  <c r="L1337" i="17"/>
  <c r="K1337" i="17"/>
  <c r="J1337" i="17"/>
  <c r="I1337" i="17"/>
  <c r="H1337" i="17"/>
  <c r="N1326" i="17"/>
  <c r="O1326" i="17" s="1"/>
  <c r="P1326" i="17" s="1"/>
  <c r="Q1326" i="17" s="1"/>
  <c r="R1326" i="17" s="1"/>
  <c r="S1326" i="17" s="1"/>
  <c r="T1326" i="17" s="1"/>
  <c r="L1326" i="17"/>
  <c r="M1326" i="17" s="1"/>
  <c r="H1326" i="17"/>
  <c r="I1326" i="17" s="1"/>
  <c r="J1326" i="17" s="1"/>
  <c r="K1326" i="17" s="1"/>
  <c r="G1326" i="17"/>
  <c r="G1325" i="17"/>
  <c r="T1322" i="17"/>
  <c r="S1322" i="17"/>
  <c r="R1322" i="17"/>
  <c r="Q1322" i="17"/>
  <c r="P1322" i="17"/>
  <c r="I1322" i="17"/>
  <c r="T1321" i="17"/>
  <c r="S1321" i="17"/>
  <c r="R1321" i="17"/>
  <c r="Q1321" i="17"/>
  <c r="P1321" i="17"/>
  <c r="O1321" i="17"/>
  <c r="N1321" i="17"/>
  <c r="M1321" i="17"/>
  <c r="L1321" i="17"/>
  <c r="K1321" i="17"/>
  <c r="J1321" i="17"/>
  <c r="I1321" i="17"/>
  <c r="G1319" i="17"/>
  <c r="T1312" i="17"/>
  <c r="S1312" i="17"/>
  <c r="R1312" i="17"/>
  <c r="Q1312" i="17"/>
  <c r="P1312" i="17"/>
  <c r="O1312" i="17"/>
  <c r="N1312" i="17"/>
  <c r="M1312" i="17"/>
  <c r="L1312" i="17"/>
  <c r="K1312" i="17"/>
  <c r="J1312" i="17"/>
  <c r="I1312" i="17"/>
  <c r="H1312" i="17"/>
  <c r="G1312" i="17"/>
  <c r="G1310" i="17"/>
  <c r="T1295" i="17"/>
  <c r="S1295" i="17"/>
  <c r="R1295" i="17"/>
  <c r="Q1295" i="17"/>
  <c r="P1295" i="17"/>
  <c r="O1295" i="17"/>
  <c r="N1295" i="17"/>
  <c r="M1295" i="17"/>
  <c r="L1295" i="17"/>
  <c r="K1295" i="17"/>
  <c r="E1438" i="17" s="1"/>
  <c r="J1295" i="17"/>
  <c r="I1295" i="17"/>
  <c r="H1295" i="17"/>
  <c r="T1294" i="17"/>
  <c r="S1294" i="17"/>
  <c r="R1294" i="17"/>
  <c r="Q1294" i="17"/>
  <c r="P1294" i="17"/>
  <c r="O1294" i="17"/>
  <c r="N1294" i="17"/>
  <c r="M1294" i="17"/>
  <c r="L1294" i="17"/>
  <c r="K1294" i="17"/>
  <c r="J1294" i="17"/>
  <c r="E1437" i="17" s="1"/>
  <c r="I1294" i="17"/>
  <c r="H1294" i="17"/>
  <c r="T1293" i="17"/>
  <c r="S1293" i="17"/>
  <c r="R1293" i="17"/>
  <c r="Q1293" i="17"/>
  <c r="P1293" i="17"/>
  <c r="O1293" i="17"/>
  <c r="N1293" i="17"/>
  <c r="M1293" i="17"/>
  <c r="L1293" i="17"/>
  <c r="K1293" i="17"/>
  <c r="J1293" i="17"/>
  <c r="I1293" i="17"/>
  <c r="H1293" i="17"/>
  <c r="T1292" i="17"/>
  <c r="S1292" i="17"/>
  <c r="R1292" i="17"/>
  <c r="Q1292" i="17"/>
  <c r="P1292" i="17"/>
  <c r="O1292" i="17"/>
  <c r="N1292" i="17"/>
  <c r="M1292" i="17"/>
  <c r="L1292" i="17"/>
  <c r="K1292" i="17"/>
  <c r="J1292" i="17"/>
  <c r="I1292" i="17"/>
  <c r="H1292" i="17"/>
  <c r="B1282" i="17"/>
  <c r="B1281" i="17"/>
  <c r="B1280" i="17"/>
  <c r="B1279" i="17"/>
  <c r="B1278" i="17"/>
  <c r="B1277" i="17"/>
  <c r="B1276" i="17"/>
  <c r="B1275" i="17"/>
  <c r="B1274" i="17"/>
  <c r="B1273" i="17"/>
  <c r="B1272" i="17"/>
  <c r="B1271" i="17"/>
  <c r="B1270" i="17"/>
  <c r="B1269" i="17"/>
  <c r="B1268" i="17"/>
  <c r="B1267" i="17"/>
  <c r="T1262" i="17"/>
  <c r="S1262" i="17"/>
  <c r="R1262" i="17"/>
  <c r="Q1262" i="17"/>
  <c r="P1262" i="17"/>
  <c r="O1262" i="17"/>
  <c r="N1262" i="17"/>
  <c r="M1262" i="17"/>
  <c r="L1262" i="17"/>
  <c r="K1262" i="17"/>
  <c r="J1262" i="17"/>
  <c r="I1262" i="17"/>
  <c r="H1262" i="17"/>
  <c r="T1259" i="17"/>
  <c r="S1259" i="17"/>
  <c r="R1259" i="17"/>
  <c r="Q1259" i="17"/>
  <c r="P1259" i="17"/>
  <c r="O1259" i="17"/>
  <c r="N1259" i="17"/>
  <c r="M1259" i="17"/>
  <c r="L1259" i="17"/>
  <c r="K1259" i="17"/>
  <c r="J1259" i="17"/>
  <c r="I1259" i="17"/>
  <c r="H1259" i="17"/>
  <c r="T1256" i="17"/>
  <c r="S1256" i="17"/>
  <c r="R1256" i="17"/>
  <c r="Q1256" i="17"/>
  <c r="P1256" i="17"/>
  <c r="O1256" i="17"/>
  <c r="N1256" i="17"/>
  <c r="M1256" i="17"/>
  <c r="L1256" i="17"/>
  <c r="K1256" i="17"/>
  <c r="J1256" i="17"/>
  <c r="I1256" i="17"/>
  <c r="H1256" i="17"/>
  <c r="T1253" i="17"/>
  <c r="S1253" i="17"/>
  <c r="R1253" i="17"/>
  <c r="Q1253" i="17"/>
  <c r="P1253" i="17"/>
  <c r="O1253" i="17"/>
  <c r="N1253" i="17"/>
  <c r="M1253" i="17"/>
  <c r="L1253" i="17"/>
  <c r="K1253" i="17"/>
  <c r="J1253" i="17"/>
  <c r="I1253" i="17"/>
  <c r="H1253" i="17"/>
  <c r="T1248" i="17"/>
  <c r="S1248" i="17"/>
  <c r="R1248" i="17"/>
  <c r="Q1248" i="17"/>
  <c r="P1248" i="17"/>
  <c r="O1248" i="17"/>
  <c r="N1248" i="17"/>
  <c r="M1248" i="17"/>
  <c r="L1248" i="17"/>
  <c r="K1248" i="17"/>
  <c r="J1248" i="17"/>
  <c r="I1248" i="17"/>
  <c r="H1248" i="17"/>
  <c r="T1245" i="17"/>
  <c r="S1245" i="17"/>
  <c r="R1245" i="17"/>
  <c r="Q1245" i="17"/>
  <c r="P1245" i="17"/>
  <c r="O1245" i="17"/>
  <c r="N1245" i="17"/>
  <c r="M1245" i="17"/>
  <c r="L1245" i="17"/>
  <c r="K1245" i="17"/>
  <c r="J1245" i="17"/>
  <c r="I1245" i="17"/>
  <c r="H1245" i="17"/>
  <c r="T1242" i="17"/>
  <c r="S1242" i="17"/>
  <c r="R1242" i="17"/>
  <c r="Q1242" i="17"/>
  <c r="P1242" i="17"/>
  <c r="O1242" i="17"/>
  <c r="N1242" i="17"/>
  <c r="M1242" i="17"/>
  <c r="L1242" i="17"/>
  <c r="K1242" i="17"/>
  <c r="J1242" i="17"/>
  <c r="I1242" i="17"/>
  <c r="H1242" i="17"/>
  <c r="S1241" i="17"/>
  <c r="Q1241" i="17"/>
  <c r="P1241" i="17"/>
  <c r="K1241" i="17"/>
  <c r="J1241" i="17"/>
  <c r="T1240" i="17"/>
  <c r="T1241" i="17" s="1"/>
  <c r="S1240" i="17"/>
  <c r="R1240" i="17"/>
  <c r="R1241" i="17" s="1"/>
  <c r="Q1240" i="17"/>
  <c r="P1240" i="17"/>
  <c r="O1240" i="17"/>
  <c r="O1241" i="17" s="1"/>
  <c r="N1240" i="17"/>
  <c r="N1241" i="17" s="1"/>
  <c r="M1240" i="17"/>
  <c r="L1240" i="17"/>
  <c r="K1240" i="17"/>
  <c r="J1240" i="17"/>
  <c r="I1240" i="17"/>
  <c r="I1241" i="17" s="1"/>
  <c r="H1240" i="17"/>
  <c r="H1241" i="17" s="1"/>
  <c r="T1239" i="17"/>
  <c r="S1239" i="17"/>
  <c r="R1239" i="17"/>
  <c r="Q1239" i="17"/>
  <c r="P1239" i="17"/>
  <c r="O1239" i="17"/>
  <c r="N1239" i="17"/>
  <c r="M1239" i="17"/>
  <c r="L1239" i="17"/>
  <c r="L1241" i="17" s="1"/>
  <c r="K1239" i="17"/>
  <c r="J1239" i="17"/>
  <c r="I1239" i="17"/>
  <c r="H1239" i="17"/>
  <c r="T1236" i="17"/>
  <c r="S1236" i="17"/>
  <c r="R1236" i="17"/>
  <c r="Q1236" i="17"/>
  <c r="P1236" i="17"/>
  <c r="O1236" i="17"/>
  <c r="N1236" i="17"/>
  <c r="M1236" i="17"/>
  <c r="L1236" i="17"/>
  <c r="K1236" i="17"/>
  <c r="J1236" i="17"/>
  <c r="I1236" i="17"/>
  <c r="H1236" i="17"/>
  <c r="T1233" i="17"/>
  <c r="S1233" i="17"/>
  <c r="R1233" i="17"/>
  <c r="Q1233" i="17"/>
  <c r="P1233" i="17"/>
  <c r="O1233" i="17"/>
  <c r="N1233" i="17"/>
  <c r="M1233" i="17"/>
  <c r="L1233" i="17"/>
  <c r="K1233" i="17"/>
  <c r="J1233" i="17"/>
  <c r="I1233" i="17"/>
  <c r="H1233" i="17"/>
  <c r="T1230" i="17"/>
  <c r="S1230" i="17"/>
  <c r="R1230" i="17"/>
  <c r="Q1230" i="17"/>
  <c r="P1230" i="17"/>
  <c r="O1230" i="17"/>
  <c r="N1230" i="17"/>
  <c r="M1230" i="17"/>
  <c r="L1230" i="17"/>
  <c r="K1230" i="17"/>
  <c r="J1230" i="17"/>
  <c r="I1230" i="17"/>
  <c r="H1230" i="17"/>
  <c r="T1227" i="17"/>
  <c r="S1227" i="17"/>
  <c r="R1227" i="17"/>
  <c r="Q1227" i="17"/>
  <c r="P1227" i="17"/>
  <c r="O1227" i="17"/>
  <c r="N1227" i="17"/>
  <c r="M1227" i="17"/>
  <c r="L1227" i="17"/>
  <c r="K1227" i="17"/>
  <c r="J1227" i="17"/>
  <c r="I1227" i="17"/>
  <c r="H1227" i="17"/>
  <c r="T1222" i="17"/>
  <c r="S1222" i="17"/>
  <c r="R1222" i="17"/>
  <c r="Q1222" i="17"/>
  <c r="P1222" i="17"/>
  <c r="O1222" i="17"/>
  <c r="N1222" i="17"/>
  <c r="M1222" i="17"/>
  <c r="L1222" i="17"/>
  <c r="K1222" i="17"/>
  <c r="J1222" i="17"/>
  <c r="I1222" i="17"/>
  <c r="H1222" i="17"/>
  <c r="T1219" i="17"/>
  <c r="S1219" i="17"/>
  <c r="R1219" i="17"/>
  <c r="Q1219" i="17"/>
  <c r="P1219" i="17"/>
  <c r="O1219" i="17"/>
  <c r="N1219" i="17"/>
  <c r="M1219" i="17"/>
  <c r="L1219" i="17"/>
  <c r="K1219" i="17"/>
  <c r="J1219" i="17"/>
  <c r="I1219" i="17"/>
  <c r="H1219" i="17"/>
  <c r="T1216" i="17"/>
  <c r="S1216" i="17"/>
  <c r="R1216" i="17"/>
  <c r="Q1216" i="17"/>
  <c r="P1216" i="17"/>
  <c r="O1216" i="17"/>
  <c r="N1216" i="17"/>
  <c r="M1216" i="17"/>
  <c r="L1216" i="17"/>
  <c r="K1216" i="17"/>
  <c r="J1216" i="17"/>
  <c r="I1216" i="17"/>
  <c r="H1216" i="17"/>
  <c r="O1215" i="17"/>
  <c r="N1215" i="17"/>
  <c r="L1215" i="17"/>
  <c r="J1215" i="17"/>
  <c r="T1214" i="17"/>
  <c r="T1215" i="17" s="1"/>
  <c r="S1214" i="17"/>
  <c r="S1215" i="17" s="1"/>
  <c r="R1214" i="17"/>
  <c r="Q1214" i="17"/>
  <c r="Q1215" i="17" s="1"/>
  <c r="P1214" i="17"/>
  <c r="O1214" i="17"/>
  <c r="N1214" i="17"/>
  <c r="M1214" i="17"/>
  <c r="L1214" i="17"/>
  <c r="K1214" i="17"/>
  <c r="K1215" i="17" s="1"/>
  <c r="J1214" i="17"/>
  <c r="I1214" i="17"/>
  <c r="I1215" i="17" s="1"/>
  <c r="H1214" i="17"/>
  <c r="T1213" i="17"/>
  <c r="S1213" i="17"/>
  <c r="R1213" i="17"/>
  <c r="Q1213" i="17"/>
  <c r="P1213" i="17"/>
  <c r="O1213" i="17"/>
  <c r="N1213" i="17"/>
  <c r="M1213" i="17"/>
  <c r="L1213" i="17"/>
  <c r="K1213" i="17"/>
  <c r="J1213" i="17"/>
  <c r="I1213" i="17"/>
  <c r="H1213" i="17"/>
  <c r="T1210" i="17"/>
  <c r="S1210" i="17"/>
  <c r="R1210" i="17"/>
  <c r="Q1210" i="17"/>
  <c r="P1210" i="17"/>
  <c r="O1210" i="17"/>
  <c r="N1210" i="17"/>
  <c r="M1210" i="17"/>
  <c r="L1210" i="17"/>
  <c r="K1210" i="17"/>
  <c r="J1210" i="17"/>
  <c r="I1210" i="17"/>
  <c r="H1210" i="17"/>
  <c r="T1207" i="17"/>
  <c r="S1207" i="17"/>
  <c r="R1207" i="17"/>
  <c r="Q1207" i="17"/>
  <c r="P1207" i="17"/>
  <c r="O1207" i="17"/>
  <c r="N1207" i="17"/>
  <c r="M1207" i="17"/>
  <c r="L1207" i="17"/>
  <c r="K1207" i="17"/>
  <c r="J1207" i="17"/>
  <c r="I1207" i="17"/>
  <c r="H1207" i="17"/>
  <c r="T1204" i="17"/>
  <c r="S1204" i="17"/>
  <c r="R1204" i="17"/>
  <c r="Q1204" i="17"/>
  <c r="P1204" i="17"/>
  <c r="O1204" i="17"/>
  <c r="N1204" i="17"/>
  <c r="M1204" i="17"/>
  <c r="L1204" i="17"/>
  <c r="K1204" i="17"/>
  <c r="J1204" i="17"/>
  <c r="I1204" i="17"/>
  <c r="H1204" i="17"/>
  <c r="T1201" i="17"/>
  <c r="S1201" i="17"/>
  <c r="R1201" i="17"/>
  <c r="Q1201" i="17"/>
  <c r="P1201" i="17"/>
  <c r="O1201" i="17"/>
  <c r="N1201" i="17"/>
  <c r="M1201" i="17"/>
  <c r="L1201" i="17"/>
  <c r="K1201" i="17"/>
  <c r="J1201" i="17"/>
  <c r="I1201" i="17"/>
  <c r="H1201" i="17"/>
  <c r="T1196" i="17"/>
  <c r="S1196" i="17"/>
  <c r="R1196" i="17"/>
  <c r="Q1196" i="17"/>
  <c r="P1196" i="17"/>
  <c r="O1196" i="17"/>
  <c r="N1196" i="17"/>
  <c r="M1196" i="17"/>
  <c r="L1196" i="17"/>
  <c r="K1196" i="17"/>
  <c r="J1196" i="17"/>
  <c r="I1196" i="17"/>
  <c r="H1196" i="17"/>
  <c r="T1193" i="17"/>
  <c r="S1193" i="17"/>
  <c r="R1193" i="17"/>
  <c r="Q1193" i="17"/>
  <c r="P1193" i="17"/>
  <c r="O1193" i="17"/>
  <c r="N1193" i="17"/>
  <c r="M1193" i="17"/>
  <c r="L1193" i="17"/>
  <c r="K1193" i="17"/>
  <c r="J1193" i="17"/>
  <c r="I1193" i="17"/>
  <c r="H1193" i="17"/>
  <c r="T1190" i="17"/>
  <c r="S1190" i="17"/>
  <c r="R1190" i="17"/>
  <c r="Q1190" i="17"/>
  <c r="P1190" i="17"/>
  <c r="O1190" i="17"/>
  <c r="N1190" i="17"/>
  <c r="M1190" i="17"/>
  <c r="L1190" i="17"/>
  <c r="K1190" i="17"/>
  <c r="J1190" i="17"/>
  <c r="I1190" i="17"/>
  <c r="H1190" i="17"/>
  <c r="P1189" i="17"/>
  <c r="O1189" i="17"/>
  <c r="M1189" i="17"/>
  <c r="J1189" i="17"/>
  <c r="I1189" i="17"/>
  <c r="H1189" i="17"/>
  <c r="T1188" i="17"/>
  <c r="T1189" i="17" s="1"/>
  <c r="S1188" i="17"/>
  <c r="R1188" i="17"/>
  <c r="R1189" i="17" s="1"/>
  <c r="Q1188" i="17"/>
  <c r="P1188" i="17"/>
  <c r="O1188" i="17"/>
  <c r="N1188" i="17"/>
  <c r="N1189" i="17" s="1"/>
  <c r="M1188" i="17"/>
  <c r="L1188" i="17"/>
  <c r="L1189" i="17" s="1"/>
  <c r="K1188" i="17"/>
  <c r="J1188" i="17"/>
  <c r="I1188" i="17"/>
  <c r="H1188" i="17"/>
  <c r="T1187" i="17"/>
  <c r="S1187" i="17"/>
  <c r="R1187" i="17"/>
  <c r="Q1187" i="17"/>
  <c r="P1187" i="17"/>
  <c r="O1187" i="17"/>
  <c r="N1187" i="17"/>
  <c r="M1187" i="17"/>
  <c r="L1187" i="17"/>
  <c r="K1187" i="17"/>
  <c r="K1189" i="17" s="1"/>
  <c r="J1187" i="17"/>
  <c r="I1187" i="17"/>
  <c r="H1187" i="17"/>
  <c r="T1184" i="17"/>
  <c r="S1184" i="17"/>
  <c r="R1184" i="17"/>
  <c r="Q1184" i="17"/>
  <c r="P1184" i="17"/>
  <c r="O1184" i="17"/>
  <c r="N1184" i="17"/>
  <c r="M1184" i="17"/>
  <c r="L1184" i="17"/>
  <c r="K1184" i="17"/>
  <c r="J1184" i="17"/>
  <c r="I1184" i="17"/>
  <c r="H1184" i="17"/>
  <c r="T1181" i="17"/>
  <c r="S1181" i="17"/>
  <c r="R1181" i="17"/>
  <c r="Q1181" i="17"/>
  <c r="P1181" i="17"/>
  <c r="O1181" i="17"/>
  <c r="N1181" i="17"/>
  <c r="M1181" i="17"/>
  <c r="L1181" i="17"/>
  <c r="K1181" i="17"/>
  <c r="J1181" i="17"/>
  <c r="I1181" i="17"/>
  <c r="H1181" i="17"/>
  <c r="T1178" i="17"/>
  <c r="S1178" i="17"/>
  <c r="R1178" i="17"/>
  <c r="Q1178" i="17"/>
  <c r="P1178" i="17"/>
  <c r="O1178" i="17"/>
  <c r="N1178" i="17"/>
  <c r="M1178" i="17"/>
  <c r="L1178" i="17"/>
  <c r="K1178" i="17"/>
  <c r="J1178" i="17"/>
  <c r="I1178" i="17"/>
  <c r="H1178" i="17"/>
  <c r="T1175" i="17"/>
  <c r="S1175" i="17"/>
  <c r="R1175" i="17"/>
  <c r="Q1175" i="17"/>
  <c r="P1175" i="17"/>
  <c r="O1175" i="17"/>
  <c r="N1175" i="17"/>
  <c r="M1175" i="17"/>
  <c r="L1175" i="17"/>
  <c r="K1175" i="17"/>
  <c r="J1175" i="17"/>
  <c r="I1175" i="17"/>
  <c r="H1175" i="17"/>
  <c r="T1170" i="17"/>
  <c r="S1170" i="17"/>
  <c r="R1170" i="17"/>
  <c r="Q1170" i="17"/>
  <c r="P1170" i="17"/>
  <c r="O1170" i="17"/>
  <c r="N1170" i="17"/>
  <c r="M1170" i="17"/>
  <c r="L1170" i="17"/>
  <c r="K1170" i="17"/>
  <c r="J1170" i="17"/>
  <c r="I1170" i="17"/>
  <c r="H1170" i="17"/>
  <c r="T1167" i="17"/>
  <c r="S1167" i="17"/>
  <c r="R1167" i="17"/>
  <c r="Q1167" i="17"/>
  <c r="P1167" i="17"/>
  <c r="O1167" i="17"/>
  <c r="N1167" i="17"/>
  <c r="M1167" i="17"/>
  <c r="L1167" i="17"/>
  <c r="K1167" i="17"/>
  <c r="J1167" i="17"/>
  <c r="I1167" i="17"/>
  <c r="H1167" i="17"/>
  <c r="T1164" i="17"/>
  <c r="S1164" i="17"/>
  <c r="R1164" i="17"/>
  <c r="Q1164" i="17"/>
  <c r="P1164" i="17"/>
  <c r="O1164" i="17"/>
  <c r="N1164" i="17"/>
  <c r="M1164" i="17"/>
  <c r="L1164" i="17"/>
  <c r="K1164" i="17"/>
  <c r="J1164" i="17"/>
  <c r="I1164" i="17"/>
  <c r="H1164" i="17"/>
  <c r="T1163" i="17"/>
  <c r="N1163" i="17"/>
  <c r="M1163" i="17"/>
  <c r="T1162" i="17"/>
  <c r="S1162" i="17"/>
  <c r="S1163" i="17" s="1"/>
  <c r="R1162" i="17"/>
  <c r="Q1162" i="17"/>
  <c r="Q1163" i="17" s="1"/>
  <c r="P1162" i="17"/>
  <c r="P1163" i="17" s="1"/>
  <c r="O1162" i="17"/>
  <c r="N1162" i="17"/>
  <c r="M1162" i="17"/>
  <c r="L1162" i="17"/>
  <c r="K1162" i="17"/>
  <c r="K1163" i="17" s="1"/>
  <c r="J1162" i="17"/>
  <c r="J1163" i="17" s="1"/>
  <c r="I1162" i="17"/>
  <c r="H1162" i="17"/>
  <c r="H1163" i="17" s="1"/>
  <c r="T1161" i="17"/>
  <c r="S1161" i="17"/>
  <c r="R1161" i="17"/>
  <c r="R1163" i="17" s="1"/>
  <c r="Q1161" i="17"/>
  <c r="P1161" i="17"/>
  <c r="O1161" i="17"/>
  <c r="O1163" i="17" s="1"/>
  <c r="N1161" i="17"/>
  <c r="M1161" i="17"/>
  <c r="L1161" i="17"/>
  <c r="L1163" i="17" s="1"/>
  <c r="K1161" i="17"/>
  <c r="J1161" i="17"/>
  <c r="I1161" i="17"/>
  <c r="I1163" i="17" s="1"/>
  <c r="H1161" i="17"/>
  <c r="T1158" i="17"/>
  <c r="S1158" i="17"/>
  <c r="R1158" i="17"/>
  <c r="Q1158" i="17"/>
  <c r="P1158" i="17"/>
  <c r="O1158" i="17"/>
  <c r="N1158" i="17"/>
  <c r="M1158" i="17"/>
  <c r="L1158" i="17"/>
  <c r="K1158" i="17"/>
  <c r="J1158" i="17"/>
  <c r="I1158" i="17"/>
  <c r="H1158" i="17"/>
  <c r="T1155" i="17"/>
  <c r="S1155" i="17"/>
  <c r="R1155" i="17"/>
  <c r="Q1155" i="17"/>
  <c r="P1155" i="17"/>
  <c r="O1155" i="17"/>
  <c r="N1155" i="17"/>
  <c r="M1155" i="17"/>
  <c r="L1155" i="17"/>
  <c r="K1155" i="17"/>
  <c r="J1155" i="17"/>
  <c r="I1155" i="17"/>
  <c r="H1155" i="17"/>
  <c r="T1152" i="17"/>
  <c r="S1152" i="17"/>
  <c r="R1152" i="17"/>
  <c r="Q1152" i="17"/>
  <c r="P1152" i="17"/>
  <c r="O1152" i="17"/>
  <c r="N1152" i="17"/>
  <c r="M1152" i="17"/>
  <c r="L1152" i="17"/>
  <c r="K1152" i="17"/>
  <c r="J1152" i="17"/>
  <c r="I1152" i="17"/>
  <c r="H1152" i="17"/>
  <c r="T1149" i="17"/>
  <c r="S1149" i="17"/>
  <c r="R1149" i="17"/>
  <c r="Q1149" i="17"/>
  <c r="P1149" i="17"/>
  <c r="O1149" i="17"/>
  <c r="N1149" i="17"/>
  <c r="M1149" i="17"/>
  <c r="L1149" i="17"/>
  <c r="K1149" i="17"/>
  <c r="J1149" i="17"/>
  <c r="I1149" i="17"/>
  <c r="H1149" i="17"/>
  <c r="T1144" i="17"/>
  <c r="S1144" i="17"/>
  <c r="R1144" i="17"/>
  <c r="Q1144" i="17"/>
  <c r="P1144" i="17"/>
  <c r="O1144" i="17"/>
  <c r="N1144" i="17"/>
  <c r="M1144" i="17"/>
  <c r="L1144" i="17"/>
  <c r="K1144" i="17"/>
  <c r="J1144" i="17"/>
  <c r="I1144" i="17"/>
  <c r="H1144" i="17"/>
  <c r="T1141" i="17"/>
  <c r="S1141" i="17"/>
  <c r="R1141" i="17"/>
  <c r="Q1141" i="17"/>
  <c r="P1141" i="17"/>
  <c r="O1141" i="17"/>
  <c r="N1141" i="17"/>
  <c r="M1141" i="17"/>
  <c r="L1141" i="17"/>
  <c r="K1141" i="17"/>
  <c r="J1141" i="17"/>
  <c r="I1141" i="17"/>
  <c r="H1141" i="17"/>
  <c r="T1138" i="17"/>
  <c r="S1138" i="17"/>
  <c r="R1138" i="17"/>
  <c r="Q1138" i="17"/>
  <c r="P1138" i="17"/>
  <c r="O1138" i="17"/>
  <c r="N1138" i="17"/>
  <c r="M1138" i="17"/>
  <c r="L1138" i="17"/>
  <c r="K1138" i="17"/>
  <c r="J1138" i="17"/>
  <c r="I1138" i="17"/>
  <c r="H1138" i="17"/>
  <c r="T1137" i="17"/>
  <c r="Q1137" i="17"/>
  <c r="N1137" i="17"/>
  <c r="M1137" i="17"/>
  <c r="L1137" i="17"/>
  <c r="I1137" i="17"/>
  <c r="H1137" i="17"/>
  <c r="T1136" i="17"/>
  <c r="S1136" i="17"/>
  <c r="R1136" i="17"/>
  <c r="R1137" i="17" s="1"/>
  <c r="Q1136" i="17"/>
  <c r="P1136" i="17"/>
  <c r="P1137" i="17" s="1"/>
  <c r="O1136" i="17"/>
  <c r="N1136" i="17"/>
  <c r="M1136" i="17"/>
  <c r="L1136" i="17"/>
  <c r="K1136" i="17"/>
  <c r="K1137" i="17" s="1"/>
  <c r="J1136" i="17"/>
  <c r="I1136" i="17"/>
  <c r="H1136" i="17"/>
  <c r="T1135" i="17"/>
  <c r="S1135" i="17"/>
  <c r="S1137" i="17" s="1"/>
  <c r="R1135" i="17"/>
  <c r="Q1135" i="17"/>
  <c r="P1135" i="17"/>
  <c r="O1135" i="17"/>
  <c r="O1137" i="17" s="1"/>
  <c r="N1135" i="17"/>
  <c r="M1135" i="17"/>
  <c r="L1135" i="17"/>
  <c r="K1135" i="17"/>
  <c r="J1135" i="17"/>
  <c r="J1137" i="17" s="1"/>
  <c r="I1135" i="17"/>
  <c r="H1135" i="17"/>
  <c r="T1132" i="17"/>
  <c r="S1132" i="17"/>
  <c r="R1132" i="17"/>
  <c r="Q1132" i="17"/>
  <c r="P1132" i="17"/>
  <c r="O1132" i="17"/>
  <c r="N1132" i="17"/>
  <c r="M1132" i="17"/>
  <c r="L1132" i="17"/>
  <c r="K1132" i="17"/>
  <c r="J1132" i="17"/>
  <c r="I1132" i="17"/>
  <c r="H1132" i="17"/>
  <c r="T1129" i="17"/>
  <c r="S1129" i="17"/>
  <c r="R1129" i="17"/>
  <c r="Q1129" i="17"/>
  <c r="P1129" i="17"/>
  <c r="O1129" i="17"/>
  <c r="N1129" i="17"/>
  <c r="M1129" i="17"/>
  <c r="L1129" i="17"/>
  <c r="K1129" i="17"/>
  <c r="J1129" i="17"/>
  <c r="I1129" i="17"/>
  <c r="H1129" i="17"/>
  <c r="T1126" i="17"/>
  <c r="S1126" i="17"/>
  <c r="R1126" i="17"/>
  <c r="Q1126" i="17"/>
  <c r="P1126" i="17"/>
  <c r="O1126" i="17"/>
  <c r="N1126" i="17"/>
  <c r="M1126" i="17"/>
  <c r="L1126" i="17"/>
  <c r="K1126" i="17"/>
  <c r="J1126" i="17"/>
  <c r="I1126" i="17"/>
  <c r="H1126" i="17"/>
  <c r="T1123" i="17"/>
  <c r="S1123" i="17"/>
  <c r="R1123" i="17"/>
  <c r="Q1123" i="17"/>
  <c r="P1123" i="17"/>
  <c r="O1123" i="17"/>
  <c r="N1123" i="17"/>
  <c r="M1123" i="17"/>
  <c r="L1123" i="17"/>
  <c r="K1123" i="17"/>
  <c r="J1123" i="17"/>
  <c r="I1123" i="17"/>
  <c r="H1123" i="17"/>
  <c r="T1118" i="17"/>
  <c r="S1118" i="17"/>
  <c r="R1118" i="17"/>
  <c r="Q1118" i="17"/>
  <c r="P1118" i="17"/>
  <c r="O1118" i="17"/>
  <c r="N1118" i="17"/>
  <c r="M1118" i="17"/>
  <c r="L1118" i="17"/>
  <c r="K1118" i="17"/>
  <c r="J1118" i="17"/>
  <c r="I1118" i="17"/>
  <c r="H1118" i="17"/>
  <c r="T1115" i="17"/>
  <c r="S1115" i="17"/>
  <c r="R1115" i="17"/>
  <c r="Q1115" i="17"/>
  <c r="P1115" i="17"/>
  <c r="O1115" i="17"/>
  <c r="N1115" i="17"/>
  <c r="M1115" i="17"/>
  <c r="L1115" i="17"/>
  <c r="K1115" i="17"/>
  <c r="J1115" i="17"/>
  <c r="I1115" i="17"/>
  <c r="H1115" i="17"/>
  <c r="T1112" i="17"/>
  <c r="S1112" i="17"/>
  <c r="R1112" i="17"/>
  <c r="Q1112" i="17"/>
  <c r="P1112" i="17"/>
  <c r="O1112" i="17"/>
  <c r="N1112" i="17"/>
  <c r="M1112" i="17"/>
  <c r="L1112" i="17"/>
  <c r="K1112" i="17"/>
  <c r="J1112" i="17"/>
  <c r="I1112" i="17"/>
  <c r="H1112" i="17"/>
  <c r="S1111" i="17"/>
  <c r="P1111" i="17"/>
  <c r="K1111" i="17"/>
  <c r="J1111" i="17"/>
  <c r="T1110" i="17"/>
  <c r="T1111" i="17" s="1"/>
  <c r="S1110" i="17"/>
  <c r="R1110" i="17"/>
  <c r="R1111" i="17" s="1"/>
  <c r="Q1110" i="17"/>
  <c r="P1110" i="17"/>
  <c r="O1110" i="17"/>
  <c r="N1110" i="17"/>
  <c r="N1111" i="17" s="1"/>
  <c r="M1110" i="17"/>
  <c r="L1110" i="17"/>
  <c r="K1110" i="17"/>
  <c r="J1110" i="17"/>
  <c r="I1110" i="17"/>
  <c r="I1111" i="17" s="1"/>
  <c r="H1110" i="17"/>
  <c r="T1109" i="17"/>
  <c r="S1109" i="17"/>
  <c r="R1109" i="17"/>
  <c r="Q1109" i="17"/>
  <c r="Q1111" i="17" s="1"/>
  <c r="P1109" i="17"/>
  <c r="O1109" i="17"/>
  <c r="O1111" i="17" s="1"/>
  <c r="N1109" i="17"/>
  <c r="M1109" i="17"/>
  <c r="M1111" i="17" s="1"/>
  <c r="L1109" i="17"/>
  <c r="K1109" i="17"/>
  <c r="J1109" i="17"/>
  <c r="I1109" i="17"/>
  <c r="H1109" i="17"/>
  <c r="H1111" i="17" s="1"/>
  <c r="T1106" i="17"/>
  <c r="S1106" i="17"/>
  <c r="R1106" i="17"/>
  <c r="Q1106" i="17"/>
  <c r="P1106" i="17"/>
  <c r="O1106" i="17"/>
  <c r="N1106" i="17"/>
  <c r="M1106" i="17"/>
  <c r="L1106" i="17"/>
  <c r="K1106" i="17"/>
  <c r="J1106" i="17"/>
  <c r="I1106" i="17"/>
  <c r="H1106" i="17"/>
  <c r="T1103" i="17"/>
  <c r="S1103" i="17"/>
  <c r="R1103" i="17"/>
  <c r="Q1103" i="17"/>
  <c r="P1103" i="17"/>
  <c r="O1103" i="17"/>
  <c r="N1103" i="17"/>
  <c r="M1103" i="17"/>
  <c r="L1103" i="17"/>
  <c r="K1103" i="17"/>
  <c r="J1103" i="17"/>
  <c r="I1103" i="17"/>
  <c r="H1103" i="17"/>
  <c r="T1100" i="17"/>
  <c r="S1100" i="17"/>
  <c r="R1100" i="17"/>
  <c r="Q1100" i="17"/>
  <c r="P1100" i="17"/>
  <c r="O1100" i="17"/>
  <c r="N1100" i="17"/>
  <c r="M1100" i="17"/>
  <c r="L1100" i="17"/>
  <c r="K1100" i="17"/>
  <c r="J1100" i="17"/>
  <c r="I1100" i="17"/>
  <c r="H1100" i="17"/>
  <c r="T1097" i="17"/>
  <c r="S1097" i="17"/>
  <c r="R1097" i="17"/>
  <c r="Q1097" i="17"/>
  <c r="P1097" i="17"/>
  <c r="O1097" i="17"/>
  <c r="N1097" i="17"/>
  <c r="M1097" i="17"/>
  <c r="L1097" i="17"/>
  <c r="K1097" i="17"/>
  <c r="J1097" i="17"/>
  <c r="I1097" i="17"/>
  <c r="H1097" i="17"/>
  <c r="T1092" i="17"/>
  <c r="S1092" i="17"/>
  <c r="R1092" i="17"/>
  <c r="Q1092" i="17"/>
  <c r="P1092" i="17"/>
  <c r="O1092" i="17"/>
  <c r="N1092" i="17"/>
  <c r="M1092" i="17"/>
  <c r="L1092" i="17"/>
  <c r="K1092" i="17"/>
  <c r="J1092" i="17"/>
  <c r="I1092" i="17"/>
  <c r="H1092" i="17"/>
  <c r="T1089" i="17"/>
  <c r="S1089" i="17"/>
  <c r="R1089" i="17"/>
  <c r="Q1089" i="17"/>
  <c r="P1089" i="17"/>
  <c r="O1089" i="17"/>
  <c r="N1089" i="17"/>
  <c r="M1089" i="17"/>
  <c r="L1089" i="17"/>
  <c r="K1089" i="17"/>
  <c r="J1089" i="17"/>
  <c r="I1089" i="17"/>
  <c r="H1089" i="17"/>
  <c r="T1086" i="17"/>
  <c r="S1086" i="17"/>
  <c r="R1086" i="17"/>
  <c r="Q1086" i="17"/>
  <c r="P1086" i="17"/>
  <c r="O1086" i="17"/>
  <c r="N1086" i="17"/>
  <c r="M1086" i="17"/>
  <c r="L1086" i="17"/>
  <c r="K1086" i="17"/>
  <c r="J1086" i="17"/>
  <c r="I1086" i="17"/>
  <c r="H1086" i="17"/>
  <c r="T1085" i="17"/>
  <c r="O1085" i="17"/>
  <c r="N1085" i="17"/>
  <c r="T1084" i="17"/>
  <c r="S1084" i="17"/>
  <c r="S1085" i="17" s="1"/>
  <c r="R1084" i="17"/>
  <c r="Q1084" i="17"/>
  <c r="Q1085" i="17" s="1"/>
  <c r="P1084" i="17"/>
  <c r="O1084" i="17"/>
  <c r="N1084" i="17"/>
  <c r="M1084" i="17"/>
  <c r="M1085" i="17" s="1"/>
  <c r="L1084" i="17"/>
  <c r="K1084" i="17"/>
  <c r="K1085" i="17" s="1"/>
  <c r="J1084" i="17"/>
  <c r="I1084" i="17"/>
  <c r="I1085" i="17" s="1"/>
  <c r="H1084" i="17"/>
  <c r="H1085" i="17" s="1"/>
  <c r="T1083" i="17"/>
  <c r="S1083" i="17"/>
  <c r="R1083" i="17"/>
  <c r="R1085" i="17" s="1"/>
  <c r="Q1083" i="17"/>
  <c r="P1083" i="17"/>
  <c r="O1083" i="17"/>
  <c r="N1083" i="17"/>
  <c r="M1083" i="17"/>
  <c r="L1083" i="17"/>
  <c r="L1085" i="17" s="1"/>
  <c r="K1083" i="17"/>
  <c r="J1083" i="17"/>
  <c r="J1085" i="17" s="1"/>
  <c r="I1083" i="17"/>
  <c r="H1083" i="17"/>
  <c r="T1080" i="17"/>
  <c r="S1080" i="17"/>
  <c r="R1080" i="17"/>
  <c r="Q1080" i="17"/>
  <c r="P1080" i="17"/>
  <c r="O1080" i="17"/>
  <c r="N1080" i="17"/>
  <c r="M1080" i="17"/>
  <c r="L1080" i="17"/>
  <c r="K1080" i="17"/>
  <c r="J1080" i="17"/>
  <c r="I1080" i="17"/>
  <c r="H1080" i="17"/>
  <c r="T1077" i="17"/>
  <c r="S1077" i="17"/>
  <c r="R1077" i="17"/>
  <c r="Q1077" i="17"/>
  <c r="P1077" i="17"/>
  <c r="O1077" i="17"/>
  <c r="N1077" i="17"/>
  <c r="M1077" i="17"/>
  <c r="L1077" i="17"/>
  <c r="K1077" i="17"/>
  <c r="J1077" i="17"/>
  <c r="I1077" i="17"/>
  <c r="H1077" i="17"/>
  <c r="T1074" i="17"/>
  <c r="S1074" i="17"/>
  <c r="R1074" i="17"/>
  <c r="Q1074" i="17"/>
  <c r="P1074" i="17"/>
  <c r="O1074" i="17"/>
  <c r="N1074" i="17"/>
  <c r="M1074" i="17"/>
  <c r="L1074" i="17"/>
  <c r="K1074" i="17"/>
  <c r="J1074" i="17"/>
  <c r="I1074" i="17"/>
  <c r="H1074" i="17"/>
  <c r="T1071" i="17"/>
  <c r="S1071" i="17"/>
  <c r="R1071" i="17"/>
  <c r="Q1071" i="17"/>
  <c r="P1071" i="17"/>
  <c r="O1071" i="17"/>
  <c r="N1071" i="17"/>
  <c r="M1071" i="17"/>
  <c r="L1071" i="17"/>
  <c r="K1071" i="17"/>
  <c r="J1071" i="17"/>
  <c r="I1071" i="17"/>
  <c r="H1071" i="17"/>
  <c r="T1066" i="17"/>
  <c r="S1066" i="17"/>
  <c r="R1066" i="17"/>
  <c r="Q1066" i="17"/>
  <c r="P1066" i="17"/>
  <c r="O1066" i="17"/>
  <c r="N1066" i="17"/>
  <c r="M1066" i="17"/>
  <c r="L1066" i="17"/>
  <c r="K1066" i="17"/>
  <c r="J1066" i="17"/>
  <c r="I1066" i="17"/>
  <c r="H1066" i="17"/>
  <c r="T1063" i="17"/>
  <c r="S1063" i="17"/>
  <c r="R1063" i="17"/>
  <c r="Q1063" i="17"/>
  <c r="P1063" i="17"/>
  <c r="O1063" i="17"/>
  <c r="N1063" i="17"/>
  <c r="M1063" i="17"/>
  <c r="L1063" i="17"/>
  <c r="K1063" i="17"/>
  <c r="J1063" i="17"/>
  <c r="I1063" i="17"/>
  <c r="H1063" i="17"/>
  <c r="T1060" i="17"/>
  <c r="S1060" i="17"/>
  <c r="R1060" i="17"/>
  <c r="Q1060" i="17"/>
  <c r="P1060" i="17"/>
  <c r="O1060" i="17"/>
  <c r="N1060" i="17"/>
  <c r="M1060" i="17"/>
  <c r="L1060" i="17"/>
  <c r="K1060" i="17"/>
  <c r="J1060" i="17"/>
  <c r="I1060" i="17"/>
  <c r="H1060" i="17"/>
  <c r="O1059" i="17"/>
  <c r="J1059" i="17"/>
  <c r="H1059" i="17"/>
  <c r="T1058" i="17"/>
  <c r="S1058" i="17"/>
  <c r="R1058" i="17"/>
  <c r="Q1058" i="17"/>
  <c r="P1058" i="17"/>
  <c r="P1059" i="17" s="1"/>
  <c r="O1058" i="17"/>
  <c r="N1058" i="17"/>
  <c r="N1059" i="17" s="1"/>
  <c r="M1058" i="17"/>
  <c r="M1059" i="17" s="1"/>
  <c r="L1058" i="17"/>
  <c r="K1058" i="17"/>
  <c r="K1059" i="17" s="1"/>
  <c r="J1058" i="17"/>
  <c r="I1058" i="17"/>
  <c r="I1059" i="17" s="1"/>
  <c r="H1058" i="17"/>
  <c r="T1057" i="17"/>
  <c r="S1057" i="17"/>
  <c r="S1059" i="17" s="1"/>
  <c r="R1057" i="17"/>
  <c r="Q1057" i="17"/>
  <c r="Q1059" i="17" s="1"/>
  <c r="P1057" i="17"/>
  <c r="O1057" i="17"/>
  <c r="N1057" i="17"/>
  <c r="M1057" i="17"/>
  <c r="L1057" i="17"/>
  <c r="K1057" i="17"/>
  <c r="J1057" i="17"/>
  <c r="I1057" i="17"/>
  <c r="H1057" i="17"/>
  <c r="T1054" i="17"/>
  <c r="S1054" i="17"/>
  <c r="R1054" i="17"/>
  <c r="Q1054" i="17"/>
  <c r="P1054" i="17"/>
  <c r="O1054" i="17"/>
  <c r="N1054" i="17"/>
  <c r="M1054" i="17"/>
  <c r="L1054" i="17"/>
  <c r="K1054" i="17"/>
  <c r="J1054" i="17"/>
  <c r="I1054" i="17"/>
  <c r="H1054" i="17"/>
  <c r="T1051" i="17"/>
  <c r="S1051" i="17"/>
  <c r="R1051" i="17"/>
  <c r="Q1051" i="17"/>
  <c r="P1051" i="17"/>
  <c r="O1051" i="17"/>
  <c r="N1051" i="17"/>
  <c r="M1051" i="17"/>
  <c r="L1051" i="17"/>
  <c r="K1051" i="17"/>
  <c r="J1051" i="17"/>
  <c r="I1051" i="17"/>
  <c r="H1051" i="17"/>
  <c r="T1048" i="17"/>
  <c r="S1048" i="17"/>
  <c r="R1048" i="17"/>
  <c r="Q1048" i="17"/>
  <c r="P1048" i="17"/>
  <c r="O1048" i="17"/>
  <c r="N1048" i="17"/>
  <c r="M1048" i="17"/>
  <c r="L1048" i="17"/>
  <c r="K1048" i="17"/>
  <c r="J1048" i="17"/>
  <c r="I1048" i="17"/>
  <c r="H1048" i="17"/>
  <c r="T1045" i="17"/>
  <c r="S1045" i="17"/>
  <c r="R1045" i="17"/>
  <c r="Q1045" i="17"/>
  <c r="P1045" i="17"/>
  <c r="O1045" i="17"/>
  <c r="N1045" i="17"/>
  <c r="M1045" i="17"/>
  <c r="L1045" i="17"/>
  <c r="K1045" i="17"/>
  <c r="J1045" i="17"/>
  <c r="I1045" i="17"/>
  <c r="H1045" i="17"/>
  <c r="T1040" i="17"/>
  <c r="S1040" i="17"/>
  <c r="R1040" i="17"/>
  <c r="Q1040" i="17"/>
  <c r="P1040" i="17"/>
  <c r="O1040" i="17"/>
  <c r="N1040" i="17"/>
  <c r="M1040" i="17"/>
  <c r="L1040" i="17"/>
  <c r="K1040" i="17"/>
  <c r="J1040" i="17"/>
  <c r="I1040" i="17"/>
  <c r="H1040" i="17"/>
  <c r="T1037" i="17"/>
  <c r="S1037" i="17"/>
  <c r="R1037" i="17"/>
  <c r="Q1037" i="17"/>
  <c r="P1037" i="17"/>
  <c r="O1037" i="17"/>
  <c r="N1037" i="17"/>
  <c r="M1037" i="17"/>
  <c r="L1037" i="17"/>
  <c r="K1037" i="17"/>
  <c r="J1037" i="17"/>
  <c r="I1037" i="17"/>
  <c r="H1037" i="17"/>
  <c r="T1034" i="17"/>
  <c r="S1034" i="17"/>
  <c r="R1034" i="17"/>
  <c r="Q1034" i="17"/>
  <c r="P1034" i="17"/>
  <c r="O1034" i="17"/>
  <c r="N1034" i="17"/>
  <c r="M1034" i="17"/>
  <c r="L1034" i="17"/>
  <c r="K1034" i="17"/>
  <c r="J1034" i="17"/>
  <c r="I1034" i="17"/>
  <c r="H1034" i="17"/>
  <c r="T1033" i="17"/>
  <c r="O1033" i="17"/>
  <c r="N1033" i="17"/>
  <c r="L1033" i="17"/>
  <c r="I1033" i="17"/>
  <c r="T1032" i="17"/>
  <c r="S1032" i="17"/>
  <c r="S1033" i="17" s="1"/>
  <c r="R1032" i="17"/>
  <c r="Q1032" i="17"/>
  <c r="Q1033" i="17" s="1"/>
  <c r="P1032" i="17"/>
  <c r="O1032" i="17"/>
  <c r="N1032" i="17"/>
  <c r="M1032" i="17"/>
  <c r="L1032" i="17"/>
  <c r="K1032" i="17"/>
  <c r="K1033" i="17" s="1"/>
  <c r="J1032" i="17"/>
  <c r="I1032" i="17"/>
  <c r="H1032" i="17"/>
  <c r="H1033" i="17" s="1"/>
  <c r="T1031" i="17"/>
  <c r="S1031" i="17"/>
  <c r="R1031" i="17"/>
  <c r="R1033" i="17" s="1"/>
  <c r="Q1031" i="17"/>
  <c r="P1031" i="17"/>
  <c r="O1031" i="17"/>
  <c r="N1031" i="17"/>
  <c r="M1031" i="17"/>
  <c r="M1033" i="17" s="1"/>
  <c r="L1031" i="17"/>
  <c r="K1031" i="17"/>
  <c r="J1031" i="17"/>
  <c r="J1033" i="17" s="1"/>
  <c r="I1031" i="17"/>
  <c r="H1031" i="17"/>
  <c r="T1028" i="17"/>
  <c r="S1028" i="17"/>
  <c r="R1028" i="17"/>
  <c r="Q1028" i="17"/>
  <c r="P1028" i="17"/>
  <c r="O1028" i="17"/>
  <c r="N1028" i="17"/>
  <c r="M1028" i="17"/>
  <c r="L1028" i="17"/>
  <c r="K1028" i="17"/>
  <c r="J1028" i="17"/>
  <c r="I1028" i="17"/>
  <c r="H1028" i="17"/>
  <c r="T1025" i="17"/>
  <c r="S1025" i="17"/>
  <c r="R1025" i="17"/>
  <c r="Q1025" i="17"/>
  <c r="P1025" i="17"/>
  <c r="O1025" i="17"/>
  <c r="N1025" i="17"/>
  <c r="M1025" i="17"/>
  <c r="L1025" i="17"/>
  <c r="K1025" i="17"/>
  <c r="J1025" i="17"/>
  <c r="I1025" i="17"/>
  <c r="H1025" i="17"/>
  <c r="T1022" i="17"/>
  <c r="S1022" i="17"/>
  <c r="R1022" i="17"/>
  <c r="Q1022" i="17"/>
  <c r="P1022" i="17"/>
  <c r="O1022" i="17"/>
  <c r="N1022" i="17"/>
  <c r="M1022" i="17"/>
  <c r="L1022" i="17"/>
  <c r="K1022" i="17"/>
  <c r="J1022" i="17"/>
  <c r="I1022" i="17"/>
  <c r="H1022" i="17"/>
  <c r="T1019" i="17"/>
  <c r="S1019" i="17"/>
  <c r="R1019" i="17"/>
  <c r="Q1019" i="17"/>
  <c r="P1019" i="17"/>
  <c r="O1019" i="17"/>
  <c r="N1019" i="17"/>
  <c r="M1019" i="17"/>
  <c r="L1019" i="17"/>
  <c r="K1019" i="17"/>
  <c r="J1019" i="17"/>
  <c r="I1019" i="17"/>
  <c r="H1019" i="17"/>
  <c r="T1014" i="17"/>
  <c r="S1014" i="17"/>
  <c r="R1014" i="17"/>
  <c r="Q1014" i="17"/>
  <c r="P1014" i="17"/>
  <c r="O1014" i="17"/>
  <c r="N1014" i="17"/>
  <c r="M1014" i="17"/>
  <c r="L1014" i="17"/>
  <c r="K1014" i="17"/>
  <c r="J1014" i="17"/>
  <c r="I1014" i="17"/>
  <c r="H1014" i="17"/>
  <c r="T1011" i="17"/>
  <c r="S1011" i="17"/>
  <c r="R1011" i="17"/>
  <c r="Q1011" i="17"/>
  <c r="P1011" i="17"/>
  <c r="O1011" i="17"/>
  <c r="N1011" i="17"/>
  <c r="M1011" i="17"/>
  <c r="L1011" i="17"/>
  <c r="K1011" i="17"/>
  <c r="J1011" i="17"/>
  <c r="I1011" i="17"/>
  <c r="H1011" i="17"/>
  <c r="T1008" i="17"/>
  <c r="S1008" i="17"/>
  <c r="R1008" i="17"/>
  <c r="Q1008" i="17"/>
  <c r="P1008" i="17"/>
  <c r="O1008" i="17"/>
  <c r="N1008" i="17"/>
  <c r="M1008" i="17"/>
  <c r="L1008" i="17"/>
  <c r="K1008" i="17"/>
  <c r="J1008" i="17"/>
  <c r="I1008" i="17"/>
  <c r="H1008" i="17"/>
  <c r="Q1007" i="17"/>
  <c r="P1007" i="17"/>
  <c r="O1007" i="17"/>
  <c r="N1007" i="17"/>
  <c r="M1007" i="17"/>
  <c r="T1006" i="17"/>
  <c r="T1007" i="17" s="1"/>
  <c r="S1006" i="17"/>
  <c r="R1006" i="17"/>
  <c r="R1007" i="17" s="1"/>
  <c r="Q1006" i="17"/>
  <c r="P1006" i="17"/>
  <c r="O1006" i="17"/>
  <c r="N1006" i="17"/>
  <c r="M1006" i="17"/>
  <c r="L1006" i="17"/>
  <c r="K1006" i="17"/>
  <c r="K1007" i="17" s="1"/>
  <c r="J1006" i="17"/>
  <c r="I1006" i="17"/>
  <c r="I1007" i="17" s="1"/>
  <c r="H1006" i="17"/>
  <c r="T1005" i="17"/>
  <c r="S1005" i="17"/>
  <c r="S1007" i="17" s="1"/>
  <c r="R1005" i="17"/>
  <c r="Q1005" i="17"/>
  <c r="P1005" i="17"/>
  <c r="O1005" i="17"/>
  <c r="N1005" i="17"/>
  <c r="M1005" i="17"/>
  <c r="L1005" i="17"/>
  <c r="K1005" i="17"/>
  <c r="J1005" i="17"/>
  <c r="J1007" i="17" s="1"/>
  <c r="I1005" i="17"/>
  <c r="H1005" i="17"/>
  <c r="H1007" i="17" s="1"/>
  <c r="T1002" i="17"/>
  <c r="S1002" i="17"/>
  <c r="R1002" i="17"/>
  <c r="Q1002" i="17"/>
  <c r="P1002" i="17"/>
  <c r="O1002" i="17"/>
  <c r="N1002" i="17"/>
  <c r="M1002" i="17"/>
  <c r="L1002" i="17"/>
  <c r="K1002" i="17"/>
  <c r="J1002" i="17"/>
  <c r="I1002" i="17"/>
  <c r="H1002" i="17"/>
  <c r="T999" i="17"/>
  <c r="S999" i="17"/>
  <c r="R999" i="17"/>
  <c r="Q999" i="17"/>
  <c r="P999" i="17"/>
  <c r="O999" i="17"/>
  <c r="N999" i="17"/>
  <c r="M999" i="17"/>
  <c r="L999" i="17"/>
  <c r="K999" i="17"/>
  <c r="J999" i="17"/>
  <c r="I999" i="17"/>
  <c r="H999" i="17"/>
  <c r="T996" i="17"/>
  <c r="S996" i="17"/>
  <c r="R996" i="17"/>
  <c r="Q996" i="17"/>
  <c r="P996" i="17"/>
  <c r="O996" i="17"/>
  <c r="N996" i="17"/>
  <c r="M996" i="17"/>
  <c r="L996" i="17"/>
  <c r="K996" i="17"/>
  <c r="J996" i="17"/>
  <c r="I996" i="17"/>
  <c r="H996" i="17"/>
  <c r="T993" i="17"/>
  <c r="S993" i="17"/>
  <c r="R993" i="17"/>
  <c r="Q993" i="17"/>
  <c r="P993" i="17"/>
  <c r="O993" i="17"/>
  <c r="N993" i="17"/>
  <c r="M993" i="17"/>
  <c r="L993" i="17"/>
  <c r="K993" i="17"/>
  <c r="J993" i="17"/>
  <c r="I993" i="17"/>
  <c r="H993" i="17"/>
  <c r="T988" i="17"/>
  <c r="S988" i="17"/>
  <c r="R988" i="17"/>
  <c r="Q988" i="17"/>
  <c r="P988" i="17"/>
  <c r="O988" i="17"/>
  <c r="N988" i="17"/>
  <c r="M988" i="17"/>
  <c r="L988" i="17"/>
  <c r="K988" i="17"/>
  <c r="J988" i="17"/>
  <c r="I988" i="17"/>
  <c r="H988" i="17"/>
  <c r="T985" i="17"/>
  <c r="S985" i="17"/>
  <c r="R985" i="17"/>
  <c r="Q985" i="17"/>
  <c r="P985" i="17"/>
  <c r="O985" i="17"/>
  <c r="N985" i="17"/>
  <c r="M985" i="17"/>
  <c r="L985" i="17"/>
  <c r="K985" i="17"/>
  <c r="J985" i="17"/>
  <c r="I985" i="17"/>
  <c r="H985" i="17"/>
  <c r="T982" i="17"/>
  <c r="S982" i="17"/>
  <c r="R982" i="17"/>
  <c r="Q982" i="17"/>
  <c r="P982" i="17"/>
  <c r="O982" i="17"/>
  <c r="N982" i="17"/>
  <c r="M982" i="17"/>
  <c r="L982" i="17"/>
  <c r="K982" i="17"/>
  <c r="J982" i="17"/>
  <c r="I982" i="17"/>
  <c r="H982" i="17"/>
  <c r="T979" i="17"/>
  <c r="S979" i="17"/>
  <c r="R979" i="17"/>
  <c r="Q979" i="17"/>
  <c r="P979" i="17"/>
  <c r="O979" i="17"/>
  <c r="N979" i="17"/>
  <c r="M979" i="17"/>
  <c r="L979" i="17"/>
  <c r="K979" i="17"/>
  <c r="J979" i="17"/>
  <c r="I979" i="17"/>
  <c r="H979" i="17"/>
  <c r="T976" i="17"/>
  <c r="S976" i="17"/>
  <c r="R976" i="17"/>
  <c r="Q976" i="17"/>
  <c r="P976" i="17"/>
  <c r="O976" i="17"/>
  <c r="N976" i="17"/>
  <c r="M976" i="17"/>
  <c r="L976" i="17"/>
  <c r="K976" i="17"/>
  <c r="J976" i="17"/>
  <c r="I976" i="17"/>
  <c r="H976" i="17"/>
  <c r="T973" i="17"/>
  <c r="S973" i="17"/>
  <c r="R973" i="17"/>
  <c r="Q973" i="17"/>
  <c r="P973" i="17"/>
  <c r="O973" i="17"/>
  <c r="N973" i="17"/>
  <c r="M973" i="17"/>
  <c r="L973" i="17"/>
  <c r="K973" i="17"/>
  <c r="J973" i="17"/>
  <c r="I973" i="17"/>
  <c r="H973" i="17"/>
  <c r="T970" i="17"/>
  <c r="S970" i="17"/>
  <c r="R970" i="17"/>
  <c r="Q970" i="17"/>
  <c r="P970" i="17"/>
  <c r="O970" i="17"/>
  <c r="N970" i="17"/>
  <c r="M970" i="17"/>
  <c r="L970" i="17"/>
  <c r="K970" i="17"/>
  <c r="J970" i="17"/>
  <c r="I970" i="17"/>
  <c r="H970" i="17"/>
  <c r="T967" i="17"/>
  <c r="S967" i="17"/>
  <c r="R967" i="17"/>
  <c r="Q967" i="17"/>
  <c r="P967" i="17"/>
  <c r="O967" i="17"/>
  <c r="N967" i="17"/>
  <c r="M967" i="17"/>
  <c r="L967" i="17"/>
  <c r="K967" i="17"/>
  <c r="J967" i="17"/>
  <c r="I967" i="17"/>
  <c r="H967" i="17"/>
  <c r="T962" i="17"/>
  <c r="S962" i="17"/>
  <c r="R962" i="17"/>
  <c r="Q962" i="17"/>
  <c r="P962" i="17"/>
  <c r="O962" i="17"/>
  <c r="N962" i="17"/>
  <c r="M962" i="17"/>
  <c r="L962" i="17"/>
  <c r="K962" i="17"/>
  <c r="J962" i="17"/>
  <c r="I962" i="17"/>
  <c r="H962" i="17"/>
  <c r="T959" i="17"/>
  <c r="S959" i="17"/>
  <c r="R959" i="17"/>
  <c r="Q959" i="17"/>
  <c r="P959" i="17"/>
  <c r="O959" i="17"/>
  <c r="N959" i="17"/>
  <c r="M959" i="17"/>
  <c r="L959" i="17"/>
  <c r="K959" i="17"/>
  <c r="J959" i="17"/>
  <c r="I959" i="17"/>
  <c r="H959" i="17"/>
  <c r="T956" i="17"/>
  <c r="S956" i="17"/>
  <c r="R956" i="17"/>
  <c r="Q956" i="17"/>
  <c r="P956" i="17"/>
  <c r="O956" i="17"/>
  <c r="N956" i="17"/>
  <c r="M956" i="17"/>
  <c r="L956" i="17"/>
  <c r="K956" i="17"/>
  <c r="J956" i="17"/>
  <c r="I956" i="17"/>
  <c r="H956" i="17"/>
  <c r="T953" i="17"/>
  <c r="S953" i="17"/>
  <c r="R953" i="17"/>
  <c r="Q953" i="17"/>
  <c r="P953" i="17"/>
  <c r="O953" i="17"/>
  <c r="N953" i="17"/>
  <c r="M953" i="17"/>
  <c r="L953" i="17"/>
  <c r="K953" i="17"/>
  <c r="J953" i="17"/>
  <c r="I953" i="17"/>
  <c r="H953" i="17"/>
  <c r="T950" i="17"/>
  <c r="S950" i="17"/>
  <c r="R950" i="17"/>
  <c r="Q950" i="17"/>
  <c r="P950" i="17"/>
  <c r="O950" i="17"/>
  <c r="N950" i="17"/>
  <c r="M950" i="17"/>
  <c r="L950" i="17"/>
  <c r="K950" i="17"/>
  <c r="J950" i="17"/>
  <c r="I950" i="17"/>
  <c r="H950" i="17"/>
  <c r="T947" i="17"/>
  <c r="S947" i="17"/>
  <c r="R947" i="17"/>
  <c r="Q947" i="17"/>
  <c r="P947" i="17"/>
  <c r="O947" i="17"/>
  <c r="N947" i="17"/>
  <c r="M947" i="17"/>
  <c r="L947" i="17"/>
  <c r="K947" i="17"/>
  <c r="J947" i="17"/>
  <c r="I947" i="17"/>
  <c r="H947" i="17"/>
  <c r="T944" i="17"/>
  <c r="S944" i="17"/>
  <c r="R944" i="17"/>
  <c r="Q944" i="17"/>
  <c r="P944" i="17"/>
  <c r="O944" i="17"/>
  <c r="N944" i="17"/>
  <c r="M944" i="17"/>
  <c r="L944" i="17"/>
  <c r="K944" i="17"/>
  <c r="J944" i="17"/>
  <c r="I944" i="17"/>
  <c r="H944" i="17"/>
  <c r="T941" i="17"/>
  <c r="S941" i="17"/>
  <c r="R941" i="17"/>
  <c r="Q941" i="17"/>
  <c r="P941" i="17"/>
  <c r="O941" i="17"/>
  <c r="N941" i="17"/>
  <c r="M941" i="17"/>
  <c r="L941" i="17"/>
  <c r="K941" i="17"/>
  <c r="J941" i="17"/>
  <c r="I941" i="17"/>
  <c r="H941" i="17"/>
  <c r="T936" i="17"/>
  <c r="S936" i="17"/>
  <c r="R936" i="17"/>
  <c r="Q936" i="17"/>
  <c r="P936" i="17"/>
  <c r="O936" i="17"/>
  <c r="N936" i="17"/>
  <c r="M936" i="17"/>
  <c r="L936" i="17"/>
  <c r="K936" i="17"/>
  <c r="J936" i="17"/>
  <c r="I936" i="17"/>
  <c r="H936" i="17"/>
  <c r="T933" i="17"/>
  <c r="S933" i="17"/>
  <c r="R933" i="17"/>
  <c r="Q933" i="17"/>
  <c r="P933" i="17"/>
  <c r="O933" i="17"/>
  <c r="N933" i="17"/>
  <c r="M933" i="17"/>
  <c r="L933" i="17"/>
  <c r="K933" i="17"/>
  <c r="J933" i="17"/>
  <c r="I933" i="17"/>
  <c r="H933" i="17"/>
  <c r="T930" i="17"/>
  <c r="S930" i="17"/>
  <c r="R930" i="17"/>
  <c r="Q930" i="17"/>
  <c r="P930" i="17"/>
  <c r="O930" i="17"/>
  <c r="N930" i="17"/>
  <c r="M930" i="17"/>
  <c r="L930" i="17"/>
  <c r="K930" i="17"/>
  <c r="J930" i="17"/>
  <c r="I930" i="17"/>
  <c r="H930" i="17"/>
  <c r="P929" i="17"/>
  <c r="N929" i="17"/>
  <c r="K929" i="17"/>
  <c r="H929" i="17"/>
  <c r="T928" i="17"/>
  <c r="S928" i="17"/>
  <c r="S929" i="17" s="1"/>
  <c r="R928" i="17"/>
  <c r="Q928" i="17"/>
  <c r="P928" i="17"/>
  <c r="O928" i="17"/>
  <c r="N928" i="17"/>
  <c r="M928" i="17"/>
  <c r="M929" i="17" s="1"/>
  <c r="L928" i="17"/>
  <c r="K928" i="17"/>
  <c r="J928" i="17"/>
  <c r="J929" i="17" s="1"/>
  <c r="I928" i="17"/>
  <c r="I929" i="17" s="1"/>
  <c r="H928" i="17"/>
  <c r="T927" i="17"/>
  <c r="T929" i="17" s="1"/>
  <c r="S927" i="17"/>
  <c r="R927" i="17"/>
  <c r="Q927" i="17"/>
  <c r="Q929" i="17" s="1"/>
  <c r="P927" i="17"/>
  <c r="O927" i="17"/>
  <c r="O929" i="17" s="1"/>
  <c r="N927" i="17"/>
  <c r="M927" i="17"/>
  <c r="L927" i="17"/>
  <c r="K927" i="17"/>
  <c r="J927" i="17"/>
  <c r="I927" i="17"/>
  <c r="H927" i="17"/>
  <c r="T924" i="17"/>
  <c r="S924" i="17"/>
  <c r="R924" i="17"/>
  <c r="Q924" i="17"/>
  <c r="P924" i="17"/>
  <c r="O924" i="17"/>
  <c r="N924" i="17"/>
  <c r="M924" i="17"/>
  <c r="L924" i="17"/>
  <c r="K924" i="17"/>
  <c r="J924" i="17"/>
  <c r="I924" i="17"/>
  <c r="H924" i="17"/>
  <c r="T921" i="17"/>
  <c r="S921" i="17"/>
  <c r="R921" i="17"/>
  <c r="Q921" i="17"/>
  <c r="P921" i="17"/>
  <c r="O921" i="17"/>
  <c r="N921" i="17"/>
  <c r="M921" i="17"/>
  <c r="L921" i="17"/>
  <c r="K921" i="17"/>
  <c r="J921" i="17"/>
  <c r="I921" i="17"/>
  <c r="H921" i="17"/>
  <c r="T918" i="17"/>
  <c r="S918" i="17"/>
  <c r="R918" i="17"/>
  <c r="Q918" i="17"/>
  <c r="P918" i="17"/>
  <c r="O918" i="17"/>
  <c r="N918" i="17"/>
  <c r="M918" i="17"/>
  <c r="L918" i="17"/>
  <c r="K918" i="17"/>
  <c r="J918" i="17"/>
  <c r="I918" i="17"/>
  <c r="H918" i="17"/>
  <c r="T915" i="17"/>
  <c r="S915" i="17"/>
  <c r="R915" i="17"/>
  <c r="Q915" i="17"/>
  <c r="P915" i="17"/>
  <c r="O915" i="17"/>
  <c r="N915" i="17"/>
  <c r="M915" i="17"/>
  <c r="L915" i="17"/>
  <c r="K915" i="17"/>
  <c r="J915" i="17"/>
  <c r="I915" i="17"/>
  <c r="H915" i="17"/>
  <c r="T910" i="17"/>
  <c r="S910" i="17"/>
  <c r="R910" i="17"/>
  <c r="Q910" i="17"/>
  <c r="P910" i="17"/>
  <c r="O910" i="17"/>
  <c r="N910" i="17"/>
  <c r="M910" i="17"/>
  <c r="L910" i="17"/>
  <c r="K910" i="17"/>
  <c r="J910" i="17"/>
  <c r="I910" i="17"/>
  <c r="H910" i="17"/>
  <c r="T907" i="17"/>
  <c r="S907" i="17"/>
  <c r="R907" i="17"/>
  <c r="Q907" i="17"/>
  <c r="P907" i="17"/>
  <c r="O907" i="17"/>
  <c r="N907" i="17"/>
  <c r="M907" i="17"/>
  <c r="L907" i="17"/>
  <c r="K907" i="17"/>
  <c r="J907" i="17"/>
  <c r="I907" i="17"/>
  <c r="H907" i="17"/>
  <c r="T904" i="17"/>
  <c r="S904" i="17"/>
  <c r="R904" i="17"/>
  <c r="Q904" i="17"/>
  <c r="P904" i="17"/>
  <c r="O904" i="17"/>
  <c r="N904" i="17"/>
  <c r="M904" i="17"/>
  <c r="L904" i="17"/>
  <c r="K904" i="17"/>
  <c r="J904" i="17"/>
  <c r="I904" i="17"/>
  <c r="H904" i="17"/>
  <c r="S903" i="17"/>
  <c r="O903" i="17"/>
  <c r="T902" i="17"/>
  <c r="T903" i="17" s="1"/>
  <c r="S902" i="17"/>
  <c r="R902" i="17"/>
  <c r="R903" i="17" s="1"/>
  <c r="Q902" i="17"/>
  <c r="P902" i="17"/>
  <c r="P903" i="17" s="1"/>
  <c r="O902" i="17"/>
  <c r="N902" i="17"/>
  <c r="N903" i="17" s="1"/>
  <c r="M902" i="17"/>
  <c r="L902" i="17"/>
  <c r="K902" i="17"/>
  <c r="K903" i="17" s="1"/>
  <c r="J902" i="17"/>
  <c r="I902" i="17"/>
  <c r="H902" i="17"/>
  <c r="H903" i="17" s="1"/>
  <c r="T901" i="17"/>
  <c r="S901" i="17"/>
  <c r="R901" i="17"/>
  <c r="Q901" i="17"/>
  <c r="Q903" i="17" s="1"/>
  <c r="P901" i="17"/>
  <c r="O901" i="17"/>
  <c r="N901" i="17"/>
  <c r="M901" i="17"/>
  <c r="L901" i="17"/>
  <c r="L903" i="17" s="1"/>
  <c r="K901" i="17"/>
  <c r="J901" i="17"/>
  <c r="I901" i="17"/>
  <c r="I903" i="17" s="1"/>
  <c r="H901" i="17"/>
  <c r="T898" i="17"/>
  <c r="S898" i="17"/>
  <c r="R898" i="17"/>
  <c r="Q898" i="17"/>
  <c r="P898" i="17"/>
  <c r="O898" i="17"/>
  <c r="N898" i="17"/>
  <c r="M898" i="17"/>
  <c r="L898" i="17"/>
  <c r="K898" i="17"/>
  <c r="J898" i="17"/>
  <c r="I898" i="17"/>
  <c r="H898" i="17"/>
  <c r="T895" i="17"/>
  <c r="S895" i="17"/>
  <c r="R895" i="17"/>
  <c r="Q895" i="17"/>
  <c r="P895" i="17"/>
  <c r="O895" i="17"/>
  <c r="N895" i="17"/>
  <c r="M895" i="17"/>
  <c r="L895" i="17"/>
  <c r="K895" i="17"/>
  <c r="J895" i="17"/>
  <c r="I895" i="17"/>
  <c r="H895" i="17"/>
  <c r="T892" i="17"/>
  <c r="S892" i="17"/>
  <c r="R892" i="17"/>
  <c r="Q892" i="17"/>
  <c r="P892" i="17"/>
  <c r="O892" i="17"/>
  <c r="N892" i="17"/>
  <c r="M892" i="17"/>
  <c r="L892" i="17"/>
  <c r="K892" i="17"/>
  <c r="J892" i="17"/>
  <c r="I892" i="17"/>
  <c r="H892" i="17"/>
  <c r="T889" i="17"/>
  <c r="S889" i="17"/>
  <c r="R889" i="17"/>
  <c r="Q889" i="17"/>
  <c r="P889" i="17"/>
  <c r="O889" i="17"/>
  <c r="N889" i="17"/>
  <c r="M889" i="17"/>
  <c r="L889" i="17"/>
  <c r="K889" i="17"/>
  <c r="J889" i="17"/>
  <c r="I889" i="17"/>
  <c r="H889" i="17"/>
  <c r="T884" i="17"/>
  <c r="S884" i="17"/>
  <c r="R884" i="17"/>
  <c r="Q884" i="17"/>
  <c r="P884" i="17"/>
  <c r="O884" i="17"/>
  <c r="N884" i="17"/>
  <c r="M884" i="17"/>
  <c r="L884" i="17"/>
  <c r="K884" i="17"/>
  <c r="J884" i="17"/>
  <c r="I884" i="17"/>
  <c r="H884" i="17"/>
  <c r="T881" i="17"/>
  <c r="S881" i="17"/>
  <c r="R881" i="17"/>
  <c r="Q881" i="17"/>
  <c r="P881" i="17"/>
  <c r="O881" i="17"/>
  <c r="N881" i="17"/>
  <c r="M881" i="17"/>
  <c r="L881" i="17"/>
  <c r="K881" i="17"/>
  <c r="J881" i="17"/>
  <c r="I881" i="17"/>
  <c r="H881" i="17"/>
  <c r="T878" i="17"/>
  <c r="S878" i="17"/>
  <c r="R878" i="17"/>
  <c r="Q878" i="17"/>
  <c r="P878" i="17"/>
  <c r="O878" i="17"/>
  <c r="N878" i="17"/>
  <c r="M878" i="17"/>
  <c r="L878" i="17"/>
  <c r="K878" i="17"/>
  <c r="J878" i="17"/>
  <c r="I878" i="17"/>
  <c r="H878" i="17"/>
  <c r="R877" i="17"/>
  <c r="O877" i="17"/>
  <c r="L877" i="17"/>
  <c r="J877" i="17"/>
  <c r="T876" i="17"/>
  <c r="T877" i="17" s="1"/>
  <c r="S876" i="17"/>
  <c r="S877" i="17" s="1"/>
  <c r="R876" i="17"/>
  <c r="Q876" i="17"/>
  <c r="Q877" i="17" s="1"/>
  <c r="P876" i="17"/>
  <c r="O876" i="17"/>
  <c r="N876" i="17"/>
  <c r="N877" i="17" s="1"/>
  <c r="M876" i="17"/>
  <c r="L876" i="17"/>
  <c r="K876" i="17"/>
  <c r="J876" i="17"/>
  <c r="I876" i="17"/>
  <c r="I877" i="17" s="1"/>
  <c r="H876" i="17"/>
  <c r="T875" i="17"/>
  <c r="S875" i="17"/>
  <c r="R875" i="17"/>
  <c r="Q875" i="17"/>
  <c r="P875" i="17"/>
  <c r="P877" i="17" s="1"/>
  <c r="O875" i="17"/>
  <c r="N875" i="17"/>
  <c r="M875" i="17"/>
  <c r="L875" i="17"/>
  <c r="K875" i="17"/>
  <c r="J875" i="17"/>
  <c r="I875" i="17"/>
  <c r="H875" i="17"/>
  <c r="T872" i="17"/>
  <c r="S872" i="17"/>
  <c r="R872" i="17"/>
  <c r="Q872" i="17"/>
  <c r="P872" i="17"/>
  <c r="O872" i="17"/>
  <c r="N872" i="17"/>
  <c r="M872" i="17"/>
  <c r="L872" i="17"/>
  <c r="K872" i="17"/>
  <c r="J872" i="17"/>
  <c r="I872" i="17"/>
  <c r="H872" i="17"/>
  <c r="T869" i="17"/>
  <c r="S869" i="17"/>
  <c r="R869" i="17"/>
  <c r="Q869" i="17"/>
  <c r="P869" i="17"/>
  <c r="O869" i="17"/>
  <c r="N869" i="17"/>
  <c r="M869" i="17"/>
  <c r="L869" i="17"/>
  <c r="K869" i="17"/>
  <c r="J869" i="17"/>
  <c r="I869" i="17"/>
  <c r="H869" i="17"/>
  <c r="T866" i="17"/>
  <c r="S866" i="17"/>
  <c r="R866" i="17"/>
  <c r="Q866" i="17"/>
  <c r="P866" i="17"/>
  <c r="O866" i="17"/>
  <c r="N866" i="17"/>
  <c r="M866" i="17"/>
  <c r="L866" i="17"/>
  <c r="K866" i="17"/>
  <c r="J866" i="17"/>
  <c r="I866" i="17"/>
  <c r="H866" i="17"/>
  <c r="T863" i="17"/>
  <c r="S863" i="17"/>
  <c r="R863" i="17"/>
  <c r="Q863" i="17"/>
  <c r="P863" i="17"/>
  <c r="O863" i="17"/>
  <c r="N863" i="17"/>
  <c r="M863" i="17"/>
  <c r="L863" i="17"/>
  <c r="K863" i="17"/>
  <c r="J863" i="17"/>
  <c r="I863" i="17"/>
  <c r="H863" i="17"/>
  <c r="T858" i="17"/>
  <c r="S858" i="17"/>
  <c r="R858" i="17"/>
  <c r="Q858" i="17"/>
  <c r="P858" i="17"/>
  <c r="O858" i="17"/>
  <c r="N858" i="17"/>
  <c r="M858" i="17"/>
  <c r="L858" i="17"/>
  <c r="K858" i="17"/>
  <c r="J858" i="17"/>
  <c r="I858" i="17"/>
  <c r="H858" i="17"/>
  <c r="T855" i="17"/>
  <c r="S855" i="17"/>
  <c r="R855" i="17"/>
  <c r="Q855" i="17"/>
  <c r="P855" i="17"/>
  <c r="O855" i="17"/>
  <c r="N855" i="17"/>
  <c r="M855" i="17"/>
  <c r="L855" i="17"/>
  <c r="K855" i="17"/>
  <c r="J855" i="17"/>
  <c r="I855" i="17"/>
  <c r="H855" i="17"/>
  <c r="T852" i="17"/>
  <c r="S852" i="17"/>
  <c r="R852" i="17"/>
  <c r="Q852" i="17"/>
  <c r="P852" i="17"/>
  <c r="O852" i="17"/>
  <c r="N852" i="17"/>
  <c r="M852" i="17"/>
  <c r="L852" i="17"/>
  <c r="K852" i="17"/>
  <c r="J852" i="17"/>
  <c r="I852" i="17"/>
  <c r="H852" i="17"/>
  <c r="N851" i="17"/>
  <c r="M851" i="17"/>
  <c r="T850" i="17"/>
  <c r="S850" i="17"/>
  <c r="S851" i="17" s="1"/>
  <c r="R850" i="17"/>
  <c r="R851" i="17" s="1"/>
  <c r="Q850" i="17"/>
  <c r="P850" i="17"/>
  <c r="P851" i="17" s="1"/>
  <c r="O850" i="17"/>
  <c r="N850" i="17"/>
  <c r="M850" i="17"/>
  <c r="L850" i="17"/>
  <c r="L851" i="17" s="1"/>
  <c r="K850" i="17"/>
  <c r="J850" i="17"/>
  <c r="I850" i="17"/>
  <c r="H850" i="17"/>
  <c r="H851" i="17" s="1"/>
  <c r="T849" i="17"/>
  <c r="T851" i="17" s="1"/>
  <c r="S849" i="17"/>
  <c r="R849" i="17"/>
  <c r="Q849" i="17"/>
  <c r="Q851" i="17" s="1"/>
  <c r="P849" i="17"/>
  <c r="O849" i="17"/>
  <c r="O851" i="17" s="1"/>
  <c r="N849" i="17"/>
  <c r="M849" i="17"/>
  <c r="L849" i="17"/>
  <c r="K849" i="17"/>
  <c r="J849" i="17"/>
  <c r="I849" i="17"/>
  <c r="I851" i="17" s="1"/>
  <c r="H849" i="17"/>
  <c r="T846" i="17"/>
  <c r="S846" i="17"/>
  <c r="R846" i="17"/>
  <c r="Q846" i="17"/>
  <c r="P846" i="17"/>
  <c r="O846" i="17"/>
  <c r="N846" i="17"/>
  <c r="M846" i="17"/>
  <c r="L846" i="17"/>
  <c r="K846" i="17"/>
  <c r="J846" i="17"/>
  <c r="I846" i="17"/>
  <c r="H846" i="17"/>
  <c r="T843" i="17"/>
  <c r="S843" i="17"/>
  <c r="R843" i="17"/>
  <c r="Q843" i="17"/>
  <c r="P843" i="17"/>
  <c r="O843" i="17"/>
  <c r="N843" i="17"/>
  <c r="M843" i="17"/>
  <c r="L843" i="17"/>
  <c r="K843" i="17"/>
  <c r="J843" i="17"/>
  <c r="I843" i="17"/>
  <c r="H843" i="17"/>
  <c r="T840" i="17"/>
  <c r="S840" i="17"/>
  <c r="R840" i="17"/>
  <c r="Q840" i="17"/>
  <c r="P840" i="17"/>
  <c r="O840" i="17"/>
  <c r="N840" i="17"/>
  <c r="M840" i="17"/>
  <c r="L840" i="17"/>
  <c r="K840" i="17"/>
  <c r="J840" i="17"/>
  <c r="I840" i="17"/>
  <c r="H840" i="17"/>
  <c r="T837" i="17"/>
  <c r="S837" i="17"/>
  <c r="R837" i="17"/>
  <c r="Q837" i="17"/>
  <c r="P837" i="17"/>
  <c r="O837" i="17"/>
  <c r="N837" i="17"/>
  <c r="M837" i="17"/>
  <c r="L837" i="17"/>
  <c r="K837" i="17"/>
  <c r="J837" i="17"/>
  <c r="I837" i="17"/>
  <c r="H837" i="17"/>
  <c r="D765" i="17"/>
  <c r="D764" i="17"/>
  <c r="T760" i="17"/>
  <c r="S760" i="17"/>
  <c r="R760" i="17"/>
  <c r="Q760" i="17"/>
  <c r="P760" i="17"/>
  <c r="O760" i="17"/>
  <c r="N760" i="17"/>
  <c r="M760" i="17"/>
  <c r="L760" i="17"/>
  <c r="K760" i="17"/>
  <c r="J760" i="17"/>
  <c r="I760" i="17"/>
  <c r="H760" i="17"/>
  <c r="E760" i="17"/>
  <c r="T755" i="17"/>
  <c r="E755" i="17" s="1"/>
  <c r="S755" i="17"/>
  <c r="R755" i="17"/>
  <c r="Q755" i="17"/>
  <c r="P755" i="17"/>
  <c r="O755" i="17"/>
  <c r="N755" i="17"/>
  <c r="M755" i="17"/>
  <c r="L755" i="17"/>
  <c r="K755" i="17"/>
  <c r="J755" i="17"/>
  <c r="I755" i="17"/>
  <c r="H755" i="17"/>
  <c r="G754" i="17"/>
  <c r="G822" i="17" s="1"/>
  <c r="T750" i="17"/>
  <c r="S750" i="17"/>
  <c r="R750" i="17"/>
  <c r="Q750" i="17"/>
  <c r="P750" i="17"/>
  <c r="O750" i="17"/>
  <c r="N750" i="17"/>
  <c r="M750" i="17"/>
  <c r="L750" i="17"/>
  <c r="K750" i="17"/>
  <c r="J750" i="17"/>
  <c r="I750" i="17"/>
  <c r="H750" i="17"/>
  <c r="E750" i="17"/>
  <c r="T745" i="17"/>
  <c r="S745" i="17"/>
  <c r="R745" i="17"/>
  <c r="Q745" i="17"/>
  <c r="P745" i="17"/>
  <c r="O745" i="17"/>
  <c r="N745" i="17"/>
  <c r="M745" i="17"/>
  <c r="L745" i="17"/>
  <c r="K745" i="17"/>
  <c r="J745" i="17"/>
  <c r="I745" i="17"/>
  <c r="H745" i="17"/>
  <c r="E745" i="17"/>
  <c r="T740" i="17"/>
  <c r="S740" i="17"/>
  <c r="R740" i="17"/>
  <c r="Q740" i="17"/>
  <c r="P740" i="17"/>
  <c r="O740" i="17"/>
  <c r="N740" i="17"/>
  <c r="M740" i="17"/>
  <c r="L740" i="17"/>
  <c r="K740" i="17"/>
  <c r="J740" i="17"/>
  <c r="I740" i="17"/>
  <c r="H740" i="17"/>
  <c r="E740" i="17"/>
  <c r="T735" i="17"/>
  <c r="E735" i="17" s="1"/>
  <c r="S735" i="17"/>
  <c r="R735" i="17"/>
  <c r="Q735" i="17"/>
  <c r="P735" i="17"/>
  <c r="O735" i="17"/>
  <c r="N735" i="17"/>
  <c r="M735" i="17"/>
  <c r="L735" i="17"/>
  <c r="K735" i="17"/>
  <c r="J735" i="17"/>
  <c r="I735" i="17"/>
  <c r="H735" i="17"/>
  <c r="G734" i="17"/>
  <c r="G818" i="17" s="1"/>
  <c r="T730" i="17"/>
  <c r="S730" i="17"/>
  <c r="R730" i="17"/>
  <c r="Q730" i="17"/>
  <c r="P730" i="17"/>
  <c r="O730" i="17"/>
  <c r="N730" i="17"/>
  <c r="M730" i="17"/>
  <c r="L730" i="17"/>
  <c r="K730" i="17"/>
  <c r="J730" i="17"/>
  <c r="I730" i="17"/>
  <c r="H730" i="17"/>
  <c r="E730" i="17"/>
  <c r="T725" i="17"/>
  <c r="E725" i="17" s="1"/>
  <c r="S725" i="17"/>
  <c r="R725" i="17"/>
  <c r="Q725" i="17"/>
  <c r="P725" i="17"/>
  <c r="O725" i="17"/>
  <c r="N725" i="17"/>
  <c r="M725" i="17"/>
  <c r="L725" i="17"/>
  <c r="K725" i="17"/>
  <c r="J725" i="17"/>
  <c r="I725" i="17"/>
  <c r="H725" i="17"/>
  <c r="G724" i="17"/>
  <c r="G816" i="17" s="1"/>
  <c r="T720" i="17"/>
  <c r="S720" i="17"/>
  <c r="R720" i="17"/>
  <c r="Q720" i="17"/>
  <c r="P720" i="17"/>
  <c r="O720" i="17"/>
  <c r="N720" i="17"/>
  <c r="M720" i="17"/>
  <c r="L720" i="17"/>
  <c r="K720" i="17"/>
  <c r="J720" i="17"/>
  <c r="I720" i="17"/>
  <c r="H720" i="17"/>
  <c r="E720" i="17"/>
  <c r="T715" i="17"/>
  <c r="S715" i="17"/>
  <c r="R715" i="17"/>
  <c r="Q715" i="17"/>
  <c r="P715" i="17"/>
  <c r="O715" i="17"/>
  <c r="N715" i="17"/>
  <c r="M715" i="17"/>
  <c r="L715" i="17"/>
  <c r="K715" i="17"/>
  <c r="J715" i="17"/>
  <c r="I715" i="17"/>
  <c r="H715" i="17"/>
  <c r="G715" i="17"/>
  <c r="E715" i="17"/>
  <c r="T710" i="17"/>
  <c r="S710" i="17"/>
  <c r="R710" i="17"/>
  <c r="Q710" i="17"/>
  <c r="P710" i="17"/>
  <c r="O710" i="17"/>
  <c r="N710" i="17"/>
  <c r="M710" i="17"/>
  <c r="L710" i="17"/>
  <c r="K710" i="17"/>
  <c r="J710" i="17"/>
  <c r="I710" i="17"/>
  <c r="H710" i="17"/>
  <c r="G710" i="17"/>
  <c r="E710" i="17"/>
  <c r="T705" i="17"/>
  <c r="E705" i="17" s="1"/>
  <c r="S705" i="17"/>
  <c r="R705" i="17"/>
  <c r="Q705" i="17"/>
  <c r="P705" i="17"/>
  <c r="O705" i="17"/>
  <c r="N705" i="17"/>
  <c r="M705" i="17"/>
  <c r="L705" i="17"/>
  <c r="K705" i="17"/>
  <c r="J705" i="17"/>
  <c r="I705" i="17"/>
  <c r="H705" i="17"/>
  <c r="T700" i="17"/>
  <c r="S700" i="17"/>
  <c r="R700" i="17"/>
  <c r="Q700" i="17"/>
  <c r="P700" i="17"/>
  <c r="O700" i="17"/>
  <c r="N700" i="17"/>
  <c r="M700" i="17"/>
  <c r="L700" i="17"/>
  <c r="K700" i="17"/>
  <c r="J700" i="17"/>
  <c r="I700" i="17"/>
  <c r="H700" i="17"/>
  <c r="E700" i="17"/>
  <c r="T695" i="17"/>
  <c r="S695" i="17"/>
  <c r="R695" i="17"/>
  <c r="Q695" i="17"/>
  <c r="P695" i="17"/>
  <c r="O695" i="17"/>
  <c r="N695" i="17"/>
  <c r="M695" i="17"/>
  <c r="L695" i="17"/>
  <c r="K695" i="17"/>
  <c r="J695" i="17"/>
  <c r="I695" i="17"/>
  <c r="H695" i="17"/>
  <c r="E695" i="17"/>
  <c r="T690" i="17"/>
  <c r="E690" i="17" s="1"/>
  <c r="S690" i="17"/>
  <c r="R690" i="17"/>
  <c r="Q690" i="17"/>
  <c r="P690" i="17"/>
  <c r="O690" i="17"/>
  <c r="N690" i="17"/>
  <c r="M690" i="17"/>
  <c r="L690" i="17"/>
  <c r="K690" i="17"/>
  <c r="J690" i="17"/>
  <c r="I690" i="17"/>
  <c r="H690" i="17"/>
  <c r="T685" i="17"/>
  <c r="S685" i="17"/>
  <c r="R685" i="17"/>
  <c r="Q685" i="17"/>
  <c r="P685" i="17"/>
  <c r="O685" i="17"/>
  <c r="N685" i="17"/>
  <c r="M685" i="17"/>
  <c r="L685" i="17"/>
  <c r="K685" i="17"/>
  <c r="J685" i="17"/>
  <c r="I685" i="17"/>
  <c r="H685" i="17"/>
  <c r="E685" i="17"/>
  <c r="T680" i="17"/>
  <c r="S680" i="17"/>
  <c r="R680" i="17"/>
  <c r="Q680" i="17"/>
  <c r="P680" i="17"/>
  <c r="O680" i="17"/>
  <c r="N680" i="17"/>
  <c r="M680" i="17"/>
  <c r="L680" i="17"/>
  <c r="K680" i="17"/>
  <c r="J680" i="17"/>
  <c r="I680" i="17"/>
  <c r="H680" i="17"/>
  <c r="E680" i="17"/>
  <c r="T675" i="17"/>
  <c r="S675" i="17"/>
  <c r="R675" i="17"/>
  <c r="Q675" i="17"/>
  <c r="P675" i="17"/>
  <c r="O675" i="17"/>
  <c r="N675" i="17"/>
  <c r="M675" i="17"/>
  <c r="L675" i="17"/>
  <c r="K675" i="17"/>
  <c r="J675" i="17"/>
  <c r="I675" i="17"/>
  <c r="H675" i="17"/>
  <c r="E675" i="17"/>
  <c r="T670" i="17"/>
  <c r="S670" i="17"/>
  <c r="R670" i="17"/>
  <c r="Q670" i="17"/>
  <c r="P670" i="17"/>
  <c r="O670" i="17"/>
  <c r="N670" i="17"/>
  <c r="M670" i="17"/>
  <c r="L670" i="17"/>
  <c r="K670" i="17"/>
  <c r="J670" i="17"/>
  <c r="I670" i="17"/>
  <c r="H670" i="17"/>
  <c r="G670" i="17"/>
  <c r="E670" i="17"/>
  <c r="T665" i="17"/>
  <c r="S665" i="17"/>
  <c r="R665" i="17"/>
  <c r="Q665" i="17"/>
  <c r="P665" i="17"/>
  <c r="O665" i="17"/>
  <c r="N665" i="17"/>
  <c r="M665" i="17"/>
  <c r="L665" i="17"/>
  <c r="K665" i="17"/>
  <c r="J665" i="17"/>
  <c r="I665" i="17"/>
  <c r="H665" i="17"/>
  <c r="G665" i="17"/>
  <c r="E665" i="17"/>
  <c r="T660" i="17"/>
  <c r="S660" i="17"/>
  <c r="R660" i="17"/>
  <c r="Q660" i="17"/>
  <c r="P660" i="17"/>
  <c r="O660" i="17"/>
  <c r="N660" i="17"/>
  <c r="M660" i="17"/>
  <c r="L660" i="17"/>
  <c r="K660" i="17"/>
  <c r="J660" i="17"/>
  <c r="I660" i="17"/>
  <c r="H660" i="17"/>
  <c r="G660" i="17"/>
  <c r="E660" i="17"/>
  <c r="T655" i="17"/>
  <c r="S655" i="17"/>
  <c r="R655" i="17"/>
  <c r="Q655" i="17"/>
  <c r="P655" i="17"/>
  <c r="O655" i="17"/>
  <c r="N655" i="17"/>
  <c r="M655" i="17"/>
  <c r="L655" i="17"/>
  <c r="K655" i="17"/>
  <c r="J655" i="17"/>
  <c r="I655" i="17"/>
  <c r="H655" i="17"/>
  <c r="G655" i="17"/>
  <c r="E655" i="17"/>
  <c r="T650" i="17"/>
  <c r="S650" i="17"/>
  <c r="R650" i="17"/>
  <c r="Q650" i="17"/>
  <c r="P650" i="17"/>
  <c r="O650" i="17"/>
  <c r="N650" i="17"/>
  <c r="M650" i="17"/>
  <c r="L650" i="17"/>
  <c r="K650" i="17"/>
  <c r="J650" i="17"/>
  <c r="I650" i="17"/>
  <c r="H650" i="17"/>
  <c r="G650" i="17"/>
  <c r="E650" i="17"/>
  <c r="G649" i="17"/>
  <c r="G801" i="17" s="1"/>
  <c r="T645" i="17"/>
  <c r="S645" i="17"/>
  <c r="R645" i="17"/>
  <c r="Q645" i="17"/>
  <c r="P645" i="17"/>
  <c r="O645" i="17"/>
  <c r="N645" i="17"/>
  <c r="M645" i="17"/>
  <c r="L645" i="17"/>
  <c r="K645" i="17"/>
  <c r="J645" i="17"/>
  <c r="I645" i="17"/>
  <c r="H645" i="17"/>
  <c r="G645" i="17"/>
  <c r="E645" i="17"/>
  <c r="T640" i="17"/>
  <c r="S640" i="17"/>
  <c r="R640" i="17"/>
  <c r="Q640" i="17"/>
  <c r="P640" i="17"/>
  <c r="O640" i="17"/>
  <c r="N640" i="17"/>
  <c r="M640" i="17"/>
  <c r="L640" i="17"/>
  <c r="K640" i="17"/>
  <c r="J640" i="17"/>
  <c r="I640" i="17"/>
  <c r="H640" i="17"/>
  <c r="G640" i="17"/>
  <c r="E640" i="17"/>
  <c r="G639" i="17"/>
  <c r="G799" i="17" s="1"/>
  <c r="T635" i="17"/>
  <c r="S635" i="17"/>
  <c r="R635" i="17"/>
  <c r="Q635" i="17"/>
  <c r="P635" i="17"/>
  <c r="O635" i="17"/>
  <c r="N635" i="17"/>
  <c r="M635" i="17"/>
  <c r="L635" i="17"/>
  <c r="K635" i="17"/>
  <c r="J635" i="17"/>
  <c r="I635" i="17"/>
  <c r="H635" i="17"/>
  <c r="G635" i="17"/>
  <c r="E635" i="17"/>
  <c r="T630" i="17"/>
  <c r="S630" i="17"/>
  <c r="R630" i="17"/>
  <c r="Q630" i="17"/>
  <c r="P630" i="17"/>
  <c r="O630" i="17"/>
  <c r="N630" i="17"/>
  <c r="M630" i="17"/>
  <c r="L630" i="17"/>
  <c r="K630" i="17"/>
  <c r="J630" i="17"/>
  <c r="I630" i="17"/>
  <c r="H630" i="17"/>
  <c r="G630" i="17"/>
  <c r="E630" i="17"/>
  <c r="T625" i="17"/>
  <c r="S625" i="17"/>
  <c r="R625" i="17"/>
  <c r="Q625" i="17"/>
  <c r="P625" i="17"/>
  <c r="O625" i="17"/>
  <c r="N625" i="17"/>
  <c r="M625" i="17"/>
  <c r="L625" i="17"/>
  <c r="K625" i="17"/>
  <c r="J625" i="17"/>
  <c r="I625" i="17"/>
  <c r="H625" i="17"/>
  <c r="G625" i="17"/>
  <c r="E625" i="17"/>
  <c r="T620" i="17"/>
  <c r="S620" i="17"/>
  <c r="R620" i="17"/>
  <c r="Q620" i="17"/>
  <c r="P620" i="17"/>
  <c r="O620" i="17"/>
  <c r="N620" i="17"/>
  <c r="M620" i="17"/>
  <c r="L620" i="17"/>
  <c r="K620" i="17"/>
  <c r="J620" i="17"/>
  <c r="I620" i="17"/>
  <c r="H620" i="17"/>
  <c r="G620" i="17"/>
  <c r="E620" i="17"/>
  <c r="T615" i="17"/>
  <c r="S615" i="17"/>
  <c r="R615" i="17"/>
  <c r="Q615" i="17"/>
  <c r="P615" i="17"/>
  <c r="O615" i="17"/>
  <c r="N615" i="17"/>
  <c r="M615" i="17"/>
  <c r="L615" i="17"/>
  <c r="K615" i="17"/>
  <c r="J615" i="17"/>
  <c r="I615" i="17"/>
  <c r="H615" i="17"/>
  <c r="G615" i="17"/>
  <c r="E615" i="17"/>
  <c r="T610" i="17"/>
  <c r="S610" i="17"/>
  <c r="R610" i="17"/>
  <c r="Q610" i="17"/>
  <c r="P610" i="17"/>
  <c r="O610" i="17"/>
  <c r="N610" i="17"/>
  <c r="M610" i="17"/>
  <c r="L610" i="17"/>
  <c r="K610" i="17"/>
  <c r="J610" i="17"/>
  <c r="I610" i="17"/>
  <c r="H610" i="17"/>
  <c r="G610" i="17"/>
  <c r="E610" i="17"/>
  <c r="T605" i="17"/>
  <c r="S605" i="17"/>
  <c r="R605" i="17"/>
  <c r="Q605" i="17"/>
  <c r="P605" i="17"/>
  <c r="O605" i="17"/>
  <c r="N605" i="17"/>
  <c r="M605" i="17"/>
  <c r="L605" i="17"/>
  <c r="K605" i="17"/>
  <c r="J605" i="17"/>
  <c r="I605" i="17"/>
  <c r="H605" i="17"/>
  <c r="G605" i="17"/>
  <c r="E605" i="17"/>
  <c r="T600" i="17"/>
  <c r="S600" i="17"/>
  <c r="R600" i="17"/>
  <c r="Q600" i="17"/>
  <c r="P600" i="17"/>
  <c r="O600" i="17"/>
  <c r="N600" i="17"/>
  <c r="M600" i="17"/>
  <c r="L600" i="17"/>
  <c r="K600" i="17"/>
  <c r="J600" i="17"/>
  <c r="I600" i="17"/>
  <c r="H600" i="17"/>
  <c r="G600" i="17"/>
  <c r="E600" i="17"/>
  <c r="T595" i="17"/>
  <c r="S595" i="17"/>
  <c r="R595" i="17"/>
  <c r="Q595" i="17"/>
  <c r="P595" i="17"/>
  <c r="O595" i="17"/>
  <c r="N595" i="17"/>
  <c r="M595" i="17"/>
  <c r="L595" i="17"/>
  <c r="K595" i="17"/>
  <c r="J595" i="17"/>
  <c r="I595" i="17"/>
  <c r="H595" i="17"/>
  <c r="E595" i="17"/>
  <c r="T590" i="17"/>
  <c r="E590" i="17" s="1"/>
  <c r="S590" i="17"/>
  <c r="R590" i="17"/>
  <c r="Q590" i="17"/>
  <c r="P590" i="17"/>
  <c r="O590" i="17"/>
  <c r="N590" i="17"/>
  <c r="M590" i="17"/>
  <c r="L590" i="17"/>
  <c r="K590" i="17"/>
  <c r="J590" i="17"/>
  <c r="I590" i="17"/>
  <c r="H590" i="17"/>
  <c r="T585" i="17"/>
  <c r="S585" i="17"/>
  <c r="R585" i="17"/>
  <c r="Q585" i="17"/>
  <c r="P585" i="17"/>
  <c r="O585" i="17"/>
  <c r="N585" i="17"/>
  <c r="M585" i="17"/>
  <c r="L585" i="17"/>
  <c r="K585" i="17"/>
  <c r="J585" i="17"/>
  <c r="I585" i="17"/>
  <c r="H585" i="17"/>
  <c r="E585" i="17"/>
  <c r="T580" i="17"/>
  <c r="E580" i="17" s="1"/>
  <c r="S580" i="17"/>
  <c r="R580" i="17"/>
  <c r="Q580" i="17"/>
  <c r="P580" i="17"/>
  <c r="O580" i="17"/>
  <c r="N580" i="17"/>
  <c r="M580" i="17"/>
  <c r="L580" i="17"/>
  <c r="K580" i="17"/>
  <c r="J580" i="17"/>
  <c r="I580" i="17"/>
  <c r="H580" i="17"/>
  <c r="G579" i="17"/>
  <c r="G787" i="17" s="1"/>
  <c r="T575" i="17"/>
  <c r="E575" i="17" s="1"/>
  <c r="S575" i="17"/>
  <c r="R575" i="17"/>
  <c r="Q575" i="17"/>
  <c r="P575" i="17"/>
  <c r="O575" i="17"/>
  <c r="N575" i="17"/>
  <c r="M575" i="17"/>
  <c r="L575" i="17"/>
  <c r="K575" i="17"/>
  <c r="J575" i="17"/>
  <c r="I575" i="17"/>
  <c r="H575" i="17"/>
  <c r="T570" i="17"/>
  <c r="E570" i="17" s="1"/>
  <c r="S570" i="17"/>
  <c r="R570" i="17"/>
  <c r="Q570" i="17"/>
  <c r="P570" i="17"/>
  <c r="O570" i="17"/>
  <c r="N570" i="17"/>
  <c r="M570" i="17"/>
  <c r="L570" i="17"/>
  <c r="K570" i="17"/>
  <c r="J570" i="17"/>
  <c r="I570" i="17"/>
  <c r="H570" i="17"/>
  <c r="T565" i="17"/>
  <c r="S565" i="17"/>
  <c r="R565" i="17"/>
  <c r="Q565" i="17"/>
  <c r="P565" i="17"/>
  <c r="O565" i="17"/>
  <c r="N565" i="17"/>
  <c r="M565" i="17"/>
  <c r="L565" i="17"/>
  <c r="K565" i="17"/>
  <c r="J565" i="17"/>
  <c r="I565" i="17"/>
  <c r="H565" i="17"/>
  <c r="G565" i="17"/>
  <c r="E565" i="17"/>
  <c r="T562" i="17"/>
  <c r="S562" i="17"/>
  <c r="R562" i="17"/>
  <c r="Q562" i="17"/>
  <c r="P562" i="17"/>
  <c r="O562" i="17"/>
  <c r="N562" i="17"/>
  <c r="J562" i="17"/>
  <c r="E562" i="17"/>
  <c r="T561" i="17"/>
  <c r="S561" i="17"/>
  <c r="R561" i="17"/>
  <c r="Q561" i="17"/>
  <c r="P561" i="17"/>
  <c r="O561" i="17"/>
  <c r="N561" i="17"/>
  <c r="M561" i="17"/>
  <c r="L561" i="17"/>
  <c r="L562" i="17" s="1"/>
  <c r="K561" i="17"/>
  <c r="K562" i="17" s="1"/>
  <c r="J561" i="17"/>
  <c r="I561" i="17"/>
  <c r="I562" i="17" s="1"/>
  <c r="H561" i="17"/>
  <c r="H562" i="17" s="1"/>
  <c r="E561" i="17"/>
  <c r="T560" i="17"/>
  <c r="S560" i="17"/>
  <c r="R560" i="17"/>
  <c r="Q560" i="17"/>
  <c r="P560" i="17"/>
  <c r="O560" i="17"/>
  <c r="N560" i="17"/>
  <c r="M560" i="17"/>
  <c r="L560" i="17"/>
  <c r="K560" i="17"/>
  <c r="J560" i="17"/>
  <c r="I560" i="17"/>
  <c r="H560" i="17"/>
  <c r="E560" i="17"/>
  <c r="T555" i="17"/>
  <c r="S555" i="17"/>
  <c r="R555" i="17"/>
  <c r="Q555" i="17"/>
  <c r="P555" i="17"/>
  <c r="O555" i="17"/>
  <c r="N555" i="17"/>
  <c r="M555" i="17"/>
  <c r="L555" i="17"/>
  <c r="K555" i="17"/>
  <c r="J555" i="17"/>
  <c r="I555" i="17"/>
  <c r="H555" i="17"/>
  <c r="E555" i="17"/>
  <c r="G554" i="17"/>
  <c r="G782" i="17" s="1"/>
  <c r="T550" i="17"/>
  <c r="S550" i="17"/>
  <c r="R550" i="17"/>
  <c r="Q550" i="17"/>
  <c r="P550" i="17"/>
  <c r="O550" i="17"/>
  <c r="N550" i="17"/>
  <c r="M550" i="17"/>
  <c r="L550" i="17"/>
  <c r="K550" i="17"/>
  <c r="J550" i="17"/>
  <c r="I550" i="17"/>
  <c r="H550" i="17"/>
  <c r="E550" i="17"/>
  <c r="T545" i="17"/>
  <c r="E545" i="17" s="1"/>
  <c r="S545" i="17"/>
  <c r="R545" i="17"/>
  <c r="Q545" i="17"/>
  <c r="P545" i="17"/>
  <c r="O545" i="17"/>
  <c r="N545" i="17"/>
  <c r="M545" i="17"/>
  <c r="L545" i="17"/>
  <c r="K545" i="17"/>
  <c r="J545" i="17"/>
  <c r="I545" i="17"/>
  <c r="H545" i="17"/>
  <c r="T540" i="17"/>
  <c r="E540" i="17" s="1"/>
  <c r="S540" i="17"/>
  <c r="R540" i="17"/>
  <c r="Q540" i="17"/>
  <c r="P540" i="17"/>
  <c r="O540" i="17"/>
  <c r="N540" i="17"/>
  <c r="M540" i="17"/>
  <c r="L540" i="17"/>
  <c r="K540" i="17"/>
  <c r="J540" i="17"/>
  <c r="I540" i="17"/>
  <c r="H540" i="17"/>
  <c r="G539" i="17"/>
  <c r="G779" i="17" s="1"/>
  <c r="T535" i="17"/>
  <c r="E535" i="17" s="1"/>
  <c r="S535" i="17"/>
  <c r="R535" i="17"/>
  <c r="Q535" i="17"/>
  <c r="P535" i="17"/>
  <c r="O535" i="17"/>
  <c r="N535" i="17"/>
  <c r="M535" i="17"/>
  <c r="L535" i="17"/>
  <c r="K535" i="17"/>
  <c r="J535" i="17"/>
  <c r="I535" i="17"/>
  <c r="H535" i="17"/>
  <c r="G534" i="17"/>
  <c r="G778" i="17" s="1"/>
  <c r="T530" i="17"/>
  <c r="S530" i="17"/>
  <c r="R530" i="17"/>
  <c r="Q530" i="17"/>
  <c r="P530" i="17"/>
  <c r="O530" i="17"/>
  <c r="N530" i="17"/>
  <c r="M530" i="17"/>
  <c r="L530" i="17"/>
  <c r="K530" i="17"/>
  <c r="J530" i="17"/>
  <c r="I530" i="17"/>
  <c r="H530" i="17"/>
  <c r="E530" i="17"/>
  <c r="G529" i="17"/>
  <c r="G777" i="17" s="1"/>
  <c r="T525" i="17"/>
  <c r="E525" i="17" s="1"/>
  <c r="S525" i="17"/>
  <c r="R525" i="17"/>
  <c r="Q525" i="17"/>
  <c r="P525" i="17"/>
  <c r="O525" i="17"/>
  <c r="N525" i="17"/>
  <c r="M525" i="17"/>
  <c r="L525" i="17"/>
  <c r="K525" i="17"/>
  <c r="J525" i="17"/>
  <c r="I525" i="17"/>
  <c r="H525" i="17"/>
  <c r="G524" i="17"/>
  <c r="G776" i="17" s="1"/>
  <c r="T520" i="17"/>
  <c r="S520" i="17"/>
  <c r="R520" i="17"/>
  <c r="Q520" i="17"/>
  <c r="P520" i="17"/>
  <c r="O520" i="17"/>
  <c r="N520" i="17"/>
  <c r="M520" i="17"/>
  <c r="L520" i="17"/>
  <c r="K520" i="17"/>
  <c r="J520" i="17"/>
  <c r="I520" i="17"/>
  <c r="H520" i="17"/>
  <c r="E520" i="17"/>
  <c r="T515" i="17"/>
  <c r="S515" i="17"/>
  <c r="R515" i="17"/>
  <c r="Q515" i="17"/>
  <c r="P515" i="17"/>
  <c r="O515" i="17"/>
  <c r="N515" i="17"/>
  <c r="M515" i="17"/>
  <c r="L515" i="17"/>
  <c r="K515" i="17"/>
  <c r="J515" i="17"/>
  <c r="I515" i="17"/>
  <c r="H515" i="17"/>
  <c r="E515" i="17"/>
  <c r="T510" i="17"/>
  <c r="S510" i="17"/>
  <c r="R510" i="17"/>
  <c r="Q510" i="17"/>
  <c r="P510" i="17"/>
  <c r="O510" i="17"/>
  <c r="N510" i="17"/>
  <c r="M510" i="17"/>
  <c r="L510" i="17"/>
  <c r="K510" i="17"/>
  <c r="J510" i="17"/>
  <c r="I510" i="17"/>
  <c r="H510" i="17"/>
  <c r="E510" i="17"/>
  <c r="T505" i="17"/>
  <c r="S505" i="17"/>
  <c r="R505" i="17"/>
  <c r="Q505" i="17"/>
  <c r="P505" i="17"/>
  <c r="O505" i="17"/>
  <c r="N505" i="17"/>
  <c r="M505" i="17"/>
  <c r="L505" i="17"/>
  <c r="K505" i="17"/>
  <c r="J505" i="17"/>
  <c r="I505" i="17"/>
  <c r="H505" i="17"/>
  <c r="E505" i="17"/>
  <c r="T500" i="17"/>
  <c r="S500" i="17"/>
  <c r="R500" i="17"/>
  <c r="Q500" i="17"/>
  <c r="P500" i="17"/>
  <c r="O500" i="17"/>
  <c r="N500" i="17"/>
  <c r="M500" i="17"/>
  <c r="L500" i="17"/>
  <c r="K500" i="17"/>
  <c r="J500" i="17"/>
  <c r="I500" i="17"/>
  <c r="H500" i="17"/>
  <c r="E500" i="17"/>
  <c r="T495" i="17"/>
  <c r="S495" i="17"/>
  <c r="R495" i="17"/>
  <c r="Q495" i="17"/>
  <c r="P495" i="17"/>
  <c r="O495" i="17"/>
  <c r="N495" i="17"/>
  <c r="M495" i="17"/>
  <c r="L495" i="17"/>
  <c r="K495" i="17"/>
  <c r="J495" i="17"/>
  <c r="I495" i="17"/>
  <c r="H495" i="17"/>
  <c r="E495" i="17"/>
  <c r="T490" i="17"/>
  <c r="S490" i="17"/>
  <c r="R490" i="17"/>
  <c r="Q490" i="17"/>
  <c r="P490" i="17"/>
  <c r="O490" i="17"/>
  <c r="N490" i="17"/>
  <c r="M490" i="17"/>
  <c r="L490" i="17"/>
  <c r="K490" i="17"/>
  <c r="J490" i="17"/>
  <c r="I490" i="17"/>
  <c r="H490" i="17"/>
  <c r="E490" i="17"/>
  <c r="T485" i="17"/>
  <c r="S485" i="17"/>
  <c r="R485" i="17"/>
  <c r="Q485" i="17"/>
  <c r="P485" i="17"/>
  <c r="O485" i="17"/>
  <c r="N485" i="17"/>
  <c r="M485" i="17"/>
  <c r="L485" i="17"/>
  <c r="K485" i="17"/>
  <c r="J485" i="17"/>
  <c r="I485" i="17"/>
  <c r="H485" i="17"/>
  <c r="E485" i="17"/>
  <c r="G467" i="17"/>
  <c r="D416" i="17"/>
  <c r="D415" i="17"/>
  <c r="T411" i="17"/>
  <c r="S411" i="17"/>
  <c r="R411" i="17"/>
  <c r="Q411" i="17"/>
  <c r="P411" i="17"/>
  <c r="O411" i="17"/>
  <c r="N411" i="17"/>
  <c r="M411" i="17"/>
  <c r="L411" i="17"/>
  <c r="K411" i="17"/>
  <c r="J411" i="17"/>
  <c r="I411" i="17"/>
  <c r="H411" i="17"/>
  <c r="E411" i="17"/>
  <c r="T406" i="17"/>
  <c r="S406" i="17"/>
  <c r="R406" i="17"/>
  <c r="Q406" i="17"/>
  <c r="P406" i="17"/>
  <c r="O406" i="17"/>
  <c r="N406" i="17"/>
  <c r="M406" i="17"/>
  <c r="L406" i="17"/>
  <c r="K406" i="17"/>
  <c r="J406" i="17"/>
  <c r="I406" i="17"/>
  <c r="H406" i="17"/>
  <c r="E406" i="17"/>
  <c r="T401" i="17"/>
  <c r="E401" i="17" s="1"/>
  <c r="S401" i="17"/>
  <c r="R401" i="17"/>
  <c r="Q401" i="17"/>
  <c r="P401" i="17"/>
  <c r="O401" i="17"/>
  <c r="N401" i="17"/>
  <c r="M401" i="17"/>
  <c r="L401" i="17"/>
  <c r="K401" i="17"/>
  <c r="J401" i="17"/>
  <c r="I401" i="17"/>
  <c r="H401" i="17"/>
  <c r="T396" i="17"/>
  <c r="S396" i="17"/>
  <c r="R396" i="17"/>
  <c r="Q396" i="17"/>
  <c r="P396" i="17"/>
  <c r="O396" i="17"/>
  <c r="N396" i="17"/>
  <c r="M396" i="17"/>
  <c r="L396" i="17"/>
  <c r="K396" i="17"/>
  <c r="J396" i="17"/>
  <c r="I396" i="17"/>
  <c r="H396" i="17"/>
  <c r="E396" i="17"/>
  <c r="T391" i="17"/>
  <c r="S391" i="17"/>
  <c r="R391" i="17"/>
  <c r="Q391" i="17"/>
  <c r="P391" i="17"/>
  <c r="O391" i="17"/>
  <c r="N391" i="17"/>
  <c r="M391" i="17"/>
  <c r="L391" i="17"/>
  <c r="K391" i="17"/>
  <c r="J391" i="17"/>
  <c r="I391" i="17"/>
  <c r="H391" i="17"/>
  <c r="E391" i="17"/>
  <c r="T386" i="17"/>
  <c r="S386" i="17"/>
  <c r="R386" i="17"/>
  <c r="Q386" i="17"/>
  <c r="P386" i="17"/>
  <c r="O386" i="17"/>
  <c r="N386" i="17"/>
  <c r="M386" i="17"/>
  <c r="L386" i="17"/>
  <c r="K386" i="17"/>
  <c r="J386" i="17"/>
  <c r="I386" i="17"/>
  <c r="H386" i="17"/>
  <c r="E386" i="17"/>
  <c r="T381" i="17"/>
  <c r="S381" i="17"/>
  <c r="R381" i="17"/>
  <c r="Q381" i="17"/>
  <c r="P381" i="17"/>
  <c r="O381" i="17"/>
  <c r="N381" i="17"/>
  <c r="M381" i="17"/>
  <c r="L381" i="17"/>
  <c r="K381" i="17"/>
  <c r="J381" i="17"/>
  <c r="I381" i="17"/>
  <c r="H381" i="17"/>
  <c r="E381" i="17"/>
  <c r="T376" i="17"/>
  <c r="S376" i="17"/>
  <c r="R376" i="17"/>
  <c r="Q376" i="17"/>
  <c r="P376" i="17"/>
  <c r="O376" i="17"/>
  <c r="N376" i="17"/>
  <c r="M376" i="17"/>
  <c r="L376" i="17"/>
  <c r="K376" i="17"/>
  <c r="J376" i="17"/>
  <c r="I376" i="17"/>
  <c r="H376" i="17"/>
  <c r="E376" i="17"/>
  <c r="G375" i="17"/>
  <c r="T371" i="17"/>
  <c r="E371" i="17" s="1"/>
  <c r="S371" i="17"/>
  <c r="R371" i="17"/>
  <c r="Q371" i="17"/>
  <c r="P371" i="17"/>
  <c r="O371" i="17"/>
  <c r="N371" i="17"/>
  <c r="M371" i="17"/>
  <c r="L371" i="17"/>
  <c r="K371" i="17"/>
  <c r="J371" i="17"/>
  <c r="I371" i="17"/>
  <c r="H371" i="17"/>
  <c r="G370" i="17"/>
  <c r="G466" i="17" s="1"/>
  <c r="T366" i="17"/>
  <c r="S366" i="17"/>
  <c r="R366" i="17"/>
  <c r="Q366" i="17"/>
  <c r="P366" i="17"/>
  <c r="O366" i="17"/>
  <c r="N366" i="17"/>
  <c r="M366" i="17"/>
  <c r="L366" i="17"/>
  <c r="K366" i="17"/>
  <c r="J366" i="17"/>
  <c r="I366" i="17"/>
  <c r="H366" i="17"/>
  <c r="G366" i="17"/>
  <c r="E366" i="17"/>
  <c r="T361" i="17"/>
  <c r="S361" i="17"/>
  <c r="R361" i="17"/>
  <c r="Q361" i="17"/>
  <c r="P361" i="17"/>
  <c r="O361" i="17"/>
  <c r="N361" i="17"/>
  <c r="M361" i="17"/>
  <c r="L361" i="17"/>
  <c r="K361" i="17"/>
  <c r="J361" i="17"/>
  <c r="I361" i="17"/>
  <c r="H361" i="17"/>
  <c r="G361" i="17"/>
  <c r="E361" i="17"/>
  <c r="T356" i="17"/>
  <c r="E356" i="17" s="1"/>
  <c r="S356" i="17"/>
  <c r="R356" i="17"/>
  <c r="Q356" i="17"/>
  <c r="P356" i="17"/>
  <c r="O356" i="17"/>
  <c r="N356" i="17"/>
  <c r="M356" i="17"/>
  <c r="L356" i="17"/>
  <c r="K356" i="17"/>
  <c r="J356" i="17"/>
  <c r="I356" i="17"/>
  <c r="H356" i="17"/>
  <c r="T351" i="17"/>
  <c r="S351" i="17"/>
  <c r="R351" i="17"/>
  <c r="Q351" i="17"/>
  <c r="P351" i="17"/>
  <c r="O351" i="17"/>
  <c r="N351" i="17"/>
  <c r="M351" i="17"/>
  <c r="L351" i="17"/>
  <c r="K351" i="17"/>
  <c r="J351" i="17"/>
  <c r="I351" i="17"/>
  <c r="H351" i="17"/>
  <c r="E351" i="17"/>
  <c r="T346" i="17"/>
  <c r="E346" i="17" s="1"/>
  <c r="S346" i="17"/>
  <c r="R346" i="17"/>
  <c r="Q346" i="17"/>
  <c r="P346" i="17"/>
  <c r="O346" i="17"/>
  <c r="N346" i="17"/>
  <c r="M346" i="17"/>
  <c r="L346" i="17"/>
  <c r="K346" i="17"/>
  <c r="J346" i="17"/>
  <c r="I346" i="17"/>
  <c r="H346" i="17"/>
  <c r="T341" i="17"/>
  <c r="S341" i="17"/>
  <c r="R341" i="17"/>
  <c r="Q341" i="17"/>
  <c r="P341" i="17"/>
  <c r="O341" i="17"/>
  <c r="N341" i="17"/>
  <c r="M341" i="17"/>
  <c r="L341" i="17"/>
  <c r="K341" i="17"/>
  <c r="J341" i="17"/>
  <c r="I341" i="17"/>
  <c r="H341" i="17"/>
  <c r="E341" i="17"/>
  <c r="T336" i="17"/>
  <c r="E336" i="17" s="1"/>
  <c r="S336" i="17"/>
  <c r="R336" i="17"/>
  <c r="Q336" i="17"/>
  <c r="P336" i="17"/>
  <c r="O336" i="17"/>
  <c r="N336" i="17"/>
  <c r="M336" i="17"/>
  <c r="L336" i="17"/>
  <c r="K336" i="17"/>
  <c r="J336" i="17"/>
  <c r="I336" i="17"/>
  <c r="H336" i="17"/>
  <c r="T331" i="17"/>
  <c r="E331" i="17" s="1"/>
  <c r="S331" i="17"/>
  <c r="R331" i="17"/>
  <c r="Q331" i="17"/>
  <c r="P331" i="17"/>
  <c r="O331" i="17"/>
  <c r="N331" i="17"/>
  <c r="M331" i="17"/>
  <c r="L331" i="17"/>
  <c r="K331" i="17"/>
  <c r="J331" i="17"/>
  <c r="I331" i="17"/>
  <c r="H331" i="17"/>
  <c r="T326" i="17"/>
  <c r="E326" i="17" s="1"/>
  <c r="S326" i="17"/>
  <c r="R326" i="17"/>
  <c r="Q326" i="17"/>
  <c r="P326" i="17"/>
  <c r="O326" i="17"/>
  <c r="N326" i="17"/>
  <c r="M326" i="17"/>
  <c r="L326" i="17"/>
  <c r="K326" i="17"/>
  <c r="J326" i="17"/>
  <c r="I326" i="17"/>
  <c r="H326" i="17"/>
  <c r="T321" i="17"/>
  <c r="S321" i="17"/>
  <c r="R321" i="17"/>
  <c r="Q321" i="17"/>
  <c r="P321" i="17"/>
  <c r="O321" i="17"/>
  <c r="N321" i="17"/>
  <c r="M321" i="17"/>
  <c r="L321" i="17"/>
  <c r="K321" i="17"/>
  <c r="J321" i="17"/>
  <c r="I321" i="17"/>
  <c r="H321" i="17"/>
  <c r="G321" i="17"/>
  <c r="E321" i="17"/>
  <c r="T316" i="17"/>
  <c r="S316" i="17"/>
  <c r="R316" i="17"/>
  <c r="Q316" i="17"/>
  <c r="P316" i="17"/>
  <c r="O316" i="17"/>
  <c r="N316" i="17"/>
  <c r="M316" i="17"/>
  <c r="L316" i="17"/>
  <c r="K316" i="17"/>
  <c r="J316" i="17"/>
  <c r="I316" i="17"/>
  <c r="H316" i="17"/>
  <c r="G316" i="17"/>
  <c r="E316" i="17"/>
  <c r="T311" i="17"/>
  <c r="S311" i="17"/>
  <c r="R311" i="17"/>
  <c r="Q311" i="17"/>
  <c r="P311" i="17"/>
  <c r="O311" i="17"/>
  <c r="N311" i="17"/>
  <c r="M311" i="17"/>
  <c r="L311" i="17"/>
  <c r="K311" i="17"/>
  <c r="J311" i="17"/>
  <c r="I311" i="17"/>
  <c r="H311" i="17"/>
  <c r="G311" i="17"/>
  <c r="E311" i="17"/>
  <c r="T306" i="17"/>
  <c r="S306" i="17"/>
  <c r="R306" i="17"/>
  <c r="Q306" i="17"/>
  <c r="P306" i="17"/>
  <c r="O306" i="17"/>
  <c r="N306" i="17"/>
  <c r="M306" i="17"/>
  <c r="L306" i="17"/>
  <c r="K306" i="17"/>
  <c r="J306" i="17"/>
  <c r="I306" i="17"/>
  <c r="H306" i="17"/>
  <c r="G306" i="17"/>
  <c r="E306" i="17"/>
  <c r="G305" i="17"/>
  <c r="G453" i="17" s="1"/>
  <c r="T301" i="17"/>
  <c r="S301" i="17"/>
  <c r="R301" i="17"/>
  <c r="Q301" i="17"/>
  <c r="P301" i="17"/>
  <c r="O301" i="17"/>
  <c r="N301" i="17"/>
  <c r="M301" i="17"/>
  <c r="L301" i="17"/>
  <c r="K301" i="17"/>
  <c r="J301" i="17"/>
  <c r="I301" i="17"/>
  <c r="H301" i="17"/>
  <c r="G301" i="17"/>
  <c r="E301" i="17"/>
  <c r="G300" i="17"/>
  <c r="G452" i="17" s="1"/>
  <c r="R297" i="17"/>
  <c r="R298" i="17" s="1"/>
  <c r="N297" i="17"/>
  <c r="N298" i="17" s="1"/>
  <c r="M297" i="17"/>
  <c r="M298" i="17" s="1"/>
  <c r="L297" i="17"/>
  <c r="L298" i="17" s="1"/>
  <c r="G297" i="17"/>
  <c r="G298" i="17" s="1"/>
  <c r="T296" i="17"/>
  <c r="S296" i="17"/>
  <c r="R296" i="17"/>
  <c r="Q296" i="17"/>
  <c r="P296" i="17"/>
  <c r="O296" i="17"/>
  <c r="N296" i="17"/>
  <c r="M296" i="17"/>
  <c r="L296" i="17"/>
  <c r="K296" i="17"/>
  <c r="J296" i="17"/>
  <c r="I296" i="17"/>
  <c r="H296" i="17"/>
  <c r="G296" i="17"/>
  <c r="E296" i="17"/>
  <c r="T291" i="17"/>
  <c r="S291" i="17"/>
  <c r="R291" i="17"/>
  <c r="Q291" i="17"/>
  <c r="P291" i="17"/>
  <c r="O291" i="17"/>
  <c r="N291" i="17"/>
  <c r="M291" i="17"/>
  <c r="L291" i="17"/>
  <c r="K291" i="17"/>
  <c r="J291" i="17"/>
  <c r="I291" i="17"/>
  <c r="H291" i="17"/>
  <c r="G291" i="17"/>
  <c r="E291" i="17"/>
  <c r="G290" i="17"/>
  <c r="G450" i="17" s="1"/>
  <c r="T286" i="17"/>
  <c r="S286" i="17"/>
  <c r="R286" i="17"/>
  <c r="Q286" i="17"/>
  <c r="P286" i="17"/>
  <c r="O286" i="17"/>
  <c r="N286" i="17"/>
  <c r="M286" i="17"/>
  <c r="L286" i="17"/>
  <c r="K286" i="17"/>
  <c r="J286" i="17"/>
  <c r="I286" i="17"/>
  <c r="H286" i="17"/>
  <c r="G286" i="17"/>
  <c r="E286" i="17"/>
  <c r="T281" i="17"/>
  <c r="S281" i="17"/>
  <c r="R281" i="17"/>
  <c r="Q281" i="17"/>
  <c r="P281" i="17"/>
  <c r="O281" i="17"/>
  <c r="N281" i="17"/>
  <c r="M281" i="17"/>
  <c r="L281" i="17"/>
  <c r="K281" i="17"/>
  <c r="J281" i="17"/>
  <c r="I281" i="17"/>
  <c r="H281" i="17"/>
  <c r="G281" i="17"/>
  <c r="E281" i="17"/>
  <c r="T276" i="17"/>
  <c r="S276" i="17"/>
  <c r="R276" i="17"/>
  <c r="Q276" i="17"/>
  <c r="P276" i="17"/>
  <c r="O276" i="17"/>
  <c r="N276" i="17"/>
  <c r="M276" i="17"/>
  <c r="L276" i="17"/>
  <c r="K276" i="17"/>
  <c r="J276" i="17"/>
  <c r="I276" i="17"/>
  <c r="H276" i="17"/>
  <c r="G276" i="17"/>
  <c r="E276" i="17"/>
  <c r="T271" i="17"/>
  <c r="S271" i="17"/>
  <c r="R271" i="17"/>
  <c r="Q271" i="17"/>
  <c r="P271" i="17"/>
  <c r="O271" i="17"/>
  <c r="N271" i="17"/>
  <c r="M271" i="17"/>
  <c r="L271" i="17"/>
  <c r="K271" i="17"/>
  <c r="J271" i="17"/>
  <c r="I271" i="17"/>
  <c r="H271" i="17"/>
  <c r="G271" i="17"/>
  <c r="E271" i="17"/>
  <c r="T266" i="17"/>
  <c r="S266" i="17"/>
  <c r="R266" i="17"/>
  <c r="Q266" i="17"/>
  <c r="P266" i="17"/>
  <c r="O266" i="17"/>
  <c r="N266" i="17"/>
  <c r="M266" i="17"/>
  <c r="L266" i="17"/>
  <c r="K266" i="17"/>
  <c r="J266" i="17"/>
  <c r="I266" i="17"/>
  <c r="H266" i="17"/>
  <c r="G266" i="17"/>
  <c r="E266" i="17"/>
  <c r="T261" i="17"/>
  <c r="S261" i="17"/>
  <c r="R261" i="17"/>
  <c r="Q261" i="17"/>
  <c r="P261" i="17"/>
  <c r="O261" i="17"/>
  <c r="N261" i="17"/>
  <c r="M261" i="17"/>
  <c r="L261" i="17"/>
  <c r="K261" i="17"/>
  <c r="J261" i="17"/>
  <c r="I261" i="17"/>
  <c r="H261" i="17"/>
  <c r="G261" i="17"/>
  <c r="E261" i="17"/>
  <c r="T256" i="17"/>
  <c r="S256" i="17"/>
  <c r="R256" i="17"/>
  <c r="Q256" i="17"/>
  <c r="P256" i="17"/>
  <c r="O256" i="17"/>
  <c r="N256" i="17"/>
  <c r="M256" i="17"/>
  <c r="L256" i="17"/>
  <c r="K256" i="17"/>
  <c r="J256" i="17"/>
  <c r="I256" i="17"/>
  <c r="H256" i="17"/>
  <c r="G256" i="17"/>
  <c r="E256" i="17"/>
  <c r="T251" i="17"/>
  <c r="S251" i="17"/>
  <c r="R251" i="17"/>
  <c r="Q251" i="17"/>
  <c r="P251" i="17"/>
  <c r="O251" i="17"/>
  <c r="N251" i="17"/>
  <c r="M251" i="17"/>
  <c r="L251" i="17"/>
  <c r="K251" i="17"/>
  <c r="J251" i="17"/>
  <c r="I251" i="17"/>
  <c r="H251" i="17"/>
  <c r="G251" i="17"/>
  <c r="E251" i="17"/>
  <c r="T246" i="17"/>
  <c r="S246" i="17"/>
  <c r="R246" i="17"/>
  <c r="Q246" i="17"/>
  <c r="P246" i="17"/>
  <c r="O246" i="17"/>
  <c r="N246" i="17"/>
  <c r="M246" i="17"/>
  <c r="L246" i="17"/>
  <c r="K246" i="17"/>
  <c r="J246" i="17"/>
  <c r="I246" i="17"/>
  <c r="H246" i="17"/>
  <c r="E246" i="17"/>
  <c r="T241" i="17"/>
  <c r="S241" i="17"/>
  <c r="R241" i="17"/>
  <c r="Q241" i="17"/>
  <c r="P241" i="17"/>
  <c r="O241" i="17"/>
  <c r="N241" i="17"/>
  <c r="M241" i="17"/>
  <c r="L241" i="17"/>
  <c r="K241" i="17"/>
  <c r="J241" i="17"/>
  <c r="I241" i="17"/>
  <c r="H241" i="17"/>
  <c r="E241" i="17"/>
  <c r="G240" i="17"/>
  <c r="G440" i="17" s="1"/>
  <c r="T236" i="17"/>
  <c r="S236" i="17"/>
  <c r="R236" i="17"/>
  <c r="Q236" i="17"/>
  <c r="P236" i="17"/>
  <c r="O236" i="17"/>
  <c r="N236" i="17"/>
  <c r="M236" i="17"/>
  <c r="L236" i="17"/>
  <c r="K236" i="17"/>
  <c r="J236" i="17"/>
  <c r="I236" i="17"/>
  <c r="H236" i="17"/>
  <c r="E236" i="17"/>
  <c r="T231" i="17"/>
  <c r="S231" i="17"/>
  <c r="R231" i="17"/>
  <c r="Q231" i="17"/>
  <c r="P231" i="17"/>
  <c r="O231" i="17"/>
  <c r="N231" i="17"/>
  <c r="M231" i="17"/>
  <c r="L231" i="17"/>
  <c r="K231" i="17"/>
  <c r="J231" i="17"/>
  <c r="I231" i="17"/>
  <c r="H231" i="17"/>
  <c r="E231" i="17"/>
  <c r="T226" i="17"/>
  <c r="S226" i="17"/>
  <c r="R226" i="17"/>
  <c r="Q226" i="17"/>
  <c r="P226" i="17"/>
  <c r="O226" i="17"/>
  <c r="N226" i="17"/>
  <c r="M226" i="17"/>
  <c r="L226" i="17"/>
  <c r="K226" i="17"/>
  <c r="J226" i="17"/>
  <c r="I226" i="17"/>
  <c r="H226" i="17"/>
  <c r="E226" i="17"/>
  <c r="T221" i="17"/>
  <c r="E221" i="17" s="1"/>
  <c r="S221" i="17"/>
  <c r="R221" i="17"/>
  <c r="Q221" i="17"/>
  <c r="P221" i="17"/>
  <c r="O221" i="17"/>
  <c r="N221" i="17"/>
  <c r="M221" i="17"/>
  <c r="L221" i="17"/>
  <c r="K221" i="17"/>
  <c r="J221" i="17"/>
  <c r="I221" i="17"/>
  <c r="H221" i="17"/>
  <c r="T216" i="17"/>
  <c r="S216" i="17"/>
  <c r="R216" i="17"/>
  <c r="Q216" i="17"/>
  <c r="P216" i="17"/>
  <c r="O216" i="17"/>
  <c r="N216" i="17"/>
  <c r="M216" i="17"/>
  <c r="L216" i="17"/>
  <c r="K216" i="17"/>
  <c r="J216" i="17"/>
  <c r="I216" i="17"/>
  <c r="H216" i="17"/>
  <c r="G216" i="17"/>
  <c r="E216" i="17"/>
  <c r="T213" i="17"/>
  <c r="E213" i="17" s="1"/>
  <c r="S213" i="17"/>
  <c r="O213" i="17"/>
  <c r="K213" i="17"/>
  <c r="T212" i="17"/>
  <c r="E212" i="17" s="1"/>
  <c r="S212" i="17"/>
  <c r="R212" i="17"/>
  <c r="Q212" i="17"/>
  <c r="P212" i="17"/>
  <c r="P213" i="17" s="1"/>
  <c r="O212" i="17"/>
  <c r="N212" i="17"/>
  <c r="M212" i="17"/>
  <c r="L212" i="17"/>
  <c r="K212" i="17"/>
  <c r="J212" i="17"/>
  <c r="J213" i="17" s="1"/>
  <c r="I212" i="17"/>
  <c r="I213" i="17" s="1"/>
  <c r="H212" i="17"/>
  <c r="T211" i="17"/>
  <c r="E211" i="17" s="1"/>
  <c r="S211" i="17"/>
  <c r="R211" i="17"/>
  <c r="Q211" i="17"/>
  <c r="P211" i="17"/>
  <c r="O211" i="17"/>
  <c r="N211" i="17"/>
  <c r="M211" i="17"/>
  <c r="L211" i="17"/>
  <c r="K211" i="17"/>
  <c r="J211" i="17"/>
  <c r="I211" i="17"/>
  <c r="H211" i="17"/>
  <c r="T206" i="17"/>
  <c r="S206" i="17"/>
  <c r="R206" i="17"/>
  <c r="Q206" i="17"/>
  <c r="P206" i="17"/>
  <c r="O206" i="17"/>
  <c r="N206" i="17"/>
  <c r="M206" i="17"/>
  <c r="L206" i="17"/>
  <c r="K206" i="17"/>
  <c r="J206" i="17"/>
  <c r="I206" i="17"/>
  <c r="H206" i="17"/>
  <c r="E206" i="17"/>
  <c r="G205" i="17"/>
  <c r="G433" i="17" s="1"/>
  <c r="T201" i="17"/>
  <c r="S201" i="17"/>
  <c r="R201" i="17"/>
  <c r="Q201" i="17"/>
  <c r="P201" i="17"/>
  <c r="O201" i="17"/>
  <c r="N201" i="17"/>
  <c r="M201" i="17"/>
  <c r="L201" i="17"/>
  <c r="K201" i="17"/>
  <c r="J201" i="17"/>
  <c r="I201" i="17"/>
  <c r="H201" i="17"/>
  <c r="E201" i="17"/>
  <c r="T196" i="17"/>
  <c r="S196" i="17"/>
  <c r="R196" i="17"/>
  <c r="Q196" i="17"/>
  <c r="P196" i="17"/>
  <c r="O196" i="17"/>
  <c r="N196" i="17"/>
  <c r="M196" i="17"/>
  <c r="L196" i="17"/>
  <c r="K196" i="17"/>
  <c r="J196" i="17"/>
  <c r="I196" i="17"/>
  <c r="H196" i="17"/>
  <c r="E196" i="17"/>
  <c r="T191" i="17"/>
  <c r="S191" i="17"/>
  <c r="R191" i="17"/>
  <c r="Q191" i="17"/>
  <c r="P191" i="17"/>
  <c r="O191" i="17"/>
  <c r="N191" i="17"/>
  <c r="M191" i="17"/>
  <c r="L191" i="17"/>
  <c r="K191" i="17"/>
  <c r="J191" i="17"/>
  <c r="I191" i="17"/>
  <c r="H191" i="17"/>
  <c r="E191" i="17"/>
  <c r="G190" i="17"/>
  <c r="G430" i="17" s="1"/>
  <c r="T186" i="17"/>
  <c r="E186" i="17" s="1"/>
  <c r="S186" i="17"/>
  <c r="R186" i="17"/>
  <c r="Q186" i="17"/>
  <c r="P186" i="17"/>
  <c r="O186" i="17"/>
  <c r="N186" i="17"/>
  <c r="M186" i="17"/>
  <c r="L186" i="17"/>
  <c r="K186" i="17"/>
  <c r="J186" i="17"/>
  <c r="I186" i="17"/>
  <c r="H186" i="17"/>
  <c r="G185" i="17"/>
  <c r="G429" i="17" s="1"/>
  <c r="T181" i="17"/>
  <c r="S181" i="17"/>
  <c r="R181" i="17"/>
  <c r="Q181" i="17"/>
  <c r="P181" i="17"/>
  <c r="O181" i="17"/>
  <c r="N181" i="17"/>
  <c r="M181" i="17"/>
  <c r="L181" i="17"/>
  <c r="K181" i="17"/>
  <c r="J181" i="17"/>
  <c r="I181" i="17"/>
  <c r="H181" i="17"/>
  <c r="E181" i="17"/>
  <c r="T176" i="17"/>
  <c r="E176" i="17" s="1"/>
  <c r="S176" i="17"/>
  <c r="R176" i="17"/>
  <c r="Q176" i="17"/>
  <c r="P176" i="17"/>
  <c r="O176" i="17"/>
  <c r="N176" i="17"/>
  <c r="M176" i="17"/>
  <c r="L176" i="17"/>
  <c r="K176" i="17"/>
  <c r="J176" i="17"/>
  <c r="I176" i="17"/>
  <c r="H176" i="17"/>
  <c r="G175" i="17"/>
  <c r="G427" i="17" s="1"/>
  <c r="T171" i="17"/>
  <c r="E171" i="17" s="1"/>
  <c r="S171" i="17"/>
  <c r="R171" i="17"/>
  <c r="Q171" i="17"/>
  <c r="P171" i="17"/>
  <c r="O171" i="17"/>
  <c r="N171" i="17"/>
  <c r="M171" i="17"/>
  <c r="L171" i="17"/>
  <c r="K171" i="17"/>
  <c r="J171" i="17"/>
  <c r="I171" i="17"/>
  <c r="H171" i="17"/>
  <c r="G170" i="17"/>
  <c r="G426" i="17" s="1"/>
  <c r="T166" i="17"/>
  <c r="S166" i="17"/>
  <c r="R166" i="17"/>
  <c r="Q166" i="17"/>
  <c r="P166" i="17"/>
  <c r="O166" i="17"/>
  <c r="N166" i="17"/>
  <c r="M166" i="17"/>
  <c r="L166" i="17"/>
  <c r="K166" i="17"/>
  <c r="J166" i="17"/>
  <c r="I166" i="17"/>
  <c r="H166" i="17"/>
  <c r="E166" i="17"/>
  <c r="T161" i="17"/>
  <c r="S161" i="17"/>
  <c r="R161" i="17"/>
  <c r="Q161" i="17"/>
  <c r="P161" i="17"/>
  <c r="O161" i="17"/>
  <c r="N161" i="17"/>
  <c r="M161" i="17"/>
  <c r="L161" i="17"/>
  <c r="K161" i="17"/>
  <c r="J161" i="17"/>
  <c r="I161" i="17"/>
  <c r="H161" i="17"/>
  <c r="E161" i="17"/>
  <c r="T156" i="17"/>
  <c r="S156" i="17"/>
  <c r="R156" i="17"/>
  <c r="Q156" i="17"/>
  <c r="P156" i="17"/>
  <c r="O156" i="17"/>
  <c r="N156" i="17"/>
  <c r="M156" i="17"/>
  <c r="L156" i="17"/>
  <c r="K156" i="17"/>
  <c r="J156" i="17"/>
  <c r="I156" i="17"/>
  <c r="H156" i="17"/>
  <c r="E156" i="17"/>
  <c r="T151" i="17"/>
  <c r="S151" i="17"/>
  <c r="R151" i="17"/>
  <c r="Q151" i="17"/>
  <c r="P151" i="17"/>
  <c r="O151" i="17"/>
  <c r="N151" i="17"/>
  <c r="M151" i="17"/>
  <c r="L151" i="17"/>
  <c r="K151" i="17"/>
  <c r="J151" i="17"/>
  <c r="I151" i="17"/>
  <c r="H151" i="17"/>
  <c r="E151" i="17"/>
  <c r="T146" i="17"/>
  <c r="S146" i="17"/>
  <c r="R146" i="17"/>
  <c r="Q146" i="17"/>
  <c r="P146" i="17"/>
  <c r="O146" i="17"/>
  <c r="N146" i="17"/>
  <c r="M146" i="17"/>
  <c r="L146" i="17"/>
  <c r="K146" i="17"/>
  <c r="J146" i="17"/>
  <c r="I146" i="17"/>
  <c r="H146" i="17"/>
  <c r="E146" i="17"/>
  <c r="T141" i="17"/>
  <c r="S141" i="17"/>
  <c r="R141" i="17"/>
  <c r="Q141" i="17"/>
  <c r="P141" i="17"/>
  <c r="O141" i="17"/>
  <c r="N141" i="17"/>
  <c r="M141" i="17"/>
  <c r="L141" i="17"/>
  <c r="K141" i="17"/>
  <c r="J141" i="17"/>
  <c r="I141" i="17"/>
  <c r="H141" i="17"/>
  <c r="E141" i="17"/>
  <c r="T136" i="17"/>
  <c r="S136" i="17"/>
  <c r="R136" i="17"/>
  <c r="Q136" i="17"/>
  <c r="P136" i="17"/>
  <c r="O136" i="17"/>
  <c r="N136" i="17"/>
  <c r="M136" i="17"/>
  <c r="L136" i="17"/>
  <c r="K136" i="17"/>
  <c r="J136" i="17"/>
  <c r="I136" i="17"/>
  <c r="H136" i="17"/>
  <c r="E136" i="17"/>
  <c r="E133" i="17"/>
  <c r="D116" i="17"/>
  <c r="D115" i="17"/>
  <c r="D114" i="17"/>
  <c r="D113" i="17"/>
  <c r="D112" i="17"/>
  <c r="D111" i="17"/>
  <c r="D110" i="17"/>
  <c r="D109" i="17"/>
  <c r="D108" i="17"/>
  <c r="D107" i="17"/>
  <c r="D106" i="17"/>
  <c r="D105" i="17"/>
  <c r="D104" i="17"/>
  <c r="D103" i="17"/>
  <c r="D102" i="17"/>
  <c r="D101" i="17"/>
  <c r="D100" i="17"/>
  <c r="D99" i="17"/>
  <c r="D98" i="17"/>
  <c r="D97" i="17"/>
  <c r="D96" i="17"/>
  <c r="D95" i="17"/>
  <c r="D94" i="17"/>
  <c r="F90" i="17"/>
  <c r="F88" i="17"/>
  <c r="F76" i="17"/>
  <c r="D76" i="17"/>
  <c r="F68" i="17"/>
  <c r="D68" i="17"/>
  <c r="F66" i="17"/>
  <c r="E24" i="17"/>
  <c r="E23" i="17"/>
  <c r="E22" i="17"/>
  <c r="C16" i="17"/>
  <c r="S899" i="16"/>
  <c r="Q899" i="16"/>
  <c r="R890" i="16"/>
  <c r="Q890" i="16"/>
  <c r="H890" i="16"/>
  <c r="G890" i="16"/>
  <c r="G887" i="16"/>
  <c r="S871" i="16"/>
  <c r="K871" i="16"/>
  <c r="B860" i="16"/>
  <c r="B853" i="16"/>
  <c r="B846" i="16"/>
  <c r="B839" i="16"/>
  <c r="B832" i="16"/>
  <c r="T795" i="16"/>
  <c r="S795" i="16"/>
  <c r="R795" i="16"/>
  <c r="Q795" i="16"/>
  <c r="P795" i="16"/>
  <c r="O795" i="16"/>
  <c r="N795" i="16"/>
  <c r="M795" i="16"/>
  <c r="L795" i="16"/>
  <c r="K795" i="16"/>
  <c r="J795" i="16"/>
  <c r="I795" i="16"/>
  <c r="H795" i="16"/>
  <c r="D788" i="16"/>
  <c r="G784" i="16"/>
  <c r="G783" i="16"/>
  <c r="G781" i="16"/>
  <c r="G774" i="16"/>
  <c r="G771" i="16"/>
  <c r="L767" i="16"/>
  <c r="K767" i="16"/>
  <c r="J767" i="16"/>
  <c r="H763" i="16"/>
  <c r="B755" i="16"/>
  <c r="D753" i="16"/>
  <c r="G749" i="16"/>
  <c r="G748" i="16"/>
  <c r="G739" i="16"/>
  <c r="G736" i="16"/>
  <c r="S732" i="16"/>
  <c r="Q732" i="16"/>
  <c r="B720" i="16"/>
  <c r="D718" i="16"/>
  <c r="G714" i="16"/>
  <c r="G713" i="16"/>
  <c r="G704" i="16"/>
  <c r="G701" i="16"/>
  <c r="N697" i="16"/>
  <c r="M697" i="16"/>
  <c r="L697" i="16"/>
  <c r="K697" i="16"/>
  <c r="I697" i="16"/>
  <c r="H697" i="16"/>
  <c r="P693" i="16"/>
  <c r="L693" i="16"/>
  <c r="B685" i="16"/>
  <c r="D683" i="16"/>
  <c r="G669" i="16"/>
  <c r="G666" i="16"/>
  <c r="Q662" i="16"/>
  <c r="K662" i="16"/>
  <c r="J662" i="16"/>
  <c r="I662" i="16"/>
  <c r="D648" i="16"/>
  <c r="G636" i="16"/>
  <c r="G633" i="16"/>
  <c r="T629" i="16"/>
  <c r="O629" i="16"/>
  <c r="M629" i="16"/>
  <c r="K629" i="16"/>
  <c r="D615" i="16"/>
  <c r="G610" i="16"/>
  <c r="G603" i="16"/>
  <c r="Q602" i="16"/>
  <c r="G600" i="16"/>
  <c r="Q596" i="16"/>
  <c r="Q591" i="16"/>
  <c r="I591" i="16"/>
  <c r="H591" i="16"/>
  <c r="D582" i="16"/>
  <c r="G570" i="16"/>
  <c r="G567" i="16"/>
  <c r="O563" i="16"/>
  <c r="N563" i="16"/>
  <c r="H563" i="16"/>
  <c r="P554" i="16"/>
  <c r="N554" i="16"/>
  <c r="D548" i="16"/>
  <c r="G536" i="16"/>
  <c r="G533" i="16"/>
  <c r="P529" i="16"/>
  <c r="J529" i="16"/>
  <c r="I524" i="16"/>
  <c r="T521" i="16"/>
  <c r="S521" i="16"/>
  <c r="R521" i="16"/>
  <c r="Q521" i="16"/>
  <c r="P521" i="16"/>
  <c r="O521" i="16"/>
  <c r="N521" i="16"/>
  <c r="M521" i="16"/>
  <c r="L521" i="16"/>
  <c r="K521" i="16"/>
  <c r="J521" i="16"/>
  <c r="I521" i="16"/>
  <c r="H521" i="16"/>
  <c r="D515" i="16"/>
  <c r="G510" i="16"/>
  <c r="G503" i="16"/>
  <c r="G500" i="16"/>
  <c r="O496" i="16"/>
  <c r="Q491" i="16"/>
  <c r="T488" i="16"/>
  <c r="S488" i="16"/>
  <c r="R488" i="16"/>
  <c r="Q488" i="16"/>
  <c r="P488" i="16"/>
  <c r="O488" i="16"/>
  <c r="N488" i="16"/>
  <c r="M488" i="16"/>
  <c r="L488" i="16"/>
  <c r="K488" i="16"/>
  <c r="J488" i="16"/>
  <c r="I488" i="16"/>
  <c r="H488" i="16"/>
  <c r="D482" i="16"/>
  <c r="G470" i="16"/>
  <c r="G467" i="16"/>
  <c r="T455" i="16"/>
  <c r="S455" i="16"/>
  <c r="R455" i="16"/>
  <c r="Q455" i="16"/>
  <c r="P455" i="16"/>
  <c r="O455" i="16"/>
  <c r="N455" i="16"/>
  <c r="M455" i="16"/>
  <c r="L455" i="16"/>
  <c r="K455" i="16"/>
  <c r="J455" i="16"/>
  <c r="I455" i="16"/>
  <c r="H455" i="16"/>
  <c r="D449" i="16"/>
  <c r="G437" i="16"/>
  <c r="G434" i="16"/>
  <c r="Q430" i="16"/>
  <c r="K430" i="16"/>
  <c r="H430" i="16"/>
  <c r="Q425" i="16"/>
  <c r="H425" i="16"/>
  <c r="T422" i="16"/>
  <c r="S422" i="16"/>
  <c r="R422" i="16"/>
  <c r="Q422" i="16"/>
  <c r="P422" i="16"/>
  <c r="O422" i="16"/>
  <c r="N422" i="16"/>
  <c r="M422" i="16"/>
  <c r="L422" i="16"/>
  <c r="K422" i="16"/>
  <c r="J422" i="16"/>
  <c r="I422" i="16"/>
  <c r="H422" i="16"/>
  <c r="D416" i="16"/>
  <c r="G409" i="16"/>
  <c r="G402" i="16"/>
  <c r="G399" i="16"/>
  <c r="M395" i="16"/>
  <c r="K395" i="16"/>
  <c r="J395" i="16"/>
  <c r="N391" i="16"/>
  <c r="M391" i="16"/>
  <c r="K391" i="16"/>
  <c r="D381" i="16"/>
  <c r="G367" i="16"/>
  <c r="G364" i="16"/>
  <c r="S360" i="16"/>
  <c r="N360" i="16"/>
  <c r="J360" i="16"/>
  <c r="I360" i="16"/>
  <c r="H360" i="16"/>
  <c r="D346" i="16"/>
  <c r="G332" i="16"/>
  <c r="G329" i="16"/>
  <c r="R325" i="16"/>
  <c r="N325" i="16"/>
  <c r="P320" i="16"/>
  <c r="O320" i="16"/>
  <c r="M320" i="16"/>
  <c r="D310" i="16"/>
  <c r="G296" i="16"/>
  <c r="G293" i="16"/>
  <c r="S289" i="16"/>
  <c r="I289" i="16"/>
  <c r="R284" i="16"/>
  <c r="Q284" i="16"/>
  <c r="D275" i="16"/>
  <c r="G268" i="16"/>
  <c r="G261" i="16"/>
  <c r="G258" i="16"/>
  <c r="T254" i="16"/>
  <c r="S254" i="16"/>
  <c r="R254" i="16"/>
  <c r="P254" i="16"/>
  <c r="O254" i="16"/>
  <c r="N254" i="16"/>
  <c r="M246" i="16"/>
  <c r="I246" i="16"/>
  <c r="D240" i="16"/>
  <c r="G235" i="16"/>
  <c r="S218" i="16"/>
  <c r="Q218" i="16"/>
  <c r="N218" i="16"/>
  <c r="M218" i="16"/>
  <c r="O214" i="16"/>
  <c r="H214" i="16"/>
  <c r="K210" i="16"/>
  <c r="J210" i="16"/>
  <c r="D204" i="16"/>
  <c r="D168" i="16"/>
  <c r="T149" i="16"/>
  <c r="P149" i="16"/>
  <c r="O149" i="16"/>
  <c r="N149" i="16"/>
  <c r="H149" i="16"/>
  <c r="N139" i="16"/>
  <c r="D139" i="16"/>
  <c r="K136" i="16"/>
  <c r="D136" i="16"/>
  <c r="I117" i="16"/>
  <c r="H117" i="16"/>
  <c r="H109" i="16"/>
  <c r="N106" i="16"/>
  <c r="D106" i="16"/>
  <c r="K103" i="16"/>
  <c r="D103" i="16"/>
  <c r="K102" i="16"/>
  <c r="N73" i="16"/>
  <c r="D73" i="16"/>
  <c r="D70" i="16"/>
  <c r="Q69" i="16"/>
  <c r="K69" i="16"/>
  <c r="G65" i="16"/>
  <c r="Q51" i="16"/>
  <c r="P51" i="16"/>
  <c r="O51" i="16"/>
  <c r="K51" i="16"/>
  <c r="S43" i="16"/>
  <c r="N39" i="16"/>
  <c r="D39" i="16"/>
  <c r="K35" i="16"/>
  <c r="I35" i="16"/>
  <c r="D35" i="16"/>
  <c r="C35" i="16"/>
  <c r="B35" i="16"/>
  <c r="K34" i="16"/>
  <c r="I34" i="16"/>
  <c r="D34" i="16"/>
  <c r="C34" i="16"/>
  <c r="B34" i="16"/>
  <c r="K33" i="16"/>
  <c r="I33" i="16"/>
  <c r="D33" i="16"/>
  <c r="C33" i="16"/>
  <c r="B33" i="16"/>
  <c r="K32" i="16"/>
  <c r="I32" i="16"/>
  <c r="D32" i="16"/>
  <c r="C32" i="16"/>
  <c r="B32" i="16"/>
  <c r="K31" i="16"/>
  <c r="I31" i="16"/>
  <c r="D31" i="16"/>
  <c r="C31" i="16"/>
  <c r="B31" i="16"/>
  <c r="B29" i="16"/>
  <c r="B28" i="16"/>
  <c r="B27" i="16"/>
  <c r="J25" i="16"/>
  <c r="I25" i="16"/>
  <c r="J24" i="16"/>
  <c r="I24" i="16"/>
  <c r="J23" i="16"/>
  <c r="I23" i="16"/>
  <c r="J22" i="16"/>
  <c r="I22" i="16"/>
  <c r="J21" i="16"/>
  <c r="I21" i="16"/>
  <c r="J20" i="16"/>
  <c r="I20" i="16"/>
  <c r="J19" i="16"/>
  <c r="I19" i="16"/>
  <c r="K11" i="16"/>
  <c r="J11" i="16"/>
  <c r="I11" i="16"/>
  <c r="D11" i="16"/>
  <c r="C11" i="16"/>
  <c r="K10" i="16"/>
  <c r="J10" i="16"/>
  <c r="I10" i="16"/>
  <c r="H10" i="16"/>
  <c r="D10" i="16"/>
  <c r="C10" i="16"/>
  <c r="K9" i="16"/>
  <c r="J9" i="16"/>
  <c r="I9" i="16"/>
  <c r="H9" i="16"/>
  <c r="G9" i="16"/>
  <c r="F9" i="16"/>
  <c r="D9" i="16"/>
  <c r="C9" i="16"/>
  <c r="K8" i="16"/>
  <c r="J8" i="16"/>
  <c r="I8" i="16"/>
  <c r="D8" i="16"/>
  <c r="C8" i="16"/>
  <c r="O420" i="15"/>
  <c r="S409" i="15"/>
  <c r="I409" i="15"/>
  <c r="S374" i="15"/>
  <c r="R374" i="15"/>
  <c r="Q374" i="15"/>
  <c r="P374" i="15"/>
  <c r="O374" i="15"/>
  <c r="N374" i="15"/>
  <c r="M374" i="15"/>
  <c r="L374" i="15"/>
  <c r="K374" i="15"/>
  <c r="J374" i="15"/>
  <c r="I374" i="15"/>
  <c r="H374" i="15"/>
  <c r="G352" i="15"/>
  <c r="S350" i="15"/>
  <c r="R350" i="15"/>
  <c r="Q350" i="15"/>
  <c r="P350" i="15"/>
  <c r="O350" i="15"/>
  <c r="N350" i="15"/>
  <c r="M350" i="15"/>
  <c r="L350" i="15"/>
  <c r="K350" i="15"/>
  <c r="J350" i="15"/>
  <c r="I350" i="15"/>
  <c r="H350" i="15"/>
  <c r="G339" i="15"/>
  <c r="S337" i="15"/>
  <c r="R337" i="15"/>
  <c r="Q337" i="15"/>
  <c r="P337" i="15"/>
  <c r="O337" i="15"/>
  <c r="N337" i="15"/>
  <c r="M337" i="15"/>
  <c r="L337" i="15"/>
  <c r="K337" i="15"/>
  <c r="J337" i="15"/>
  <c r="I337" i="15"/>
  <c r="H337" i="15"/>
  <c r="T330" i="15"/>
  <c r="T767" i="16" s="1"/>
  <c r="S330" i="15"/>
  <c r="S767" i="16" s="1"/>
  <c r="R330" i="15"/>
  <c r="R767" i="16" s="1"/>
  <c r="Q330" i="15"/>
  <c r="Q767" i="16" s="1"/>
  <c r="P330" i="15"/>
  <c r="P767" i="16" s="1"/>
  <c r="O330" i="15"/>
  <c r="O767" i="16" s="1"/>
  <c r="N330" i="15"/>
  <c r="N767" i="16" s="1"/>
  <c r="M330" i="15"/>
  <c r="M767" i="16" s="1"/>
  <c r="L330" i="15"/>
  <c r="K330" i="15"/>
  <c r="J330" i="15"/>
  <c r="I330" i="15"/>
  <c r="I767" i="16" s="1"/>
  <c r="H330" i="15"/>
  <c r="H767" i="16" s="1"/>
  <c r="B327" i="15"/>
  <c r="G326" i="15"/>
  <c r="G746" i="16" s="1"/>
  <c r="S324" i="15"/>
  <c r="R324" i="15"/>
  <c r="Q324" i="15"/>
  <c r="P324" i="15"/>
  <c r="O324" i="15"/>
  <c r="N324" i="15"/>
  <c r="M324" i="15"/>
  <c r="L324" i="15"/>
  <c r="K324" i="15"/>
  <c r="J324" i="15"/>
  <c r="I324" i="15"/>
  <c r="H324" i="15"/>
  <c r="T317" i="15"/>
  <c r="T732" i="16" s="1"/>
  <c r="S317" i="15"/>
  <c r="R317" i="15"/>
  <c r="R732" i="16" s="1"/>
  <c r="Q317" i="15"/>
  <c r="P317" i="15"/>
  <c r="P732" i="16" s="1"/>
  <c r="O317" i="15"/>
  <c r="O732" i="16" s="1"/>
  <c r="N317" i="15"/>
  <c r="N732" i="16" s="1"/>
  <c r="M317" i="15"/>
  <c r="M732" i="16" s="1"/>
  <c r="L317" i="15"/>
  <c r="L732" i="16" s="1"/>
  <c r="K317" i="15"/>
  <c r="K732" i="16" s="1"/>
  <c r="J317" i="15"/>
  <c r="J732" i="16" s="1"/>
  <c r="I317" i="15"/>
  <c r="I732" i="16" s="1"/>
  <c r="H317" i="15"/>
  <c r="H732" i="16" s="1"/>
  <c r="B314" i="15"/>
  <c r="G313" i="15"/>
  <c r="G711" i="16" s="1"/>
  <c r="S311" i="15"/>
  <c r="R311" i="15"/>
  <c r="Q311" i="15"/>
  <c r="P311" i="15"/>
  <c r="O311" i="15"/>
  <c r="N311" i="15"/>
  <c r="M311" i="15"/>
  <c r="L311" i="15"/>
  <c r="K311" i="15"/>
  <c r="J311" i="15"/>
  <c r="I311" i="15"/>
  <c r="H311" i="15"/>
  <c r="T304" i="15"/>
  <c r="T697" i="16" s="1"/>
  <c r="S304" i="15"/>
  <c r="S697" i="16" s="1"/>
  <c r="R304" i="15"/>
  <c r="R697" i="16" s="1"/>
  <c r="Q304" i="15"/>
  <c r="Q697" i="16" s="1"/>
  <c r="P304" i="15"/>
  <c r="P697" i="16" s="1"/>
  <c r="O304" i="15"/>
  <c r="O697" i="16" s="1"/>
  <c r="N304" i="15"/>
  <c r="M304" i="15"/>
  <c r="L304" i="15"/>
  <c r="K304" i="15"/>
  <c r="J304" i="15"/>
  <c r="J697" i="16" s="1"/>
  <c r="I304" i="15"/>
  <c r="H304" i="15"/>
  <c r="B301" i="15"/>
  <c r="G300" i="15"/>
  <c r="S298" i="15"/>
  <c r="R298" i="15"/>
  <c r="Q298" i="15"/>
  <c r="P298" i="15"/>
  <c r="O298" i="15"/>
  <c r="N298" i="15"/>
  <c r="M298" i="15"/>
  <c r="L298" i="15"/>
  <c r="K298" i="15"/>
  <c r="J298" i="15"/>
  <c r="I298" i="15"/>
  <c r="H298" i="15"/>
  <c r="T291" i="15"/>
  <c r="T662" i="16" s="1"/>
  <c r="S291" i="15"/>
  <c r="S662" i="16" s="1"/>
  <c r="R291" i="15"/>
  <c r="R662" i="16" s="1"/>
  <c r="Q291" i="15"/>
  <c r="P291" i="15"/>
  <c r="P662" i="16" s="1"/>
  <c r="O291" i="15"/>
  <c r="O662" i="16" s="1"/>
  <c r="N291" i="15"/>
  <c r="N662" i="16" s="1"/>
  <c r="M291" i="15"/>
  <c r="M662" i="16" s="1"/>
  <c r="L291" i="15"/>
  <c r="L662" i="16" s="1"/>
  <c r="K291" i="15"/>
  <c r="J291" i="15"/>
  <c r="I291" i="15"/>
  <c r="H291" i="15"/>
  <c r="H662" i="16" s="1"/>
  <c r="G287" i="15"/>
  <c r="G643" i="16" s="1"/>
  <c r="S285" i="15"/>
  <c r="R285" i="15"/>
  <c r="Q285" i="15"/>
  <c r="P285" i="15"/>
  <c r="O285" i="15"/>
  <c r="N285" i="15"/>
  <c r="M285" i="15"/>
  <c r="L285" i="15"/>
  <c r="K285" i="15"/>
  <c r="J285" i="15"/>
  <c r="I285" i="15"/>
  <c r="H285" i="15"/>
  <c r="T278" i="15"/>
  <c r="S278" i="15"/>
  <c r="S629" i="16" s="1"/>
  <c r="R278" i="15"/>
  <c r="R629" i="16" s="1"/>
  <c r="Q278" i="15"/>
  <c r="Q629" i="16" s="1"/>
  <c r="P278" i="15"/>
  <c r="P629" i="16" s="1"/>
  <c r="O278" i="15"/>
  <c r="N278" i="15"/>
  <c r="N629" i="16" s="1"/>
  <c r="M278" i="15"/>
  <c r="L278" i="15"/>
  <c r="L629" i="16" s="1"/>
  <c r="K278" i="15"/>
  <c r="J278" i="15"/>
  <c r="J629" i="16" s="1"/>
  <c r="I278" i="15"/>
  <c r="I629" i="16" s="1"/>
  <c r="H278" i="15"/>
  <c r="H629" i="16" s="1"/>
  <c r="G274" i="15"/>
  <c r="S272" i="15"/>
  <c r="R272" i="15"/>
  <c r="Q272" i="15"/>
  <c r="P272" i="15"/>
  <c r="O272" i="15"/>
  <c r="N272" i="15"/>
  <c r="M272" i="15"/>
  <c r="L272" i="15"/>
  <c r="K272" i="15"/>
  <c r="J272" i="15"/>
  <c r="I272" i="15"/>
  <c r="H272" i="15"/>
  <c r="T265" i="15"/>
  <c r="T596" i="16" s="1"/>
  <c r="S265" i="15"/>
  <c r="S596" i="16" s="1"/>
  <c r="R265" i="15"/>
  <c r="R596" i="16" s="1"/>
  <c r="Q265" i="15"/>
  <c r="P265" i="15"/>
  <c r="P596" i="16" s="1"/>
  <c r="O265" i="15"/>
  <c r="O596" i="16" s="1"/>
  <c r="N265" i="15"/>
  <c r="N596" i="16" s="1"/>
  <c r="M265" i="15"/>
  <c r="M596" i="16" s="1"/>
  <c r="L265" i="15"/>
  <c r="L596" i="16" s="1"/>
  <c r="K265" i="15"/>
  <c r="K596" i="16" s="1"/>
  <c r="J265" i="15"/>
  <c r="J596" i="16" s="1"/>
  <c r="I265" i="15"/>
  <c r="I596" i="16" s="1"/>
  <c r="H265" i="15"/>
  <c r="H596" i="16" s="1"/>
  <c r="G261" i="15"/>
  <c r="G577" i="16" s="1"/>
  <c r="S259" i="15"/>
  <c r="R259" i="15"/>
  <c r="Q259" i="15"/>
  <c r="P259" i="15"/>
  <c r="O259" i="15"/>
  <c r="N259" i="15"/>
  <c r="M259" i="15"/>
  <c r="L259" i="15"/>
  <c r="K259" i="15"/>
  <c r="J259" i="15"/>
  <c r="I259" i="15"/>
  <c r="H259" i="15"/>
  <c r="T252" i="15"/>
  <c r="T563" i="16" s="1"/>
  <c r="S252" i="15"/>
  <c r="S563" i="16" s="1"/>
  <c r="R252" i="15"/>
  <c r="R563" i="16" s="1"/>
  <c r="Q252" i="15"/>
  <c r="Q563" i="16" s="1"/>
  <c r="P252" i="15"/>
  <c r="P563" i="16" s="1"/>
  <c r="O252" i="15"/>
  <c r="N252" i="15"/>
  <c r="M252" i="15"/>
  <c r="M563" i="16" s="1"/>
  <c r="L252" i="15"/>
  <c r="L563" i="16" s="1"/>
  <c r="K252" i="15"/>
  <c r="K563" i="16" s="1"/>
  <c r="J252" i="15"/>
  <c r="J563" i="16" s="1"/>
  <c r="I252" i="15"/>
  <c r="I563" i="16" s="1"/>
  <c r="H252" i="15"/>
  <c r="G248" i="15"/>
  <c r="S246" i="15"/>
  <c r="R246" i="15"/>
  <c r="Q246" i="15"/>
  <c r="P246" i="15"/>
  <c r="O246" i="15"/>
  <c r="N246" i="15"/>
  <c r="M246" i="15"/>
  <c r="L246" i="15"/>
  <c r="K246" i="15"/>
  <c r="J246" i="15"/>
  <c r="I246" i="15"/>
  <c r="H246" i="15"/>
  <c r="T239" i="15"/>
  <c r="T529" i="16" s="1"/>
  <c r="S239" i="15"/>
  <c r="S529" i="16" s="1"/>
  <c r="R239" i="15"/>
  <c r="R529" i="16" s="1"/>
  <c r="Q239" i="15"/>
  <c r="Q529" i="16" s="1"/>
  <c r="P239" i="15"/>
  <c r="O239" i="15"/>
  <c r="O529" i="16" s="1"/>
  <c r="N239" i="15"/>
  <c r="N529" i="16" s="1"/>
  <c r="M239" i="15"/>
  <c r="M529" i="16" s="1"/>
  <c r="L239" i="15"/>
  <c r="L529" i="16" s="1"/>
  <c r="K239" i="15"/>
  <c r="K529" i="16" s="1"/>
  <c r="J239" i="15"/>
  <c r="I239" i="15"/>
  <c r="I529" i="16" s="1"/>
  <c r="H239" i="15"/>
  <c r="H529" i="16" s="1"/>
  <c r="G235" i="15"/>
  <c r="S233" i="15"/>
  <c r="R233" i="15"/>
  <c r="Q233" i="15"/>
  <c r="P233" i="15"/>
  <c r="O233" i="15"/>
  <c r="N233" i="15"/>
  <c r="M233" i="15"/>
  <c r="L233" i="15"/>
  <c r="K233" i="15"/>
  <c r="J233" i="15"/>
  <c r="I233" i="15"/>
  <c r="H233" i="15"/>
  <c r="T226" i="15"/>
  <c r="T496" i="16" s="1"/>
  <c r="S226" i="15"/>
  <c r="S496" i="16" s="1"/>
  <c r="R226" i="15"/>
  <c r="R496" i="16" s="1"/>
  <c r="Q226" i="15"/>
  <c r="Q496" i="16" s="1"/>
  <c r="P226" i="15"/>
  <c r="P496" i="16" s="1"/>
  <c r="O226" i="15"/>
  <c r="N226" i="15"/>
  <c r="N496" i="16" s="1"/>
  <c r="M226" i="15"/>
  <c r="M496" i="16" s="1"/>
  <c r="L226" i="15"/>
  <c r="L496" i="16" s="1"/>
  <c r="K226" i="15"/>
  <c r="K496" i="16" s="1"/>
  <c r="J226" i="15"/>
  <c r="J496" i="16" s="1"/>
  <c r="I226" i="15"/>
  <c r="I496" i="16" s="1"/>
  <c r="H226" i="15"/>
  <c r="H496" i="16" s="1"/>
  <c r="G222" i="15"/>
  <c r="S220" i="15"/>
  <c r="R220" i="15"/>
  <c r="Q220" i="15"/>
  <c r="P220" i="15"/>
  <c r="O220" i="15"/>
  <c r="N220" i="15"/>
  <c r="M220" i="15"/>
  <c r="L220" i="15"/>
  <c r="K220" i="15"/>
  <c r="J220" i="15"/>
  <c r="I220" i="15"/>
  <c r="H220" i="15"/>
  <c r="T213" i="15"/>
  <c r="T463" i="16" s="1"/>
  <c r="S213" i="15"/>
  <c r="S463" i="16" s="1"/>
  <c r="R213" i="15"/>
  <c r="R463" i="16" s="1"/>
  <c r="Q213" i="15"/>
  <c r="Q463" i="16" s="1"/>
  <c r="P213" i="15"/>
  <c r="P463" i="16" s="1"/>
  <c r="O213" i="15"/>
  <c r="O463" i="16" s="1"/>
  <c r="N213" i="15"/>
  <c r="N463" i="16" s="1"/>
  <c r="M213" i="15"/>
  <c r="M463" i="16" s="1"/>
  <c r="L213" i="15"/>
  <c r="L463" i="16" s="1"/>
  <c r="K213" i="15"/>
  <c r="K463" i="16" s="1"/>
  <c r="J213" i="15"/>
  <c r="J463" i="16" s="1"/>
  <c r="I213" i="15"/>
  <c r="I463" i="16" s="1"/>
  <c r="H213" i="15"/>
  <c r="H463" i="16" s="1"/>
  <c r="G209" i="15"/>
  <c r="G444" i="16" s="1"/>
  <c r="S207" i="15"/>
  <c r="R207" i="15"/>
  <c r="Q207" i="15"/>
  <c r="P207" i="15"/>
  <c r="O207" i="15"/>
  <c r="N207" i="15"/>
  <c r="M207" i="15"/>
  <c r="L207" i="15"/>
  <c r="K207" i="15"/>
  <c r="J207" i="15"/>
  <c r="I207" i="15"/>
  <c r="H207" i="15"/>
  <c r="T200" i="15"/>
  <c r="T430" i="16" s="1"/>
  <c r="S200" i="15"/>
  <c r="S430" i="16" s="1"/>
  <c r="R200" i="15"/>
  <c r="R430" i="16" s="1"/>
  <c r="Q200" i="15"/>
  <c r="P200" i="15"/>
  <c r="P430" i="16" s="1"/>
  <c r="O200" i="15"/>
  <c r="O430" i="16" s="1"/>
  <c r="N200" i="15"/>
  <c r="N430" i="16" s="1"/>
  <c r="M200" i="15"/>
  <c r="M430" i="16" s="1"/>
  <c r="L200" i="15"/>
  <c r="L430" i="16" s="1"/>
  <c r="K200" i="15"/>
  <c r="J200" i="15"/>
  <c r="J430" i="16" s="1"/>
  <c r="I200" i="15"/>
  <c r="I430" i="16" s="1"/>
  <c r="H200" i="15"/>
  <c r="G196" i="15"/>
  <c r="S194" i="15"/>
  <c r="R194" i="15"/>
  <c r="Q194" i="15"/>
  <c r="P194" i="15"/>
  <c r="O194" i="15"/>
  <c r="N194" i="15"/>
  <c r="M194" i="15"/>
  <c r="L194" i="15"/>
  <c r="K194" i="15"/>
  <c r="J194" i="15"/>
  <c r="I194" i="15"/>
  <c r="H194" i="15"/>
  <c r="T187" i="15"/>
  <c r="T395" i="16" s="1"/>
  <c r="S187" i="15"/>
  <c r="S395" i="16" s="1"/>
  <c r="R187" i="15"/>
  <c r="R395" i="16" s="1"/>
  <c r="Q187" i="15"/>
  <c r="Q395" i="16" s="1"/>
  <c r="P187" i="15"/>
  <c r="P395" i="16" s="1"/>
  <c r="O187" i="15"/>
  <c r="O395" i="16" s="1"/>
  <c r="N187" i="15"/>
  <c r="N395" i="16" s="1"/>
  <c r="M187" i="15"/>
  <c r="L187" i="15"/>
  <c r="L395" i="16" s="1"/>
  <c r="K187" i="15"/>
  <c r="J187" i="15"/>
  <c r="I187" i="15"/>
  <c r="I395" i="16" s="1"/>
  <c r="H187" i="15"/>
  <c r="H395" i="16" s="1"/>
  <c r="G183" i="15"/>
  <c r="G374" i="16" s="1"/>
  <c r="S181" i="15"/>
  <c r="R181" i="15"/>
  <c r="Q181" i="15"/>
  <c r="P181" i="15"/>
  <c r="O181" i="15"/>
  <c r="N181" i="15"/>
  <c r="M181" i="15"/>
  <c r="L181" i="15"/>
  <c r="K181" i="15"/>
  <c r="J181" i="15"/>
  <c r="I181" i="15"/>
  <c r="H181" i="15"/>
  <c r="T174" i="15"/>
  <c r="T360" i="16" s="1"/>
  <c r="S174" i="15"/>
  <c r="R174" i="15"/>
  <c r="R360" i="16" s="1"/>
  <c r="Q174" i="15"/>
  <c r="Q360" i="16" s="1"/>
  <c r="P174" i="15"/>
  <c r="P360" i="16" s="1"/>
  <c r="O174" i="15"/>
  <c r="O360" i="16" s="1"/>
  <c r="N174" i="15"/>
  <c r="M174" i="15"/>
  <c r="M360" i="16" s="1"/>
  <c r="L174" i="15"/>
  <c r="L360" i="16" s="1"/>
  <c r="K174" i="15"/>
  <c r="K360" i="16" s="1"/>
  <c r="J174" i="15"/>
  <c r="I174" i="15"/>
  <c r="H174" i="15"/>
  <c r="G170" i="15"/>
  <c r="G339" i="16" s="1"/>
  <c r="S168" i="15"/>
  <c r="R168" i="15"/>
  <c r="Q168" i="15"/>
  <c r="P168" i="15"/>
  <c r="O168" i="15"/>
  <c r="N168" i="15"/>
  <c r="M168" i="15"/>
  <c r="L168" i="15"/>
  <c r="K168" i="15"/>
  <c r="J168" i="15"/>
  <c r="I168" i="15"/>
  <c r="H168" i="15"/>
  <c r="T161" i="15"/>
  <c r="T325" i="16" s="1"/>
  <c r="S161" i="15"/>
  <c r="S325" i="16" s="1"/>
  <c r="R161" i="15"/>
  <c r="Q161" i="15"/>
  <c r="Q325" i="16" s="1"/>
  <c r="P161" i="15"/>
  <c r="P325" i="16" s="1"/>
  <c r="O161" i="15"/>
  <c r="O325" i="16" s="1"/>
  <c r="N161" i="15"/>
  <c r="M161" i="15"/>
  <c r="M325" i="16" s="1"/>
  <c r="L161" i="15"/>
  <c r="L325" i="16" s="1"/>
  <c r="K161" i="15"/>
  <c r="K325" i="16" s="1"/>
  <c r="J161" i="15"/>
  <c r="J325" i="16" s="1"/>
  <c r="I161" i="15"/>
  <c r="I325" i="16" s="1"/>
  <c r="H161" i="15"/>
  <c r="H325" i="16" s="1"/>
  <c r="G157" i="15"/>
  <c r="S155" i="15"/>
  <c r="R155" i="15"/>
  <c r="Q155" i="15"/>
  <c r="P155" i="15"/>
  <c r="O155" i="15"/>
  <c r="N155" i="15"/>
  <c r="M155" i="15"/>
  <c r="L155" i="15"/>
  <c r="K155" i="15"/>
  <c r="J155" i="15"/>
  <c r="I155" i="15"/>
  <c r="H155" i="15"/>
  <c r="T148" i="15"/>
  <c r="T289" i="16" s="1"/>
  <c r="S148" i="15"/>
  <c r="R148" i="15"/>
  <c r="R289" i="16" s="1"/>
  <c r="Q148" i="15"/>
  <c r="Q289" i="16" s="1"/>
  <c r="P148" i="15"/>
  <c r="P289" i="16" s="1"/>
  <c r="O148" i="15"/>
  <c r="O289" i="16" s="1"/>
  <c r="N148" i="15"/>
  <c r="N289" i="16" s="1"/>
  <c r="M148" i="15"/>
  <c r="M289" i="16" s="1"/>
  <c r="L148" i="15"/>
  <c r="L289" i="16" s="1"/>
  <c r="K148" i="15"/>
  <c r="K289" i="16" s="1"/>
  <c r="J148" i="15"/>
  <c r="J289" i="16" s="1"/>
  <c r="I148" i="15"/>
  <c r="H148" i="15"/>
  <c r="H289" i="16" s="1"/>
  <c r="G144" i="15"/>
  <c r="S142" i="15"/>
  <c r="R142" i="15"/>
  <c r="Q142" i="15"/>
  <c r="P142" i="15"/>
  <c r="O142" i="15"/>
  <c r="N142" i="15"/>
  <c r="M142" i="15"/>
  <c r="L142" i="15"/>
  <c r="K142" i="15"/>
  <c r="J142" i="15"/>
  <c r="I142" i="15"/>
  <c r="H142" i="15"/>
  <c r="T135" i="15"/>
  <c r="S135" i="15"/>
  <c r="R135" i="15"/>
  <c r="Q135" i="15"/>
  <c r="Q254" i="16" s="1"/>
  <c r="P135" i="15"/>
  <c r="O135" i="15"/>
  <c r="N135" i="15"/>
  <c r="M135" i="15"/>
  <c r="M254" i="16" s="1"/>
  <c r="L135" i="15"/>
  <c r="L254" i="16" s="1"/>
  <c r="K135" i="15"/>
  <c r="K254" i="16" s="1"/>
  <c r="J135" i="15"/>
  <c r="J254" i="16" s="1"/>
  <c r="I135" i="15"/>
  <c r="I254" i="16" s="1"/>
  <c r="H135" i="15"/>
  <c r="H254" i="16" s="1"/>
  <c r="S129" i="15"/>
  <c r="R129" i="15"/>
  <c r="Q129" i="15"/>
  <c r="P129" i="15"/>
  <c r="O129" i="15"/>
  <c r="N129" i="15"/>
  <c r="M129" i="15"/>
  <c r="L129" i="15"/>
  <c r="K129" i="15"/>
  <c r="J129" i="15"/>
  <c r="I129" i="15"/>
  <c r="H129" i="15"/>
  <c r="T122" i="15"/>
  <c r="T218" i="16" s="1"/>
  <c r="S122" i="15"/>
  <c r="R122" i="15"/>
  <c r="R218" i="16" s="1"/>
  <c r="Q122" i="15"/>
  <c r="P122" i="15"/>
  <c r="P218" i="16" s="1"/>
  <c r="O122" i="15"/>
  <c r="O218" i="16" s="1"/>
  <c r="N122" i="15"/>
  <c r="M122" i="15"/>
  <c r="L122" i="15"/>
  <c r="L218" i="16" s="1"/>
  <c r="K122" i="15"/>
  <c r="K218" i="16" s="1"/>
  <c r="J122" i="15"/>
  <c r="J218" i="16" s="1"/>
  <c r="I122" i="15"/>
  <c r="I218" i="16" s="1"/>
  <c r="H122" i="15"/>
  <c r="H218" i="16" s="1"/>
  <c r="S116" i="15"/>
  <c r="R116" i="15"/>
  <c r="Q116" i="15"/>
  <c r="P116" i="15"/>
  <c r="O116" i="15"/>
  <c r="N116" i="15"/>
  <c r="M116" i="15"/>
  <c r="L116" i="15"/>
  <c r="K116" i="15"/>
  <c r="J116" i="15"/>
  <c r="I116" i="15"/>
  <c r="H116" i="15"/>
  <c r="G105" i="15"/>
  <c r="G163" i="16" s="1"/>
  <c r="S103" i="15"/>
  <c r="R103" i="15"/>
  <c r="Q103" i="15"/>
  <c r="P103" i="15"/>
  <c r="O103" i="15"/>
  <c r="N103" i="15"/>
  <c r="M103" i="15"/>
  <c r="L103" i="15"/>
  <c r="K103" i="15"/>
  <c r="J103" i="15"/>
  <c r="I103" i="15"/>
  <c r="H103" i="15"/>
  <c r="T96" i="15"/>
  <c r="S96" i="15"/>
  <c r="S149" i="16" s="1"/>
  <c r="R96" i="15"/>
  <c r="R149" i="16" s="1"/>
  <c r="Q96" i="15"/>
  <c r="Q149" i="16" s="1"/>
  <c r="P96" i="15"/>
  <c r="O96" i="15"/>
  <c r="N96" i="15"/>
  <c r="M96" i="15"/>
  <c r="M149" i="16" s="1"/>
  <c r="L96" i="15"/>
  <c r="L149" i="16" s="1"/>
  <c r="K96" i="15"/>
  <c r="K149" i="16" s="1"/>
  <c r="J96" i="15"/>
  <c r="J149" i="16" s="1"/>
  <c r="I96" i="15"/>
  <c r="I149" i="16" s="1"/>
  <c r="H96" i="15"/>
  <c r="G92" i="15"/>
  <c r="G131" i="16" s="1"/>
  <c r="S90" i="15"/>
  <c r="R90" i="15"/>
  <c r="Q90" i="15"/>
  <c r="P90" i="15"/>
  <c r="O90" i="15"/>
  <c r="N90" i="15"/>
  <c r="M90" i="15"/>
  <c r="L90" i="15"/>
  <c r="K90" i="15"/>
  <c r="J90" i="15"/>
  <c r="I90" i="15"/>
  <c r="H90" i="15"/>
  <c r="T83" i="15"/>
  <c r="T117" i="16" s="1"/>
  <c r="S83" i="15"/>
  <c r="S117" i="16" s="1"/>
  <c r="R83" i="15"/>
  <c r="R117" i="16" s="1"/>
  <c r="Q83" i="15"/>
  <c r="Q117" i="16" s="1"/>
  <c r="P83" i="15"/>
  <c r="P117" i="16" s="1"/>
  <c r="O83" i="15"/>
  <c r="O117" i="16" s="1"/>
  <c r="N83" i="15"/>
  <c r="N117" i="16" s="1"/>
  <c r="M83" i="15"/>
  <c r="M117" i="16" s="1"/>
  <c r="L83" i="15"/>
  <c r="L117" i="16" s="1"/>
  <c r="K83" i="15"/>
  <c r="K117" i="16" s="1"/>
  <c r="J83" i="15"/>
  <c r="J117" i="16" s="1"/>
  <c r="I83" i="15"/>
  <c r="H83" i="15"/>
  <c r="G79" i="15"/>
  <c r="G98" i="16" s="1"/>
  <c r="S77" i="15"/>
  <c r="R77" i="15"/>
  <c r="Q77" i="15"/>
  <c r="P77" i="15"/>
  <c r="O77" i="15"/>
  <c r="N77" i="15"/>
  <c r="M77" i="15"/>
  <c r="L77" i="15"/>
  <c r="K77" i="15"/>
  <c r="J77" i="15"/>
  <c r="I77" i="15"/>
  <c r="H77" i="15"/>
  <c r="G66" i="15"/>
  <c r="S64" i="15"/>
  <c r="R64" i="15"/>
  <c r="Q64" i="15"/>
  <c r="P64" i="15"/>
  <c r="O64" i="15"/>
  <c r="N64" i="15"/>
  <c r="M64" i="15"/>
  <c r="L64" i="15"/>
  <c r="K64" i="15"/>
  <c r="J64" i="15"/>
  <c r="I64" i="15"/>
  <c r="H64" i="15"/>
  <c r="T57" i="15"/>
  <c r="T51" i="16" s="1"/>
  <c r="S57" i="15"/>
  <c r="S51" i="16" s="1"/>
  <c r="R57" i="15"/>
  <c r="R51" i="16" s="1"/>
  <c r="Q57" i="15"/>
  <c r="P57" i="15"/>
  <c r="O57" i="15"/>
  <c r="N57" i="15"/>
  <c r="N51" i="16" s="1"/>
  <c r="M57" i="15"/>
  <c r="M51" i="16" s="1"/>
  <c r="L57" i="15"/>
  <c r="L51" i="16" s="1"/>
  <c r="K57" i="15"/>
  <c r="J57" i="15"/>
  <c r="J51" i="16" s="1"/>
  <c r="I57" i="15"/>
  <c r="I51" i="16" s="1"/>
  <c r="H57" i="15"/>
  <c r="H51" i="16" s="1"/>
  <c r="I51" i="15"/>
  <c r="I52" i="15" s="1"/>
  <c r="H51" i="15"/>
  <c r="H52" i="15" s="1"/>
  <c r="T50" i="15"/>
  <c r="S50" i="15"/>
  <c r="R50" i="15"/>
  <c r="Q50" i="15"/>
  <c r="P50" i="15"/>
  <c r="O50" i="15"/>
  <c r="N50" i="15"/>
  <c r="M50" i="15"/>
  <c r="L50" i="15"/>
  <c r="K50" i="15"/>
  <c r="J50" i="15"/>
  <c r="I50" i="15"/>
  <c r="H50" i="15"/>
  <c r="G50" i="15"/>
  <c r="T49" i="15"/>
  <c r="S49" i="15"/>
  <c r="R49" i="15"/>
  <c r="Q49" i="15"/>
  <c r="P49" i="15"/>
  <c r="O49" i="15"/>
  <c r="N49" i="15"/>
  <c r="M49" i="15"/>
  <c r="L49" i="15"/>
  <c r="K49" i="15"/>
  <c r="J49" i="15"/>
  <c r="I49" i="15"/>
  <c r="H49" i="15"/>
  <c r="F29" i="15"/>
  <c r="F28" i="15"/>
  <c r="B28" i="15"/>
  <c r="F27" i="15"/>
  <c r="B27" i="15"/>
  <c r="F26" i="15"/>
  <c r="B26" i="15"/>
  <c r="F25" i="15"/>
  <c r="F24" i="15"/>
  <c r="F23" i="15"/>
  <c r="F22" i="15"/>
  <c r="F21" i="15"/>
  <c r="I20" i="15"/>
  <c r="F20" i="15"/>
  <c r="F19" i="15"/>
  <c r="F18" i="15"/>
  <c r="F17" i="15"/>
  <c r="F16" i="15"/>
  <c r="F15" i="15"/>
  <c r="F14" i="15"/>
  <c r="F13" i="15"/>
  <c r="F12" i="15"/>
  <c r="F11" i="15"/>
  <c r="K10" i="15"/>
  <c r="Q168" i="16" s="1"/>
  <c r="J10" i="15"/>
  <c r="I10" i="15"/>
  <c r="H10" i="15"/>
  <c r="K167" i="16" s="1"/>
  <c r="F10" i="15"/>
  <c r="D10" i="15"/>
  <c r="K9" i="15"/>
  <c r="Q136" i="16" s="1"/>
  <c r="J9" i="15"/>
  <c r="I9" i="15"/>
  <c r="H9" i="15"/>
  <c r="K135" i="16" s="1"/>
  <c r="F9" i="15"/>
  <c r="D9" i="15"/>
  <c r="K8" i="15"/>
  <c r="Q103" i="16" s="1"/>
  <c r="J8" i="15"/>
  <c r="I8" i="15"/>
  <c r="Q102" i="16" s="1"/>
  <c r="H8" i="15"/>
  <c r="F8" i="15"/>
  <c r="D8" i="15"/>
  <c r="K7" i="15"/>
  <c r="Q70" i="16" s="1"/>
  <c r="J7" i="15"/>
  <c r="I7" i="15"/>
  <c r="G8" i="16" s="1"/>
  <c r="H7" i="15"/>
  <c r="F8" i="16" s="1"/>
  <c r="F7" i="15"/>
  <c r="D7" i="15"/>
  <c r="L87" i="14"/>
  <c r="H87" i="14"/>
  <c r="N50" i="14"/>
  <c r="M50" i="14"/>
  <c r="L50" i="14"/>
  <c r="K50" i="14"/>
  <c r="Q45" i="14"/>
  <c r="J45" i="14"/>
  <c r="J46" i="14" s="1"/>
  <c r="I45" i="14"/>
  <c r="I46" i="14" s="1"/>
  <c r="H45" i="14"/>
  <c r="C14" i="14"/>
  <c r="C13" i="14"/>
  <c r="C8" i="14"/>
  <c r="C7" i="14"/>
  <c r="E100" i="13"/>
  <c r="T50" i="13"/>
  <c r="M50" i="13"/>
  <c r="T45" i="13"/>
  <c r="T46" i="13" s="1"/>
  <c r="S45" i="13"/>
  <c r="R45" i="13"/>
  <c r="Q45" i="13"/>
  <c r="D24" i="13"/>
  <c r="C14" i="13"/>
  <c r="C13" i="13"/>
  <c r="C12" i="13"/>
  <c r="C7" i="13"/>
  <c r="T302" i="12"/>
  <c r="S302" i="12"/>
  <c r="R302" i="12"/>
  <c r="Q302" i="12"/>
  <c r="P302" i="12"/>
  <c r="O302" i="12"/>
  <c r="N302" i="12"/>
  <c r="M302" i="12"/>
  <c r="L302" i="12"/>
  <c r="K302" i="12"/>
  <c r="J302" i="12"/>
  <c r="I302" i="12"/>
  <c r="H302" i="12"/>
  <c r="G284" i="12"/>
  <c r="G252" i="17" s="1"/>
  <c r="G253" i="17" s="1"/>
  <c r="T271" i="12"/>
  <c r="S271" i="12"/>
  <c r="R271" i="12"/>
  <c r="Q271" i="12"/>
  <c r="N271" i="12"/>
  <c r="M271" i="12"/>
  <c r="G258" i="12"/>
  <c r="G307" i="17" s="1"/>
  <c r="G308" i="17" s="1"/>
  <c r="T256" i="12"/>
  <c r="S256" i="12"/>
  <c r="R256" i="12"/>
  <c r="Q256" i="12"/>
  <c r="P256" i="12"/>
  <c r="O256" i="12"/>
  <c r="N256" i="12"/>
  <c r="M256" i="12"/>
  <c r="L256" i="12"/>
  <c r="K256" i="12"/>
  <c r="J256" i="12"/>
  <c r="I256" i="12"/>
  <c r="H256" i="12"/>
  <c r="G256" i="12"/>
  <c r="S255" i="12"/>
  <c r="R255" i="12"/>
  <c r="Q255" i="12"/>
  <c r="P255" i="12"/>
  <c r="O255" i="12"/>
  <c r="N255" i="12"/>
  <c r="L255" i="12"/>
  <c r="K255" i="12"/>
  <c r="G255" i="12"/>
  <c r="T253" i="12"/>
  <c r="S253" i="12"/>
  <c r="R253" i="12"/>
  <c r="Q253" i="12"/>
  <c r="Q297" i="17" s="1"/>
  <c r="Q298" i="17" s="1"/>
  <c r="P253" i="12"/>
  <c r="O253" i="12"/>
  <c r="N253" i="12"/>
  <c r="N890" i="16" s="1"/>
  <c r="M253" i="12"/>
  <c r="M890" i="16" s="1"/>
  <c r="L253" i="12"/>
  <c r="L890" i="16" s="1"/>
  <c r="K253" i="12"/>
  <c r="J253" i="12"/>
  <c r="I253" i="12"/>
  <c r="H253" i="12"/>
  <c r="H297" i="17" s="1"/>
  <c r="H298" i="17" s="1"/>
  <c r="G253" i="12"/>
  <c r="S247" i="12"/>
  <c r="R247" i="12"/>
  <c r="N247" i="12"/>
  <c r="M247" i="12"/>
  <c r="L247" i="12"/>
  <c r="J247" i="12"/>
  <c r="T245" i="12"/>
  <c r="P245" i="12"/>
  <c r="L245" i="12"/>
  <c r="P242" i="12"/>
  <c r="P262" i="17" s="1"/>
  <c r="G241" i="12"/>
  <c r="G257" i="17" s="1"/>
  <c r="G258" i="17" s="1"/>
  <c r="G212" i="12"/>
  <c r="G209" i="12"/>
  <c r="G206" i="12"/>
  <c r="G203" i="12"/>
  <c r="G200" i="12"/>
  <c r="G197" i="12"/>
  <c r="G194" i="12"/>
  <c r="B177" i="12"/>
  <c r="B172" i="12"/>
  <c r="B167" i="12"/>
  <c r="S70" i="12"/>
  <c r="R70" i="12"/>
  <c r="P70" i="12"/>
  <c r="M70" i="12"/>
  <c r="K70" i="12"/>
  <c r="J70" i="12"/>
  <c r="I70" i="12"/>
  <c r="O66" i="12"/>
  <c r="N66" i="12"/>
  <c r="M66" i="12"/>
  <c r="L66" i="12"/>
  <c r="J66" i="12"/>
  <c r="T251" i="11"/>
  <c r="S251" i="11"/>
  <c r="R251" i="11"/>
  <c r="Q251" i="11"/>
  <c r="P251" i="11"/>
  <c r="O251" i="11"/>
  <c r="N251" i="11"/>
  <c r="M251" i="11"/>
  <c r="L251" i="11"/>
  <c r="K251" i="11"/>
  <c r="J251" i="11"/>
  <c r="I251" i="11"/>
  <c r="H251" i="11"/>
  <c r="G233" i="11"/>
  <c r="P220" i="11"/>
  <c r="M220" i="11"/>
  <c r="K220" i="11"/>
  <c r="I220" i="11"/>
  <c r="T205" i="11"/>
  <c r="S205" i="11"/>
  <c r="R205" i="11"/>
  <c r="Q205" i="11"/>
  <c r="P205" i="11"/>
  <c r="O205" i="11"/>
  <c r="N205" i="11"/>
  <c r="M205" i="11"/>
  <c r="L205" i="11"/>
  <c r="K205" i="11"/>
  <c r="J205" i="11"/>
  <c r="I205" i="11"/>
  <c r="H205" i="11"/>
  <c r="G205" i="11"/>
  <c r="R204" i="11"/>
  <c r="Q204" i="11"/>
  <c r="P204" i="11"/>
  <c r="O204" i="11"/>
  <c r="N204" i="11"/>
  <c r="M204" i="11"/>
  <c r="J204" i="11"/>
  <c r="I204" i="11"/>
  <c r="H204" i="11"/>
  <c r="G204" i="11"/>
  <c r="T202" i="11"/>
  <c r="S202" i="11"/>
  <c r="R202" i="11"/>
  <c r="Q202" i="11"/>
  <c r="P202" i="11"/>
  <c r="O202" i="11"/>
  <c r="N202" i="11"/>
  <c r="M202" i="11"/>
  <c r="L202" i="11"/>
  <c r="K202" i="11"/>
  <c r="K646" i="17" s="1"/>
  <c r="K647" i="17" s="1"/>
  <c r="J202" i="11"/>
  <c r="I202" i="11"/>
  <c r="H202" i="11"/>
  <c r="G202" i="11"/>
  <c r="S196" i="11"/>
  <c r="Q196" i="11"/>
  <c r="M196" i="11"/>
  <c r="L196" i="11"/>
  <c r="K196" i="11"/>
  <c r="I196" i="11"/>
  <c r="H196" i="11"/>
  <c r="G196" i="11"/>
  <c r="T194" i="11"/>
  <c r="S194" i="11"/>
  <c r="N194" i="11"/>
  <c r="T191" i="11"/>
  <c r="T611" i="17" s="1"/>
  <c r="Q191" i="11"/>
  <c r="Q611" i="17" s="1"/>
  <c r="Q612" i="17" s="1"/>
  <c r="G161" i="11"/>
  <c r="G158" i="11"/>
  <c r="G155" i="11"/>
  <c r="G152" i="11"/>
  <c r="G149" i="11"/>
  <c r="G146" i="11"/>
  <c r="G143" i="11"/>
  <c r="B126" i="11"/>
  <c r="B121" i="11"/>
  <c r="B116" i="11"/>
  <c r="T75" i="11"/>
  <c r="R75" i="11"/>
  <c r="Q75" i="11"/>
  <c r="T74" i="11"/>
  <c r="R74" i="11"/>
  <c r="Q74" i="11"/>
  <c r="P74" i="11"/>
  <c r="O74" i="11"/>
  <c r="N74" i="11"/>
  <c r="M74" i="11"/>
  <c r="P73" i="11"/>
  <c r="P75" i="11" s="1"/>
  <c r="M73" i="11"/>
  <c r="M75" i="11" s="1"/>
  <c r="T72" i="11"/>
  <c r="T73" i="11" s="1"/>
  <c r="R72" i="11"/>
  <c r="R73" i="11" s="1"/>
  <c r="P72" i="11"/>
  <c r="M72" i="11"/>
  <c r="J72" i="11"/>
  <c r="I72" i="11"/>
  <c r="H72" i="11"/>
  <c r="T71" i="11"/>
  <c r="S71" i="11"/>
  <c r="S74" i="11" s="1"/>
  <c r="R71" i="11"/>
  <c r="Q71" i="11"/>
  <c r="Q72" i="11" s="1"/>
  <c r="Q73" i="11" s="1"/>
  <c r="P71" i="11"/>
  <c r="O71" i="11"/>
  <c r="O72" i="11" s="1"/>
  <c r="N71" i="11"/>
  <c r="N72" i="11" s="1"/>
  <c r="M71" i="11"/>
  <c r="L71" i="11"/>
  <c r="L74" i="11" s="1"/>
  <c r="K71" i="11"/>
  <c r="K74" i="11" s="1"/>
  <c r="J71" i="11"/>
  <c r="J74" i="11" s="1"/>
  <c r="I71" i="11"/>
  <c r="I74" i="11" s="1"/>
  <c r="H71" i="11"/>
  <c r="H74" i="11" s="1"/>
  <c r="S19" i="11"/>
  <c r="R19" i="11"/>
  <c r="Q19" i="11"/>
  <c r="P19" i="11"/>
  <c r="O19" i="11"/>
  <c r="M19" i="11"/>
  <c r="L19" i="11"/>
  <c r="K19" i="11"/>
  <c r="I19" i="11"/>
  <c r="T15" i="11"/>
  <c r="S15" i="11"/>
  <c r="R15" i="11"/>
  <c r="M15" i="11"/>
  <c r="K15" i="11"/>
  <c r="I15" i="11"/>
  <c r="B140" i="10"/>
  <c r="B139" i="10"/>
  <c r="B138" i="10"/>
  <c r="B137" i="10"/>
  <c r="B136" i="10"/>
  <c r="B125" i="10"/>
  <c r="B124" i="10"/>
  <c r="B123" i="10"/>
  <c r="B110" i="10"/>
  <c r="B109" i="10"/>
  <c r="B108" i="10"/>
  <c r="G94" i="10"/>
  <c r="G190" i="11" s="1"/>
  <c r="T85" i="10"/>
  <c r="S85" i="10"/>
  <c r="R85" i="10"/>
  <c r="Q85" i="10"/>
  <c r="P85" i="10"/>
  <c r="O85" i="10"/>
  <c r="N85" i="10"/>
  <c r="M85" i="10"/>
  <c r="L85" i="10"/>
  <c r="K85" i="10"/>
  <c r="J85" i="10"/>
  <c r="I85" i="10"/>
  <c r="H85" i="10"/>
  <c r="T84" i="10"/>
  <c r="S84" i="10"/>
  <c r="R84" i="10"/>
  <c r="Q84" i="10"/>
  <c r="P84" i="10"/>
  <c r="O84" i="10"/>
  <c r="N84" i="10"/>
  <c r="M84" i="10"/>
  <c r="L84" i="10"/>
  <c r="K84" i="10"/>
  <c r="J84" i="10"/>
  <c r="I84" i="10"/>
  <c r="H84" i="10"/>
  <c r="T82" i="10"/>
  <c r="S82" i="10"/>
  <c r="R82" i="10"/>
  <c r="Q82" i="10"/>
  <c r="P82" i="10"/>
  <c r="O82" i="10"/>
  <c r="N82" i="10"/>
  <c r="M82" i="10"/>
  <c r="L82" i="10"/>
  <c r="K82" i="10"/>
  <c r="J82" i="10"/>
  <c r="I82" i="10"/>
  <c r="H82" i="10"/>
  <c r="T77" i="10"/>
  <c r="R77" i="10"/>
  <c r="Q77" i="10"/>
  <c r="P77" i="10"/>
  <c r="J77" i="10"/>
  <c r="H68" i="10"/>
  <c r="G62" i="10"/>
  <c r="T53" i="10"/>
  <c r="S53" i="10"/>
  <c r="R53" i="10"/>
  <c r="Q53" i="10"/>
  <c r="P53" i="10"/>
  <c r="O53" i="10"/>
  <c r="N53" i="10"/>
  <c r="M53" i="10"/>
  <c r="L53" i="10"/>
  <c r="K53" i="10"/>
  <c r="J53" i="10"/>
  <c r="I53" i="10"/>
  <c r="H53" i="10"/>
  <c r="T52" i="10"/>
  <c r="S52" i="10"/>
  <c r="R52" i="10"/>
  <c r="Q52" i="10"/>
  <c r="P52" i="10"/>
  <c r="O52" i="10"/>
  <c r="N52" i="10"/>
  <c r="M52" i="10"/>
  <c r="L52" i="10"/>
  <c r="K52" i="10"/>
  <c r="J52" i="10"/>
  <c r="I52" i="10"/>
  <c r="H52" i="10"/>
  <c r="T50" i="10"/>
  <c r="S50" i="10"/>
  <c r="R50" i="10"/>
  <c r="Q50" i="10"/>
  <c r="P50" i="10"/>
  <c r="O50" i="10"/>
  <c r="N50" i="10"/>
  <c r="M50" i="10"/>
  <c r="L50" i="10"/>
  <c r="K50" i="10"/>
  <c r="J50" i="10"/>
  <c r="I50" i="10"/>
  <c r="H50" i="10"/>
  <c r="T45" i="10"/>
  <c r="R45" i="10"/>
  <c r="Q45" i="10"/>
  <c r="P45" i="10"/>
  <c r="O45" i="10"/>
  <c r="N45" i="10"/>
  <c r="H45" i="10"/>
  <c r="H36" i="10"/>
  <c r="F27" i="10"/>
  <c r="E27" i="10"/>
  <c r="E17" i="10"/>
  <c r="E8" i="10"/>
  <c r="G108" i="9"/>
  <c r="G105" i="9"/>
  <c r="G104" i="9"/>
  <c r="T96" i="9"/>
  <c r="S96" i="9"/>
  <c r="R96" i="9"/>
  <c r="Q96" i="9"/>
  <c r="P96" i="9"/>
  <c r="O96" i="9"/>
  <c r="N96" i="9"/>
  <c r="M96" i="9"/>
  <c r="L96" i="9"/>
  <c r="K96" i="9"/>
  <c r="J96" i="9"/>
  <c r="I96" i="9"/>
  <c r="H96" i="9"/>
  <c r="H89" i="9"/>
  <c r="G77" i="9"/>
  <c r="G76" i="9"/>
  <c r="G75" i="9"/>
  <c r="T67" i="9"/>
  <c r="S67" i="9"/>
  <c r="R67" i="9"/>
  <c r="Q67" i="9"/>
  <c r="P67" i="9"/>
  <c r="O67" i="9"/>
  <c r="N67" i="9"/>
  <c r="M67" i="9"/>
  <c r="L67" i="9"/>
  <c r="K67" i="9"/>
  <c r="J67" i="9"/>
  <c r="I67" i="9"/>
  <c r="H67" i="9"/>
  <c r="H60" i="9"/>
  <c r="H49" i="9"/>
  <c r="H47" i="9"/>
  <c r="H51" i="9" s="1"/>
  <c r="H805" i="16" s="1"/>
  <c r="H42" i="9"/>
  <c r="H78" i="10" s="1"/>
  <c r="H40" i="9"/>
  <c r="H38" i="9"/>
  <c r="H32" i="9"/>
  <c r="H46" i="10" s="1"/>
  <c r="H30" i="9"/>
  <c r="H34" i="9" s="1"/>
  <c r="T25" i="9"/>
  <c r="S25" i="9"/>
  <c r="R25" i="9"/>
  <c r="Q25" i="9"/>
  <c r="P25" i="9"/>
  <c r="O25" i="9"/>
  <c r="N25" i="9"/>
  <c r="M25" i="9"/>
  <c r="L25" i="9"/>
  <c r="K25" i="9"/>
  <c r="J25" i="9"/>
  <c r="I25" i="9"/>
  <c r="H25" i="9"/>
  <c r="K23" i="9"/>
  <c r="M22" i="9"/>
  <c r="K22" i="9"/>
  <c r="J22" i="9"/>
  <c r="H19" i="9"/>
  <c r="I16" i="9"/>
  <c r="H16" i="9"/>
  <c r="Q15" i="9"/>
  <c r="Q16" i="9" s="1"/>
  <c r="O15" i="9"/>
  <c r="O16" i="9" s="1"/>
  <c r="K15" i="9"/>
  <c r="K16" i="9" s="1"/>
  <c r="J15" i="9"/>
  <c r="J16" i="9" s="1"/>
  <c r="J23" i="9" s="1"/>
  <c r="I15" i="9"/>
  <c r="H15" i="9"/>
  <c r="G14" i="9"/>
  <c r="T13" i="9"/>
  <c r="S13" i="9"/>
  <c r="R13" i="9"/>
  <c r="Q13" i="9"/>
  <c r="P13" i="9"/>
  <c r="O13" i="9"/>
  <c r="O77" i="10" s="1"/>
  <c r="N13" i="9"/>
  <c r="N77" i="10" s="1"/>
  <c r="M13" i="9"/>
  <c r="L13" i="9"/>
  <c r="J13" i="9"/>
  <c r="J45" i="10" s="1"/>
  <c r="I13" i="9"/>
  <c r="I45" i="10" s="1"/>
  <c r="H13" i="9"/>
  <c r="H77" i="10" s="1"/>
  <c r="I12" i="9"/>
  <c r="I14" i="9" s="1"/>
  <c r="J12" i="9" s="1"/>
  <c r="J14" i="9" s="1"/>
  <c r="H12" i="9"/>
  <c r="H14" i="9" s="1"/>
  <c r="G10" i="9"/>
  <c r="G20" i="9" s="1"/>
  <c r="H9" i="9"/>
  <c r="H44" i="10" s="1"/>
  <c r="H8" i="9"/>
  <c r="P119" i="8"/>
  <c r="P191" i="11" s="1"/>
  <c r="P611" i="17" s="1"/>
  <c r="P612" i="17" s="1"/>
  <c r="I119" i="8"/>
  <c r="I191" i="11" s="1"/>
  <c r="I611" i="17" s="1"/>
  <c r="I612" i="17" s="1"/>
  <c r="G118" i="8"/>
  <c r="G192" i="11" s="1"/>
  <c r="G616" i="17" s="1"/>
  <c r="G617" i="17" s="1"/>
  <c r="Q113" i="8"/>
  <c r="Q242" i="12" s="1"/>
  <c r="Q262" i="17" s="1"/>
  <c r="Q263" i="17" s="1"/>
  <c r="I113" i="8"/>
  <c r="I242" i="12" s="1"/>
  <c r="I262" i="17" s="1"/>
  <c r="I263" i="17" s="1"/>
  <c r="G112" i="8"/>
  <c r="B96" i="8"/>
  <c r="B92" i="8"/>
  <c r="B88" i="8"/>
  <c r="Q82" i="8"/>
  <c r="Q635" i="16" s="1"/>
  <c r="P82" i="8"/>
  <c r="P635" i="16" s="1"/>
  <c r="O82" i="8"/>
  <c r="O635" i="16" s="1"/>
  <c r="J82" i="8"/>
  <c r="J635" i="16" s="1"/>
  <c r="I82" i="8"/>
  <c r="I635" i="16" s="1"/>
  <c r="T78" i="8"/>
  <c r="T602" i="16" s="1"/>
  <c r="S78" i="8"/>
  <c r="S602" i="16" s="1"/>
  <c r="Q78" i="8"/>
  <c r="S74" i="8"/>
  <c r="S569" i="16" s="1"/>
  <c r="Q74" i="8"/>
  <c r="Q569" i="16" s="1"/>
  <c r="J74" i="8"/>
  <c r="J569" i="16" s="1"/>
  <c r="I70" i="8"/>
  <c r="I535" i="16" s="1"/>
  <c r="T66" i="8"/>
  <c r="T502" i="16" s="1"/>
  <c r="S66" i="8"/>
  <c r="S502" i="16" s="1"/>
  <c r="Q66" i="8"/>
  <c r="Q502" i="16" s="1"/>
  <c r="M66" i="8"/>
  <c r="M502" i="16" s="1"/>
  <c r="L66" i="8"/>
  <c r="L502" i="16" s="1"/>
  <c r="Q62" i="8"/>
  <c r="Q469" i="16" s="1"/>
  <c r="L62" i="8"/>
  <c r="L469" i="16" s="1"/>
  <c r="O58" i="8"/>
  <c r="O436" i="16" s="1"/>
  <c r="K58" i="8"/>
  <c r="K436" i="16" s="1"/>
  <c r="N46" i="8"/>
  <c r="N331" i="16" s="1"/>
  <c r="M46" i="8"/>
  <c r="M331" i="16" s="1"/>
  <c r="L46" i="8"/>
  <c r="L331" i="16" s="1"/>
  <c r="O42" i="8"/>
  <c r="O295" i="16" s="1"/>
  <c r="N42" i="8"/>
  <c r="N295" i="16" s="1"/>
  <c r="M42" i="8"/>
  <c r="M295" i="16" s="1"/>
  <c r="K42" i="8"/>
  <c r="K295" i="16" s="1"/>
  <c r="J42" i="8"/>
  <c r="J295" i="16" s="1"/>
  <c r="I42" i="8"/>
  <c r="I295" i="16" s="1"/>
  <c r="T9" i="8"/>
  <c r="T119" i="8" s="1"/>
  <c r="S9" i="8"/>
  <c r="S119" i="8" s="1"/>
  <c r="S191" i="11" s="1"/>
  <c r="S611" i="17" s="1"/>
  <c r="S612" i="17" s="1"/>
  <c r="R9" i="8"/>
  <c r="R113" i="8" s="1"/>
  <c r="R242" i="12" s="1"/>
  <c r="R262" i="17" s="1"/>
  <c r="R263" i="17" s="1"/>
  <c r="Q9" i="8"/>
  <c r="Q119" i="8" s="1"/>
  <c r="P9" i="8"/>
  <c r="P113" i="8" s="1"/>
  <c r="K9" i="8"/>
  <c r="J9" i="8"/>
  <c r="I9" i="8"/>
  <c r="T8" i="8"/>
  <c r="S8" i="8"/>
  <c r="R8" i="8"/>
  <c r="Q8" i="8"/>
  <c r="P8" i="8"/>
  <c r="O8" i="8"/>
  <c r="N8" i="8"/>
  <c r="M8" i="8"/>
  <c r="L8" i="8"/>
  <c r="K8" i="8"/>
  <c r="J8" i="8"/>
  <c r="I8" i="8"/>
  <c r="H8" i="8"/>
  <c r="T7" i="8"/>
  <c r="S7" i="8"/>
  <c r="R7" i="8"/>
  <c r="Q7" i="8"/>
  <c r="P7" i="8"/>
  <c r="O7" i="8"/>
  <c r="N7" i="8"/>
  <c r="M7" i="8"/>
  <c r="L7" i="8"/>
  <c r="K7" i="8"/>
  <c r="J7" i="8"/>
  <c r="I7" i="8"/>
  <c r="H7" i="8"/>
  <c r="E374" i="7"/>
  <c r="K371" i="7"/>
  <c r="L371" i="7" s="1"/>
  <c r="B352" i="7"/>
  <c r="B351" i="7"/>
  <c r="B350" i="7"/>
  <c r="B349" i="7"/>
  <c r="B348" i="7"/>
  <c r="R345" i="7"/>
  <c r="B345" i="7"/>
  <c r="T344" i="7"/>
  <c r="S344" i="7"/>
  <c r="R344" i="7"/>
  <c r="Q344" i="7"/>
  <c r="B344" i="7"/>
  <c r="J343" i="7"/>
  <c r="B343" i="7"/>
  <c r="Q342" i="7"/>
  <c r="M342" i="7"/>
  <c r="B342" i="7"/>
  <c r="B341" i="7"/>
  <c r="G334" i="7"/>
  <c r="H329" i="7" s="1"/>
  <c r="T333" i="7"/>
  <c r="S333" i="7"/>
  <c r="R333" i="7"/>
  <c r="Q333" i="7"/>
  <c r="P333" i="7"/>
  <c r="M333" i="7"/>
  <c r="G326" i="7"/>
  <c r="T325" i="7"/>
  <c r="S325" i="7"/>
  <c r="Q325" i="7"/>
  <c r="P325" i="7"/>
  <c r="O325" i="7"/>
  <c r="N325" i="7"/>
  <c r="M325" i="7"/>
  <c r="T316" i="7"/>
  <c r="S316" i="7"/>
  <c r="S220" i="11" s="1"/>
  <c r="R316" i="7"/>
  <c r="R325" i="7" s="1"/>
  <c r="Q316" i="7"/>
  <c r="Q70" i="12" s="1"/>
  <c r="P316" i="7"/>
  <c r="P271" i="12" s="1"/>
  <c r="O316" i="7"/>
  <c r="N316" i="7"/>
  <c r="M316" i="7"/>
  <c r="L316" i="7"/>
  <c r="K316" i="7"/>
  <c r="J316" i="7"/>
  <c r="I316" i="7"/>
  <c r="B306" i="7"/>
  <c r="B305" i="7"/>
  <c r="B304" i="7"/>
  <c r="G288" i="7"/>
  <c r="G286" i="7"/>
  <c r="G285" i="7"/>
  <c r="B279" i="7"/>
  <c r="B278" i="7"/>
  <c r="B277" i="7"/>
  <c r="B252" i="7"/>
  <c r="B251" i="7"/>
  <c r="B250" i="7"/>
  <c r="G191" i="7"/>
  <c r="L190" i="7"/>
  <c r="K190" i="7"/>
  <c r="J190" i="7"/>
  <c r="S189" i="7"/>
  <c r="S190" i="7" s="1"/>
  <c r="R189" i="7"/>
  <c r="R190" i="7" s="1"/>
  <c r="Q189" i="7"/>
  <c r="Q190" i="7" s="1"/>
  <c r="P189" i="7"/>
  <c r="P190" i="7" s="1"/>
  <c r="N189" i="7"/>
  <c r="N190" i="7" s="1"/>
  <c r="M189" i="7"/>
  <c r="M190" i="7" s="1"/>
  <c r="H189" i="7"/>
  <c r="P186" i="7"/>
  <c r="O186" i="7"/>
  <c r="M186" i="7"/>
  <c r="K186" i="7"/>
  <c r="I186" i="7"/>
  <c r="H186" i="7"/>
  <c r="T185" i="7"/>
  <c r="T186" i="7" s="1"/>
  <c r="S185" i="7"/>
  <c r="S186" i="7" s="1"/>
  <c r="R185" i="7"/>
  <c r="R186" i="7" s="1"/>
  <c r="Q185" i="7"/>
  <c r="Q186" i="7" s="1"/>
  <c r="P185" i="7"/>
  <c r="O185" i="7"/>
  <c r="N185" i="7"/>
  <c r="N186" i="7" s="1"/>
  <c r="M185" i="7"/>
  <c r="L185" i="7"/>
  <c r="L186" i="7" s="1"/>
  <c r="K185" i="7"/>
  <c r="J185" i="7"/>
  <c r="J186" i="7" s="1"/>
  <c r="I185" i="7"/>
  <c r="H185" i="7"/>
  <c r="H182" i="7"/>
  <c r="H181" i="7"/>
  <c r="G179" i="7"/>
  <c r="T175" i="7"/>
  <c r="T189" i="7" s="1"/>
  <c r="T190" i="7" s="1"/>
  <c r="S175" i="7"/>
  <c r="R175" i="7"/>
  <c r="Q175" i="7"/>
  <c r="P175" i="7"/>
  <c r="O175" i="7"/>
  <c r="O189" i="7" s="1"/>
  <c r="O190" i="7" s="1"/>
  <c r="N175" i="7"/>
  <c r="M175" i="7"/>
  <c r="L175" i="7"/>
  <c r="L189" i="7" s="1"/>
  <c r="K175" i="7"/>
  <c r="K189" i="7" s="1"/>
  <c r="J175" i="7"/>
  <c r="J189" i="7" s="1"/>
  <c r="I175" i="7"/>
  <c r="I189" i="7" s="1"/>
  <c r="I190" i="7" s="1"/>
  <c r="H175" i="7"/>
  <c r="T169" i="7"/>
  <c r="S169" i="7"/>
  <c r="Q169" i="7"/>
  <c r="H169" i="7"/>
  <c r="H168" i="7"/>
  <c r="B163" i="7"/>
  <c r="B159" i="7"/>
  <c r="B155" i="7"/>
  <c r="J121" i="7"/>
  <c r="H121" i="7"/>
  <c r="H109" i="7"/>
  <c r="H103" i="7"/>
  <c r="H89" i="7"/>
  <c r="E87" i="7"/>
  <c r="B74" i="7"/>
  <c r="B73" i="7"/>
  <c r="B72" i="7"/>
  <c r="T52" i="7"/>
  <c r="S52" i="7"/>
  <c r="R52" i="7"/>
  <c r="Q52" i="7"/>
  <c r="P52" i="7"/>
  <c r="O52" i="7"/>
  <c r="N52" i="7"/>
  <c r="M52" i="7"/>
  <c r="L52" i="7"/>
  <c r="K52" i="7"/>
  <c r="J52" i="7"/>
  <c r="I52" i="7"/>
  <c r="H52" i="7"/>
  <c r="G52" i="7"/>
  <c r="T51" i="7"/>
  <c r="S51" i="7"/>
  <c r="R51" i="7"/>
  <c r="Q51" i="7"/>
  <c r="P51" i="7"/>
  <c r="O51" i="7"/>
  <c r="N51" i="7"/>
  <c r="M51" i="7"/>
  <c r="L51" i="7"/>
  <c r="K51" i="7"/>
  <c r="J51" i="7"/>
  <c r="I51" i="7"/>
  <c r="H51" i="7"/>
  <c r="G51" i="7"/>
  <c r="B47" i="7"/>
  <c r="F44" i="7"/>
  <c r="D44" i="7"/>
  <c r="L43" i="7"/>
  <c r="F43" i="7"/>
  <c r="D43" i="7"/>
  <c r="B43" i="7"/>
  <c r="L42" i="7"/>
  <c r="F42" i="7"/>
  <c r="D42" i="7"/>
  <c r="B42" i="7"/>
  <c r="L41" i="7"/>
  <c r="F41" i="7"/>
  <c r="D41" i="7"/>
  <c r="B41" i="7"/>
  <c r="D40" i="7"/>
  <c r="D39" i="7"/>
  <c r="D38" i="7"/>
  <c r="F37" i="7"/>
  <c r="D37" i="7"/>
  <c r="D36" i="7"/>
  <c r="F35" i="7"/>
  <c r="D35" i="7"/>
  <c r="D34" i="7"/>
  <c r="F33" i="7"/>
  <c r="D33" i="7"/>
  <c r="G24" i="7"/>
  <c r="B22" i="7"/>
  <c r="B21" i="7"/>
  <c r="B20" i="7"/>
  <c r="E18" i="7"/>
  <c r="G15" i="7"/>
  <c r="G14" i="7"/>
  <c r="G13" i="7"/>
  <c r="G12" i="7"/>
  <c r="G11" i="7"/>
  <c r="G10" i="7"/>
  <c r="G9" i="7"/>
  <c r="F34" i="7" s="1"/>
  <c r="G8" i="7"/>
  <c r="T82" i="6"/>
  <c r="T624" i="16" s="1"/>
  <c r="S82" i="6"/>
  <c r="S624" i="16" s="1"/>
  <c r="R82" i="6"/>
  <c r="R624" i="16" s="1"/>
  <c r="Q82" i="6"/>
  <c r="Q624" i="16" s="1"/>
  <c r="P82" i="6"/>
  <c r="P624" i="16" s="1"/>
  <c r="O82" i="6"/>
  <c r="O624" i="16" s="1"/>
  <c r="N82" i="6"/>
  <c r="M82" i="6"/>
  <c r="L82" i="6"/>
  <c r="K82" i="6"/>
  <c r="J82" i="6"/>
  <c r="I82" i="6"/>
  <c r="I624" i="16" s="1"/>
  <c r="H82" i="6"/>
  <c r="H624" i="16" s="1"/>
  <c r="I76" i="6"/>
  <c r="H76" i="6"/>
  <c r="Q74" i="6"/>
  <c r="Q75" i="6" s="1"/>
  <c r="P74" i="6"/>
  <c r="P75" i="6" s="1"/>
  <c r="J74" i="6"/>
  <c r="J75" i="6" s="1"/>
  <c r="Q73" i="6"/>
  <c r="P73" i="6"/>
  <c r="P621" i="16" s="1"/>
  <c r="I73" i="6"/>
  <c r="I621" i="16" s="1"/>
  <c r="H73" i="6"/>
  <c r="H621" i="16" s="1"/>
  <c r="T72" i="6"/>
  <c r="S72" i="6"/>
  <c r="R72" i="6"/>
  <c r="Q72" i="6"/>
  <c r="P72" i="6"/>
  <c r="O72" i="6"/>
  <c r="N72" i="6"/>
  <c r="M72" i="6"/>
  <c r="L72" i="6"/>
  <c r="K72" i="6"/>
  <c r="J72" i="6"/>
  <c r="I72" i="6"/>
  <c r="H72" i="6"/>
  <c r="H71" i="6"/>
  <c r="H74" i="6" s="1"/>
  <c r="H75" i="6" s="1"/>
  <c r="T70" i="6"/>
  <c r="T71" i="6" s="1"/>
  <c r="T74" i="6" s="1"/>
  <c r="T75" i="6" s="1"/>
  <c r="T69" i="6"/>
  <c r="S69" i="6"/>
  <c r="S70" i="6" s="1"/>
  <c r="S71" i="6" s="1"/>
  <c r="S74" i="6" s="1"/>
  <c r="S75" i="6" s="1"/>
  <c r="R69" i="6"/>
  <c r="R70" i="6" s="1"/>
  <c r="R71" i="6" s="1"/>
  <c r="R74" i="6" s="1"/>
  <c r="R75" i="6" s="1"/>
  <c r="Q69" i="6"/>
  <c r="Q70" i="6" s="1"/>
  <c r="Q71" i="6" s="1"/>
  <c r="P69" i="6"/>
  <c r="P70" i="6" s="1"/>
  <c r="P71" i="6" s="1"/>
  <c r="O69" i="6"/>
  <c r="N69" i="6"/>
  <c r="M69" i="6"/>
  <c r="L69" i="6"/>
  <c r="K69" i="6"/>
  <c r="J69" i="6"/>
  <c r="J70" i="6" s="1"/>
  <c r="J71" i="6" s="1"/>
  <c r="I69" i="6"/>
  <c r="I70" i="6" s="1"/>
  <c r="I71" i="6" s="1"/>
  <c r="I74" i="6" s="1"/>
  <c r="I75" i="6" s="1"/>
  <c r="H69" i="6"/>
  <c r="H70" i="6" s="1"/>
  <c r="T60" i="6"/>
  <c r="T591" i="16" s="1"/>
  <c r="S60" i="6"/>
  <c r="S591" i="16" s="1"/>
  <c r="R60" i="6"/>
  <c r="R591" i="16" s="1"/>
  <c r="Q60" i="6"/>
  <c r="P60" i="6"/>
  <c r="P591" i="16" s="1"/>
  <c r="O60" i="6"/>
  <c r="O591" i="16" s="1"/>
  <c r="N60" i="6"/>
  <c r="M60" i="6"/>
  <c r="L60" i="6"/>
  <c r="K60" i="6"/>
  <c r="J60" i="6"/>
  <c r="I60" i="6"/>
  <c r="I234" i="5" s="1"/>
  <c r="H60" i="6"/>
  <c r="H78" i="8" s="1"/>
  <c r="H602" i="16" s="1"/>
  <c r="S50" i="6"/>
  <c r="S588" i="16" s="1"/>
  <c r="R50" i="6"/>
  <c r="R588" i="16" s="1"/>
  <c r="P50" i="6"/>
  <c r="P588" i="16" s="1"/>
  <c r="O50" i="6"/>
  <c r="O588" i="16" s="1"/>
  <c r="P49" i="6"/>
  <c r="P53" i="6" s="1"/>
  <c r="N49" i="6"/>
  <c r="T48" i="6"/>
  <c r="S48" i="6"/>
  <c r="R48" i="6"/>
  <c r="Q48" i="6"/>
  <c r="P48" i="6"/>
  <c r="O48" i="6"/>
  <c r="N48" i="6"/>
  <c r="N50" i="6" s="1"/>
  <c r="N588" i="16" s="1"/>
  <c r="M48" i="6"/>
  <c r="L48" i="6"/>
  <c r="L50" i="6" s="1"/>
  <c r="L588" i="16" s="1"/>
  <c r="K48" i="6"/>
  <c r="J48" i="6"/>
  <c r="I48" i="6"/>
  <c r="H48" i="6"/>
  <c r="R47" i="6"/>
  <c r="P47" i="6"/>
  <c r="O47" i="6"/>
  <c r="M47" i="6"/>
  <c r="K47" i="6"/>
  <c r="J47" i="6"/>
  <c r="I47" i="6"/>
  <c r="H47" i="6"/>
  <c r="H51" i="6" s="1"/>
  <c r="H52" i="6" s="1"/>
  <c r="T46" i="6"/>
  <c r="T47" i="6" s="1"/>
  <c r="S46" i="6"/>
  <c r="S47" i="6" s="1"/>
  <c r="S51" i="6" s="1"/>
  <c r="S52" i="6" s="1"/>
  <c r="R46" i="6"/>
  <c r="Q46" i="6"/>
  <c r="Q47" i="6" s="1"/>
  <c r="P46" i="6"/>
  <c r="O46" i="6"/>
  <c r="N46" i="6"/>
  <c r="N47" i="6" s="1"/>
  <c r="M46" i="6"/>
  <c r="L46" i="6"/>
  <c r="L47" i="6" s="1"/>
  <c r="K46" i="6"/>
  <c r="J46" i="6"/>
  <c r="I46" i="6"/>
  <c r="H46" i="6"/>
  <c r="T45" i="6"/>
  <c r="T49" i="6" s="1"/>
  <c r="T53" i="6" s="1"/>
  <c r="S45" i="6"/>
  <c r="S49" i="6" s="1"/>
  <c r="S53" i="6" s="1"/>
  <c r="R45" i="6"/>
  <c r="R49" i="6" s="1"/>
  <c r="P45" i="6"/>
  <c r="N45" i="6"/>
  <c r="L45" i="6"/>
  <c r="L49" i="6" s="1"/>
  <c r="L53" i="6" s="1"/>
  <c r="K45" i="6"/>
  <c r="J45" i="6"/>
  <c r="J49" i="6" s="1"/>
  <c r="H45" i="6"/>
  <c r="H49" i="6" s="1"/>
  <c r="H53" i="6" s="1"/>
  <c r="T44" i="6"/>
  <c r="T50" i="6" s="1"/>
  <c r="T588" i="16" s="1"/>
  <c r="S44" i="6"/>
  <c r="R44" i="6"/>
  <c r="Q44" i="6"/>
  <c r="Q45" i="6" s="1"/>
  <c r="Q49" i="6" s="1"/>
  <c r="P44" i="6"/>
  <c r="O44" i="6"/>
  <c r="O45" i="6" s="1"/>
  <c r="O49" i="6" s="1"/>
  <c r="O53" i="6" s="1"/>
  <c r="N44" i="6"/>
  <c r="M44" i="6"/>
  <c r="M50" i="6" s="1"/>
  <c r="M588" i="16" s="1"/>
  <c r="L44" i="6"/>
  <c r="K44" i="6"/>
  <c r="J44" i="6"/>
  <c r="J50" i="6" s="1"/>
  <c r="J588" i="16" s="1"/>
  <c r="I44" i="6"/>
  <c r="H44" i="6"/>
  <c r="H50" i="6" s="1"/>
  <c r="H588" i="16" s="1"/>
  <c r="T35" i="6"/>
  <c r="S35" i="6"/>
  <c r="R35" i="6"/>
  <c r="Q35" i="6"/>
  <c r="P35" i="6"/>
  <c r="P233" i="5" s="1"/>
  <c r="O35" i="6"/>
  <c r="N35" i="6"/>
  <c r="M35" i="6"/>
  <c r="L35" i="6"/>
  <c r="K35" i="6"/>
  <c r="J35" i="6"/>
  <c r="I35" i="6"/>
  <c r="H35" i="6"/>
  <c r="L27" i="6"/>
  <c r="K27" i="6"/>
  <c r="R26" i="6"/>
  <c r="R27" i="6" s="1"/>
  <c r="I26" i="6"/>
  <c r="I27" i="6" s="1"/>
  <c r="H26" i="6"/>
  <c r="H27" i="6" s="1"/>
  <c r="T25" i="6"/>
  <c r="T555" i="16" s="1"/>
  <c r="L25" i="6"/>
  <c r="L555" i="16" s="1"/>
  <c r="K25" i="6"/>
  <c r="J25" i="6"/>
  <c r="J555" i="16" s="1"/>
  <c r="I25" i="6"/>
  <c r="I555" i="16" s="1"/>
  <c r="K24" i="6"/>
  <c r="I24" i="6"/>
  <c r="I28" i="6" s="1"/>
  <c r="H24" i="6"/>
  <c r="T23" i="6"/>
  <c r="S23" i="6"/>
  <c r="R23" i="6"/>
  <c r="Q23" i="6"/>
  <c r="P23" i="6"/>
  <c r="O23" i="6"/>
  <c r="N23" i="6"/>
  <c r="M23" i="6"/>
  <c r="L23" i="6"/>
  <c r="K23" i="6"/>
  <c r="J23" i="6"/>
  <c r="J24" i="6" s="1"/>
  <c r="J28" i="6" s="1"/>
  <c r="I23" i="6"/>
  <c r="H23" i="6"/>
  <c r="H25" i="6" s="1"/>
  <c r="H555" i="16" s="1"/>
  <c r="T22" i="6"/>
  <c r="T24" i="6" s="1"/>
  <c r="S22" i="6"/>
  <c r="R22" i="6"/>
  <c r="Q22" i="6"/>
  <c r="P22" i="6"/>
  <c r="O22" i="6"/>
  <c r="N22" i="6"/>
  <c r="M22" i="6"/>
  <c r="L22" i="6"/>
  <c r="L24" i="6" s="1"/>
  <c r="K22" i="6"/>
  <c r="J22" i="6"/>
  <c r="I22" i="6"/>
  <c r="H22" i="6"/>
  <c r="S21" i="6"/>
  <c r="P21" i="6"/>
  <c r="O21" i="6"/>
  <c r="N21" i="6"/>
  <c r="N26" i="6" s="1"/>
  <c r="N27" i="6" s="1"/>
  <c r="P20" i="6"/>
  <c r="O20" i="6"/>
  <c r="N20" i="6"/>
  <c r="M20" i="6"/>
  <c r="M21" i="6" s="1"/>
  <c r="M26" i="6" s="1"/>
  <c r="M27" i="6" s="1"/>
  <c r="L20" i="6"/>
  <c r="L21" i="6" s="1"/>
  <c r="L26" i="6" s="1"/>
  <c r="K20" i="6"/>
  <c r="K21" i="6" s="1"/>
  <c r="K26" i="6" s="1"/>
  <c r="I20" i="6"/>
  <c r="I21" i="6" s="1"/>
  <c r="T19" i="6"/>
  <c r="T20" i="6" s="1"/>
  <c r="T21" i="6" s="1"/>
  <c r="T26" i="6" s="1"/>
  <c r="T27" i="6" s="1"/>
  <c r="S19" i="6"/>
  <c r="S20" i="6" s="1"/>
  <c r="R19" i="6"/>
  <c r="R20" i="6" s="1"/>
  <c r="R21" i="6" s="1"/>
  <c r="Q19" i="6"/>
  <c r="Q20" i="6" s="1"/>
  <c r="Q21" i="6" s="1"/>
  <c r="Q26" i="6" s="1"/>
  <c r="Q27" i="6" s="1"/>
  <c r="P19" i="6"/>
  <c r="O19" i="6"/>
  <c r="N19" i="6"/>
  <c r="M19" i="6"/>
  <c r="L19" i="6"/>
  <c r="K19" i="6"/>
  <c r="J19" i="6"/>
  <c r="J20" i="6" s="1"/>
  <c r="J21" i="6" s="1"/>
  <c r="J26" i="6" s="1"/>
  <c r="J27" i="6" s="1"/>
  <c r="I19" i="6"/>
  <c r="H19" i="6"/>
  <c r="H20" i="6" s="1"/>
  <c r="H21" i="6" s="1"/>
  <c r="O17" i="6"/>
  <c r="O16" i="6"/>
  <c r="O15" i="6"/>
  <c r="I15" i="6"/>
  <c r="I16" i="6" s="1"/>
  <c r="H15" i="6"/>
  <c r="H16" i="6" s="1"/>
  <c r="P14" i="6"/>
  <c r="O14" i="6"/>
  <c r="O554" i="16" s="1"/>
  <c r="M14" i="6"/>
  <c r="M554" i="16" s="1"/>
  <c r="L14" i="6"/>
  <c r="L554" i="16" s="1"/>
  <c r="K14" i="6"/>
  <c r="K554" i="16" s="1"/>
  <c r="J14" i="6"/>
  <c r="J554" i="16" s="1"/>
  <c r="I14" i="6"/>
  <c r="I554" i="16" s="1"/>
  <c r="O13" i="6"/>
  <c r="N13" i="6"/>
  <c r="M13" i="6"/>
  <c r="I13" i="6"/>
  <c r="I17" i="6" s="1"/>
  <c r="H13" i="6"/>
  <c r="H17" i="6" s="1"/>
  <c r="T12" i="6"/>
  <c r="T14" i="6" s="1"/>
  <c r="T554" i="16" s="1"/>
  <c r="S12" i="6"/>
  <c r="R12" i="6"/>
  <c r="Q12" i="6"/>
  <c r="P12" i="6"/>
  <c r="O12" i="6"/>
  <c r="N12" i="6"/>
  <c r="N14" i="6" s="1"/>
  <c r="M12" i="6"/>
  <c r="L12" i="6"/>
  <c r="K12" i="6"/>
  <c r="J12" i="6"/>
  <c r="I12" i="6"/>
  <c r="H12" i="6"/>
  <c r="H14" i="6" s="1"/>
  <c r="H554" i="16" s="1"/>
  <c r="T11" i="6"/>
  <c r="S11" i="6"/>
  <c r="R11" i="6"/>
  <c r="Q11" i="6"/>
  <c r="P11" i="6"/>
  <c r="P13" i="6" s="1"/>
  <c r="P17" i="6" s="1"/>
  <c r="O11" i="6"/>
  <c r="N11" i="6"/>
  <c r="M11" i="6"/>
  <c r="L11" i="6"/>
  <c r="K11" i="6"/>
  <c r="K13" i="6" s="1"/>
  <c r="K17" i="6" s="1"/>
  <c r="J11" i="6"/>
  <c r="J13" i="6" s="1"/>
  <c r="J17" i="6" s="1"/>
  <c r="I11" i="6"/>
  <c r="H11" i="6"/>
  <c r="T10" i="6"/>
  <c r="S10" i="6"/>
  <c r="R10" i="6"/>
  <c r="P10" i="6"/>
  <c r="L10" i="6"/>
  <c r="K10" i="6"/>
  <c r="K15" i="6" s="1"/>
  <c r="K16" i="6" s="1"/>
  <c r="P9" i="6"/>
  <c r="O9" i="6"/>
  <c r="O10" i="6" s="1"/>
  <c r="K9" i="6"/>
  <c r="J9" i="6"/>
  <c r="J10" i="6" s="1"/>
  <c r="J15" i="6" s="1"/>
  <c r="J16" i="6" s="1"/>
  <c r="I9" i="6"/>
  <c r="I10" i="6" s="1"/>
  <c r="H9" i="6"/>
  <c r="H10" i="6" s="1"/>
  <c r="T8" i="6"/>
  <c r="T9" i="6" s="1"/>
  <c r="S8" i="6"/>
  <c r="S9" i="6" s="1"/>
  <c r="R8" i="6"/>
  <c r="R9" i="6" s="1"/>
  <c r="Q8" i="6"/>
  <c r="Q9" i="6" s="1"/>
  <c r="Q10" i="6" s="1"/>
  <c r="P8" i="6"/>
  <c r="O8" i="6"/>
  <c r="N8" i="6"/>
  <c r="N9" i="6" s="1"/>
  <c r="N10" i="6" s="1"/>
  <c r="M8" i="6"/>
  <c r="M9" i="6" s="1"/>
  <c r="M10" i="6" s="1"/>
  <c r="L8" i="6"/>
  <c r="L9" i="6" s="1"/>
  <c r="K8" i="6"/>
  <c r="J8" i="6"/>
  <c r="I8" i="6"/>
  <c r="H8" i="6"/>
  <c r="T299" i="5"/>
  <c r="S299" i="5"/>
  <c r="S420" i="15" s="1"/>
  <c r="R299" i="5"/>
  <c r="R66" i="12" s="1"/>
  <c r="Q299" i="5"/>
  <c r="P299" i="5"/>
  <c r="O299" i="5"/>
  <c r="N299" i="5"/>
  <c r="M299" i="5"/>
  <c r="L299" i="5"/>
  <c r="K299" i="5"/>
  <c r="J299" i="5"/>
  <c r="J409" i="15" s="1"/>
  <c r="I299" i="5"/>
  <c r="B293" i="5"/>
  <c r="B292" i="5"/>
  <c r="B291" i="5"/>
  <c r="T266" i="5"/>
  <c r="S266" i="5"/>
  <c r="R266" i="5"/>
  <c r="P266" i="5"/>
  <c r="O266" i="5"/>
  <c r="H266" i="5"/>
  <c r="B266" i="5"/>
  <c r="R265" i="5"/>
  <c r="Q265" i="5"/>
  <c r="P265" i="5"/>
  <c r="O265" i="5"/>
  <c r="N265" i="5"/>
  <c r="M265" i="5"/>
  <c r="L265" i="5"/>
  <c r="H265" i="5"/>
  <c r="B265" i="5"/>
  <c r="T264" i="5"/>
  <c r="S264" i="5"/>
  <c r="Q264" i="5"/>
  <c r="O264" i="5"/>
  <c r="N264" i="5"/>
  <c r="B264" i="5"/>
  <c r="Q255" i="5"/>
  <c r="P255" i="5"/>
  <c r="N255" i="5"/>
  <c r="M255" i="5"/>
  <c r="L255" i="5"/>
  <c r="K255" i="5"/>
  <c r="I255" i="5"/>
  <c r="T250" i="5"/>
  <c r="P250" i="5"/>
  <c r="O250" i="5"/>
  <c r="N250" i="5"/>
  <c r="M250" i="5"/>
  <c r="L250" i="5"/>
  <c r="K250" i="5"/>
  <c r="H250" i="5"/>
  <c r="B239" i="5"/>
  <c r="B238" i="5"/>
  <c r="B237" i="5"/>
  <c r="T235" i="5"/>
  <c r="S235" i="5"/>
  <c r="R235" i="5"/>
  <c r="R242" i="5" s="1"/>
  <c r="Q235" i="5"/>
  <c r="P235" i="5"/>
  <c r="P242" i="5" s="1"/>
  <c r="O235" i="5"/>
  <c r="I235" i="5"/>
  <c r="H235" i="5"/>
  <c r="T234" i="5"/>
  <c r="S234" i="5"/>
  <c r="R234" i="5"/>
  <c r="Q234" i="5"/>
  <c r="P234" i="5"/>
  <c r="O234" i="5"/>
  <c r="N234" i="5"/>
  <c r="M234" i="5"/>
  <c r="H234" i="5"/>
  <c r="T233" i="5"/>
  <c r="T242" i="5" s="1"/>
  <c r="S233" i="5"/>
  <c r="S242" i="5" s="1"/>
  <c r="R233" i="5"/>
  <c r="Q233" i="5"/>
  <c r="J233" i="5"/>
  <c r="I233" i="5"/>
  <c r="I242" i="5" s="1"/>
  <c r="H233" i="5"/>
  <c r="T232" i="5"/>
  <c r="S232" i="5"/>
  <c r="R232" i="5"/>
  <c r="Q232" i="5"/>
  <c r="P232" i="5"/>
  <c r="K232" i="5"/>
  <c r="I232" i="5"/>
  <c r="H232" i="5"/>
  <c r="Q231" i="5"/>
  <c r="M231" i="5"/>
  <c r="L231" i="5"/>
  <c r="K231" i="5"/>
  <c r="J231" i="5"/>
  <c r="T230" i="5"/>
  <c r="O230" i="5"/>
  <c r="N230" i="5"/>
  <c r="M230" i="5"/>
  <c r="L230" i="5"/>
  <c r="K230" i="5"/>
  <c r="J230" i="5"/>
  <c r="T229" i="5"/>
  <c r="S229" i="5"/>
  <c r="R229" i="5"/>
  <c r="Q229" i="5"/>
  <c r="O229" i="5"/>
  <c r="K229" i="5"/>
  <c r="J229" i="5"/>
  <c r="I229" i="5"/>
  <c r="H229" i="5"/>
  <c r="T226" i="5"/>
  <c r="P226" i="5"/>
  <c r="O226" i="5"/>
  <c r="N226" i="5"/>
  <c r="M226" i="5"/>
  <c r="L226" i="5"/>
  <c r="K226" i="5"/>
  <c r="T225" i="5"/>
  <c r="S225" i="5"/>
  <c r="R225" i="5"/>
  <c r="P225" i="5"/>
  <c r="O225" i="5"/>
  <c r="N225" i="5"/>
  <c r="M225" i="5"/>
  <c r="K225" i="5"/>
  <c r="J225" i="5"/>
  <c r="I225" i="5"/>
  <c r="L209" i="5"/>
  <c r="L801" i="16" s="1"/>
  <c r="R208" i="5"/>
  <c r="P208" i="5"/>
  <c r="O208" i="5"/>
  <c r="N208" i="5"/>
  <c r="M208" i="5"/>
  <c r="L208" i="5"/>
  <c r="K208" i="5"/>
  <c r="J208" i="5"/>
  <c r="Q207" i="5"/>
  <c r="L207" i="5"/>
  <c r="Q202" i="5"/>
  <c r="M202" i="5"/>
  <c r="T197" i="5"/>
  <c r="T763" i="16" s="1"/>
  <c r="S197" i="5"/>
  <c r="S763" i="16" s="1"/>
  <c r="R197" i="5"/>
  <c r="R763" i="16" s="1"/>
  <c r="Q197" i="5"/>
  <c r="Q763" i="16" s="1"/>
  <c r="P197" i="5"/>
  <c r="P763" i="16" s="1"/>
  <c r="O197" i="5"/>
  <c r="O763" i="16" s="1"/>
  <c r="N197" i="5"/>
  <c r="N763" i="16" s="1"/>
  <c r="M197" i="5"/>
  <c r="M763" i="16" s="1"/>
  <c r="L197" i="5"/>
  <c r="K197" i="5"/>
  <c r="J197" i="5"/>
  <c r="I197" i="5"/>
  <c r="H197" i="5"/>
  <c r="B193" i="5"/>
  <c r="T191" i="5"/>
  <c r="S191" i="5"/>
  <c r="R191" i="5"/>
  <c r="R728" i="16" s="1"/>
  <c r="Q191" i="5"/>
  <c r="Q728" i="16" s="1"/>
  <c r="P191" i="5"/>
  <c r="P728" i="16" s="1"/>
  <c r="O191" i="5"/>
  <c r="O728" i="16" s="1"/>
  <c r="N191" i="5"/>
  <c r="N728" i="16" s="1"/>
  <c r="M191" i="5"/>
  <c r="M728" i="16" s="1"/>
  <c r="L191" i="5"/>
  <c r="L728" i="16" s="1"/>
  <c r="K191" i="5"/>
  <c r="J191" i="5"/>
  <c r="I191" i="5"/>
  <c r="H191" i="5"/>
  <c r="H728" i="16" s="1"/>
  <c r="B187" i="5"/>
  <c r="T185" i="5"/>
  <c r="T693" i="16" s="1"/>
  <c r="S185" i="5"/>
  <c r="S693" i="16" s="1"/>
  <c r="R185" i="5"/>
  <c r="R693" i="16" s="1"/>
  <c r="Q185" i="5"/>
  <c r="Q693" i="16" s="1"/>
  <c r="P185" i="5"/>
  <c r="P264" i="5" s="1"/>
  <c r="O185" i="5"/>
  <c r="O693" i="16" s="1"/>
  <c r="N185" i="5"/>
  <c r="N693" i="16" s="1"/>
  <c r="M185" i="5"/>
  <c r="M693" i="16" s="1"/>
  <c r="L185" i="5"/>
  <c r="L264" i="5" s="1"/>
  <c r="K185" i="5"/>
  <c r="J185" i="5"/>
  <c r="I185" i="5"/>
  <c r="H185" i="5"/>
  <c r="H693" i="16" s="1"/>
  <c r="B181" i="5"/>
  <c r="T172" i="5"/>
  <c r="S172" i="5"/>
  <c r="R172" i="5"/>
  <c r="Q172" i="5"/>
  <c r="P172" i="5"/>
  <c r="O172" i="5"/>
  <c r="N172" i="5"/>
  <c r="M172" i="5"/>
  <c r="L172" i="5"/>
  <c r="K172" i="5"/>
  <c r="J172" i="5"/>
  <c r="I172" i="5"/>
  <c r="I1179" i="17" s="1"/>
  <c r="I1180" i="17" s="1"/>
  <c r="H172" i="5"/>
  <c r="T169" i="5"/>
  <c r="S169" i="5"/>
  <c r="R169" i="5"/>
  <c r="Q169" i="5"/>
  <c r="Q1127" i="17" s="1"/>
  <c r="Q1128" i="17" s="1"/>
  <c r="P169" i="5"/>
  <c r="O169" i="5"/>
  <c r="N169" i="5"/>
  <c r="M169" i="5"/>
  <c r="L169" i="5"/>
  <c r="K169" i="5"/>
  <c r="J169" i="5"/>
  <c r="I169" i="5"/>
  <c r="H169" i="5"/>
  <c r="T166" i="5"/>
  <c r="S166" i="5"/>
  <c r="R166" i="5"/>
  <c r="Q166" i="5"/>
  <c r="P166" i="5"/>
  <c r="O166" i="5"/>
  <c r="N166" i="5"/>
  <c r="M166" i="5"/>
  <c r="L166" i="5"/>
  <c r="K166" i="5"/>
  <c r="J166" i="5"/>
  <c r="J62" i="8" s="1"/>
  <c r="J469" i="16" s="1"/>
  <c r="I166" i="5"/>
  <c r="H166" i="5"/>
  <c r="T163" i="5"/>
  <c r="S163" i="5"/>
  <c r="R163" i="5"/>
  <c r="Q163" i="5"/>
  <c r="Q919" i="17" s="1"/>
  <c r="Q920" i="17" s="1"/>
  <c r="P163" i="5"/>
  <c r="O163" i="5"/>
  <c r="N163" i="5"/>
  <c r="M163" i="5"/>
  <c r="L163" i="5"/>
  <c r="K163" i="5"/>
  <c r="J163" i="5"/>
  <c r="I163" i="5"/>
  <c r="H163" i="5"/>
  <c r="T160" i="5"/>
  <c r="S160" i="5"/>
  <c r="R160" i="5"/>
  <c r="Q160" i="5"/>
  <c r="Q391" i="16" s="1"/>
  <c r="P160" i="5"/>
  <c r="P391" i="16" s="1"/>
  <c r="O160" i="5"/>
  <c r="N160" i="5"/>
  <c r="M160" i="5"/>
  <c r="L160" i="5"/>
  <c r="L391" i="16" s="1"/>
  <c r="K160" i="5"/>
  <c r="J160" i="5"/>
  <c r="J391" i="16" s="1"/>
  <c r="I160" i="5"/>
  <c r="I391" i="16" s="1"/>
  <c r="H160" i="5"/>
  <c r="T151" i="5"/>
  <c r="S151" i="5"/>
  <c r="R151" i="5"/>
  <c r="Q151" i="5"/>
  <c r="P151" i="5"/>
  <c r="P893" i="17" s="1"/>
  <c r="P894" i="17" s="1"/>
  <c r="O151" i="5"/>
  <c r="N151" i="5"/>
  <c r="M151" i="5"/>
  <c r="M893" i="17" s="1"/>
  <c r="M894" i="17" s="1"/>
  <c r="L151" i="5"/>
  <c r="K151" i="5"/>
  <c r="J151" i="5"/>
  <c r="I151" i="5"/>
  <c r="H151" i="5"/>
  <c r="T147" i="5"/>
  <c r="S147" i="5"/>
  <c r="R147" i="5"/>
  <c r="Q147" i="5"/>
  <c r="P147" i="5"/>
  <c r="O147" i="5"/>
  <c r="N147" i="5"/>
  <c r="M147" i="5"/>
  <c r="L147" i="5"/>
  <c r="K147" i="5"/>
  <c r="K867" i="17" s="1"/>
  <c r="J147" i="5"/>
  <c r="J867" i="17" s="1"/>
  <c r="J868" i="17" s="1"/>
  <c r="I147" i="5"/>
  <c r="H147" i="5"/>
  <c r="T140" i="5"/>
  <c r="S140" i="5"/>
  <c r="R140" i="5"/>
  <c r="Q140" i="5"/>
  <c r="P140" i="5"/>
  <c r="O140" i="5"/>
  <c r="O1000" i="17" s="1"/>
  <c r="O1001" i="17" s="1"/>
  <c r="N140" i="5"/>
  <c r="M140" i="5"/>
  <c r="L140" i="5"/>
  <c r="K140" i="5"/>
  <c r="J140" i="5"/>
  <c r="I140" i="5"/>
  <c r="H140" i="5"/>
  <c r="H1000" i="17" s="1"/>
  <c r="H1001" i="17" s="1"/>
  <c r="H125" i="5"/>
  <c r="I125" i="5" s="1"/>
  <c r="J125" i="5" s="1"/>
  <c r="K125" i="5" s="1"/>
  <c r="L125" i="5" s="1"/>
  <c r="M125" i="5" s="1"/>
  <c r="N125" i="5" s="1"/>
  <c r="O125" i="5" s="1"/>
  <c r="P125" i="5" s="1"/>
  <c r="Q125" i="5" s="1"/>
  <c r="R125" i="5" s="1"/>
  <c r="S125" i="5" s="1"/>
  <c r="T125" i="5" s="1"/>
  <c r="G125" i="5"/>
  <c r="M124" i="5"/>
  <c r="N124" i="5" s="1"/>
  <c r="O124" i="5" s="1"/>
  <c r="P124" i="5" s="1"/>
  <c r="Q124" i="5" s="1"/>
  <c r="R124" i="5" s="1"/>
  <c r="S124" i="5" s="1"/>
  <c r="T124" i="5" s="1"/>
  <c r="G124" i="5"/>
  <c r="H124" i="5" s="1"/>
  <c r="I124" i="5" s="1"/>
  <c r="J124" i="5" s="1"/>
  <c r="K124" i="5" s="1"/>
  <c r="L124" i="5" s="1"/>
  <c r="I123" i="5"/>
  <c r="J123" i="5" s="1"/>
  <c r="K123" i="5" s="1"/>
  <c r="L123" i="5" s="1"/>
  <c r="M123" i="5" s="1"/>
  <c r="N123" i="5" s="1"/>
  <c r="O123" i="5" s="1"/>
  <c r="P123" i="5" s="1"/>
  <c r="Q123" i="5" s="1"/>
  <c r="R123" i="5" s="1"/>
  <c r="S123" i="5" s="1"/>
  <c r="T123" i="5" s="1"/>
  <c r="H123" i="5"/>
  <c r="G123" i="5"/>
  <c r="G122" i="5"/>
  <c r="H122" i="5" s="1"/>
  <c r="I122" i="5" s="1"/>
  <c r="J122" i="5" s="1"/>
  <c r="K122" i="5" s="1"/>
  <c r="L122" i="5" s="1"/>
  <c r="M122" i="5" s="1"/>
  <c r="N122" i="5" s="1"/>
  <c r="O122" i="5" s="1"/>
  <c r="P122" i="5" s="1"/>
  <c r="Q122" i="5" s="1"/>
  <c r="R122" i="5" s="1"/>
  <c r="S122" i="5" s="1"/>
  <c r="T122" i="5" s="1"/>
  <c r="L121" i="5"/>
  <c r="M121" i="5" s="1"/>
  <c r="N121" i="5" s="1"/>
  <c r="O121" i="5" s="1"/>
  <c r="P121" i="5" s="1"/>
  <c r="Q121" i="5" s="1"/>
  <c r="R121" i="5" s="1"/>
  <c r="S121" i="5" s="1"/>
  <c r="T121" i="5" s="1"/>
  <c r="G121" i="5"/>
  <c r="H121" i="5" s="1"/>
  <c r="I121" i="5" s="1"/>
  <c r="J121" i="5" s="1"/>
  <c r="K121" i="5" s="1"/>
  <c r="M120" i="5"/>
  <c r="N120" i="5" s="1"/>
  <c r="O120" i="5" s="1"/>
  <c r="P120" i="5" s="1"/>
  <c r="Q120" i="5" s="1"/>
  <c r="R120" i="5" s="1"/>
  <c r="S120" i="5" s="1"/>
  <c r="T120" i="5" s="1"/>
  <c r="G120" i="5"/>
  <c r="H120" i="5" s="1"/>
  <c r="I120" i="5" s="1"/>
  <c r="J120" i="5" s="1"/>
  <c r="K120" i="5" s="1"/>
  <c r="L120" i="5" s="1"/>
  <c r="H119" i="5"/>
  <c r="I119" i="5" s="1"/>
  <c r="J119" i="5" s="1"/>
  <c r="K119" i="5" s="1"/>
  <c r="L119" i="5" s="1"/>
  <c r="M119" i="5" s="1"/>
  <c r="N119" i="5" s="1"/>
  <c r="O119" i="5" s="1"/>
  <c r="P119" i="5" s="1"/>
  <c r="Q119" i="5" s="1"/>
  <c r="R119" i="5" s="1"/>
  <c r="S119" i="5" s="1"/>
  <c r="T119" i="5" s="1"/>
  <c r="G119" i="5"/>
  <c r="N118" i="5"/>
  <c r="O118" i="5" s="1"/>
  <c r="P118" i="5" s="1"/>
  <c r="Q118" i="5" s="1"/>
  <c r="R118" i="5" s="1"/>
  <c r="S118" i="5" s="1"/>
  <c r="T118" i="5" s="1"/>
  <c r="G118" i="5"/>
  <c r="H118" i="5" s="1"/>
  <c r="I118" i="5" s="1"/>
  <c r="J118" i="5" s="1"/>
  <c r="K118" i="5" s="1"/>
  <c r="L118" i="5" s="1"/>
  <c r="M118" i="5" s="1"/>
  <c r="I117" i="5"/>
  <c r="J117" i="5" s="1"/>
  <c r="K117" i="5" s="1"/>
  <c r="L117" i="5" s="1"/>
  <c r="M117" i="5" s="1"/>
  <c r="N117" i="5" s="1"/>
  <c r="O117" i="5" s="1"/>
  <c r="P117" i="5" s="1"/>
  <c r="Q117" i="5" s="1"/>
  <c r="R117" i="5" s="1"/>
  <c r="S117" i="5" s="1"/>
  <c r="T117" i="5" s="1"/>
  <c r="G117" i="5"/>
  <c r="H117" i="5" s="1"/>
  <c r="J116" i="5"/>
  <c r="K116" i="5" s="1"/>
  <c r="L116" i="5" s="1"/>
  <c r="M116" i="5" s="1"/>
  <c r="N116" i="5" s="1"/>
  <c r="O116" i="5" s="1"/>
  <c r="P116" i="5" s="1"/>
  <c r="Q116" i="5" s="1"/>
  <c r="R116" i="5" s="1"/>
  <c r="S116" i="5" s="1"/>
  <c r="T116" i="5" s="1"/>
  <c r="G116" i="5"/>
  <c r="H116" i="5" s="1"/>
  <c r="I116" i="5" s="1"/>
  <c r="G115" i="5"/>
  <c r="H115" i="5" s="1"/>
  <c r="I115" i="5" s="1"/>
  <c r="J115" i="5" s="1"/>
  <c r="K115" i="5" s="1"/>
  <c r="L115" i="5" s="1"/>
  <c r="M115" i="5" s="1"/>
  <c r="N115" i="5" s="1"/>
  <c r="O115" i="5" s="1"/>
  <c r="P115" i="5" s="1"/>
  <c r="Q115" i="5" s="1"/>
  <c r="R115" i="5" s="1"/>
  <c r="S115" i="5" s="1"/>
  <c r="T115" i="5" s="1"/>
  <c r="O114" i="5"/>
  <c r="P114" i="5" s="1"/>
  <c r="Q114" i="5" s="1"/>
  <c r="R114" i="5" s="1"/>
  <c r="S114" i="5" s="1"/>
  <c r="T114" i="5" s="1"/>
  <c r="G114" i="5"/>
  <c r="H114" i="5" s="1"/>
  <c r="I114" i="5" s="1"/>
  <c r="J114" i="5" s="1"/>
  <c r="K114" i="5" s="1"/>
  <c r="L114" i="5" s="1"/>
  <c r="M114" i="5" s="1"/>
  <c r="N114" i="5" s="1"/>
  <c r="H113" i="5"/>
  <c r="I113" i="5" s="1"/>
  <c r="J113" i="5" s="1"/>
  <c r="K113" i="5" s="1"/>
  <c r="L113" i="5" s="1"/>
  <c r="M113" i="5" s="1"/>
  <c r="N113" i="5" s="1"/>
  <c r="O113" i="5" s="1"/>
  <c r="P113" i="5" s="1"/>
  <c r="Q113" i="5" s="1"/>
  <c r="R113" i="5" s="1"/>
  <c r="S113" i="5" s="1"/>
  <c r="T113" i="5" s="1"/>
  <c r="G113" i="5"/>
  <c r="L112" i="5"/>
  <c r="M112" i="5" s="1"/>
  <c r="N112" i="5" s="1"/>
  <c r="O112" i="5" s="1"/>
  <c r="P112" i="5" s="1"/>
  <c r="Q112" i="5" s="1"/>
  <c r="R112" i="5" s="1"/>
  <c r="S112" i="5" s="1"/>
  <c r="T112" i="5" s="1"/>
  <c r="G112" i="5"/>
  <c r="H112" i="5" s="1"/>
  <c r="I112" i="5" s="1"/>
  <c r="J112" i="5" s="1"/>
  <c r="K112" i="5" s="1"/>
  <c r="H111" i="5"/>
  <c r="I111" i="5" s="1"/>
  <c r="J111" i="5" s="1"/>
  <c r="K111" i="5" s="1"/>
  <c r="L111" i="5" s="1"/>
  <c r="M111" i="5" s="1"/>
  <c r="N111" i="5" s="1"/>
  <c r="O111" i="5" s="1"/>
  <c r="P111" i="5" s="1"/>
  <c r="Q111" i="5" s="1"/>
  <c r="R111" i="5" s="1"/>
  <c r="S111" i="5" s="1"/>
  <c r="T111" i="5" s="1"/>
  <c r="G111" i="5"/>
  <c r="O110" i="5"/>
  <c r="P110" i="5" s="1"/>
  <c r="Q110" i="5" s="1"/>
  <c r="R110" i="5" s="1"/>
  <c r="S110" i="5" s="1"/>
  <c r="T110" i="5" s="1"/>
  <c r="G110" i="5"/>
  <c r="H110" i="5" s="1"/>
  <c r="I110" i="5" s="1"/>
  <c r="J110" i="5" s="1"/>
  <c r="K110" i="5" s="1"/>
  <c r="L110" i="5" s="1"/>
  <c r="M110" i="5" s="1"/>
  <c r="N110" i="5" s="1"/>
  <c r="L109" i="5"/>
  <c r="M109" i="5" s="1"/>
  <c r="N109" i="5" s="1"/>
  <c r="O109" i="5" s="1"/>
  <c r="P109" i="5" s="1"/>
  <c r="Q109" i="5" s="1"/>
  <c r="R109" i="5" s="1"/>
  <c r="S109" i="5" s="1"/>
  <c r="T109" i="5" s="1"/>
  <c r="I109" i="5"/>
  <c r="J109" i="5" s="1"/>
  <c r="K109" i="5" s="1"/>
  <c r="H109" i="5"/>
  <c r="G109" i="5"/>
  <c r="H108" i="5"/>
  <c r="I108" i="5" s="1"/>
  <c r="J108" i="5" s="1"/>
  <c r="K108" i="5" s="1"/>
  <c r="L108" i="5" s="1"/>
  <c r="M108" i="5" s="1"/>
  <c r="N108" i="5" s="1"/>
  <c r="O108" i="5" s="1"/>
  <c r="P108" i="5" s="1"/>
  <c r="Q108" i="5" s="1"/>
  <c r="R108" i="5" s="1"/>
  <c r="S108" i="5" s="1"/>
  <c r="T108" i="5" s="1"/>
  <c r="G108" i="5"/>
  <c r="G107" i="5"/>
  <c r="H107" i="5" s="1"/>
  <c r="I107" i="5" s="1"/>
  <c r="J107" i="5" s="1"/>
  <c r="K107" i="5" s="1"/>
  <c r="L107" i="5" s="1"/>
  <c r="M107" i="5" s="1"/>
  <c r="N107" i="5" s="1"/>
  <c r="O107" i="5" s="1"/>
  <c r="P107" i="5" s="1"/>
  <c r="Q107" i="5" s="1"/>
  <c r="R107" i="5" s="1"/>
  <c r="S107" i="5" s="1"/>
  <c r="T107" i="5" s="1"/>
  <c r="G106" i="5"/>
  <c r="H106" i="5" s="1"/>
  <c r="H105" i="5"/>
  <c r="I105" i="5" s="1"/>
  <c r="J105" i="5" s="1"/>
  <c r="G105" i="5"/>
  <c r="G104" i="5"/>
  <c r="H104" i="5" s="1"/>
  <c r="I104" i="5" s="1"/>
  <c r="J104" i="5" s="1"/>
  <c r="K104" i="5" s="1"/>
  <c r="L104" i="5" s="1"/>
  <c r="M104" i="5" s="1"/>
  <c r="N104" i="5" s="1"/>
  <c r="O104" i="5" s="1"/>
  <c r="P104" i="5" s="1"/>
  <c r="Q104" i="5" s="1"/>
  <c r="R104" i="5" s="1"/>
  <c r="S104" i="5" s="1"/>
  <c r="T104" i="5" s="1"/>
  <c r="G103" i="5"/>
  <c r="H103" i="5" s="1"/>
  <c r="I103" i="5" s="1"/>
  <c r="J103" i="5" s="1"/>
  <c r="K103" i="5" s="1"/>
  <c r="L103" i="5" s="1"/>
  <c r="M103" i="5" s="1"/>
  <c r="N103" i="5" s="1"/>
  <c r="O103" i="5" s="1"/>
  <c r="P103" i="5" s="1"/>
  <c r="Q103" i="5" s="1"/>
  <c r="R103" i="5" s="1"/>
  <c r="S103" i="5" s="1"/>
  <c r="T103" i="5" s="1"/>
  <c r="G102" i="5"/>
  <c r="H102" i="5" s="1"/>
  <c r="I102" i="5" s="1"/>
  <c r="J102" i="5" s="1"/>
  <c r="K102" i="5" s="1"/>
  <c r="L102" i="5" s="1"/>
  <c r="M102" i="5" s="1"/>
  <c r="N102" i="5" s="1"/>
  <c r="O102" i="5" s="1"/>
  <c r="P102" i="5" s="1"/>
  <c r="Q102" i="5" s="1"/>
  <c r="R102" i="5" s="1"/>
  <c r="S102" i="5" s="1"/>
  <c r="T102" i="5" s="1"/>
  <c r="H101" i="5"/>
  <c r="I101" i="5" s="1"/>
  <c r="J101" i="5" s="1"/>
  <c r="K101" i="5" s="1"/>
  <c r="L101" i="5" s="1"/>
  <c r="M101" i="5" s="1"/>
  <c r="N101" i="5" s="1"/>
  <c r="O101" i="5" s="1"/>
  <c r="P101" i="5" s="1"/>
  <c r="Q101" i="5" s="1"/>
  <c r="R101" i="5" s="1"/>
  <c r="S101" i="5" s="1"/>
  <c r="T101" i="5" s="1"/>
  <c r="G101" i="5"/>
  <c r="G100" i="5"/>
  <c r="H100" i="5" s="1"/>
  <c r="I100" i="5" s="1"/>
  <c r="J100" i="5" s="1"/>
  <c r="K100" i="5" s="1"/>
  <c r="L100" i="5" s="1"/>
  <c r="M100" i="5" s="1"/>
  <c r="N100" i="5" s="1"/>
  <c r="O100" i="5" s="1"/>
  <c r="P100" i="5" s="1"/>
  <c r="Q100" i="5" s="1"/>
  <c r="R100" i="5" s="1"/>
  <c r="S100" i="5" s="1"/>
  <c r="T100" i="5" s="1"/>
  <c r="H99" i="5"/>
  <c r="G99" i="5"/>
  <c r="L98" i="5"/>
  <c r="M98" i="5" s="1"/>
  <c r="N98" i="5" s="1"/>
  <c r="O98" i="5" s="1"/>
  <c r="G98" i="5"/>
  <c r="H98" i="5" s="1"/>
  <c r="I98" i="5" s="1"/>
  <c r="J98" i="5" s="1"/>
  <c r="K98" i="5" s="1"/>
  <c r="K87" i="5"/>
  <c r="L87" i="5" s="1"/>
  <c r="M87" i="5" s="1"/>
  <c r="N87" i="5" s="1"/>
  <c r="O87" i="5" s="1"/>
  <c r="P87" i="5" s="1"/>
  <c r="Q87" i="5" s="1"/>
  <c r="R87" i="5" s="1"/>
  <c r="S87" i="5" s="1"/>
  <c r="T87" i="5" s="1"/>
  <c r="G87" i="5"/>
  <c r="H87" i="5" s="1"/>
  <c r="I87" i="5" s="1"/>
  <c r="J87" i="5" s="1"/>
  <c r="H86" i="5"/>
  <c r="I86" i="5" s="1"/>
  <c r="J86" i="5" s="1"/>
  <c r="K86" i="5" s="1"/>
  <c r="L86" i="5" s="1"/>
  <c r="M86" i="5" s="1"/>
  <c r="N86" i="5" s="1"/>
  <c r="O86" i="5" s="1"/>
  <c r="P86" i="5" s="1"/>
  <c r="Q86" i="5" s="1"/>
  <c r="R86" i="5" s="1"/>
  <c r="S86" i="5" s="1"/>
  <c r="T86" i="5" s="1"/>
  <c r="G86" i="5"/>
  <c r="N85" i="5"/>
  <c r="O85" i="5" s="1"/>
  <c r="P85" i="5" s="1"/>
  <c r="Q85" i="5" s="1"/>
  <c r="R85" i="5" s="1"/>
  <c r="S85" i="5" s="1"/>
  <c r="T85" i="5" s="1"/>
  <c r="G85" i="5"/>
  <c r="H85" i="5" s="1"/>
  <c r="I85" i="5" s="1"/>
  <c r="J85" i="5" s="1"/>
  <c r="K85" i="5" s="1"/>
  <c r="L85" i="5" s="1"/>
  <c r="M85" i="5" s="1"/>
  <c r="K84" i="5"/>
  <c r="L84" i="5" s="1"/>
  <c r="M84" i="5" s="1"/>
  <c r="N84" i="5" s="1"/>
  <c r="O84" i="5" s="1"/>
  <c r="P84" i="5" s="1"/>
  <c r="Q84" i="5" s="1"/>
  <c r="R84" i="5" s="1"/>
  <c r="S84" i="5" s="1"/>
  <c r="T84" i="5" s="1"/>
  <c r="I84" i="5"/>
  <c r="J84" i="5" s="1"/>
  <c r="H84" i="5"/>
  <c r="G84" i="5"/>
  <c r="O83" i="5"/>
  <c r="P83" i="5" s="1"/>
  <c r="Q83" i="5" s="1"/>
  <c r="R83" i="5" s="1"/>
  <c r="S83" i="5" s="1"/>
  <c r="T83" i="5" s="1"/>
  <c r="H83" i="5"/>
  <c r="I83" i="5" s="1"/>
  <c r="J83" i="5" s="1"/>
  <c r="K83" i="5" s="1"/>
  <c r="L83" i="5" s="1"/>
  <c r="M83" i="5" s="1"/>
  <c r="N83" i="5" s="1"/>
  <c r="G83" i="5"/>
  <c r="G82" i="5"/>
  <c r="H82" i="5" s="1"/>
  <c r="I82" i="5" s="1"/>
  <c r="J82" i="5" s="1"/>
  <c r="K82" i="5" s="1"/>
  <c r="L82" i="5" s="1"/>
  <c r="M82" i="5" s="1"/>
  <c r="N82" i="5" s="1"/>
  <c r="O82" i="5" s="1"/>
  <c r="P82" i="5" s="1"/>
  <c r="Q82" i="5" s="1"/>
  <c r="R82" i="5" s="1"/>
  <c r="S82" i="5" s="1"/>
  <c r="T82" i="5" s="1"/>
  <c r="G81" i="5"/>
  <c r="H81" i="5" s="1"/>
  <c r="I81" i="5" s="1"/>
  <c r="J81" i="5" s="1"/>
  <c r="K81" i="5" s="1"/>
  <c r="L81" i="5" s="1"/>
  <c r="M81" i="5" s="1"/>
  <c r="N81" i="5" s="1"/>
  <c r="O81" i="5" s="1"/>
  <c r="P81" i="5" s="1"/>
  <c r="Q81" i="5" s="1"/>
  <c r="R81" i="5" s="1"/>
  <c r="S81" i="5" s="1"/>
  <c r="T81" i="5" s="1"/>
  <c r="H80" i="5"/>
  <c r="I80" i="5" s="1"/>
  <c r="J80" i="5" s="1"/>
  <c r="K80" i="5" s="1"/>
  <c r="L80" i="5" s="1"/>
  <c r="M80" i="5" s="1"/>
  <c r="N80" i="5" s="1"/>
  <c r="O80" i="5" s="1"/>
  <c r="P80" i="5" s="1"/>
  <c r="Q80" i="5" s="1"/>
  <c r="R80" i="5" s="1"/>
  <c r="S80" i="5" s="1"/>
  <c r="T80" i="5" s="1"/>
  <c r="G80" i="5"/>
  <c r="G79" i="5"/>
  <c r="H79" i="5" s="1"/>
  <c r="H78" i="5"/>
  <c r="I78" i="5" s="1"/>
  <c r="J78" i="5" s="1"/>
  <c r="K78" i="5" s="1"/>
  <c r="L78" i="5" s="1"/>
  <c r="M78" i="5" s="1"/>
  <c r="N78" i="5" s="1"/>
  <c r="O78" i="5" s="1"/>
  <c r="P78" i="5" s="1"/>
  <c r="Q78" i="5" s="1"/>
  <c r="R78" i="5" s="1"/>
  <c r="S78" i="5" s="1"/>
  <c r="T78" i="5" s="1"/>
  <c r="G78" i="5"/>
  <c r="G77" i="5"/>
  <c r="H77" i="5" s="1"/>
  <c r="I77" i="5" s="1"/>
  <c r="J77" i="5" s="1"/>
  <c r="K77" i="5" s="1"/>
  <c r="L77" i="5" s="1"/>
  <c r="M77" i="5" s="1"/>
  <c r="N77" i="5" s="1"/>
  <c r="O77" i="5" s="1"/>
  <c r="P77" i="5" s="1"/>
  <c r="Q77" i="5" s="1"/>
  <c r="R77" i="5" s="1"/>
  <c r="S77" i="5" s="1"/>
  <c r="T77" i="5" s="1"/>
  <c r="H76" i="5"/>
  <c r="I76" i="5" s="1"/>
  <c r="J76" i="5" s="1"/>
  <c r="K76" i="5" s="1"/>
  <c r="L76" i="5" s="1"/>
  <c r="M76" i="5" s="1"/>
  <c r="N76" i="5" s="1"/>
  <c r="O76" i="5" s="1"/>
  <c r="P76" i="5" s="1"/>
  <c r="Q76" i="5" s="1"/>
  <c r="R76" i="5" s="1"/>
  <c r="S76" i="5" s="1"/>
  <c r="T76" i="5" s="1"/>
  <c r="G76" i="5"/>
  <c r="G75" i="5"/>
  <c r="H75" i="5" s="1"/>
  <c r="I75" i="5" s="1"/>
  <c r="J75" i="5" s="1"/>
  <c r="K75" i="5" s="1"/>
  <c r="L75" i="5" s="1"/>
  <c r="M75" i="5" s="1"/>
  <c r="N75" i="5" s="1"/>
  <c r="O75" i="5" s="1"/>
  <c r="P75" i="5" s="1"/>
  <c r="Q75" i="5" s="1"/>
  <c r="R75" i="5" s="1"/>
  <c r="S75" i="5" s="1"/>
  <c r="T75" i="5" s="1"/>
  <c r="G74" i="5"/>
  <c r="H74" i="5" s="1"/>
  <c r="K73" i="5"/>
  <c r="G73" i="5"/>
  <c r="H73" i="5" s="1"/>
  <c r="I73" i="5" s="1"/>
  <c r="J73" i="5" s="1"/>
  <c r="K72" i="5"/>
  <c r="L72" i="5" s="1"/>
  <c r="M72" i="5" s="1"/>
  <c r="N72" i="5" s="1"/>
  <c r="O72" i="5" s="1"/>
  <c r="P72" i="5" s="1"/>
  <c r="Q72" i="5" s="1"/>
  <c r="R72" i="5" s="1"/>
  <c r="S72" i="5" s="1"/>
  <c r="T72" i="5" s="1"/>
  <c r="J72" i="5"/>
  <c r="H72" i="5"/>
  <c r="I72" i="5" s="1"/>
  <c r="G72" i="5"/>
  <c r="G71" i="5"/>
  <c r="H71" i="5" s="1"/>
  <c r="H67" i="5"/>
  <c r="T63" i="5"/>
  <c r="Q63" i="5"/>
  <c r="P63" i="5"/>
  <c r="H63" i="5"/>
  <c r="J61" i="5"/>
  <c r="T60" i="5"/>
  <c r="S60" i="5"/>
  <c r="R60" i="5"/>
  <c r="Q60" i="5"/>
  <c r="P60" i="5"/>
  <c r="O60" i="5"/>
  <c r="O63" i="5" s="1"/>
  <c r="N60" i="5"/>
  <c r="M60" i="5"/>
  <c r="L60" i="5"/>
  <c r="K60" i="5"/>
  <c r="J60" i="5"/>
  <c r="I60" i="5"/>
  <c r="I63" i="5" s="1"/>
  <c r="H60" i="5"/>
  <c r="G59" i="5"/>
  <c r="H59" i="5" s="1"/>
  <c r="I59" i="5" s="1"/>
  <c r="J59" i="5" s="1"/>
  <c r="K59" i="5" s="1"/>
  <c r="L59" i="5" s="1"/>
  <c r="M59" i="5" s="1"/>
  <c r="N59" i="5" s="1"/>
  <c r="O59" i="5" s="1"/>
  <c r="P59" i="5" s="1"/>
  <c r="Q59" i="5" s="1"/>
  <c r="R59" i="5" s="1"/>
  <c r="S59" i="5" s="1"/>
  <c r="T59" i="5" s="1"/>
  <c r="H58" i="5"/>
  <c r="I58" i="5" s="1"/>
  <c r="J58" i="5" s="1"/>
  <c r="K58" i="5" s="1"/>
  <c r="L58" i="5" s="1"/>
  <c r="M58" i="5" s="1"/>
  <c r="N58" i="5" s="1"/>
  <c r="O58" i="5" s="1"/>
  <c r="P58" i="5" s="1"/>
  <c r="Q58" i="5" s="1"/>
  <c r="R58" i="5" s="1"/>
  <c r="S58" i="5" s="1"/>
  <c r="T58" i="5" s="1"/>
  <c r="G58" i="5"/>
  <c r="G57" i="5"/>
  <c r="H57" i="5" s="1"/>
  <c r="I57" i="5" s="1"/>
  <c r="J57" i="5" s="1"/>
  <c r="K57" i="5" s="1"/>
  <c r="L57" i="5" s="1"/>
  <c r="M57" i="5" s="1"/>
  <c r="N57" i="5" s="1"/>
  <c r="O57" i="5" s="1"/>
  <c r="P57" i="5" s="1"/>
  <c r="Q57" i="5" s="1"/>
  <c r="R57" i="5" s="1"/>
  <c r="S57" i="5" s="1"/>
  <c r="T57" i="5" s="1"/>
  <c r="H56" i="5"/>
  <c r="I56" i="5" s="1"/>
  <c r="J56" i="5" s="1"/>
  <c r="K56" i="5" s="1"/>
  <c r="L56" i="5" s="1"/>
  <c r="M56" i="5" s="1"/>
  <c r="N56" i="5" s="1"/>
  <c r="O56" i="5" s="1"/>
  <c r="P56" i="5" s="1"/>
  <c r="Q56" i="5" s="1"/>
  <c r="R56" i="5" s="1"/>
  <c r="S56" i="5" s="1"/>
  <c r="T56" i="5" s="1"/>
  <c r="G56" i="5"/>
  <c r="H55" i="5"/>
  <c r="I55" i="5" s="1"/>
  <c r="J55" i="5" s="1"/>
  <c r="J67" i="5" s="1"/>
  <c r="G55" i="5"/>
  <c r="G54" i="5"/>
  <c r="H54" i="5" s="1"/>
  <c r="I54" i="5" s="1"/>
  <c r="J54" i="5" s="1"/>
  <c r="K54" i="5" s="1"/>
  <c r="L54" i="5" s="1"/>
  <c r="M54" i="5" s="1"/>
  <c r="N54" i="5" s="1"/>
  <c r="O54" i="5" s="1"/>
  <c r="P54" i="5" s="1"/>
  <c r="Q54" i="5" s="1"/>
  <c r="R54" i="5" s="1"/>
  <c r="S54" i="5" s="1"/>
  <c r="T54" i="5" s="1"/>
  <c r="G53" i="5"/>
  <c r="H53" i="5" s="1"/>
  <c r="I53" i="5" s="1"/>
  <c r="J53" i="5" s="1"/>
  <c r="K53" i="5" s="1"/>
  <c r="L53" i="5" s="1"/>
  <c r="M53" i="5" s="1"/>
  <c r="N53" i="5" s="1"/>
  <c r="O53" i="5" s="1"/>
  <c r="P53" i="5" s="1"/>
  <c r="Q53" i="5" s="1"/>
  <c r="R53" i="5" s="1"/>
  <c r="S53" i="5" s="1"/>
  <c r="T53" i="5" s="1"/>
  <c r="P52" i="5"/>
  <c r="Q52" i="5" s="1"/>
  <c r="R52" i="5" s="1"/>
  <c r="S52" i="5" s="1"/>
  <c r="T52" i="5" s="1"/>
  <c r="G52" i="5"/>
  <c r="H52" i="5" s="1"/>
  <c r="I52" i="5" s="1"/>
  <c r="J52" i="5" s="1"/>
  <c r="K52" i="5" s="1"/>
  <c r="L52" i="5" s="1"/>
  <c r="M52" i="5" s="1"/>
  <c r="N52" i="5" s="1"/>
  <c r="O52" i="5" s="1"/>
  <c r="H51" i="5"/>
  <c r="I51" i="5" s="1"/>
  <c r="J51" i="5" s="1"/>
  <c r="K51" i="5" s="1"/>
  <c r="L51" i="5" s="1"/>
  <c r="M51" i="5" s="1"/>
  <c r="N51" i="5" s="1"/>
  <c r="O51" i="5" s="1"/>
  <c r="P51" i="5" s="1"/>
  <c r="Q51" i="5" s="1"/>
  <c r="R51" i="5" s="1"/>
  <c r="S51" i="5" s="1"/>
  <c r="T51" i="5" s="1"/>
  <c r="G51" i="5"/>
  <c r="G50" i="5"/>
  <c r="H50" i="5" s="1"/>
  <c r="I50" i="5" s="1"/>
  <c r="J50" i="5" s="1"/>
  <c r="G49" i="5"/>
  <c r="H49" i="5" s="1"/>
  <c r="I49" i="5" s="1"/>
  <c r="J49" i="5" s="1"/>
  <c r="K49" i="5" s="1"/>
  <c r="L49" i="5" s="1"/>
  <c r="M49" i="5" s="1"/>
  <c r="N49" i="5" s="1"/>
  <c r="H48" i="5"/>
  <c r="I48" i="5" s="1"/>
  <c r="J48" i="5" s="1"/>
  <c r="K48" i="5" s="1"/>
  <c r="L48" i="5" s="1"/>
  <c r="M48" i="5" s="1"/>
  <c r="N48" i="5" s="1"/>
  <c r="O48" i="5" s="1"/>
  <c r="P48" i="5" s="1"/>
  <c r="Q48" i="5" s="1"/>
  <c r="R48" i="5" s="1"/>
  <c r="S48" i="5" s="1"/>
  <c r="T48" i="5" s="1"/>
  <c r="G48" i="5"/>
  <c r="S47" i="5"/>
  <c r="T47" i="5" s="1"/>
  <c r="I47" i="5"/>
  <c r="J47" i="5" s="1"/>
  <c r="K47" i="5" s="1"/>
  <c r="L47" i="5" s="1"/>
  <c r="M47" i="5" s="1"/>
  <c r="N47" i="5" s="1"/>
  <c r="O47" i="5" s="1"/>
  <c r="P47" i="5" s="1"/>
  <c r="Q47" i="5" s="1"/>
  <c r="R47" i="5" s="1"/>
  <c r="G47" i="5"/>
  <c r="H47" i="5" s="1"/>
  <c r="H46" i="5"/>
  <c r="I46" i="5" s="1"/>
  <c r="J46" i="5" s="1"/>
  <c r="K46" i="5" s="1"/>
  <c r="L46" i="5" s="1"/>
  <c r="M46" i="5" s="1"/>
  <c r="N46" i="5" s="1"/>
  <c r="O46" i="5" s="1"/>
  <c r="P46" i="5" s="1"/>
  <c r="Q46" i="5" s="1"/>
  <c r="R46" i="5" s="1"/>
  <c r="S46" i="5" s="1"/>
  <c r="T46" i="5" s="1"/>
  <c r="G46" i="5"/>
  <c r="G45" i="5"/>
  <c r="H45" i="5" s="1"/>
  <c r="I45" i="5" s="1"/>
  <c r="J45" i="5" s="1"/>
  <c r="K45" i="5" s="1"/>
  <c r="L45" i="5" s="1"/>
  <c r="M45" i="5" s="1"/>
  <c r="N45" i="5" s="1"/>
  <c r="O45" i="5" s="1"/>
  <c r="P45" i="5" s="1"/>
  <c r="Q45" i="5" s="1"/>
  <c r="R45" i="5" s="1"/>
  <c r="S45" i="5" s="1"/>
  <c r="T45" i="5" s="1"/>
  <c r="G44" i="5"/>
  <c r="H44" i="5" s="1"/>
  <c r="I44" i="5" s="1"/>
  <c r="J44" i="5" s="1"/>
  <c r="K44" i="5" s="1"/>
  <c r="L44" i="5" s="1"/>
  <c r="M44" i="5" s="1"/>
  <c r="N44" i="5" s="1"/>
  <c r="O44" i="5" s="1"/>
  <c r="P44" i="5" s="1"/>
  <c r="Q44" i="5" s="1"/>
  <c r="R44" i="5" s="1"/>
  <c r="S44" i="5" s="1"/>
  <c r="T44" i="5" s="1"/>
  <c r="L43" i="5"/>
  <c r="M43" i="5" s="1"/>
  <c r="N43" i="5" s="1"/>
  <c r="O43" i="5" s="1"/>
  <c r="P43" i="5" s="1"/>
  <c r="Q43" i="5" s="1"/>
  <c r="R43" i="5" s="1"/>
  <c r="S43" i="5" s="1"/>
  <c r="T43" i="5" s="1"/>
  <c r="G43" i="5"/>
  <c r="H43" i="5" s="1"/>
  <c r="I43" i="5" s="1"/>
  <c r="J43" i="5" s="1"/>
  <c r="K43" i="5" s="1"/>
  <c r="G42" i="5"/>
  <c r="H42" i="5" s="1"/>
  <c r="I42" i="5" s="1"/>
  <c r="J42" i="5" s="1"/>
  <c r="K42" i="5" s="1"/>
  <c r="H41" i="5"/>
  <c r="G41" i="5"/>
  <c r="G40" i="5"/>
  <c r="H40" i="5" s="1"/>
  <c r="I40" i="5" s="1"/>
  <c r="J40" i="5" s="1"/>
  <c r="K40" i="5" s="1"/>
  <c r="L40" i="5" s="1"/>
  <c r="M40" i="5" s="1"/>
  <c r="N40" i="5" s="1"/>
  <c r="O40" i="5" s="1"/>
  <c r="Q32" i="5"/>
  <c r="P32" i="5"/>
  <c r="O32" i="5"/>
  <c r="N32" i="5"/>
  <c r="K32" i="5"/>
  <c r="J32" i="5"/>
  <c r="I32" i="5"/>
  <c r="H32" i="5"/>
  <c r="T29" i="5"/>
  <c r="S29" i="5"/>
  <c r="R29" i="5"/>
  <c r="Q29" i="5"/>
  <c r="P29" i="5"/>
  <c r="O29" i="5"/>
  <c r="N29" i="5"/>
  <c r="M29" i="5"/>
  <c r="L29" i="5"/>
  <c r="K29" i="5"/>
  <c r="J29" i="5"/>
  <c r="I29" i="5"/>
  <c r="H29" i="5"/>
  <c r="G28" i="5"/>
  <c r="H28" i="5" s="1"/>
  <c r="I28" i="5" s="1"/>
  <c r="J28" i="5" s="1"/>
  <c r="K28" i="5" s="1"/>
  <c r="L28" i="5" s="1"/>
  <c r="M28" i="5" s="1"/>
  <c r="N28" i="5" s="1"/>
  <c r="O28" i="5" s="1"/>
  <c r="P28" i="5" s="1"/>
  <c r="Q28" i="5" s="1"/>
  <c r="R28" i="5" s="1"/>
  <c r="S28" i="5" s="1"/>
  <c r="T28" i="5" s="1"/>
  <c r="I27" i="5"/>
  <c r="J27" i="5" s="1"/>
  <c r="K27" i="5" s="1"/>
  <c r="L27" i="5" s="1"/>
  <c r="M27" i="5" s="1"/>
  <c r="N27" i="5" s="1"/>
  <c r="O27" i="5" s="1"/>
  <c r="P27" i="5" s="1"/>
  <c r="Q27" i="5" s="1"/>
  <c r="R27" i="5" s="1"/>
  <c r="S27" i="5" s="1"/>
  <c r="T27" i="5" s="1"/>
  <c r="H27" i="5"/>
  <c r="G27" i="5"/>
  <c r="G26" i="5"/>
  <c r="H26" i="5" s="1"/>
  <c r="I26" i="5" s="1"/>
  <c r="J26" i="5" s="1"/>
  <c r="K26" i="5" s="1"/>
  <c r="L26" i="5" s="1"/>
  <c r="M26" i="5" s="1"/>
  <c r="N26" i="5" s="1"/>
  <c r="O26" i="5" s="1"/>
  <c r="P26" i="5" s="1"/>
  <c r="Q26" i="5" s="1"/>
  <c r="R26" i="5" s="1"/>
  <c r="S26" i="5" s="1"/>
  <c r="T26" i="5" s="1"/>
  <c r="N25" i="5"/>
  <c r="O25" i="5" s="1"/>
  <c r="P25" i="5" s="1"/>
  <c r="Q25" i="5" s="1"/>
  <c r="R25" i="5" s="1"/>
  <c r="S25" i="5" s="1"/>
  <c r="T25" i="5" s="1"/>
  <c r="G25" i="5"/>
  <c r="H25" i="5" s="1"/>
  <c r="I25" i="5" s="1"/>
  <c r="J25" i="5" s="1"/>
  <c r="K25" i="5" s="1"/>
  <c r="L25" i="5" s="1"/>
  <c r="M25" i="5" s="1"/>
  <c r="G24" i="5"/>
  <c r="H24" i="5" s="1"/>
  <c r="Q23" i="5"/>
  <c r="R23" i="5" s="1"/>
  <c r="S23" i="5" s="1"/>
  <c r="T23" i="5" s="1"/>
  <c r="J23" i="5"/>
  <c r="K23" i="5" s="1"/>
  <c r="L23" i="5" s="1"/>
  <c r="M23" i="5" s="1"/>
  <c r="N23" i="5" s="1"/>
  <c r="O23" i="5" s="1"/>
  <c r="P23" i="5" s="1"/>
  <c r="I23" i="5"/>
  <c r="H23" i="5"/>
  <c r="G23" i="5"/>
  <c r="I22" i="5"/>
  <c r="J22" i="5" s="1"/>
  <c r="K22" i="5" s="1"/>
  <c r="L22" i="5" s="1"/>
  <c r="M22" i="5" s="1"/>
  <c r="N22" i="5" s="1"/>
  <c r="O22" i="5" s="1"/>
  <c r="P22" i="5" s="1"/>
  <c r="Q22" i="5" s="1"/>
  <c r="R22" i="5" s="1"/>
  <c r="S22" i="5" s="1"/>
  <c r="T22" i="5" s="1"/>
  <c r="H22" i="5"/>
  <c r="G22" i="5"/>
  <c r="H21" i="5"/>
  <c r="I21" i="5" s="1"/>
  <c r="J21" i="5" s="1"/>
  <c r="K21" i="5" s="1"/>
  <c r="L21" i="5" s="1"/>
  <c r="M21" i="5" s="1"/>
  <c r="N21" i="5" s="1"/>
  <c r="O21" i="5" s="1"/>
  <c r="P21" i="5" s="1"/>
  <c r="Q21" i="5" s="1"/>
  <c r="R21" i="5" s="1"/>
  <c r="S21" i="5" s="1"/>
  <c r="T21" i="5" s="1"/>
  <c r="G21" i="5"/>
  <c r="H20" i="5"/>
  <c r="I20" i="5" s="1"/>
  <c r="J20" i="5" s="1"/>
  <c r="K20" i="5" s="1"/>
  <c r="L20" i="5" s="1"/>
  <c r="M20" i="5" s="1"/>
  <c r="N20" i="5" s="1"/>
  <c r="O20" i="5" s="1"/>
  <c r="P20" i="5" s="1"/>
  <c r="Q20" i="5" s="1"/>
  <c r="R20" i="5" s="1"/>
  <c r="S20" i="5" s="1"/>
  <c r="T20" i="5" s="1"/>
  <c r="G20" i="5"/>
  <c r="G19" i="5"/>
  <c r="H19" i="5" s="1"/>
  <c r="I19" i="5" s="1"/>
  <c r="J19" i="5" s="1"/>
  <c r="K19" i="5" s="1"/>
  <c r="L19" i="5" s="1"/>
  <c r="M19" i="5" s="1"/>
  <c r="N19" i="5" s="1"/>
  <c r="O19" i="5" s="1"/>
  <c r="P19" i="5" s="1"/>
  <c r="Q19" i="5" s="1"/>
  <c r="R19" i="5" s="1"/>
  <c r="S19" i="5" s="1"/>
  <c r="T19" i="5" s="1"/>
  <c r="G18" i="5"/>
  <c r="H18" i="5" s="1"/>
  <c r="I18" i="5" s="1"/>
  <c r="J18" i="5" s="1"/>
  <c r="K18" i="5" s="1"/>
  <c r="L18" i="5" s="1"/>
  <c r="M18" i="5" s="1"/>
  <c r="N18" i="5" s="1"/>
  <c r="O18" i="5" s="1"/>
  <c r="P18" i="5" s="1"/>
  <c r="Q18" i="5" s="1"/>
  <c r="R18" i="5" s="1"/>
  <c r="S18" i="5" s="1"/>
  <c r="T18" i="5" s="1"/>
  <c r="G17" i="5"/>
  <c r="H17" i="5" s="1"/>
  <c r="I17" i="5" s="1"/>
  <c r="J17" i="5" s="1"/>
  <c r="K17" i="5" s="1"/>
  <c r="L17" i="5" s="1"/>
  <c r="I16" i="5"/>
  <c r="J16" i="5" s="1"/>
  <c r="K16" i="5" s="1"/>
  <c r="L16" i="5" s="1"/>
  <c r="M16" i="5" s="1"/>
  <c r="N16" i="5" s="1"/>
  <c r="O16" i="5" s="1"/>
  <c r="P16" i="5" s="1"/>
  <c r="Q16" i="5" s="1"/>
  <c r="R16" i="5" s="1"/>
  <c r="S16" i="5" s="1"/>
  <c r="T16" i="5" s="1"/>
  <c r="H16" i="5"/>
  <c r="G16" i="5"/>
  <c r="G15" i="5"/>
  <c r="H15" i="5" s="1"/>
  <c r="I15" i="5" s="1"/>
  <c r="J15" i="5" s="1"/>
  <c r="K15" i="5" s="1"/>
  <c r="L15" i="5" s="1"/>
  <c r="M15" i="5" s="1"/>
  <c r="N15" i="5" s="1"/>
  <c r="O15" i="5" s="1"/>
  <c r="P15" i="5" s="1"/>
  <c r="Q15" i="5" s="1"/>
  <c r="R15" i="5" s="1"/>
  <c r="S15" i="5" s="1"/>
  <c r="T15" i="5" s="1"/>
  <c r="G14" i="5"/>
  <c r="H14" i="5" s="1"/>
  <c r="I14" i="5" s="1"/>
  <c r="J14" i="5" s="1"/>
  <c r="K14" i="5" s="1"/>
  <c r="L14" i="5" s="1"/>
  <c r="M14" i="5" s="1"/>
  <c r="N14" i="5" s="1"/>
  <c r="O14" i="5" s="1"/>
  <c r="P14" i="5" s="1"/>
  <c r="Q14" i="5" s="1"/>
  <c r="R14" i="5" s="1"/>
  <c r="S14" i="5" s="1"/>
  <c r="T14" i="5" s="1"/>
  <c r="H13" i="5"/>
  <c r="I13" i="5" s="1"/>
  <c r="J13" i="5" s="1"/>
  <c r="K13" i="5" s="1"/>
  <c r="L13" i="5" s="1"/>
  <c r="M13" i="5" s="1"/>
  <c r="N13" i="5" s="1"/>
  <c r="O13" i="5" s="1"/>
  <c r="P13" i="5" s="1"/>
  <c r="Q13" i="5" s="1"/>
  <c r="R13" i="5" s="1"/>
  <c r="S13" i="5" s="1"/>
  <c r="T13" i="5" s="1"/>
  <c r="G13" i="5"/>
  <c r="I12" i="5"/>
  <c r="J12" i="5" s="1"/>
  <c r="K12" i="5" s="1"/>
  <c r="L12" i="5" s="1"/>
  <c r="M12" i="5" s="1"/>
  <c r="N12" i="5" s="1"/>
  <c r="O12" i="5" s="1"/>
  <c r="P12" i="5" s="1"/>
  <c r="Q12" i="5" s="1"/>
  <c r="R12" i="5" s="1"/>
  <c r="S12" i="5" s="1"/>
  <c r="T12" i="5" s="1"/>
  <c r="H12" i="5"/>
  <c r="G12" i="5"/>
  <c r="G11" i="5"/>
  <c r="H11" i="5" s="1"/>
  <c r="I11" i="5" s="1"/>
  <c r="J11" i="5" s="1"/>
  <c r="K11" i="5" s="1"/>
  <c r="L11" i="5" s="1"/>
  <c r="M11" i="5" s="1"/>
  <c r="N11" i="5" s="1"/>
  <c r="O11" i="5" s="1"/>
  <c r="P11" i="5" s="1"/>
  <c r="Q11" i="5" s="1"/>
  <c r="R11" i="5" s="1"/>
  <c r="S11" i="5" s="1"/>
  <c r="T11" i="5" s="1"/>
  <c r="G10" i="5"/>
  <c r="H10" i="5" s="1"/>
  <c r="I10" i="5" s="1"/>
  <c r="J10" i="5" s="1"/>
  <c r="K10" i="5" s="1"/>
  <c r="L10" i="5" s="1"/>
  <c r="M10" i="5" s="1"/>
  <c r="N10" i="5" s="1"/>
  <c r="O10" i="5" s="1"/>
  <c r="P10" i="5" s="1"/>
  <c r="Q10" i="5" s="1"/>
  <c r="R10" i="5" s="1"/>
  <c r="S10" i="5" s="1"/>
  <c r="T10" i="5" s="1"/>
  <c r="H9" i="5"/>
  <c r="I9" i="5" s="1"/>
  <c r="J9" i="5" s="1"/>
  <c r="K9" i="5" s="1"/>
  <c r="G9" i="5"/>
  <c r="B210" i="4"/>
  <c r="B209" i="4"/>
  <c r="B208" i="4"/>
  <c r="T180" i="4"/>
  <c r="S180" i="4"/>
  <c r="R180" i="4"/>
  <c r="P180" i="4"/>
  <c r="O180" i="4"/>
  <c r="N180" i="4"/>
  <c r="M180" i="4"/>
  <c r="L180" i="4"/>
  <c r="K180" i="4"/>
  <c r="T179" i="4"/>
  <c r="S179" i="4"/>
  <c r="N179" i="4"/>
  <c r="M179" i="4"/>
  <c r="L179" i="4"/>
  <c r="K179" i="4"/>
  <c r="J179" i="4"/>
  <c r="I179" i="4"/>
  <c r="R178" i="4"/>
  <c r="R797" i="16" s="1"/>
  <c r="Q178" i="4"/>
  <c r="Q797" i="16" s="1"/>
  <c r="P178" i="4"/>
  <c r="P797" i="16" s="1"/>
  <c r="N178" i="4"/>
  <c r="N797" i="16" s="1"/>
  <c r="M178" i="4"/>
  <c r="M797" i="16" s="1"/>
  <c r="I178" i="4"/>
  <c r="I797" i="16" s="1"/>
  <c r="H178" i="4"/>
  <c r="H797" i="16" s="1"/>
  <c r="Q175" i="4"/>
  <c r="B168" i="4"/>
  <c r="B164" i="4"/>
  <c r="B160" i="4"/>
  <c r="S131" i="4"/>
  <c r="R131" i="4"/>
  <c r="Q131" i="4"/>
  <c r="P131" i="4"/>
  <c r="O131" i="4"/>
  <c r="N131" i="4"/>
  <c r="M131" i="4"/>
  <c r="H131" i="4"/>
  <c r="O127" i="4"/>
  <c r="O352" i="16" s="1"/>
  <c r="N127" i="4"/>
  <c r="N352" i="16" s="1"/>
  <c r="M127" i="4"/>
  <c r="M352" i="16" s="1"/>
  <c r="L127" i="4"/>
  <c r="L352" i="16" s="1"/>
  <c r="K127" i="4"/>
  <c r="J127" i="4"/>
  <c r="H127" i="4"/>
  <c r="Q124" i="4"/>
  <c r="P124" i="4"/>
  <c r="O124" i="4"/>
  <c r="N124" i="4"/>
  <c r="J124" i="4"/>
  <c r="I124" i="4"/>
  <c r="H124" i="4"/>
  <c r="T114" i="4"/>
  <c r="T281" i="16" s="1"/>
  <c r="S114" i="4"/>
  <c r="S281" i="16" s="1"/>
  <c r="R114" i="4"/>
  <c r="R281" i="16" s="1"/>
  <c r="Q114" i="4"/>
  <c r="Q281" i="16" s="1"/>
  <c r="P114" i="4"/>
  <c r="P281" i="16" s="1"/>
  <c r="O114" i="4"/>
  <c r="O281" i="16" s="1"/>
  <c r="Q108" i="4"/>
  <c r="Q246" i="16" s="1"/>
  <c r="M108" i="4"/>
  <c r="L108" i="4"/>
  <c r="L246" i="16" s="1"/>
  <c r="K108" i="4"/>
  <c r="K246" i="16" s="1"/>
  <c r="J108" i="4"/>
  <c r="J246" i="16" s="1"/>
  <c r="I108" i="4"/>
  <c r="H108" i="4"/>
  <c r="H246" i="16" s="1"/>
  <c r="H106" i="4"/>
  <c r="T103" i="4"/>
  <c r="T210" i="16" s="1"/>
  <c r="S103" i="4"/>
  <c r="S210" i="16" s="1"/>
  <c r="R103" i="4"/>
  <c r="R210" i="16" s="1"/>
  <c r="P103" i="4"/>
  <c r="P210" i="16" s="1"/>
  <c r="O103" i="4"/>
  <c r="O210" i="16" s="1"/>
  <c r="K103" i="4"/>
  <c r="J103" i="4"/>
  <c r="I103" i="4"/>
  <c r="I210" i="16" s="1"/>
  <c r="T98" i="4"/>
  <c r="T174" i="16" s="1"/>
  <c r="S98" i="4"/>
  <c r="S174" i="16" s="1"/>
  <c r="R98" i="4"/>
  <c r="R174" i="16" s="1"/>
  <c r="Q98" i="4"/>
  <c r="Q174" i="16" s="1"/>
  <c r="P98" i="4"/>
  <c r="P174" i="16" s="1"/>
  <c r="K98" i="4"/>
  <c r="K174" i="16" s="1"/>
  <c r="J98" i="4"/>
  <c r="J174" i="16" s="1"/>
  <c r="I98" i="4"/>
  <c r="I174" i="16" s="1"/>
  <c r="K81" i="4"/>
  <c r="J81" i="4"/>
  <c r="I81" i="4"/>
  <c r="H81" i="4"/>
  <c r="H77" i="4"/>
  <c r="I72" i="4"/>
  <c r="H72" i="4"/>
  <c r="T69" i="4"/>
  <c r="Q69" i="4"/>
  <c r="P69" i="4"/>
  <c r="O69" i="4"/>
  <c r="N69" i="4"/>
  <c r="M69" i="4"/>
  <c r="L69" i="4"/>
  <c r="K69" i="4"/>
  <c r="J69" i="4"/>
  <c r="G68" i="4"/>
  <c r="H68" i="4" s="1"/>
  <c r="L67" i="4"/>
  <c r="L81" i="4" s="1"/>
  <c r="K67" i="4"/>
  <c r="J67" i="4"/>
  <c r="I67" i="4"/>
  <c r="H67" i="4"/>
  <c r="G67" i="4"/>
  <c r="H66" i="4"/>
  <c r="H80" i="4" s="1"/>
  <c r="G66" i="4"/>
  <c r="J65" i="4"/>
  <c r="I65" i="4"/>
  <c r="H65" i="4"/>
  <c r="G65" i="4"/>
  <c r="H64" i="4"/>
  <c r="G64" i="4"/>
  <c r="H63" i="4"/>
  <c r="G63" i="4"/>
  <c r="G62" i="4"/>
  <c r="H62" i="4" s="1"/>
  <c r="G61" i="4"/>
  <c r="H61" i="4" s="1"/>
  <c r="G60" i="4"/>
  <c r="H60" i="4" s="1"/>
  <c r="G59" i="4"/>
  <c r="H59" i="4" s="1"/>
  <c r="H58" i="4"/>
  <c r="I58" i="4" s="1"/>
  <c r="J58" i="4" s="1"/>
  <c r="G58" i="4"/>
  <c r="G57" i="4"/>
  <c r="H57" i="4" s="1"/>
  <c r="H56" i="4"/>
  <c r="G56" i="4"/>
  <c r="P52" i="4"/>
  <c r="O52" i="4"/>
  <c r="N52" i="4"/>
  <c r="L52" i="4"/>
  <c r="K52" i="4"/>
  <c r="J52" i="4"/>
  <c r="I52" i="4"/>
  <c r="H52" i="4"/>
  <c r="H387" i="16" s="1"/>
  <c r="H51" i="4"/>
  <c r="H50" i="4"/>
  <c r="I50" i="4" s="1"/>
  <c r="S46" i="4"/>
  <c r="S76" i="16" s="1"/>
  <c r="R46" i="4"/>
  <c r="R76" i="16" s="1"/>
  <c r="Q46" i="4"/>
  <c r="Q76" i="16" s="1"/>
  <c r="P46" i="4"/>
  <c r="P76" i="16" s="1"/>
  <c r="O46" i="4"/>
  <c r="O76" i="16" s="1"/>
  <c r="N46" i="4"/>
  <c r="N76" i="16" s="1"/>
  <c r="M46" i="4"/>
  <c r="M76" i="16" s="1"/>
  <c r="L46" i="4"/>
  <c r="L76" i="16" s="1"/>
  <c r="K46" i="4"/>
  <c r="K76" i="16" s="1"/>
  <c r="J46" i="4"/>
  <c r="J76" i="16" s="1"/>
  <c r="H44" i="4"/>
  <c r="T40" i="4"/>
  <c r="T42" i="16" s="1"/>
  <c r="R40" i="4"/>
  <c r="R42" i="16" s="1"/>
  <c r="Q40" i="4"/>
  <c r="Q42" i="16" s="1"/>
  <c r="P40" i="4"/>
  <c r="P42" i="16" s="1"/>
  <c r="N40" i="4"/>
  <c r="N42" i="16" s="1"/>
  <c r="M40" i="4"/>
  <c r="M42" i="16" s="1"/>
  <c r="L40" i="4"/>
  <c r="L42" i="16" s="1"/>
  <c r="K40" i="4"/>
  <c r="K42" i="16" s="1"/>
  <c r="T39" i="4"/>
  <c r="T43" i="16" s="1"/>
  <c r="S39" i="4"/>
  <c r="Q39" i="4"/>
  <c r="Q43" i="16" s="1"/>
  <c r="P39" i="4"/>
  <c r="P43" i="16" s="1"/>
  <c r="O39" i="4"/>
  <c r="O43" i="16" s="1"/>
  <c r="N39" i="4"/>
  <c r="N43" i="16" s="1"/>
  <c r="L39" i="4"/>
  <c r="L43" i="16" s="1"/>
  <c r="K39" i="4"/>
  <c r="K43" i="16" s="1"/>
  <c r="J39" i="4"/>
  <c r="J43" i="16" s="1"/>
  <c r="I39" i="4"/>
  <c r="I43" i="16" s="1"/>
  <c r="H39" i="4"/>
  <c r="H43" i="16" s="1"/>
  <c r="H37" i="4"/>
  <c r="I35" i="4"/>
  <c r="I37" i="4" s="1"/>
  <c r="H35" i="4"/>
  <c r="H34" i="4"/>
  <c r="H36" i="4" s="1"/>
  <c r="H38" i="4" s="1"/>
  <c r="Q28" i="4"/>
  <c r="Q794" i="16" s="1"/>
  <c r="M28" i="4"/>
  <c r="K28" i="4"/>
  <c r="J28" i="4"/>
  <c r="I28" i="4"/>
  <c r="H28" i="4"/>
  <c r="D28" i="4"/>
  <c r="B27" i="4"/>
  <c r="B26" i="4"/>
  <c r="B25" i="4"/>
  <c r="D24" i="4"/>
  <c r="D23" i="4"/>
  <c r="F22" i="4"/>
  <c r="D22" i="4"/>
  <c r="D21" i="4"/>
  <c r="D20" i="4"/>
  <c r="D19" i="4"/>
  <c r="O19" i="4" s="1"/>
  <c r="O143" i="7" s="1"/>
  <c r="O145" i="7" s="1"/>
  <c r="O244" i="7" s="1"/>
  <c r="F18" i="4"/>
  <c r="D18" i="4"/>
  <c r="N17" i="4"/>
  <c r="M17" i="4"/>
  <c r="M137" i="7" s="1"/>
  <c r="M139" i="7" s="1"/>
  <c r="M242" i="7" s="1"/>
  <c r="D17" i="4"/>
  <c r="D16" i="4"/>
  <c r="F15" i="4"/>
  <c r="S124" i="4" s="1"/>
  <c r="D15" i="4"/>
  <c r="D14" i="4"/>
  <c r="D13" i="4"/>
  <c r="D12" i="4"/>
  <c r="D11" i="4"/>
  <c r="D10" i="4"/>
  <c r="T8" i="4"/>
  <c r="S8" i="4"/>
  <c r="S15" i="9" s="1"/>
  <c r="S16" i="9" s="1"/>
  <c r="S23" i="9" s="1"/>
  <c r="R8" i="4"/>
  <c r="R78" i="8" s="1"/>
  <c r="R602" i="16" s="1"/>
  <c r="Q8" i="4"/>
  <c r="P8" i="4"/>
  <c r="O8" i="4"/>
  <c r="O78" i="8" s="1"/>
  <c r="O602" i="16" s="1"/>
  <c r="N8" i="4"/>
  <c r="M8" i="4"/>
  <c r="M15" i="9" s="1"/>
  <c r="M16" i="9" s="1"/>
  <c r="M23" i="9" s="1"/>
  <c r="L8" i="4"/>
  <c r="L28" i="4" s="1"/>
  <c r="K8" i="4"/>
  <c r="J8" i="4"/>
  <c r="I8" i="4"/>
  <c r="H8" i="4"/>
  <c r="H82" i="8" s="1"/>
  <c r="H635" i="16" s="1"/>
  <c r="G8" i="4"/>
  <c r="F64" i="3"/>
  <c r="C64" i="3"/>
  <c r="F63" i="3"/>
  <c r="C63" i="3"/>
  <c r="F62" i="3"/>
  <c r="C62" i="3"/>
  <c r="H58" i="3"/>
  <c r="G58" i="3"/>
  <c r="C58" i="3"/>
  <c r="H57" i="3"/>
  <c r="G57" i="3"/>
  <c r="C57" i="3"/>
  <c r="H56" i="3"/>
  <c r="G56" i="3"/>
  <c r="C56" i="3"/>
  <c r="H55" i="3"/>
  <c r="G55" i="3"/>
  <c r="C55" i="3"/>
  <c r="H54" i="3"/>
  <c r="G54" i="3"/>
  <c r="C54" i="3"/>
  <c r="H53" i="3"/>
  <c r="G53" i="3"/>
  <c r="C53" i="3"/>
  <c r="H52" i="3"/>
  <c r="G52" i="3"/>
  <c r="C52" i="3"/>
  <c r="H51" i="3"/>
  <c r="G51" i="3"/>
  <c r="C51" i="3"/>
  <c r="H50" i="3"/>
  <c r="G50" i="3"/>
  <c r="C50" i="3"/>
  <c r="H49" i="3"/>
  <c r="G49" i="3"/>
  <c r="C49" i="3"/>
  <c r="H48" i="3"/>
  <c r="G48" i="3"/>
  <c r="C48" i="3"/>
  <c r="H47" i="3"/>
  <c r="G47" i="3"/>
  <c r="C47" i="3"/>
  <c r="H46" i="3"/>
  <c r="G46" i="3"/>
  <c r="C46" i="3"/>
  <c r="H45" i="3"/>
  <c r="G45" i="3"/>
  <c r="C45" i="3"/>
  <c r="H44" i="3"/>
  <c r="G44" i="3"/>
  <c r="C44" i="3"/>
  <c r="H38" i="3"/>
  <c r="G38" i="3"/>
  <c r="H37" i="3"/>
  <c r="G37" i="3"/>
  <c r="H36" i="3"/>
  <c r="G36" i="3"/>
  <c r="H35" i="3"/>
  <c r="G35" i="3"/>
  <c r="H34" i="3"/>
  <c r="G34" i="3"/>
  <c r="H33" i="3"/>
  <c r="G33" i="3"/>
  <c r="H32" i="3"/>
  <c r="G32" i="3"/>
  <c r="H31" i="3"/>
  <c r="G31" i="3"/>
  <c r="H30" i="3"/>
  <c r="G30" i="3"/>
  <c r="H29" i="3"/>
  <c r="G29" i="3"/>
  <c r="H28" i="3"/>
  <c r="G28" i="3"/>
  <c r="H27" i="3"/>
  <c r="G27" i="3"/>
  <c r="H26" i="3"/>
  <c r="G26" i="3"/>
  <c r="H25" i="3"/>
  <c r="G25" i="3"/>
  <c r="H24" i="3"/>
  <c r="G24" i="3"/>
  <c r="H23" i="3"/>
  <c r="G23" i="3"/>
  <c r="H22" i="3"/>
  <c r="G22" i="3"/>
  <c r="H21" i="3"/>
  <c r="G21" i="3"/>
  <c r="H20" i="3"/>
  <c r="G20" i="3"/>
  <c r="H19" i="3"/>
  <c r="G19" i="3"/>
  <c r="H18" i="3"/>
  <c r="G18" i="3"/>
  <c r="H17" i="3"/>
  <c r="G17" i="3"/>
  <c r="H16" i="3"/>
  <c r="G16" i="3"/>
  <c r="H15" i="3"/>
  <c r="G15" i="3"/>
  <c r="H14" i="3"/>
  <c r="G14" i="3"/>
  <c r="H13" i="3"/>
  <c r="G13" i="3"/>
  <c r="H12" i="3"/>
  <c r="G12" i="3"/>
  <c r="H11" i="3"/>
  <c r="G11" i="3"/>
  <c r="H10" i="3"/>
  <c r="E5" i="3" s="1"/>
  <c r="G10" i="3"/>
  <c r="H9" i="3"/>
  <c r="G9" i="3"/>
  <c r="F5" i="3"/>
  <c r="E753" i="2"/>
  <c r="C15" i="17" s="1"/>
  <c r="U752" i="2"/>
  <c r="G752" i="2"/>
  <c r="U751" i="2"/>
  <c r="G751" i="2"/>
  <c r="U750" i="2"/>
  <c r="G750" i="2"/>
  <c r="U749" i="2"/>
  <c r="G749" i="2"/>
  <c r="U748" i="2"/>
  <c r="G748" i="2"/>
  <c r="U747" i="2"/>
  <c r="G747" i="2"/>
  <c r="U746" i="2"/>
  <c r="G746" i="2"/>
  <c r="U745" i="2"/>
  <c r="G745" i="2"/>
  <c r="U744" i="2"/>
  <c r="G744" i="2"/>
  <c r="U743" i="2"/>
  <c r="G743" i="2"/>
  <c r="U742" i="2"/>
  <c r="G742" i="2"/>
  <c r="U741" i="2"/>
  <c r="G741" i="2"/>
  <c r="U740" i="2"/>
  <c r="G740" i="2"/>
  <c r="U735" i="2"/>
  <c r="U734" i="2"/>
  <c r="U733" i="2"/>
  <c r="E733" i="2"/>
  <c r="U732" i="2"/>
  <c r="U731" i="2"/>
  <c r="U729" i="2"/>
  <c r="U728" i="2"/>
  <c r="E728" i="2"/>
  <c r="U727" i="2"/>
  <c r="U726" i="2"/>
  <c r="U724" i="2"/>
  <c r="U723" i="2"/>
  <c r="E723" i="2"/>
  <c r="U722" i="2"/>
  <c r="U721" i="2"/>
  <c r="U719" i="2"/>
  <c r="U718" i="2"/>
  <c r="E718" i="2"/>
  <c r="U717" i="2"/>
  <c r="U716" i="2"/>
  <c r="U714" i="2"/>
  <c r="U713" i="2"/>
  <c r="E713" i="2"/>
  <c r="U712" i="2"/>
  <c r="U711" i="2"/>
  <c r="E700" i="2"/>
  <c r="G700" i="2" s="1"/>
  <c r="E699" i="2"/>
  <c r="G699" i="2" s="1"/>
  <c r="G698" i="2"/>
  <c r="E698" i="2"/>
  <c r="E697" i="2"/>
  <c r="G697" i="2" s="1"/>
  <c r="E696" i="2"/>
  <c r="G696" i="2" s="1"/>
  <c r="E695" i="2"/>
  <c r="G695" i="2" s="1"/>
  <c r="G694" i="2"/>
  <c r="E694" i="2"/>
  <c r="G693" i="2"/>
  <c r="E693" i="2"/>
  <c r="E692" i="2"/>
  <c r="G692" i="2" s="1"/>
  <c r="E691" i="2"/>
  <c r="G691" i="2" s="1"/>
  <c r="E690" i="2"/>
  <c r="G690" i="2" s="1"/>
  <c r="G689" i="2"/>
  <c r="E689" i="2"/>
  <c r="U687" i="2"/>
  <c r="U686" i="2"/>
  <c r="U685" i="2"/>
  <c r="U684" i="2"/>
  <c r="U683" i="2"/>
  <c r="E666" i="2"/>
  <c r="G666" i="2" s="1"/>
  <c r="E665" i="2"/>
  <c r="G665" i="2" s="1"/>
  <c r="G664" i="2"/>
  <c r="E664" i="2"/>
  <c r="E663" i="2"/>
  <c r="G663" i="2" s="1"/>
  <c r="E662" i="2"/>
  <c r="G662" i="2" s="1"/>
  <c r="G661" i="2"/>
  <c r="E661" i="2"/>
  <c r="G660" i="2"/>
  <c r="E660" i="2"/>
  <c r="E659" i="2"/>
  <c r="G659" i="2" s="1"/>
  <c r="E658" i="2"/>
  <c r="G658" i="2" s="1"/>
  <c r="E657" i="2"/>
  <c r="G657" i="2" s="1"/>
  <c r="E656" i="2"/>
  <c r="G656" i="2" s="1"/>
  <c r="G655" i="2"/>
  <c r="E655" i="2"/>
  <c r="U653" i="2"/>
  <c r="U652" i="2"/>
  <c r="U651" i="2"/>
  <c r="U650" i="2"/>
  <c r="U649" i="2"/>
  <c r="E632" i="2"/>
  <c r="G632" i="2" s="1"/>
  <c r="E631" i="2"/>
  <c r="G631" i="2" s="1"/>
  <c r="E630" i="2"/>
  <c r="G630" i="2" s="1"/>
  <c r="E629" i="2"/>
  <c r="G629" i="2" s="1"/>
  <c r="G628" i="2"/>
  <c r="E628" i="2"/>
  <c r="G627" i="2"/>
  <c r="E627" i="2"/>
  <c r="E626" i="2"/>
  <c r="G626" i="2" s="1"/>
  <c r="E625" i="2"/>
  <c r="G625" i="2" s="1"/>
  <c r="E624" i="2"/>
  <c r="G624" i="2" s="1"/>
  <c r="E623" i="2"/>
  <c r="G623" i="2" s="1"/>
  <c r="G622" i="2"/>
  <c r="E622" i="2"/>
  <c r="E621" i="2"/>
  <c r="U619" i="2"/>
  <c r="U618" i="2"/>
  <c r="U617" i="2"/>
  <c r="U616" i="2"/>
  <c r="U615" i="2"/>
  <c r="U598" i="2"/>
  <c r="U597" i="2"/>
  <c r="U596" i="2"/>
  <c r="U595" i="2"/>
  <c r="U594" i="2"/>
  <c r="U593" i="2"/>
  <c r="U592" i="2"/>
  <c r="U591" i="2"/>
  <c r="U590" i="2"/>
  <c r="U589" i="2"/>
  <c r="U588" i="2"/>
  <c r="U587" i="2"/>
  <c r="U586" i="2"/>
  <c r="U585" i="2"/>
  <c r="U584" i="2"/>
  <c r="U583" i="2"/>
  <c r="U582" i="2"/>
  <c r="U581" i="2"/>
  <c r="U580" i="2"/>
  <c r="U579" i="2"/>
  <c r="U578" i="2"/>
  <c r="E578" i="2"/>
  <c r="U577" i="2"/>
  <c r="U576" i="2"/>
  <c r="U575" i="2"/>
  <c r="U574" i="2"/>
  <c r="U573" i="2"/>
  <c r="U572" i="2"/>
  <c r="U571" i="2"/>
  <c r="U570" i="2"/>
  <c r="U569" i="2"/>
  <c r="U568" i="2"/>
  <c r="E561" i="2"/>
  <c r="E560" i="2"/>
  <c r="E559" i="2"/>
  <c r="E557" i="2"/>
  <c r="E555" i="2"/>
  <c r="E556" i="2" s="1"/>
  <c r="E558" i="2" s="1"/>
  <c r="E554" i="2"/>
  <c r="E553" i="2"/>
  <c r="E552" i="2"/>
  <c r="U550" i="2"/>
  <c r="U549" i="2"/>
  <c r="U548" i="2"/>
  <c r="U547" i="2"/>
  <c r="U546" i="2"/>
  <c r="U545" i="2"/>
  <c r="U544" i="2"/>
  <c r="U543" i="2"/>
  <c r="U542" i="2"/>
  <c r="U537" i="2"/>
  <c r="U536" i="2"/>
  <c r="U535" i="2"/>
  <c r="U534" i="2"/>
  <c r="U533" i="2"/>
  <c r="U532" i="2"/>
  <c r="U531" i="2"/>
  <c r="U530" i="2"/>
  <c r="U529" i="2"/>
  <c r="U528" i="2"/>
  <c r="U527" i="2"/>
  <c r="U526" i="2"/>
  <c r="U525" i="2"/>
  <c r="U524" i="2"/>
  <c r="U522" i="2"/>
  <c r="U518" i="2"/>
  <c r="U517" i="2"/>
  <c r="U516" i="2"/>
  <c r="U515" i="2"/>
  <c r="U513" i="2"/>
  <c r="U512" i="2"/>
  <c r="U511" i="2"/>
  <c r="U510" i="2"/>
  <c r="U508" i="2"/>
  <c r="U507" i="2"/>
  <c r="U506" i="2"/>
  <c r="U505" i="2"/>
  <c r="U504" i="2"/>
  <c r="U503" i="2"/>
  <c r="U502" i="2"/>
  <c r="U501" i="2"/>
  <c r="U499" i="2"/>
  <c r="U498" i="2"/>
  <c r="U497" i="2"/>
  <c r="U496" i="2"/>
  <c r="U495" i="2"/>
  <c r="U494" i="2"/>
  <c r="U493" i="2"/>
  <c r="U492" i="2"/>
  <c r="U487" i="2"/>
  <c r="U486" i="2"/>
  <c r="U485" i="2"/>
  <c r="U481" i="2"/>
  <c r="U480" i="2"/>
  <c r="U479" i="2"/>
  <c r="U474" i="2"/>
  <c r="U473" i="2"/>
  <c r="U472" i="2"/>
  <c r="U471" i="2"/>
  <c r="U470" i="2"/>
  <c r="U469" i="2"/>
  <c r="U468" i="2"/>
  <c r="U467" i="2"/>
  <c r="U466" i="2"/>
  <c r="U465" i="2"/>
  <c r="U464" i="2"/>
  <c r="U463" i="2"/>
  <c r="U462" i="2"/>
  <c r="U461" i="2"/>
  <c r="U460" i="2"/>
  <c r="U459" i="2"/>
  <c r="U458" i="2"/>
  <c r="U457" i="2"/>
  <c r="U456" i="2"/>
  <c r="U455" i="2"/>
  <c r="U454" i="2"/>
  <c r="U453" i="2"/>
  <c r="U452" i="2"/>
  <c r="U451" i="2"/>
  <c r="U450" i="2"/>
  <c r="U449" i="2"/>
  <c r="U448" i="2"/>
  <c r="U447" i="2"/>
  <c r="U446" i="2"/>
  <c r="U445" i="2"/>
  <c r="U444" i="2"/>
  <c r="U443" i="2"/>
  <c r="U442" i="2"/>
  <c r="U441" i="2"/>
  <c r="U440" i="2"/>
  <c r="U439" i="2"/>
  <c r="U438" i="2"/>
  <c r="U437" i="2"/>
  <c r="U436" i="2"/>
  <c r="U435" i="2"/>
  <c r="U434" i="2"/>
  <c r="U433" i="2"/>
  <c r="U432" i="2"/>
  <c r="U431" i="2"/>
  <c r="U430" i="2"/>
  <c r="U425" i="2"/>
  <c r="U424" i="2"/>
  <c r="U423" i="2"/>
  <c r="U422" i="2"/>
  <c r="U421" i="2"/>
  <c r="U420" i="2"/>
  <c r="U419" i="2"/>
  <c r="U418" i="2"/>
  <c r="U417" i="2"/>
  <c r="U416" i="2"/>
  <c r="U415" i="2"/>
  <c r="U414" i="2"/>
  <c r="U413" i="2"/>
  <c r="U412" i="2"/>
  <c r="U411" i="2"/>
  <c r="U410" i="2"/>
  <c r="U407" i="2"/>
  <c r="U406" i="2"/>
  <c r="U405" i="2"/>
  <c r="U404" i="2"/>
  <c r="U403" i="2"/>
  <c r="U402" i="2"/>
  <c r="U401" i="2"/>
  <c r="U400" i="2"/>
  <c r="U399" i="2"/>
  <c r="U398" i="2"/>
  <c r="U397" i="2"/>
  <c r="U396" i="2"/>
  <c r="U395" i="2"/>
  <c r="U394" i="2"/>
  <c r="U393" i="2"/>
  <c r="U392" i="2"/>
  <c r="U391" i="2"/>
  <c r="U390" i="2"/>
  <c r="U389" i="2"/>
  <c r="U388" i="2"/>
  <c r="U387" i="2"/>
  <c r="U386" i="2"/>
  <c r="U385" i="2"/>
  <c r="U384" i="2"/>
  <c r="U383" i="2"/>
  <c r="U382" i="2"/>
  <c r="U381" i="2"/>
  <c r="U380" i="2"/>
  <c r="U377" i="2"/>
  <c r="U376" i="2"/>
  <c r="U375" i="2"/>
  <c r="U374" i="2"/>
  <c r="U373" i="2"/>
  <c r="U372" i="2"/>
  <c r="U371" i="2"/>
  <c r="U370" i="2"/>
  <c r="U369" i="2"/>
  <c r="U368" i="2"/>
  <c r="U367" i="2"/>
  <c r="U366" i="2"/>
  <c r="U365" i="2"/>
  <c r="U364" i="2"/>
  <c r="U363" i="2"/>
  <c r="U362" i="2"/>
  <c r="U361" i="2"/>
  <c r="U358" i="2"/>
  <c r="U357" i="2"/>
  <c r="U356" i="2"/>
  <c r="U355" i="2"/>
  <c r="U354" i="2"/>
  <c r="U353" i="2"/>
  <c r="U352" i="2"/>
  <c r="U351" i="2"/>
  <c r="U350" i="2"/>
  <c r="U349" i="2"/>
  <c r="U348" i="2"/>
  <c r="U347" i="2"/>
  <c r="U346" i="2"/>
  <c r="U345" i="2"/>
  <c r="U344" i="2"/>
  <c r="U343" i="2"/>
  <c r="U342" i="2"/>
  <c r="U341" i="2"/>
  <c r="U340" i="2"/>
  <c r="U339" i="2"/>
  <c r="U336" i="2"/>
  <c r="U335" i="2"/>
  <c r="U334" i="2"/>
  <c r="U333" i="2"/>
  <c r="U332" i="2"/>
  <c r="U331" i="2"/>
  <c r="U330" i="2"/>
  <c r="U329" i="2"/>
  <c r="U328" i="2"/>
  <c r="U327" i="2"/>
  <c r="U326" i="2"/>
  <c r="U325" i="2"/>
  <c r="U324" i="2"/>
  <c r="U323" i="2"/>
  <c r="U322" i="2"/>
  <c r="U321" i="2"/>
  <c r="U320" i="2"/>
  <c r="U319" i="2"/>
  <c r="U318" i="2"/>
  <c r="U317" i="2"/>
  <c r="U311" i="2"/>
  <c r="U310" i="2"/>
  <c r="U309" i="2"/>
  <c r="U308" i="2"/>
  <c r="E308" i="2"/>
  <c r="U307" i="2"/>
  <c r="U306" i="2"/>
  <c r="U305" i="2"/>
  <c r="U304" i="2"/>
  <c r="U303" i="2"/>
  <c r="U302" i="2"/>
  <c r="U301" i="2"/>
  <c r="U300" i="2"/>
  <c r="U299" i="2"/>
  <c r="U298" i="2"/>
  <c r="U297" i="2"/>
  <c r="U294" i="2"/>
  <c r="U293" i="2"/>
  <c r="U292" i="2"/>
  <c r="U291" i="2"/>
  <c r="U290" i="2"/>
  <c r="U289" i="2"/>
  <c r="U288" i="2"/>
  <c r="U287" i="2"/>
  <c r="U286" i="2"/>
  <c r="U285" i="2"/>
  <c r="U284" i="2"/>
  <c r="U283" i="2"/>
  <c r="U282" i="2"/>
  <c r="U281" i="2"/>
  <c r="U280" i="2"/>
  <c r="U279" i="2"/>
  <c r="U278" i="2"/>
  <c r="U275" i="2"/>
  <c r="U274" i="2"/>
  <c r="U273" i="2"/>
  <c r="U272" i="2"/>
  <c r="E272" i="2"/>
  <c r="U271" i="2"/>
  <c r="U270" i="2"/>
  <c r="U269" i="2"/>
  <c r="U265" i="2"/>
  <c r="U264" i="2"/>
  <c r="U263" i="2"/>
  <c r="U262" i="2"/>
  <c r="E262" i="2"/>
  <c r="U261" i="2"/>
  <c r="U260" i="2"/>
  <c r="U259" i="2"/>
  <c r="U258" i="2"/>
  <c r="U257" i="2"/>
  <c r="U254" i="2"/>
  <c r="U253" i="2"/>
  <c r="U252" i="2"/>
  <c r="U251" i="2"/>
  <c r="E251" i="2"/>
  <c r="U250" i="2"/>
  <c r="U249" i="2"/>
  <c r="U248" i="2"/>
  <c r="U247" i="2"/>
  <c r="U246" i="2"/>
  <c r="U245" i="2"/>
  <c r="U244" i="2"/>
  <c r="U241" i="2"/>
  <c r="U240" i="2"/>
  <c r="U239" i="2"/>
  <c r="U238" i="2"/>
  <c r="E238" i="2"/>
  <c r="U237" i="2"/>
  <c r="U236" i="2"/>
  <c r="U235" i="2"/>
  <c r="U234" i="2"/>
  <c r="U233" i="2"/>
  <c r="U229" i="2"/>
  <c r="U228" i="2"/>
  <c r="U227" i="2"/>
  <c r="U226" i="2"/>
  <c r="E226" i="2"/>
  <c r="U225" i="2"/>
  <c r="U224" i="2"/>
  <c r="U223" i="2"/>
  <c r="U222" i="2"/>
  <c r="U221" i="2"/>
  <c r="U220" i="2"/>
  <c r="U219" i="2"/>
  <c r="U218" i="2"/>
  <c r="U217" i="2"/>
  <c r="U214" i="2"/>
  <c r="U213" i="2"/>
  <c r="U212" i="2"/>
  <c r="U211" i="2"/>
  <c r="E211" i="2"/>
  <c r="U210" i="2"/>
  <c r="U209" i="2"/>
  <c r="U208" i="2"/>
  <c r="U207" i="2"/>
  <c r="U206" i="2"/>
  <c r="U205" i="2"/>
  <c r="U204" i="2"/>
  <c r="U200" i="2"/>
  <c r="U199" i="2"/>
  <c r="U198" i="2"/>
  <c r="U197" i="2"/>
  <c r="E197" i="2"/>
  <c r="U196" i="2"/>
  <c r="U195" i="2"/>
  <c r="U194" i="2"/>
  <c r="U193" i="2"/>
  <c r="U192" i="2"/>
  <c r="U191" i="2"/>
  <c r="U185" i="2"/>
  <c r="U184" i="2"/>
  <c r="U183" i="2"/>
  <c r="U182" i="2"/>
  <c r="U181" i="2"/>
  <c r="U180" i="2"/>
  <c r="U179" i="2"/>
  <c r="U178" i="2"/>
  <c r="U177" i="2"/>
  <c r="U176" i="2"/>
  <c r="U175" i="2"/>
  <c r="U174" i="2"/>
  <c r="U173" i="2"/>
  <c r="U172" i="2"/>
  <c r="U171" i="2"/>
  <c r="U170" i="2"/>
  <c r="U169" i="2"/>
  <c r="U168" i="2"/>
  <c r="U167" i="2"/>
  <c r="U166" i="2"/>
  <c r="U165" i="2"/>
  <c r="U164" i="2"/>
  <c r="U163" i="2"/>
  <c r="U162" i="2"/>
  <c r="U161" i="2"/>
  <c r="U160" i="2"/>
  <c r="U159" i="2"/>
  <c r="U158" i="2"/>
  <c r="U157" i="2"/>
  <c r="U156" i="2"/>
  <c r="U155" i="2"/>
  <c r="U154" i="2"/>
  <c r="U153" i="2"/>
  <c r="U152" i="2"/>
  <c r="U151" i="2"/>
  <c r="U150" i="2"/>
  <c r="U149" i="2"/>
  <c r="U148" i="2"/>
  <c r="U147" i="2"/>
  <c r="U146" i="2"/>
  <c r="U145" i="2"/>
  <c r="U144" i="2"/>
  <c r="U143" i="2"/>
  <c r="U142" i="2"/>
  <c r="U141" i="2"/>
  <c r="U140" i="2"/>
  <c r="U139" i="2"/>
  <c r="U138" i="2"/>
  <c r="U137" i="2"/>
  <c r="U136" i="2"/>
  <c r="U135" i="2"/>
  <c r="U134" i="2"/>
  <c r="U133" i="2"/>
  <c r="U132" i="2"/>
  <c r="U131" i="2"/>
  <c r="U130" i="2"/>
  <c r="U127" i="2"/>
  <c r="U126" i="2"/>
  <c r="U125" i="2"/>
  <c r="U124" i="2"/>
  <c r="U123" i="2"/>
  <c r="U122" i="2"/>
  <c r="U119" i="2"/>
  <c r="U118" i="2"/>
  <c r="U117" i="2"/>
  <c r="U116" i="2"/>
  <c r="U115" i="2"/>
  <c r="U112" i="2"/>
  <c r="U111" i="2"/>
  <c r="U110" i="2"/>
  <c r="U109" i="2"/>
  <c r="U108" i="2"/>
  <c r="U107" i="2"/>
  <c r="U106" i="2"/>
  <c r="U105" i="2"/>
  <c r="U104" i="2"/>
  <c r="U103" i="2"/>
  <c r="U95" i="2"/>
  <c r="U94" i="2"/>
  <c r="U93" i="2"/>
  <c r="E88" i="2"/>
  <c r="I87" i="2"/>
  <c r="B87" i="2"/>
  <c r="I86" i="2"/>
  <c r="B86" i="2"/>
  <c r="I85" i="2"/>
  <c r="B85" i="2"/>
  <c r="I84" i="2"/>
  <c r="B84" i="2"/>
  <c r="I83" i="2"/>
  <c r="B83" i="2"/>
  <c r="G82" i="2"/>
  <c r="G81" i="2"/>
  <c r="B81" i="2"/>
  <c r="G80" i="2"/>
  <c r="B80" i="2"/>
  <c r="G79" i="2"/>
  <c r="B79" i="2"/>
  <c r="I73" i="2"/>
  <c r="H73" i="2"/>
  <c r="H71" i="2"/>
  <c r="C108" i="1" s="1"/>
  <c r="H68" i="2"/>
  <c r="T12" i="7" s="1"/>
  <c r="E56" i="2"/>
  <c r="E55" i="2"/>
  <c r="I343" i="7" s="1"/>
  <c r="E54" i="2"/>
  <c r="T208" i="5" s="1"/>
  <c r="E53" i="2"/>
  <c r="Q179" i="4" s="1"/>
  <c r="E52" i="2"/>
  <c r="U50" i="2"/>
  <c r="U49" i="2"/>
  <c r="U48" i="2"/>
  <c r="U47" i="2"/>
  <c r="U46" i="2"/>
  <c r="U45" i="2"/>
  <c r="U44" i="2"/>
  <c r="U43" i="2"/>
  <c r="U42" i="2"/>
  <c r="C209" i="1"/>
  <c r="C172" i="1"/>
  <c r="C132" i="1"/>
  <c r="C128" i="1"/>
  <c r="C127" i="1"/>
  <c r="C126" i="1"/>
  <c r="C125" i="1"/>
  <c r="C124" i="1"/>
  <c r="C123" i="1"/>
  <c r="D119" i="1"/>
  <c r="D118" i="1"/>
  <c r="B118" i="1"/>
  <c r="D117" i="1"/>
  <c r="B117" i="1"/>
  <c r="D116" i="1"/>
  <c r="B116" i="1"/>
  <c r="D115" i="1"/>
  <c r="D113" i="1"/>
  <c r="D110" i="1"/>
  <c r="C110" i="1"/>
  <c r="D109" i="1"/>
  <c r="D108" i="1"/>
  <c r="D106" i="1"/>
  <c r="C100" i="1"/>
  <c r="C99" i="1"/>
  <c r="C98" i="1"/>
  <c r="C97" i="1"/>
  <c r="C80" i="1"/>
  <c r="C79" i="1"/>
  <c r="C78" i="1"/>
  <c r="C77" i="1"/>
  <c r="C76" i="1"/>
  <c r="C75" i="1"/>
  <c r="C74" i="1"/>
  <c r="C73" i="1"/>
  <c r="C62" i="1"/>
  <c r="C60" i="1"/>
  <c r="C59" i="1"/>
  <c r="C54" i="1"/>
  <c r="C14" i="1"/>
  <c r="C13" i="1"/>
  <c r="H82" i="4" l="1"/>
  <c r="I68" i="4"/>
  <c r="K105" i="5"/>
  <c r="H135" i="4"/>
  <c r="I74" i="5"/>
  <c r="H88" i="5"/>
  <c r="K50" i="5"/>
  <c r="J65" i="5"/>
  <c r="T60" i="7"/>
  <c r="T341" i="16"/>
  <c r="I109" i="16"/>
  <c r="I387" i="16"/>
  <c r="Q796" i="16"/>
  <c r="Q176" i="4"/>
  <c r="Q182" i="4" s="1"/>
  <c r="Q177" i="4"/>
  <c r="Q201" i="5"/>
  <c r="Q226" i="4"/>
  <c r="L624" i="16"/>
  <c r="L82" i="8"/>
  <c r="L635" i="16" s="1"/>
  <c r="L235" i="5"/>
  <c r="K168" i="7"/>
  <c r="K133" i="7"/>
  <c r="K169" i="7"/>
  <c r="Q855" i="16"/>
  <c r="Q351" i="7"/>
  <c r="F14" i="4"/>
  <c r="J14" i="4"/>
  <c r="M14" i="4"/>
  <c r="D105" i="1"/>
  <c r="L14" i="4"/>
  <c r="I14" i="4"/>
  <c r="K14" i="4"/>
  <c r="H14" i="4"/>
  <c r="T14" i="4"/>
  <c r="H115" i="7"/>
  <c r="S14" i="4"/>
  <c r="R14" i="4"/>
  <c r="Q14" i="4"/>
  <c r="P14" i="4"/>
  <c r="I20" i="4"/>
  <c r="I146" i="7" s="1"/>
  <c r="I148" i="7" s="1"/>
  <c r="I245" i="7" s="1"/>
  <c r="R20" i="4"/>
  <c r="R146" i="7" s="1"/>
  <c r="R148" i="7" s="1"/>
  <c r="R245" i="7" s="1"/>
  <c r="L20" i="4"/>
  <c r="F20" i="4"/>
  <c r="D111" i="1"/>
  <c r="S20" i="4"/>
  <c r="S146" i="7" s="1"/>
  <c r="S148" i="7" s="1"/>
  <c r="S245" i="7" s="1"/>
  <c r="T20" i="4"/>
  <c r="P20" i="4"/>
  <c r="P146" i="7" s="1"/>
  <c r="P148" i="7" s="1"/>
  <c r="P245" i="7" s="1"/>
  <c r="O20" i="4"/>
  <c r="O146" i="7" s="1"/>
  <c r="O148" i="7" s="1"/>
  <c r="O245" i="7" s="1"/>
  <c r="H794" i="16"/>
  <c r="H175" i="4"/>
  <c r="H29" i="4"/>
  <c r="H207" i="5"/>
  <c r="H209" i="5" s="1"/>
  <c r="S63" i="5"/>
  <c r="H93" i="5"/>
  <c r="I79" i="5"/>
  <c r="P1127" i="17"/>
  <c r="P1128" i="17" s="1"/>
  <c r="P491" i="16"/>
  <c r="P66" i="8"/>
  <c r="P502" i="16" s="1"/>
  <c r="P231" i="5"/>
  <c r="Q621" i="16"/>
  <c r="Q76" i="6"/>
  <c r="Q841" i="16"/>
  <c r="Q349" i="7"/>
  <c r="R74" i="8"/>
  <c r="R569" i="16" s="1"/>
  <c r="Q22" i="9"/>
  <c r="Q23" i="9"/>
  <c r="N24" i="4"/>
  <c r="I202" i="5"/>
  <c r="I175" i="4"/>
  <c r="I29" i="4"/>
  <c r="I207" i="5"/>
  <c r="I209" i="5" s="1"/>
  <c r="P98" i="5"/>
  <c r="H867" i="17"/>
  <c r="H868" i="17" s="1"/>
  <c r="H284" i="16"/>
  <c r="H225" i="5"/>
  <c r="H42" i="8"/>
  <c r="H295" i="16" s="1"/>
  <c r="R73" i="6"/>
  <c r="R621" i="16" s="1"/>
  <c r="M20" i="4"/>
  <c r="M146" i="7" s="1"/>
  <c r="M148" i="7" s="1"/>
  <c r="M245" i="7" s="1"/>
  <c r="J202" i="5"/>
  <c r="J175" i="4"/>
  <c r="J794" i="16"/>
  <c r="J207" i="5"/>
  <c r="J209" i="5" s="1"/>
  <c r="H31" i="6"/>
  <c r="H32" i="6"/>
  <c r="H31" i="5"/>
  <c r="S73" i="6"/>
  <c r="S621" i="16" s="1"/>
  <c r="L308" i="7"/>
  <c r="L187" i="16" s="1"/>
  <c r="K308" i="7"/>
  <c r="K187" i="16" s="1"/>
  <c r="G289" i="7"/>
  <c r="J308" i="7"/>
  <c r="J187" i="16" s="1"/>
  <c r="I308" i="7"/>
  <c r="I187" i="16" s="1"/>
  <c r="M308" i="7"/>
  <c r="M187" i="16" s="1"/>
  <c r="H308" i="7"/>
  <c r="H187" i="16" s="1"/>
  <c r="G308" i="7"/>
  <c r="G187" i="16" s="1"/>
  <c r="T308" i="7"/>
  <c r="T187" i="16" s="1"/>
  <c r="Q308" i="7"/>
  <c r="Q187" i="16" s="1"/>
  <c r="S308" i="7"/>
  <c r="S187" i="16" s="1"/>
  <c r="R308" i="7"/>
  <c r="R187" i="16" s="1"/>
  <c r="P308" i="7"/>
  <c r="P187" i="16" s="1"/>
  <c r="O308" i="7"/>
  <c r="O187" i="16" s="1"/>
  <c r="H46" i="14"/>
  <c r="H47" i="14"/>
  <c r="G1306" i="17"/>
  <c r="G183" i="7"/>
  <c r="H183" i="7" s="1"/>
  <c r="O17" i="4"/>
  <c r="O137" i="7" s="1"/>
  <c r="O139" i="7" s="1"/>
  <c r="O242" i="7" s="1"/>
  <c r="L17" i="4"/>
  <c r="L137" i="7" s="1"/>
  <c r="L139" i="7" s="1"/>
  <c r="L242" i="7" s="1"/>
  <c r="K17" i="4"/>
  <c r="K137" i="7" s="1"/>
  <c r="K139" i="7" s="1"/>
  <c r="K242" i="7" s="1"/>
  <c r="I17" i="4"/>
  <c r="I137" i="7" s="1"/>
  <c r="I139" i="7" s="1"/>
  <c r="I242" i="7" s="1"/>
  <c r="H17" i="4"/>
  <c r="H137" i="7" s="1"/>
  <c r="H139" i="7" s="1"/>
  <c r="H242" i="7" s="1"/>
  <c r="J17" i="4"/>
  <c r="J137" i="7" s="1"/>
  <c r="J139" i="7" s="1"/>
  <c r="J242" i="7" s="1"/>
  <c r="R17" i="4"/>
  <c r="R137" i="7" s="1"/>
  <c r="R139" i="7" s="1"/>
  <c r="R242" i="7" s="1"/>
  <c r="S17" i="4"/>
  <c r="S137" i="7" s="1"/>
  <c r="S139" i="7" s="1"/>
  <c r="S242" i="7" s="1"/>
  <c r="T17" i="4"/>
  <c r="Q17" i="4"/>
  <c r="Q137" i="7" s="1"/>
  <c r="Q139" i="7" s="1"/>
  <c r="Q242" i="7" s="1"/>
  <c r="P17" i="4"/>
  <c r="N20" i="4"/>
  <c r="H1299" i="17"/>
  <c r="H1300" i="17" s="1"/>
  <c r="H84" i="4"/>
  <c r="H75" i="4"/>
  <c r="I61" i="4"/>
  <c r="H89" i="5"/>
  <c r="I71" i="5"/>
  <c r="R53" i="6"/>
  <c r="R51" i="6"/>
  <c r="R52" i="6" s="1"/>
  <c r="G678" i="16"/>
  <c r="G63" i="7"/>
  <c r="G679" i="16" s="1"/>
  <c r="F40" i="7"/>
  <c r="I127" i="7"/>
  <c r="I168" i="7"/>
  <c r="I103" i="7"/>
  <c r="I121" i="7"/>
  <c r="I115" i="7"/>
  <c r="I133" i="7"/>
  <c r="F17" i="10"/>
  <c r="C11" i="13"/>
  <c r="G611" i="17"/>
  <c r="G612" i="17" s="1"/>
  <c r="P78" i="8"/>
  <c r="P602" i="16" s="1"/>
  <c r="P28" i="4"/>
  <c r="P46" i="8"/>
  <c r="P331" i="16" s="1"/>
  <c r="P15" i="9"/>
  <c r="P16" i="9" s="1"/>
  <c r="F17" i="4"/>
  <c r="H76" i="4"/>
  <c r="I62" i="4"/>
  <c r="L919" i="17"/>
  <c r="L920" i="17" s="1"/>
  <c r="L425" i="16"/>
  <c r="L58" i="8"/>
  <c r="L436" i="16" s="1"/>
  <c r="L229" i="5"/>
  <c r="T51" i="6"/>
  <c r="T52" i="6" s="1"/>
  <c r="J168" i="7"/>
  <c r="J103" i="7"/>
  <c r="J133" i="7"/>
  <c r="J169" i="7"/>
  <c r="E611" i="17"/>
  <c r="G613" i="17" s="1"/>
  <c r="T612" i="17"/>
  <c r="E612" i="17" s="1"/>
  <c r="M925" i="17"/>
  <c r="M926" i="17" s="1"/>
  <c r="M428" i="16"/>
  <c r="L34" i="5"/>
  <c r="M17" i="5"/>
  <c r="I99" i="5"/>
  <c r="H127" i="5"/>
  <c r="H79" i="2"/>
  <c r="N137" i="7"/>
  <c r="N139" i="7" s="1"/>
  <c r="N242" i="7" s="1"/>
  <c r="J387" i="16"/>
  <c r="J109" i="16"/>
  <c r="R855" i="16"/>
  <c r="R351" i="7"/>
  <c r="G701" i="2"/>
  <c r="K387" i="16"/>
  <c r="K109" i="16"/>
  <c r="G261" i="12"/>
  <c r="N419" i="16"/>
  <c r="C19" i="16"/>
  <c r="K18" i="15"/>
  <c r="Q449" i="16" s="1"/>
  <c r="J18" i="15"/>
  <c r="E17" i="4"/>
  <c r="H18" i="15"/>
  <c r="D18" i="15"/>
  <c r="D19" i="16"/>
  <c r="I18" i="15"/>
  <c r="N14" i="4"/>
  <c r="R1000" i="17"/>
  <c r="R1001" i="17" s="1"/>
  <c r="R214" i="16"/>
  <c r="R250" i="5"/>
  <c r="K121" i="7"/>
  <c r="O73" i="11"/>
  <c r="O75" i="11" s="1"/>
  <c r="I34" i="4"/>
  <c r="I106" i="4"/>
  <c r="O49" i="5"/>
  <c r="Q181" i="4"/>
  <c r="K11" i="4"/>
  <c r="J11" i="4"/>
  <c r="H11" i="4"/>
  <c r="I11" i="4"/>
  <c r="F11" i="4"/>
  <c r="P11" i="4"/>
  <c r="D102" i="1"/>
  <c r="T11" i="4"/>
  <c r="S11" i="4"/>
  <c r="F23" i="4"/>
  <c r="I23" i="4"/>
  <c r="D114" i="1"/>
  <c r="T23" i="4"/>
  <c r="S23" i="4"/>
  <c r="J128" i="4"/>
  <c r="J352" i="16"/>
  <c r="R255" i="5"/>
  <c r="R391" i="16"/>
  <c r="Q266" i="5"/>
  <c r="P26" i="6"/>
  <c r="P27" i="6" s="1"/>
  <c r="T28" i="6"/>
  <c r="S12" i="7"/>
  <c r="J109" i="7"/>
  <c r="L277" i="17"/>
  <c r="L278" i="17" s="1"/>
  <c r="I794" i="16"/>
  <c r="H726" i="17"/>
  <c r="H727" i="17" s="1"/>
  <c r="H377" i="17"/>
  <c r="H378" i="17" s="1"/>
  <c r="L32" i="5"/>
  <c r="N919" i="17"/>
  <c r="N920" i="17" s="1"/>
  <c r="N425" i="16"/>
  <c r="N58" i="8"/>
  <c r="N436" i="16" s="1"/>
  <c r="N229" i="5"/>
  <c r="M624" i="16"/>
  <c r="M235" i="5"/>
  <c r="M82" i="8"/>
  <c r="M635" i="16" s="1"/>
  <c r="E14" i="4"/>
  <c r="M32" i="5"/>
  <c r="S855" i="16"/>
  <c r="S351" i="7"/>
  <c r="N73" i="11"/>
  <c r="N75" i="11" s="1"/>
  <c r="N626" i="17"/>
  <c r="N627" i="17" s="1"/>
  <c r="L109" i="16"/>
  <c r="L387" i="16"/>
  <c r="I106" i="5"/>
  <c r="J106" i="5" s="1"/>
  <c r="K106" i="5" s="1"/>
  <c r="L106" i="5" s="1"/>
  <c r="M106" i="5" s="1"/>
  <c r="N106" i="5" s="1"/>
  <c r="O106" i="5" s="1"/>
  <c r="P106" i="5" s="1"/>
  <c r="Q106" i="5" s="1"/>
  <c r="R106" i="5" s="1"/>
  <c r="S106" i="5" s="1"/>
  <c r="T106" i="5" s="1"/>
  <c r="H130" i="5"/>
  <c r="O391" i="16"/>
  <c r="O255" i="5"/>
  <c r="K1023" i="17"/>
  <c r="K1024" i="17" s="1"/>
  <c r="K233" i="5"/>
  <c r="K242" i="5" s="1"/>
  <c r="K558" i="16"/>
  <c r="K74" i="8"/>
  <c r="K569" i="16" s="1"/>
  <c r="S626" i="17"/>
  <c r="S627" i="17" s="1"/>
  <c r="H202" i="5"/>
  <c r="C58" i="1"/>
  <c r="K12" i="9"/>
  <c r="K954" i="17"/>
  <c r="K955" i="17" s="1"/>
  <c r="K70" i="15"/>
  <c r="K84" i="16" s="1"/>
  <c r="K24" i="9"/>
  <c r="P15" i="6"/>
  <c r="P16" i="6" s="1"/>
  <c r="R25" i="6"/>
  <c r="R555" i="16" s="1"/>
  <c r="R24" i="6"/>
  <c r="R28" i="6" s="1"/>
  <c r="L51" i="6"/>
  <c r="L52" i="6" s="1"/>
  <c r="I109" i="7"/>
  <c r="H73" i="4"/>
  <c r="I59" i="4"/>
  <c r="N1127" i="17"/>
  <c r="N1128" i="17" s="1"/>
  <c r="N491" i="16"/>
  <c r="N66" i="8"/>
  <c r="N502" i="16" s="1"/>
  <c r="N231" i="5"/>
  <c r="P899" i="16"/>
  <c r="P871" i="16"/>
  <c r="P409" i="15"/>
  <c r="P15" i="11"/>
  <c r="P420" i="15"/>
  <c r="P66" i="12"/>
  <c r="Q15" i="6"/>
  <c r="Q16" i="6" s="1"/>
  <c r="J53" i="6"/>
  <c r="J51" i="6"/>
  <c r="J52" i="6" s="1"/>
  <c r="N53" i="6"/>
  <c r="P74" i="8"/>
  <c r="P569" i="16" s="1"/>
  <c r="G207" i="11"/>
  <c r="G107" i="9"/>
  <c r="P277" i="17"/>
  <c r="P278" i="17" s="1"/>
  <c r="I350" i="7"/>
  <c r="I848" i="16"/>
  <c r="I130" i="5"/>
  <c r="M919" i="17"/>
  <c r="M920" i="17" s="1"/>
  <c r="M425" i="16"/>
  <c r="M58" i="8"/>
  <c r="M436" i="16" s="1"/>
  <c r="M229" i="5"/>
  <c r="E53" i="14"/>
  <c r="E92" i="13"/>
  <c r="E90" i="13"/>
  <c r="E93" i="14"/>
  <c r="E90" i="14"/>
  <c r="C11" i="14"/>
  <c r="E89" i="13"/>
  <c r="E93" i="13"/>
  <c r="E91" i="14"/>
  <c r="C171" i="1"/>
  <c r="E53" i="15"/>
  <c r="E89" i="14"/>
  <c r="E92" i="14"/>
  <c r="E91" i="13"/>
  <c r="E53" i="13"/>
  <c r="R15" i="9"/>
  <c r="R16" i="9" s="1"/>
  <c r="R28" i="4"/>
  <c r="R70" i="8"/>
  <c r="R535" i="16" s="1"/>
  <c r="R82" i="8"/>
  <c r="R635" i="16" s="1"/>
  <c r="J46" i="8"/>
  <c r="J331" i="16" s="1"/>
  <c r="J226" i="5"/>
  <c r="J320" i="16"/>
  <c r="J893" i="17"/>
  <c r="J894" i="17" s="1"/>
  <c r="G91" i="16"/>
  <c r="G88" i="16"/>
  <c r="D16" i="16"/>
  <c r="C105" i="1"/>
  <c r="I68" i="2"/>
  <c r="C16" i="16"/>
  <c r="N313" i="16"/>
  <c r="Q1000" i="17"/>
  <c r="Q1001" i="17" s="1"/>
  <c r="Q214" i="16"/>
  <c r="Q250" i="5"/>
  <c r="O25" i="6"/>
  <c r="O555" i="16" s="1"/>
  <c r="O24" i="6"/>
  <c r="O28" i="6" s="1"/>
  <c r="H41" i="16"/>
  <c r="H219" i="4"/>
  <c r="L9" i="5"/>
  <c r="K30" i="5"/>
  <c r="P24" i="6"/>
  <c r="P25" i="6"/>
  <c r="P555" i="16" s="1"/>
  <c r="G153" i="16"/>
  <c r="G156" i="16"/>
  <c r="J954" i="17"/>
  <c r="J955" i="17" s="1"/>
  <c r="J70" i="15"/>
  <c r="J84" i="16" s="1"/>
  <c r="J24" i="9"/>
  <c r="D15" i="15"/>
  <c r="I71" i="2"/>
  <c r="O14" i="4"/>
  <c r="S1000" i="17"/>
  <c r="S1001" i="17" s="1"/>
  <c r="S214" i="16"/>
  <c r="S250" i="5"/>
  <c r="Q13" i="6"/>
  <c r="Q14" i="6"/>
  <c r="Q554" i="16" s="1"/>
  <c r="Q25" i="6"/>
  <c r="Q555" i="16" s="1"/>
  <c r="Q24" i="6"/>
  <c r="Q28" i="6" s="1"/>
  <c r="L1023" i="17"/>
  <c r="L1024" i="17" s="1"/>
  <c r="L558" i="16"/>
  <c r="L74" i="8"/>
  <c r="L569" i="16" s="1"/>
  <c r="L233" i="5"/>
  <c r="G305" i="16"/>
  <c r="G59" i="7"/>
  <c r="G306" i="16" s="1"/>
  <c r="F36" i="7"/>
  <c r="T626" i="17"/>
  <c r="H352" i="16"/>
  <c r="H128" i="4"/>
  <c r="T1000" i="17"/>
  <c r="T1001" i="17" s="1"/>
  <c r="T214" i="16"/>
  <c r="O26" i="6"/>
  <c r="O27" i="6" s="1"/>
  <c r="H78" i="4"/>
  <c r="I64" i="4"/>
  <c r="K352" i="16"/>
  <c r="K128" i="4"/>
  <c r="N11" i="4"/>
  <c r="O1133" i="17"/>
  <c r="O1134" i="17" s="1"/>
  <c r="O494" i="16"/>
  <c r="J50" i="4"/>
  <c r="I51" i="4"/>
  <c r="I60" i="4"/>
  <c r="H74" i="4"/>
  <c r="L42" i="5"/>
  <c r="M42" i="5" s="1"/>
  <c r="K61" i="5"/>
  <c r="R63" i="5"/>
  <c r="O1127" i="17"/>
  <c r="O1128" i="17" s="1"/>
  <c r="O491" i="16"/>
  <c r="O66" i="8"/>
  <c r="O502" i="16" s="1"/>
  <c r="O231" i="5"/>
  <c r="Q15" i="11"/>
  <c r="Q66" i="12"/>
  <c r="Q871" i="16"/>
  <c r="Q409" i="15"/>
  <c r="Q420" i="15"/>
  <c r="S26" i="6"/>
  <c r="S27" i="6" s="1"/>
  <c r="K49" i="6"/>
  <c r="I169" i="7"/>
  <c r="N308" i="7"/>
  <c r="N187" i="16" s="1"/>
  <c r="M841" i="16"/>
  <c r="M349" i="7"/>
  <c r="O23" i="9"/>
  <c r="O22" i="9"/>
  <c r="J297" i="17"/>
  <c r="J298" i="17" s="1"/>
  <c r="J890" i="16"/>
  <c r="T855" i="16"/>
  <c r="T351" i="7"/>
  <c r="T277" i="17"/>
  <c r="K297" i="17"/>
  <c r="K298" i="17" s="1"/>
  <c r="K890" i="16"/>
  <c r="Q514" i="16"/>
  <c r="G21" i="16"/>
  <c r="G1308" i="17"/>
  <c r="G287" i="7"/>
  <c r="G187" i="7"/>
  <c r="H187" i="7" s="1"/>
  <c r="I187" i="7" s="1"/>
  <c r="J187" i="7" s="1"/>
  <c r="K187" i="7" s="1"/>
  <c r="L187" i="7" s="1"/>
  <c r="M187" i="7" s="1"/>
  <c r="N187" i="7" s="1"/>
  <c r="O187" i="7" s="1"/>
  <c r="P187" i="7" s="1"/>
  <c r="Q187" i="7" s="1"/>
  <c r="R187" i="7" s="1"/>
  <c r="S187" i="7" s="1"/>
  <c r="T187" i="7" s="1"/>
  <c r="H1322" i="17"/>
  <c r="H9" i="8"/>
  <c r="N485" i="16"/>
  <c r="K20" i="15"/>
  <c r="Q515" i="16" s="1"/>
  <c r="J20" i="15"/>
  <c r="D21" i="16"/>
  <c r="C21" i="16"/>
  <c r="H20" i="15"/>
  <c r="D20" i="15"/>
  <c r="G667" i="2"/>
  <c r="S980" i="17"/>
  <c r="S981" i="17" s="1"/>
  <c r="S109" i="15"/>
  <c r="S182" i="16" s="1"/>
  <c r="S22" i="4"/>
  <c r="K794" i="16"/>
  <c r="K202" i="5"/>
  <c r="K175" i="4"/>
  <c r="K207" i="5"/>
  <c r="K209" i="5" s="1"/>
  <c r="N387" i="16"/>
  <c r="N109" i="16"/>
  <c r="L867" i="17"/>
  <c r="L868" i="17" s="1"/>
  <c r="L42" i="8"/>
  <c r="L295" i="16" s="1"/>
  <c r="L284" i="16"/>
  <c r="L225" i="5"/>
  <c r="S391" i="16"/>
  <c r="S255" i="5"/>
  <c r="Q1075" i="17"/>
  <c r="Q1076" i="17" s="1"/>
  <c r="Q458" i="16"/>
  <c r="Q230" i="5"/>
  <c r="R1127" i="17"/>
  <c r="R1128" i="17" s="1"/>
  <c r="R231" i="5"/>
  <c r="R491" i="16"/>
  <c r="R13" i="6"/>
  <c r="R14" i="6"/>
  <c r="R554" i="16" s="1"/>
  <c r="S25" i="6"/>
  <c r="S555" i="16" s="1"/>
  <c r="S24" i="6"/>
  <c r="S28" i="6" s="1"/>
  <c r="M1023" i="17"/>
  <c r="M1024" i="17" s="1"/>
  <c r="M558" i="16"/>
  <c r="M74" i="8"/>
  <c r="M569" i="16" s="1"/>
  <c r="I51" i="6"/>
  <c r="I52" i="6" s="1"/>
  <c r="N76" i="6"/>
  <c r="L133" i="7"/>
  <c r="L169" i="7"/>
  <c r="L168" i="7"/>
  <c r="G601" i="17"/>
  <c r="G602" i="17" s="1"/>
  <c r="D485" i="16"/>
  <c r="K21" i="16"/>
  <c r="D88" i="17"/>
  <c r="C189" i="1"/>
  <c r="D104" i="1"/>
  <c r="H13" i="4"/>
  <c r="L13" i="4"/>
  <c r="F13" i="4"/>
  <c r="J13" i="4"/>
  <c r="F16" i="4"/>
  <c r="H16" i="4"/>
  <c r="S1127" i="17"/>
  <c r="S1128" i="17" s="1"/>
  <c r="S491" i="16"/>
  <c r="S231" i="5"/>
  <c r="T265" i="5"/>
  <c r="T728" i="16"/>
  <c r="H28" i="6"/>
  <c r="G208" i="11"/>
  <c r="H86" i="4"/>
  <c r="R15" i="6"/>
  <c r="R16" i="6" s="1"/>
  <c r="N1023" i="17"/>
  <c r="N1024" i="17" s="1"/>
  <c r="N558" i="16"/>
  <c r="N74" i="8"/>
  <c r="N569" i="16" s="1"/>
  <c r="N233" i="5"/>
  <c r="J848" i="16"/>
  <c r="J350" i="7"/>
  <c r="M954" i="17"/>
  <c r="M955" i="17" s="1"/>
  <c r="M70" i="15"/>
  <c r="M84" i="16" s="1"/>
  <c r="M24" i="9"/>
  <c r="H1327" i="17"/>
  <c r="I1325" i="17"/>
  <c r="T345" i="7"/>
  <c r="H343" i="7"/>
  <c r="I342" i="7"/>
  <c r="J341" i="7"/>
  <c r="O345" i="7"/>
  <c r="P344" i="7"/>
  <c r="P343" i="7"/>
  <c r="P342" i="7"/>
  <c r="P341" i="7"/>
  <c r="Q27" i="7"/>
  <c r="P12" i="7"/>
  <c r="R11" i="7"/>
  <c r="T10" i="7"/>
  <c r="F10" i="7"/>
  <c r="H9" i="7"/>
  <c r="N345" i="7"/>
  <c r="O344" i="7"/>
  <c r="O343" i="7"/>
  <c r="O342" i="7"/>
  <c r="O341" i="7"/>
  <c r="P27" i="7"/>
  <c r="I16" i="7"/>
  <c r="I64" i="7" s="1"/>
  <c r="I15" i="7"/>
  <c r="K14" i="7"/>
  <c r="M13" i="7"/>
  <c r="O12" i="7"/>
  <c r="M345" i="7"/>
  <c r="N344" i="7"/>
  <c r="N343" i="7"/>
  <c r="N342" i="7"/>
  <c r="N341" i="7"/>
  <c r="O27" i="7"/>
  <c r="H18" i="7"/>
  <c r="H66" i="7" s="1"/>
  <c r="H16" i="7"/>
  <c r="H64" i="7" s="1"/>
  <c r="N12" i="7"/>
  <c r="T9" i="7"/>
  <c r="F9" i="7"/>
  <c r="K345" i="7"/>
  <c r="I344" i="7"/>
  <c r="T342" i="7"/>
  <c r="Q341" i="7"/>
  <c r="J31" i="16" s="1"/>
  <c r="M27" i="7"/>
  <c r="Q12" i="7"/>
  <c r="K9" i="7"/>
  <c r="K8" i="7"/>
  <c r="J345" i="7"/>
  <c r="H344" i="7"/>
  <c r="S342" i="7"/>
  <c r="M341" i="7"/>
  <c r="L27" i="7"/>
  <c r="M12" i="7"/>
  <c r="L11" i="7"/>
  <c r="K10" i="7"/>
  <c r="J9" i="7"/>
  <c r="I345" i="7"/>
  <c r="R342" i="7"/>
  <c r="L341" i="7"/>
  <c r="K27" i="7"/>
  <c r="E17" i="7"/>
  <c r="L12" i="7"/>
  <c r="K11" i="7"/>
  <c r="J10" i="7"/>
  <c r="I9" i="7"/>
  <c r="F8" i="7"/>
  <c r="Q345" i="7"/>
  <c r="L342" i="7"/>
  <c r="I27" i="7"/>
  <c r="M16" i="7"/>
  <c r="M64" i="7" s="1"/>
  <c r="F12" i="7"/>
  <c r="L37" i="7" s="1"/>
  <c r="R343" i="7"/>
  <c r="E27" i="7"/>
  <c r="Q343" i="7"/>
  <c r="E19" i="7"/>
  <c r="P345" i="7"/>
  <c r="T343" i="7"/>
  <c r="K342" i="7"/>
  <c r="H27" i="7"/>
  <c r="L16" i="7"/>
  <c r="L64" i="7" s="1"/>
  <c r="P14" i="7"/>
  <c r="I13" i="7"/>
  <c r="N10" i="7"/>
  <c r="H342" i="7"/>
  <c r="L345" i="7"/>
  <c r="S343" i="7"/>
  <c r="J342" i="7"/>
  <c r="F27" i="7"/>
  <c r="L44" i="7" s="1"/>
  <c r="K16" i="7"/>
  <c r="K64" i="7" s="1"/>
  <c r="O14" i="7"/>
  <c r="H13" i="7"/>
  <c r="T11" i="7"/>
  <c r="H345" i="7"/>
  <c r="E16" i="7"/>
  <c r="O10" i="4"/>
  <c r="M10" i="4"/>
  <c r="K10" i="4"/>
  <c r="H10" i="4"/>
  <c r="F10" i="4"/>
  <c r="E19" i="4"/>
  <c r="T1127" i="17"/>
  <c r="T1128" i="17" s="1"/>
  <c r="T231" i="5"/>
  <c r="T491" i="16"/>
  <c r="N9" i="7"/>
  <c r="S345" i="7"/>
  <c r="K119" i="8"/>
  <c r="K191" i="11" s="1"/>
  <c r="K611" i="17" s="1"/>
  <c r="K612" i="17" s="1"/>
  <c r="K113" i="8"/>
  <c r="K242" i="12" s="1"/>
  <c r="K262" i="17" s="1"/>
  <c r="K263" i="17" s="1"/>
  <c r="G113" i="8"/>
  <c r="H23" i="9"/>
  <c r="H22" i="9"/>
  <c r="E634" i="2"/>
  <c r="H108" i="16"/>
  <c r="J79" i="4"/>
  <c r="L1179" i="17"/>
  <c r="L1180" i="17" s="1"/>
  <c r="L524" i="16"/>
  <c r="L70" i="8"/>
  <c r="L535" i="16" s="1"/>
  <c r="L232" i="5"/>
  <c r="T13" i="7"/>
  <c r="L343" i="7"/>
  <c r="I23" i="9"/>
  <c r="I22" i="9"/>
  <c r="H73" i="11"/>
  <c r="H75" i="11"/>
  <c r="G193" i="11"/>
  <c r="G195" i="11" s="1"/>
  <c r="I47" i="14"/>
  <c r="L1322" i="17"/>
  <c r="L9" i="8"/>
  <c r="G621" i="2"/>
  <c r="G633" i="2" s="1"/>
  <c r="M17" i="6"/>
  <c r="M15" i="6"/>
  <c r="M16" i="6" s="1"/>
  <c r="R76" i="6"/>
  <c r="G60" i="7"/>
  <c r="G342" i="16" s="1"/>
  <c r="G341" i="16"/>
  <c r="J27" i="7"/>
  <c r="I341" i="7"/>
  <c r="S893" i="17"/>
  <c r="S894" i="17" s="1"/>
  <c r="S320" i="16"/>
  <c r="S46" i="8"/>
  <c r="S331" i="16" s="1"/>
  <c r="S226" i="5"/>
  <c r="N1179" i="17"/>
  <c r="N1180" i="17" s="1"/>
  <c r="N70" i="8"/>
  <c r="N535" i="16" s="1"/>
  <c r="N232" i="5"/>
  <c r="N524" i="16"/>
  <c r="L763" i="16"/>
  <c r="L266" i="5"/>
  <c r="H242" i="5"/>
  <c r="N17" i="6"/>
  <c r="N15" i="6"/>
  <c r="N16" i="6" s="1"/>
  <c r="P51" i="6"/>
  <c r="P52" i="6" s="1"/>
  <c r="K591" i="16"/>
  <c r="K78" i="8"/>
  <c r="K602" i="16" s="1"/>
  <c r="K234" i="5"/>
  <c r="S76" i="6"/>
  <c r="H12" i="7"/>
  <c r="H62" i="8"/>
  <c r="H469" i="16" s="1"/>
  <c r="T15" i="9"/>
  <c r="T16" i="9" s="1"/>
  <c r="T70" i="8"/>
  <c r="T535" i="16" s="1"/>
  <c r="T74" i="8"/>
  <c r="T569" i="16" s="1"/>
  <c r="K19" i="4"/>
  <c r="S19" i="4"/>
  <c r="S143" i="7" s="1"/>
  <c r="S145" i="7" s="1"/>
  <c r="S244" i="7" s="1"/>
  <c r="L19" i="4"/>
  <c r="L143" i="7" s="1"/>
  <c r="L145" i="7" s="1"/>
  <c r="L244" i="7" s="1"/>
  <c r="H19" i="4"/>
  <c r="H143" i="7" s="1"/>
  <c r="H145" i="7" s="1"/>
  <c r="H244" i="7" s="1"/>
  <c r="J19" i="4"/>
  <c r="J143" i="7" s="1"/>
  <c r="J145" i="7" s="1"/>
  <c r="J244" i="7" s="1"/>
  <c r="I19" i="4"/>
  <c r="F19" i="4"/>
  <c r="T391" i="16"/>
  <c r="T255" i="5"/>
  <c r="R1075" i="17"/>
  <c r="R1076" i="17" s="1"/>
  <c r="R458" i="16"/>
  <c r="R62" i="8"/>
  <c r="R469" i="16" s="1"/>
  <c r="R230" i="5"/>
  <c r="Q50" i="6"/>
  <c r="Q588" i="16" s="1"/>
  <c r="J119" i="8"/>
  <c r="J191" i="11" s="1"/>
  <c r="J611" i="17" s="1"/>
  <c r="J612" i="17" s="1"/>
  <c r="J113" i="8"/>
  <c r="J242" i="12" s="1"/>
  <c r="J262" i="17" s="1"/>
  <c r="J263" i="17" s="1"/>
  <c r="R32" i="5"/>
  <c r="I41" i="5"/>
  <c r="J181" i="7"/>
  <c r="J182" i="7" s="1"/>
  <c r="J63" i="5"/>
  <c r="S1075" i="17"/>
  <c r="S1076" i="17" s="1"/>
  <c r="S458" i="16"/>
  <c r="S62" i="8"/>
  <c r="S469" i="16" s="1"/>
  <c r="S230" i="5"/>
  <c r="K1179" i="17"/>
  <c r="K1180" i="17" s="1"/>
  <c r="K70" i="8"/>
  <c r="K535" i="16" s="1"/>
  <c r="K524" i="16"/>
  <c r="K343" i="7"/>
  <c r="R46" i="13"/>
  <c r="R47" i="13" s="1"/>
  <c r="Q46" i="14"/>
  <c r="Q47" i="14"/>
  <c r="H53" i="4"/>
  <c r="Q893" i="17"/>
  <c r="Q894" i="17" s="1"/>
  <c r="Q46" i="8"/>
  <c r="Q331" i="16" s="1"/>
  <c r="Q226" i="5"/>
  <c r="Q320" i="16"/>
  <c r="H391" i="16"/>
  <c r="H255" i="5"/>
  <c r="K73" i="6"/>
  <c r="K70" i="6"/>
  <c r="K71" i="6" s="1"/>
  <c r="K74" i="6" s="1"/>
  <c r="K75" i="6" s="1"/>
  <c r="P18" i="7"/>
  <c r="P66" i="7" s="1"/>
  <c r="P70" i="7" s="1"/>
  <c r="P271" i="7" s="1"/>
  <c r="O169" i="7"/>
  <c r="L220" i="11"/>
  <c r="L333" i="7"/>
  <c r="L271" i="12"/>
  <c r="L325" i="7"/>
  <c r="L70" i="12"/>
  <c r="S22" i="9"/>
  <c r="K245" i="12"/>
  <c r="J194" i="11"/>
  <c r="O245" i="12"/>
  <c r="N245" i="12"/>
  <c r="M245" i="12"/>
  <c r="P194" i="11"/>
  <c r="S245" i="12"/>
  <c r="R194" i="11"/>
  <c r="R245" i="12"/>
  <c r="Q194" i="11"/>
  <c r="Q245" i="12"/>
  <c r="O194" i="11"/>
  <c r="E20" i="17"/>
  <c r="E21" i="17" s="1"/>
  <c r="H64" i="2"/>
  <c r="I8" i="7" s="1"/>
  <c r="O13" i="4"/>
  <c r="N19" i="4"/>
  <c r="N143" i="7" s="1"/>
  <c r="N145" i="7" s="1"/>
  <c r="N244" i="7" s="1"/>
  <c r="K65" i="4"/>
  <c r="R893" i="17"/>
  <c r="R894" i="17" s="1"/>
  <c r="R320" i="16"/>
  <c r="R226" i="5"/>
  <c r="R46" i="8"/>
  <c r="R331" i="16" s="1"/>
  <c r="M1179" i="17"/>
  <c r="M1180" i="17" s="1"/>
  <c r="M524" i="16"/>
  <c r="M70" i="8"/>
  <c r="M535" i="16" s="1"/>
  <c r="M232" i="5"/>
  <c r="O51" i="6"/>
  <c r="O52" i="6" s="1"/>
  <c r="J234" i="5"/>
  <c r="J242" i="5" s="1"/>
  <c r="J78" i="8"/>
  <c r="J602" i="16" s="1"/>
  <c r="J591" i="16"/>
  <c r="P9" i="7"/>
  <c r="N16" i="7"/>
  <c r="N64" i="7" s="1"/>
  <c r="G194" i="11"/>
  <c r="M646" i="17"/>
  <c r="M647" i="17" s="1"/>
  <c r="M918" i="16"/>
  <c r="J47" i="14"/>
  <c r="H76" i="2"/>
  <c r="F21" i="4"/>
  <c r="H21" i="4"/>
  <c r="D112" i="1"/>
  <c r="H45" i="4"/>
  <c r="J728" i="16"/>
  <c r="J265" i="5"/>
  <c r="H264" i="5"/>
  <c r="Q9" i="7"/>
  <c r="O16" i="7"/>
  <c r="O64" i="7" s="1"/>
  <c r="N19" i="11"/>
  <c r="N70" i="12"/>
  <c r="N333" i="7"/>
  <c r="N220" i="11"/>
  <c r="H73" i="12"/>
  <c r="H48" i="10"/>
  <c r="N646" i="17"/>
  <c r="N647" i="17" s="1"/>
  <c r="N918" i="16"/>
  <c r="S297" i="17"/>
  <c r="S298" i="17" s="1"/>
  <c r="S890" i="16"/>
  <c r="N51" i="15"/>
  <c r="N52" i="15" s="1"/>
  <c r="P45" i="14"/>
  <c r="P50" i="13"/>
  <c r="K45" i="13"/>
  <c r="M51" i="15"/>
  <c r="M52" i="15" s="1"/>
  <c r="E69" i="14"/>
  <c r="T50" i="14"/>
  <c r="O45" i="14"/>
  <c r="O50" i="13"/>
  <c r="J45" i="13"/>
  <c r="L51" i="15"/>
  <c r="L52" i="15" s="1"/>
  <c r="S50" i="14"/>
  <c r="N45" i="14"/>
  <c r="E77" i="13"/>
  <c r="N50" i="13"/>
  <c r="I45" i="13"/>
  <c r="P51" i="15"/>
  <c r="P52" i="15" s="1"/>
  <c r="M45" i="14"/>
  <c r="L50" i="13"/>
  <c r="O51" i="15"/>
  <c r="O52" i="15" s="1"/>
  <c r="R50" i="14"/>
  <c r="L45" i="14"/>
  <c r="K50" i="13"/>
  <c r="K51" i="15"/>
  <c r="K52" i="15" s="1"/>
  <c r="E72" i="14"/>
  <c r="Q50" i="14"/>
  <c r="K45" i="14"/>
  <c r="C10" i="14"/>
  <c r="S50" i="13"/>
  <c r="O45" i="13"/>
  <c r="C10" i="13"/>
  <c r="R50" i="13"/>
  <c r="N45" i="13"/>
  <c r="C9" i="13"/>
  <c r="E72" i="13"/>
  <c r="Q50" i="13"/>
  <c r="M45" i="13"/>
  <c r="S51" i="15"/>
  <c r="S52" i="15" s="1"/>
  <c r="P45" i="13"/>
  <c r="R51" i="15"/>
  <c r="R52" i="15" s="1"/>
  <c r="P50" i="14"/>
  <c r="L45" i="13"/>
  <c r="Q51" i="15"/>
  <c r="Q52" i="15" s="1"/>
  <c r="O50" i="14"/>
  <c r="C9" i="14"/>
  <c r="H45" i="13"/>
  <c r="T45" i="14"/>
  <c r="S45" i="14"/>
  <c r="E71" i="13"/>
  <c r="R45" i="14"/>
  <c r="P10" i="4"/>
  <c r="K12" i="4"/>
  <c r="L12" i="4"/>
  <c r="M12" i="4"/>
  <c r="D103" i="1"/>
  <c r="J12" i="4"/>
  <c r="F12" i="4"/>
  <c r="P19" i="4"/>
  <c r="P143" i="7" s="1"/>
  <c r="P145" i="7" s="1"/>
  <c r="P244" i="7" s="1"/>
  <c r="I44" i="4"/>
  <c r="N128" i="4"/>
  <c r="T893" i="17"/>
  <c r="T894" i="17" s="1"/>
  <c r="T320" i="16"/>
  <c r="H919" i="17"/>
  <c r="H920" i="17" s="1"/>
  <c r="H58" i="8"/>
  <c r="H436" i="16" s="1"/>
  <c r="I1075" i="17"/>
  <c r="I1076" i="17" s="1"/>
  <c r="I458" i="16"/>
  <c r="O1179" i="17"/>
  <c r="O1180" i="17" s="1"/>
  <c r="O70" i="8"/>
  <c r="O535" i="16" s="1"/>
  <c r="O524" i="16"/>
  <c r="O232" i="5"/>
  <c r="I693" i="16"/>
  <c r="I264" i="5"/>
  <c r="L899" i="16"/>
  <c r="L409" i="15"/>
  <c r="L420" i="15"/>
  <c r="L871" i="16"/>
  <c r="N51" i="6"/>
  <c r="N52" i="6" s="1"/>
  <c r="L591" i="16"/>
  <c r="L234" i="5"/>
  <c r="L78" i="8"/>
  <c r="L602" i="16" s="1"/>
  <c r="N73" i="6"/>
  <c r="N621" i="16" s="1"/>
  <c r="N70" i="6"/>
  <c r="N71" i="6" s="1"/>
  <c r="N74" i="6" s="1"/>
  <c r="N75" i="6" s="1"/>
  <c r="I12" i="7"/>
  <c r="G411" i="16"/>
  <c r="G62" i="7"/>
  <c r="G412" i="16" s="1"/>
  <c r="F39" i="7"/>
  <c r="S18" i="7"/>
  <c r="S66" i="7" s="1"/>
  <c r="S70" i="7" s="1"/>
  <c r="S271" i="7" s="1"/>
  <c r="R27" i="7"/>
  <c r="O70" i="12"/>
  <c r="O220" i="11"/>
  <c r="O333" i="7"/>
  <c r="O271" i="12"/>
  <c r="R341" i="7"/>
  <c r="J344" i="7"/>
  <c r="T46" i="8"/>
  <c r="T331" i="16" s="1"/>
  <c r="I62" i="8"/>
  <c r="I469" i="16" s="1"/>
  <c r="S113" i="8"/>
  <c r="S242" i="12" s="1"/>
  <c r="S262" i="17" s="1"/>
  <c r="S263" i="17" s="1"/>
  <c r="R119" i="8"/>
  <c r="R191" i="11" s="1"/>
  <c r="R611" i="17" s="1"/>
  <c r="R612" i="17" s="1"/>
  <c r="L45" i="10"/>
  <c r="L77" i="10"/>
  <c r="I194" i="11"/>
  <c r="G245" i="12"/>
  <c r="T297" i="17"/>
  <c r="T890" i="16"/>
  <c r="J51" i="15"/>
  <c r="J52" i="15" s="1"/>
  <c r="H66" i="2"/>
  <c r="C8" i="13"/>
  <c r="Q19" i="4"/>
  <c r="M21" i="4"/>
  <c r="L24" i="4"/>
  <c r="J693" i="16"/>
  <c r="J264" i="5"/>
  <c r="M871" i="16"/>
  <c r="M409" i="15"/>
  <c r="M420" i="15"/>
  <c r="I45" i="6"/>
  <c r="I49" i="6" s="1"/>
  <c r="I50" i="6"/>
  <c r="I588" i="16" s="1"/>
  <c r="O73" i="6"/>
  <c r="O621" i="16" s="1"/>
  <c r="O70" i="6"/>
  <c r="O71" i="6" s="1"/>
  <c r="O74" i="6" s="1"/>
  <c r="O75" i="6" s="1"/>
  <c r="S9" i="7"/>
  <c r="Q16" i="7"/>
  <c r="Q64" i="7" s="1"/>
  <c r="S27" i="7"/>
  <c r="S341" i="7"/>
  <c r="T113" i="8"/>
  <c r="T242" i="12" s="1"/>
  <c r="T262" i="17" s="1"/>
  <c r="K194" i="11"/>
  <c r="H245" i="12"/>
  <c r="T47" i="13"/>
  <c r="H67" i="2"/>
  <c r="Q13" i="4" s="1"/>
  <c r="M980" i="17"/>
  <c r="M981" i="17" s="1"/>
  <c r="M109" i="15"/>
  <c r="M182" i="16" s="1"/>
  <c r="R10" i="4"/>
  <c r="N12" i="4"/>
  <c r="S13" i="4"/>
  <c r="S16" i="4"/>
  <c r="R19" i="4"/>
  <c r="R143" i="7" s="1"/>
  <c r="R145" i="7" s="1"/>
  <c r="R244" i="7" s="1"/>
  <c r="I66" i="4"/>
  <c r="M67" i="4"/>
  <c r="H65" i="5"/>
  <c r="I67" i="5"/>
  <c r="I181" i="7" s="1"/>
  <c r="I182" i="7" s="1"/>
  <c r="T867" i="17"/>
  <c r="T868" i="17" s="1"/>
  <c r="T284" i="16"/>
  <c r="T42" i="8"/>
  <c r="T295" i="16" s="1"/>
  <c r="H893" i="17"/>
  <c r="H894" i="17" s="1"/>
  <c r="H320" i="16"/>
  <c r="H46" i="8"/>
  <c r="H331" i="16" s="1"/>
  <c r="H226" i="5"/>
  <c r="J919" i="17"/>
  <c r="J920" i="17" s="1"/>
  <c r="J425" i="16"/>
  <c r="J58" i="8"/>
  <c r="J436" i="16" s="1"/>
  <c r="K1075" i="17"/>
  <c r="K1076" i="17" s="1"/>
  <c r="K458" i="16"/>
  <c r="K693" i="16"/>
  <c r="K264" i="5"/>
  <c r="M266" i="5"/>
  <c r="N871" i="16"/>
  <c r="N899" i="16"/>
  <c r="N420" i="15"/>
  <c r="N15" i="11"/>
  <c r="N409" i="15"/>
  <c r="N591" i="16"/>
  <c r="N78" i="8"/>
  <c r="N602" i="16" s="1"/>
  <c r="J624" i="16"/>
  <c r="J235" i="5"/>
  <c r="G270" i="16"/>
  <c r="G58" i="7"/>
  <c r="G271" i="16" s="1"/>
  <c r="K12" i="7"/>
  <c r="I14" i="7"/>
  <c r="T27" i="7"/>
  <c r="T341" i="7"/>
  <c r="L344" i="7"/>
  <c r="T58" i="8"/>
  <c r="T436" i="16" s="1"/>
  <c r="K62" i="8"/>
  <c r="K469" i="16" s="1"/>
  <c r="H70" i="8"/>
  <c r="H535" i="16" s="1"/>
  <c r="L194" i="11"/>
  <c r="I245" i="12"/>
  <c r="K918" i="16"/>
  <c r="E668" i="2"/>
  <c r="H79" i="4"/>
  <c r="H91" i="4" s="1"/>
  <c r="H1263" i="17" s="1"/>
  <c r="H1264" i="17" s="1"/>
  <c r="I24" i="5"/>
  <c r="H36" i="5"/>
  <c r="H177" i="7" s="1"/>
  <c r="J1179" i="17"/>
  <c r="J1180" i="17" s="1"/>
  <c r="J524" i="16"/>
  <c r="J232" i="5"/>
  <c r="J70" i="8"/>
  <c r="J535" i="16" s="1"/>
  <c r="L213" i="5"/>
  <c r="L267" i="5" s="1"/>
  <c r="S14" i="6"/>
  <c r="S554" i="16" s="1"/>
  <c r="S13" i="6"/>
  <c r="S17" i="6" s="1"/>
  <c r="O76" i="6"/>
  <c r="M169" i="7"/>
  <c r="R862" i="16"/>
  <c r="R352" i="7"/>
  <c r="Q46" i="13"/>
  <c r="Q47" i="13" s="1"/>
  <c r="I86" i="4"/>
  <c r="I79" i="4"/>
  <c r="I1000" i="17"/>
  <c r="I1001" i="17" s="1"/>
  <c r="I214" i="16"/>
  <c r="I250" i="5"/>
  <c r="T13" i="6"/>
  <c r="T17" i="6" s="1"/>
  <c r="N169" i="7"/>
  <c r="G11" i="16"/>
  <c r="Q167" i="16"/>
  <c r="H72" i="2"/>
  <c r="H65" i="2"/>
  <c r="H74" i="2"/>
  <c r="H20" i="4" s="1"/>
  <c r="H53" i="9"/>
  <c r="H78" i="2"/>
  <c r="S15" i="7" s="1"/>
  <c r="H70" i="2"/>
  <c r="L16" i="4" s="1"/>
  <c r="H77" i="2"/>
  <c r="Q23" i="4" s="1"/>
  <c r="H69" i="2"/>
  <c r="P13" i="7" s="1"/>
  <c r="H75" i="2"/>
  <c r="N13" i="4"/>
  <c r="M19" i="4"/>
  <c r="S28" i="4"/>
  <c r="T15" i="6"/>
  <c r="T16" i="6" s="1"/>
  <c r="O9" i="7"/>
  <c r="H341" i="7"/>
  <c r="H76" i="10"/>
  <c r="S47" i="13"/>
  <c r="H11" i="16"/>
  <c r="K168" i="16"/>
  <c r="G303" i="16"/>
  <c r="D101" i="1"/>
  <c r="T28" i="4"/>
  <c r="L128" i="4"/>
  <c r="I728" i="16"/>
  <c r="I265" i="5"/>
  <c r="K266" i="5"/>
  <c r="K763" i="16"/>
  <c r="L73" i="6"/>
  <c r="L70" i="6"/>
  <c r="L71" i="6" s="1"/>
  <c r="L74" i="6" s="1"/>
  <c r="L75" i="6" s="1"/>
  <c r="M343" i="7"/>
  <c r="S15" i="4"/>
  <c r="O24" i="4"/>
  <c r="M24" i="4"/>
  <c r="K24" i="4"/>
  <c r="H133" i="7"/>
  <c r="F24" i="4"/>
  <c r="J72" i="4"/>
  <c r="K58" i="4"/>
  <c r="M128" i="4"/>
  <c r="M73" i="6"/>
  <c r="M621" i="16" s="1"/>
  <c r="M70" i="6"/>
  <c r="M71" i="6" s="1"/>
  <c r="M74" i="6" s="1"/>
  <c r="M75" i="6" s="1"/>
  <c r="F14" i="7"/>
  <c r="N27" i="7"/>
  <c r="K341" i="7"/>
  <c r="K980" i="17"/>
  <c r="K981" i="17" s="1"/>
  <c r="K109" i="15"/>
  <c r="K182" i="16" s="1"/>
  <c r="H194" i="11"/>
  <c r="S46" i="13"/>
  <c r="R16" i="4"/>
  <c r="O128" i="4"/>
  <c r="K55" i="5"/>
  <c r="S867" i="17"/>
  <c r="S868" i="17" s="1"/>
  <c r="S42" i="8"/>
  <c r="S295" i="16" s="1"/>
  <c r="S284" i="16"/>
  <c r="I919" i="17"/>
  <c r="I920" i="17" s="1"/>
  <c r="I425" i="16"/>
  <c r="I58" i="8"/>
  <c r="I436" i="16" s="1"/>
  <c r="J1075" i="17"/>
  <c r="J1076" i="17" s="1"/>
  <c r="J458" i="16"/>
  <c r="K555" i="16"/>
  <c r="K28" i="6"/>
  <c r="M591" i="16"/>
  <c r="M78" i="8"/>
  <c r="M602" i="16" s="1"/>
  <c r="H79" i="6"/>
  <c r="L8" i="7"/>
  <c r="J12" i="7"/>
  <c r="H14" i="7"/>
  <c r="T18" i="7"/>
  <c r="T66" i="7" s="1"/>
  <c r="T70" i="7" s="1"/>
  <c r="T271" i="7" s="1"/>
  <c r="K344" i="7"/>
  <c r="S58" i="8"/>
  <c r="S436" i="16" s="1"/>
  <c r="M45" i="10"/>
  <c r="M77" i="10"/>
  <c r="T51" i="15"/>
  <c r="T52" i="15" s="1"/>
  <c r="G543" i="16"/>
  <c r="D107" i="1"/>
  <c r="E702" i="2"/>
  <c r="N62" i="8"/>
  <c r="N469" i="16" s="1"/>
  <c r="N15" i="9"/>
  <c r="N16" i="9" s="1"/>
  <c r="N28" i="4"/>
  <c r="T19" i="4"/>
  <c r="T143" i="7" s="1"/>
  <c r="T145" i="7" s="1"/>
  <c r="T244" i="7" s="1"/>
  <c r="P24" i="4"/>
  <c r="K29" i="4"/>
  <c r="H71" i="4"/>
  <c r="H83" i="4"/>
  <c r="H87" i="4" s="1"/>
  <c r="I57" i="4"/>
  <c r="P40" i="5"/>
  <c r="I65" i="5"/>
  <c r="I893" i="17"/>
  <c r="I894" i="17" s="1"/>
  <c r="I320" i="16"/>
  <c r="I46" i="8"/>
  <c r="I331" i="16" s="1"/>
  <c r="I226" i="5"/>
  <c r="I230" i="5"/>
  <c r="M233" i="5"/>
  <c r="M242" i="5" s="1"/>
  <c r="N266" i="5"/>
  <c r="O899" i="16"/>
  <c r="O871" i="16"/>
  <c r="O409" i="15"/>
  <c r="O15" i="11"/>
  <c r="N24" i="6"/>
  <c r="N25" i="6"/>
  <c r="N555" i="16" s="1"/>
  <c r="K50" i="6"/>
  <c r="K588" i="16" s="1"/>
  <c r="Q51" i="6"/>
  <c r="Q52" i="6" s="1"/>
  <c r="K624" i="16"/>
  <c r="K82" i="8"/>
  <c r="K635" i="16" s="1"/>
  <c r="K235" i="5"/>
  <c r="R12" i="7"/>
  <c r="S16" i="7"/>
  <c r="S64" i="7" s="1"/>
  <c r="H321" i="7"/>
  <c r="G244" i="12"/>
  <c r="M344" i="7"/>
  <c r="R66" i="8"/>
  <c r="R502" i="16" s="1"/>
  <c r="G243" i="12"/>
  <c r="G267" i="17" s="1"/>
  <c r="G268" i="17" s="1"/>
  <c r="I77" i="10"/>
  <c r="L15" i="11"/>
  <c r="S72" i="11"/>
  <c r="M194" i="11"/>
  <c r="R646" i="17"/>
  <c r="R647" i="17" s="1"/>
  <c r="R918" i="16"/>
  <c r="J245" i="12"/>
  <c r="E77" i="14"/>
  <c r="M899" i="16"/>
  <c r="K247" i="12"/>
  <c r="J196" i="11"/>
  <c r="E69" i="13" s="1"/>
  <c r="Q247" i="12"/>
  <c r="P247" i="12"/>
  <c r="O247" i="12"/>
  <c r="R196" i="11"/>
  <c r="I247" i="12"/>
  <c r="H247" i="12"/>
  <c r="G247" i="12"/>
  <c r="T196" i="11"/>
  <c r="P196" i="11"/>
  <c r="O196" i="11"/>
  <c r="T247" i="12"/>
  <c r="N196" i="11"/>
  <c r="M1322" i="17"/>
  <c r="M9" i="8"/>
  <c r="M794" i="16"/>
  <c r="M175" i="4"/>
  <c r="O109" i="16"/>
  <c r="O387" i="16"/>
  <c r="J1000" i="17"/>
  <c r="J1001" i="17" s="1"/>
  <c r="J214" i="16"/>
  <c r="J250" i="5"/>
  <c r="L458" i="16"/>
  <c r="L1075" i="17"/>
  <c r="L1076" i="17" s="1"/>
  <c r="H491" i="16"/>
  <c r="H1127" i="17"/>
  <c r="H1128" i="17" s="1"/>
  <c r="T73" i="6"/>
  <c r="T621" i="16" s="1"/>
  <c r="P169" i="7"/>
  <c r="G55" i="16"/>
  <c r="G120" i="8"/>
  <c r="G198" i="11" s="1"/>
  <c r="G114" i="8"/>
  <c r="G249" i="12" s="1"/>
  <c r="N1322" i="17"/>
  <c r="N9" i="8"/>
  <c r="T32" i="5"/>
  <c r="L63" i="5"/>
  <c r="K1000" i="17"/>
  <c r="K1001" i="17" s="1"/>
  <c r="K214" i="16"/>
  <c r="M1075" i="17"/>
  <c r="M1076" i="17" s="1"/>
  <c r="M458" i="16"/>
  <c r="M62" i="8"/>
  <c r="M469" i="16" s="1"/>
  <c r="M264" i="5"/>
  <c r="H80" i="10"/>
  <c r="H22" i="11"/>
  <c r="E18" i="10"/>
  <c r="J73" i="11"/>
  <c r="J75" i="11" s="1"/>
  <c r="T646" i="17"/>
  <c r="T918" i="16"/>
  <c r="G753" i="2"/>
  <c r="H40" i="4"/>
  <c r="H42" i="16" s="1"/>
  <c r="T46" i="4"/>
  <c r="T76" i="16" s="1"/>
  <c r="R52" i="4"/>
  <c r="L103" i="4"/>
  <c r="L210" i="16" s="1"/>
  <c r="R108" i="4"/>
  <c r="R246" i="16" s="1"/>
  <c r="H114" i="4"/>
  <c r="H281" i="16" s="1"/>
  <c r="J178" i="4"/>
  <c r="J797" i="16" s="1"/>
  <c r="O179" i="4"/>
  <c r="H30" i="5"/>
  <c r="H33" i="5" s="1"/>
  <c r="M63" i="5"/>
  <c r="L1000" i="17"/>
  <c r="L1001" i="17" s="1"/>
  <c r="L214" i="16"/>
  <c r="P867" i="17"/>
  <c r="P868" i="17" s="1"/>
  <c r="P284" i="16"/>
  <c r="P42" i="8"/>
  <c r="P295" i="16" s="1"/>
  <c r="R919" i="17"/>
  <c r="R920" i="17" s="1"/>
  <c r="R58" i="8"/>
  <c r="R436" i="16" s="1"/>
  <c r="R425" i="16"/>
  <c r="J1127" i="17"/>
  <c r="J1128" i="17" s="1"/>
  <c r="J491" i="16"/>
  <c r="J66" i="8"/>
  <c r="J502" i="16" s="1"/>
  <c r="M207" i="5"/>
  <c r="M209" i="5" s="1"/>
  <c r="S208" i="5"/>
  <c r="H231" i="5"/>
  <c r="T899" i="16"/>
  <c r="T420" i="15"/>
  <c r="T871" i="16"/>
  <c r="T409" i="15"/>
  <c r="L13" i="6"/>
  <c r="L17" i="6" s="1"/>
  <c r="Q1023" i="17"/>
  <c r="Q1024" i="17" s="1"/>
  <c r="Q558" i="16"/>
  <c r="J73" i="6"/>
  <c r="R169" i="7"/>
  <c r="I271" i="12"/>
  <c r="I333" i="7"/>
  <c r="I325" i="7"/>
  <c r="S77" i="10"/>
  <c r="S45" i="10"/>
  <c r="L15" i="9"/>
  <c r="L16" i="9" s="1"/>
  <c r="K72" i="11"/>
  <c r="G646" i="17"/>
  <c r="G647" i="17" s="1"/>
  <c r="G918" i="16"/>
  <c r="S66" i="12"/>
  <c r="O297" i="17"/>
  <c r="O298" i="17" s="1"/>
  <c r="O890" i="16"/>
  <c r="Q135" i="16"/>
  <c r="G10" i="16"/>
  <c r="G58" i="16"/>
  <c r="H90" i="4"/>
  <c r="H1260" i="17" s="1"/>
  <c r="H1261" i="17" s="1"/>
  <c r="P127" i="4"/>
  <c r="I73" i="11"/>
  <c r="I75" i="11" s="1"/>
  <c r="S646" i="17"/>
  <c r="S647" i="17" s="1"/>
  <c r="S918" i="16"/>
  <c r="P387" i="16"/>
  <c r="P109" i="16"/>
  <c r="O867" i="17"/>
  <c r="O868" i="17" s="1"/>
  <c r="O284" i="16"/>
  <c r="L893" i="17"/>
  <c r="L894" i="17" s="1"/>
  <c r="L320" i="16"/>
  <c r="P1023" i="17"/>
  <c r="P1024" i="17" s="1"/>
  <c r="P558" i="16"/>
  <c r="L794" i="16"/>
  <c r="L175" i="4"/>
  <c r="L202" i="5"/>
  <c r="I40" i="4"/>
  <c r="I42" i="16" s="1"/>
  <c r="S52" i="4"/>
  <c r="H70" i="4"/>
  <c r="H85" i="4"/>
  <c r="M103" i="4"/>
  <c r="M210" i="16" s="1"/>
  <c r="S108" i="4"/>
  <c r="S246" i="16" s="1"/>
  <c r="M114" i="4"/>
  <c r="M281" i="16" s="1"/>
  <c r="K178" i="4"/>
  <c r="K797" i="16" s="1"/>
  <c r="I30" i="5"/>
  <c r="N63" i="5"/>
  <c r="M1000" i="17"/>
  <c r="M1001" i="17" s="1"/>
  <c r="M214" i="16"/>
  <c r="Q867" i="17"/>
  <c r="Q868" i="17" s="1"/>
  <c r="Q42" i="8"/>
  <c r="Q295" i="16" s="1"/>
  <c r="Q225" i="5"/>
  <c r="S919" i="17"/>
  <c r="S920" i="17" s="1"/>
  <c r="S425" i="16"/>
  <c r="O1075" i="17"/>
  <c r="O1076" i="17" s="1"/>
  <c r="O62" i="8"/>
  <c r="O469" i="16" s="1"/>
  <c r="O458" i="16"/>
  <c r="H1179" i="17"/>
  <c r="H1180" i="17" s="1"/>
  <c r="H524" i="16"/>
  <c r="I763" i="16"/>
  <c r="I266" i="5"/>
  <c r="Q242" i="5"/>
  <c r="L28" i="6"/>
  <c r="R558" i="16"/>
  <c r="R1023" i="17"/>
  <c r="R1024" i="17" s="1"/>
  <c r="H1309" i="17"/>
  <c r="H1310" i="17" s="1"/>
  <c r="H190" i="7"/>
  <c r="J271" i="12"/>
  <c r="J333" i="7"/>
  <c r="J325" i="7"/>
  <c r="I78" i="8"/>
  <c r="I602" i="16" s="1"/>
  <c r="H10" i="9"/>
  <c r="H18" i="9"/>
  <c r="G79" i="9"/>
  <c r="G199" i="11"/>
  <c r="G606" i="17"/>
  <c r="G607" i="17" s="1"/>
  <c r="G915" i="16"/>
  <c r="L72" i="11"/>
  <c r="T66" i="12"/>
  <c r="G250" i="12"/>
  <c r="I127" i="4"/>
  <c r="T124" i="4"/>
  <c r="S127" i="4"/>
  <c r="M124" i="4"/>
  <c r="R127" i="4"/>
  <c r="L124" i="4"/>
  <c r="Q127" i="4"/>
  <c r="K124" i="4"/>
  <c r="R124" i="4"/>
  <c r="S32" i="5"/>
  <c r="N867" i="17"/>
  <c r="N868" i="17" s="1"/>
  <c r="N284" i="16"/>
  <c r="K320" i="16"/>
  <c r="K893" i="17"/>
  <c r="K894" i="17" s="1"/>
  <c r="P58" i="8"/>
  <c r="P436" i="16" s="1"/>
  <c r="S1179" i="17"/>
  <c r="S1180" i="17" s="1"/>
  <c r="S524" i="16"/>
  <c r="S70" i="8"/>
  <c r="S535" i="16" s="1"/>
  <c r="R871" i="16"/>
  <c r="R409" i="15"/>
  <c r="R899" i="16"/>
  <c r="R420" i="15"/>
  <c r="O1023" i="17"/>
  <c r="O1024" i="17" s="1"/>
  <c r="O558" i="16"/>
  <c r="O74" i="8"/>
  <c r="O569" i="16" s="1"/>
  <c r="N624" i="16"/>
  <c r="N82" i="8"/>
  <c r="N635" i="16" s="1"/>
  <c r="N235" i="5"/>
  <c r="J109" i="15"/>
  <c r="J182" i="16" s="1"/>
  <c r="J980" i="17"/>
  <c r="J981" i="17" s="1"/>
  <c r="T127" i="4"/>
  <c r="I1127" i="17"/>
  <c r="I1128" i="17" s="1"/>
  <c r="I491" i="16"/>
  <c r="I66" i="8"/>
  <c r="I502" i="16" s="1"/>
  <c r="I231" i="5"/>
  <c r="O233" i="5"/>
  <c r="O242" i="5" s="1"/>
  <c r="G376" i="16"/>
  <c r="G61" i="7"/>
  <c r="G377" i="16" s="1"/>
  <c r="F38" i="7"/>
  <c r="Q180" i="4"/>
  <c r="P179" i="4"/>
  <c r="O178" i="4"/>
  <c r="O797" i="16" s="1"/>
  <c r="L114" i="4"/>
  <c r="L281" i="16" s="1"/>
  <c r="Q103" i="4"/>
  <c r="Q210" i="16" s="1"/>
  <c r="M98" i="4"/>
  <c r="M174" i="16" s="1"/>
  <c r="M52" i="4"/>
  <c r="I46" i="4"/>
  <c r="I76" i="16" s="1"/>
  <c r="S40" i="4"/>
  <c r="S42" i="16" s="1"/>
  <c r="R39" i="4"/>
  <c r="R43" i="16" s="1"/>
  <c r="J180" i="4"/>
  <c r="H179" i="4"/>
  <c r="K114" i="4"/>
  <c r="K281" i="16" s="1"/>
  <c r="P108" i="4"/>
  <c r="P246" i="16" s="1"/>
  <c r="H103" i="4"/>
  <c r="H210" i="16" s="1"/>
  <c r="O98" i="4"/>
  <c r="O174" i="16" s="1"/>
  <c r="I180" i="4"/>
  <c r="T178" i="4"/>
  <c r="T797" i="16" s="1"/>
  <c r="J114" i="4"/>
  <c r="J281" i="16" s="1"/>
  <c r="O108" i="4"/>
  <c r="O246" i="16" s="1"/>
  <c r="N98" i="4"/>
  <c r="N174" i="16" s="1"/>
  <c r="H180" i="4"/>
  <c r="S178" i="4"/>
  <c r="S797" i="16" s="1"/>
  <c r="I114" i="4"/>
  <c r="I281" i="16" s="1"/>
  <c r="N108" i="4"/>
  <c r="N246" i="16" s="1"/>
  <c r="L98" i="4"/>
  <c r="L174" i="16" s="1"/>
  <c r="Q52" i="4"/>
  <c r="H46" i="4"/>
  <c r="H76" i="16" s="1"/>
  <c r="O40" i="4"/>
  <c r="O42" i="16" s="1"/>
  <c r="M39" i="4"/>
  <c r="M43" i="16" s="1"/>
  <c r="Q208" i="5"/>
  <c r="Q209" i="5" s="1"/>
  <c r="L61" i="5"/>
  <c r="H34" i="5"/>
  <c r="I208" i="5"/>
  <c r="I61" i="5"/>
  <c r="K34" i="5"/>
  <c r="H208" i="5"/>
  <c r="H61" i="5"/>
  <c r="J34" i="5"/>
  <c r="K63" i="5"/>
  <c r="I34" i="5"/>
  <c r="J35" i="4"/>
  <c r="J40" i="4"/>
  <c r="J42" i="16" s="1"/>
  <c r="T52" i="4"/>
  <c r="I56" i="4"/>
  <c r="I63" i="4"/>
  <c r="H98" i="4"/>
  <c r="H174" i="16" s="1"/>
  <c r="N103" i="4"/>
  <c r="N210" i="16" s="1"/>
  <c r="T108" i="4"/>
  <c r="T246" i="16" s="1"/>
  <c r="N114" i="4"/>
  <c r="N281" i="16" s="1"/>
  <c r="L178" i="4"/>
  <c r="L797" i="16" s="1"/>
  <c r="R179" i="4"/>
  <c r="J30" i="5"/>
  <c r="L73" i="5"/>
  <c r="R867" i="17"/>
  <c r="R868" i="17" s="1"/>
  <c r="R42" i="8"/>
  <c r="R295" i="16" s="1"/>
  <c r="T919" i="17"/>
  <c r="T920" i="17" s="1"/>
  <c r="T425" i="16"/>
  <c r="P1075" i="17"/>
  <c r="P1076" i="17" s="1"/>
  <c r="P458" i="16"/>
  <c r="P62" i="8"/>
  <c r="P469" i="16" s="1"/>
  <c r="P230" i="5"/>
  <c r="S728" i="16"/>
  <c r="S265" i="5"/>
  <c r="J763" i="16"/>
  <c r="J266" i="5"/>
  <c r="J255" i="5"/>
  <c r="M24" i="6"/>
  <c r="M25" i="6"/>
  <c r="M555" i="16" s="1"/>
  <c r="H191" i="7"/>
  <c r="I191" i="7" s="1"/>
  <c r="J191" i="7" s="1"/>
  <c r="K191" i="7" s="1"/>
  <c r="L191" i="7" s="1"/>
  <c r="M191" i="7" s="1"/>
  <c r="N191" i="7" s="1"/>
  <c r="O191" i="7" s="1"/>
  <c r="P191" i="7" s="1"/>
  <c r="Q191" i="7" s="1"/>
  <c r="R191" i="7" s="1"/>
  <c r="S191" i="7" s="1"/>
  <c r="T191" i="7" s="1"/>
  <c r="K271" i="12"/>
  <c r="K333" i="7"/>
  <c r="K325" i="7"/>
  <c r="K46" i="8"/>
  <c r="K331" i="16" s="1"/>
  <c r="H66" i="8"/>
  <c r="H502" i="16" s="1"/>
  <c r="F18" i="10"/>
  <c r="J19" i="11"/>
  <c r="J220" i="11"/>
  <c r="K70" i="16"/>
  <c r="H8" i="16"/>
  <c r="D64" i="17"/>
  <c r="F64" i="17" s="1"/>
  <c r="K87" i="14"/>
  <c r="J87" i="14"/>
  <c r="I87" i="14"/>
  <c r="C12" i="14"/>
  <c r="L87" i="13"/>
  <c r="J87" i="13"/>
  <c r="I87" i="13"/>
  <c r="H87" i="13"/>
  <c r="M18" i="4"/>
  <c r="T18" i="4"/>
  <c r="O28" i="4"/>
  <c r="N1000" i="17"/>
  <c r="N1001" i="17" s="1"/>
  <c r="N214" i="16"/>
  <c r="I867" i="17"/>
  <c r="I868" i="17" s="1"/>
  <c r="I284" i="16"/>
  <c r="N893" i="17"/>
  <c r="N894" i="17" s="1"/>
  <c r="N320" i="16"/>
  <c r="O919" i="17"/>
  <c r="O920" i="17" s="1"/>
  <c r="O425" i="16"/>
  <c r="T1075" i="17"/>
  <c r="T1076" i="17" s="1"/>
  <c r="T458" i="16"/>
  <c r="T62" i="8"/>
  <c r="T469" i="16" s="1"/>
  <c r="K1127" i="17"/>
  <c r="K1128" i="17" s="1"/>
  <c r="K66" i="8"/>
  <c r="K502" i="16" s="1"/>
  <c r="K491" i="16"/>
  <c r="P1179" i="17"/>
  <c r="P1180" i="17" s="1"/>
  <c r="P70" i="8"/>
  <c r="P535" i="16" s="1"/>
  <c r="K728" i="16"/>
  <c r="K265" i="5"/>
  <c r="S1023" i="17"/>
  <c r="S1024" i="17" s="1"/>
  <c r="S558" i="16"/>
  <c r="M45" i="6"/>
  <c r="M49" i="6" s="1"/>
  <c r="P76" i="6"/>
  <c r="H646" i="17"/>
  <c r="H647" i="17" s="1"/>
  <c r="H918" i="16"/>
  <c r="P263" i="17"/>
  <c r="P297" i="17"/>
  <c r="P298" i="17" s="1"/>
  <c r="P890" i="16"/>
  <c r="J284" i="16"/>
  <c r="P524" i="16"/>
  <c r="N213" i="17"/>
  <c r="O893" i="17"/>
  <c r="O894" i="17" s="1"/>
  <c r="O46" i="8"/>
  <c r="O331" i="16" s="1"/>
  <c r="P919" i="17"/>
  <c r="P920" i="17" s="1"/>
  <c r="P425" i="16"/>
  <c r="L1127" i="17"/>
  <c r="L1128" i="17" s="1"/>
  <c r="L491" i="16"/>
  <c r="Q1179" i="17"/>
  <c r="Q1180" i="17" s="1"/>
  <c r="Q70" i="8"/>
  <c r="Q535" i="16" s="1"/>
  <c r="T1023" i="17"/>
  <c r="T1024" i="17" s="1"/>
  <c r="T558" i="16"/>
  <c r="G199" i="16"/>
  <c r="G56" i="7"/>
  <c r="Q58" i="8"/>
  <c r="Q436" i="16" s="1"/>
  <c r="G121" i="8"/>
  <c r="G78" i="9"/>
  <c r="I646" i="17"/>
  <c r="I647" i="17" s="1"/>
  <c r="I918" i="16"/>
  <c r="K87" i="13"/>
  <c r="K284" i="16"/>
  <c r="Q524" i="16"/>
  <c r="R929" i="17"/>
  <c r="P1000" i="17"/>
  <c r="P1001" i="17" s="1"/>
  <c r="P214" i="16"/>
  <c r="K868" i="17"/>
  <c r="H1075" i="17"/>
  <c r="H1076" i="17" s="1"/>
  <c r="H458" i="16"/>
  <c r="H230" i="5"/>
  <c r="M1127" i="17"/>
  <c r="M1128" i="17" s="1"/>
  <c r="M491" i="16"/>
  <c r="R1179" i="17"/>
  <c r="R1180" i="17" s="1"/>
  <c r="R524" i="16"/>
  <c r="P229" i="5"/>
  <c r="R264" i="5"/>
  <c r="H127" i="7"/>
  <c r="T70" i="12"/>
  <c r="T19" i="11"/>
  <c r="T220" i="11"/>
  <c r="G259" i="12"/>
  <c r="M255" i="12"/>
  <c r="L204" i="11"/>
  <c r="J255" i="12"/>
  <c r="E71" i="14" s="1"/>
  <c r="I255" i="12"/>
  <c r="H255" i="12"/>
  <c r="K204" i="11"/>
  <c r="M867" i="17"/>
  <c r="M868" i="17" s="1"/>
  <c r="M284" i="16"/>
  <c r="K919" i="17"/>
  <c r="K920" i="17" s="1"/>
  <c r="K425" i="16"/>
  <c r="N1075" i="17"/>
  <c r="N1076" i="17" s="1"/>
  <c r="N458" i="16"/>
  <c r="T1179" i="17"/>
  <c r="T1180" i="17" s="1"/>
  <c r="T524" i="16"/>
  <c r="I871" i="16"/>
  <c r="I899" i="16"/>
  <c r="H1023" i="17"/>
  <c r="H1024" i="17" s="1"/>
  <c r="H558" i="16"/>
  <c r="H74" i="8"/>
  <c r="H569" i="16" s="1"/>
  <c r="O9" i="8"/>
  <c r="S82" i="8"/>
  <c r="S635" i="16" s="1"/>
  <c r="O646" i="17"/>
  <c r="O647" i="17" s="1"/>
  <c r="O918" i="16"/>
  <c r="S204" i="11"/>
  <c r="Q220" i="11"/>
  <c r="T255" i="12"/>
  <c r="F10" i="16"/>
  <c r="J899" i="16"/>
  <c r="J871" i="16"/>
  <c r="J420" i="15"/>
  <c r="J15" i="11"/>
  <c r="I1023" i="17"/>
  <c r="I1024" i="17" s="1"/>
  <c r="I558" i="16"/>
  <c r="G57" i="7"/>
  <c r="G236" i="16" s="1"/>
  <c r="E94" i="7"/>
  <c r="H96" i="7"/>
  <c r="T82" i="8"/>
  <c r="T635" i="16" s="1"/>
  <c r="P918" i="16"/>
  <c r="P646" i="17"/>
  <c r="P647" i="17" s="1"/>
  <c r="T204" i="11"/>
  <c r="R220" i="11"/>
  <c r="G477" i="16"/>
  <c r="I420" i="15"/>
  <c r="K899" i="16"/>
  <c r="K66" i="12"/>
  <c r="K409" i="15"/>
  <c r="J1023" i="17"/>
  <c r="J1024" i="17" s="1"/>
  <c r="J558" i="16"/>
  <c r="I74" i="8"/>
  <c r="I569" i="16" s="1"/>
  <c r="Q918" i="16"/>
  <c r="Q646" i="17"/>
  <c r="Q647" i="17" s="1"/>
  <c r="I66" i="12"/>
  <c r="K420" i="15"/>
  <c r="J646" i="17"/>
  <c r="J647" i="17" s="1"/>
  <c r="J918" i="16"/>
  <c r="G676" i="16"/>
  <c r="H213" i="17"/>
  <c r="G225" i="17"/>
  <c r="G437" i="17" s="1"/>
  <c r="I890" i="16"/>
  <c r="I297" i="17"/>
  <c r="I298" i="17" s="1"/>
  <c r="G574" i="17"/>
  <c r="G786" i="17" s="1"/>
  <c r="G664" i="17"/>
  <c r="G804" i="17" s="1"/>
  <c r="G654" i="17"/>
  <c r="G802" i="17" s="1"/>
  <c r="G589" i="17"/>
  <c r="G789" i="17" s="1"/>
  <c r="G759" i="17"/>
  <c r="G823" i="17" s="1"/>
  <c r="G604" i="17"/>
  <c r="G792" i="17" s="1"/>
  <c r="G255" i="17"/>
  <c r="G443" i="17" s="1"/>
  <c r="G245" i="17"/>
  <c r="G441" i="17" s="1"/>
  <c r="G719" i="17"/>
  <c r="G815" i="17" s="1"/>
  <c r="G584" i="17"/>
  <c r="G788" i="17" s="1"/>
  <c r="G405" i="17"/>
  <c r="G473" i="17" s="1"/>
  <c r="G280" i="17"/>
  <c r="G448" i="17" s="1"/>
  <c r="G310" i="17"/>
  <c r="G454" i="17" s="1"/>
  <c r="G250" i="17"/>
  <c r="G442" i="17" s="1"/>
  <c r="G629" i="17"/>
  <c r="G797" i="17" s="1"/>
  <c r="G235" i="17"/>
  <c r="G439" i="17" s="1"/>
  <c r="L646" i="17"/>
  <c r="L647" i="17" s="1"/>
  <c r="L918" i="16"/>
  <c r="F11" i="16"/>
  <c r="R213" i="17"/>
  <c r="G214" i="17"/>
  <c r="M213" i="17"/>
  <c r="M562" i="17"/>
  <c r="J851" i="17"/>
  <c r="J903" i="17"/>
  <c r="Q213" i="17"/>
  <c r="K851" i="17"/>
  <c r="M903" i="17"/>
  <c r="L213" i="17"/>
  <c r="H877" i="17"/>
  <c r="T1059" i="17"/>
  <c r="G563" i="17"/>
  <c r="G1320" i="17"/>
  <c r="L1007" i="17"/>
  <c r="G385" i="17"/>
  <c r="G469" i="17" s="1"/>
  <c r="G390" i="17"/>
  <c r="G470" i="17" s="1"/>
  <c r="G395" i="17"/>
  <c r="G471" i="17" s="1"/>
  <c r="G400" i="17"/>
  <c r="G472" i="17" s="1"/>
  <c r="G744" i="17"/>
  <c r="G820" i="17" s="1"/>
  <c r="G739" i="17"/>
  <c r="G819" i="17" s="1"/>
  <c r="G659" i="17"/>
  <c r="G803" i="17" s="1"/>
  <c r="G519" i="17"/>
  <c r="G775" i="17" s="1"/>
  <c r="G594" i="17"/>
  <c r="G790" i="17" s="1"/>
  <c r="G599" i="17"/>
  <c r="G791" i="17" s="1"/>
  <c r="G410" i="17"/>
  <c r="G474" i="17" s="1"/>
  <c r="G315" i="17"/>
  <c r="G455" i="17" s="1"/>
  <c r="G180" i="17"/>
  <c r="G428" i="17" s="1"/>
  <c r="G230" i="17"/>
  <c r="G438" i="17" s="1"/>
  <c r="G749" i="17"/>
  <c r="G821" i="17" s="1"/>
  <c r="M877" i="17"/>
  <c r="K877" i="17"/>
  <c r="L929" i="17"/>
  <c r="L1059" i="17"/>
  <c r="H1215" i="17"/>
  <c r="S1189" i="17"/>
  <c r="E1436" i="17"/>
  <c r="D67" i="17" s="1"/>
  <c r="F67" i="17" s="1"/>
  <c r="R1059" i="17"/>
  <c r="L1111" i="17"/>
  <c r="P1033" i="17"/>
  <c r="P1085" i="17"/>
  <c r="M1241" i="17"/>
  <c r="P1215" i="17"/>
  <c r="R1215" i="17"/>
  <c r="Q1189" i="17"/>
  <c r="M1215" i="17"/>
  <c r="R841" i="16" l="1"/>
  <c r="R349" i="7"/>
  <c r="H57" i="7"/>
  <c r="H235" i="16"/>
  <c r="C131" i="1"/>
  <c r="T352" i="16"/>
  <c r="T128" i="4"/>
  <c r="H411" i="16"/>
  <c r="H62" i="7"/>
  <c r="L148" i="4"/>
  <c r="I862" i="16"/>
  <c r="I352" i="7"/>
  <c r="J35" i="16"/>
  <c r="I74" i="4"/>
  <c r="J60" i="4"/>
  <c r="S823" i="16"/>
  <c r="S23" i="7"/>
  <c r="S75" i="7"/>
  <c r="S340" i="7"/>
  <c r="S347" i="7" s="1"/>
  <c r="G631" i="17"/>
  <c r="G632" i="17" s="1"/>
  <c r="N113" i="4"/>
  <c r="H980" i="17"/>
  <c r="H981" i="17" s="1"/>
  <c r="H109" i="15"/>
  <c r="H182" i="16" s="1"/>
  <c r="N551" i="16"/>
  <c r="J22" i="15"/>
  <c r="I22" i="15"/>
  <c r="H22" i="15"/>
  <c r="C23" i="16"/>
  <c r="K22" i="15"/>
  <c r="Q582" i="16" s="1"/>
  <c r="D23" i="16"/>
  <c r="C112" i="1"/>
  <c r="I88" i="2"/>
  <c r="E21" i="4"/>
  <c r="I75" i="2"/>
  <c r="D22" i="15"/>
  <c r="P21" i="4"/>
  <c r="T21" i="4"/>
  <c r="R21" i="4"/>
  <c r="S21" i="4"/>
  <c r="J21" i="4"/>
  <c r="N21" i="4"/>
  <c r="O21" i="4"/>
  <c r="Q21" i="4"/>
  <c r="L21" i="4"/>
  <c r="I46" i="13"/>
  <c r="I47" i="13"/>
  <c r="L33" i="7"/>
  <c r="S341" i="16"/>
  <c r="S60" i="7"/>
  <c r="P376" i="16"/>
  <c r="P61" i="7"/>
  <c r="N888" i="16"/>
  <c r="N277" i="17"/>
  <c r="N278" i="17" s="1"/>
  <c r="S841" i="16"/>
  <c r="S349" i="7"/>
  <c r="N146" i="7"/>
  <c r="N148" i="7" s="1"/>
  <c r="N245" i="7" s="1"/>
  <c r="O19" i="7"/>
  <c r="O67" i="7" s="1"/>
  <c r="O71" i="7" s="1"/>
  <c r="O272" i="7" s="1"/>
  <c r="N19" i="7"/>
  <c r="N67" i="7" s="1"/>
  <c r="N71" i="7" s="1"/>
  <c r="N272" i="7" s="1"/>
  <c r="Q40" i="5"/>
  <c r="P137" i="7"/>
  <c r="P139" i="7" s="1"/>
  <c r="P242" i="7" s="1"/>
  <c r="P16" i="7"/>
  <c r="P64" i="7" s="1"/>
  <c r="G559" i="17"/>
  <c r="G783" i="17" s="1"/>
  <c r="F559" i="17"/>
  <c r="F783" i="17" s="1"/>
  <c r="E559" i="17"/>
  <c r="E783" i="17" s="1"/>
  <c r="K73" i="11"/>
  <c r="K75" i="11" s="1"/>
  <c r="E1422" i="17"/>
  <c r="I71" i="4"/>
  <c r="J57" i="4"/>
  <c r="O148" i="4"/>
  <c r="S678" i="16"/>
  <c r="S63" i="7"/>
  <c r="Q113" i="4"/>
  <c r="T376" i="16"/>
  <c r="T61" i="7"/>
  <c r="P352" i="16"/>
  <c r="P128" i="4"/>
  <c r="H33" i="6"/>
  <c r="H101" i="6"/>
  <c r="H34" i="6"/>
  <c r="H30" i="6"/>
  <c r="H553" i="16" s="1"/>
  <c r="M823" i="16"/>
  <c r="M75" i="7"/>
  <c r="M340" i="7"/>
  <c r="M347" i="7" s="1"/>
  <c r="M23" i="7"/>
  <c r="L146" i="7"/>
  <c r="L148" i="7" s="1"/>
  <c r="L245" i="7" s="1"/>
  <c r="Q801" i="16"/>
  <c r="Q213" i="5"/>
  <c r="Q267" i="5" s="1"/>
  <c r="S352" i="16"/>
  <c r="S128" i="4"/>
  <c r="Q834" i="16"/>
  <c r="Q348" i="7"/>
  <c r="P49" i="5"/>
  <c r="I143" i="7"/>
  <c r="I145" i="7" s="1"/>
  <c r="I244" i="7" s="1"/>
  <c r="I18" i="7"/>
  <c r="I66" i="7" s="1"/>
  <c r="I70" i="7" s="1"/>
  <c r="I271" i="7" s="1"/>
  <c r="H96" i="4"/>
  <c r="H97" i="4" s="1"/>
  <c r="J796" i="16"/>
  <c r="J201" i="5"/>
  <c r="J181" i="4"/>
  <c r="J176" i="4"/>
  <c r="J182" i="4" s="1"/>
  <c r="J177" i="4"/>
  <c r="J183" i="4" s="1"/>
  <c r="J226" i="4"/>
  <c r="Q143" i="7"/>
  <c r="Q145" i="7" s="1"/>
  <c r="Q244" i="7" s="1"/>
  <c r="Q18" i="7"/>
  <c r="Q66" i="7" s="1"/>
  <c r="Q70" i="7" s="1"/>
  <c r="Q271" i="7" s="1"/>
  <c r="M143" i="7"/>
  <c r="M145" i="7" s="1"/>
  <c r="M244" i="7" s="1"/>
  <c r="M18" i="7"/>
  <c r="M66" i="7" s="1"/>
  <c r="M70" i="7" s="1"/>
  <c r="M271" i="7" s="1"/>
  <c r="I376" i="16"/>
  <c r="I61" i="7"/>
  <c r="M376" i="16"/>
  <c r="M61" i="7"/>
  <c r="T856" i="16"/>
  <c r="T857" i="16"/>
  <c r="T858" i="16"/>
  <c r="T139" i="10"/>
  <c r="Q862" i="16"/>
  <c r="Q352" i="7"/>
  <c r="G242" i="12"/>
  <c r="G115" i="8"/>
  <c r="J851" i="16"/>
  <c r="J850" i="16"/>
  <c r="J849" i="16"/>
  <c r="J138" i="10"/>
  <c r="K46" i="14"/>
  <c r="C55" i="1" s="1"/>
  <c r="K47" i="14"/>
  <c r="C56" i="1" s="1"/>
  <c r="M888" i="16"/>
  <c r="M277" i="17"/>
  <c r="M278" i="17" s="1"/>
  <c r="K148" i="4"/>
  <c r="E12" i="7"/>
  <c r="T59" i="7"/>
  <c r="T305" i="16"/>
  <c r="P848" i="16"/>
  <c r="P350" i="7"/>
  <c r="M148" i="4"/>
  <c r="H61" i="7"/>
  <c r="H376" i="16"/>
  <c r="H855" i="16"/>
  <c r="E344" i="7"/>
  <c r="H351" i="7"/>
  <c r="J34" i="16"/>
  <c r="I1208" i="17"/>
  <c r="I1209" i="17" s="1"/>
  <c r="I145" i="16"/>
  <c r="I248" i="5"/>
  <c r="M387" i="16"/>
  <c r="M109" i="16"/>
  <c r="H279" i="12"/>
  <c r="H228" i="11"/>
  <c r="R823" i="16"/>
  <c r="R75" i="7"/>
  <c r="R23" i="7"/>
  <c r="R340" i="7"/>
  <c r="R347" i="7" s="1"/>
  <c r="G124" i="16"/>
  <c r="G121" i="16"/>
  <c r="I801" i="16"/>
  <c r="I213" i="5"/>
  <c r="I267" i="5" s="1"/>
  <c r="L35" i="7"/>
  <c r="J106" i="4"/>
  <c r="Q68" i="7"/>
  <c r="Q269" i="7" s="1"/>
  <c r="H213" i="5"/>
  <c r="H267" i="5" s="1"/>
  <c r="H801" i="16"/>
  <c r="D64" i="3"/>
  <c r="E64" i="3"/>
  <c r="H81" i="2"/>
  <c r="T342" i="16"/>
  <c r="T115" i="7"/>
  <c r="P841" i="16"/>
  <c r="P349" i="7"/>
  <c r="N138" i="7"/>
  <c r="T138" i="7"/>
  <c r="H138" i="7"/>
  <c r="R138" i="7"/>
  <c r="M138" i="7"/>
  <c r="H68" i="7"/>
  <c r="H269" i="7" s="1"/>
  <c r="N28" i="6"/>
  <c r="G711" i="17"/>
  <c r="G712" i="17" s="1"/>
  <c r="G914" i="16"/>
  <c r="M73" i="5"/>
  <c r="K35" i="4"/>
  <c r="J37" i="4"/>
  <c r="H146" i="7"/>
  <c r="H148" i="7" s="1"/>
  <c r="H245" i="7" s="1"/>
  <c r="H144" i="4"/>
  <c r="H19" i="7"/>
  <c r="H67" i="7" s="1"/>
  <c r="T823" i="16"/>
  <c r="T23" i="7"/>
  <c r="T75" i="7"/>
  <c r="T340" i="7"/>
  <c r="T347" i="7" s="1"/>
  <c r="I21" i="4"/>
  <c r="I56" i="7"/>
  <c r="I199" i="16"/>
  <c r="Q848" i="16"/>
  <c r="Q350" i="7"/>
  <c r="T512" i="16"/>
  <c r="T230" i="15"/>
  <c r="T507" i="16" s="1"/>
  <c r="N22" i="9"/>
  <c r="N23" i="9"/>
  <c r="N270" i="16"/>
  <c r="N58" i="7"/>
  <c r="J32" i="16"/>
  <c r="S113" i="4"/>
  <c r="K411" i="16"/>
  <c r="K62" i="7"/>
  <c r="M51" i="6"/>
  <c r="M52" i="6" s="1"/>
  <c r="M53" i="6"/>
  <c r="J621" i="16"/>
  <c r="J76" i="6"/>
  <c r="E1425" i="17" s="1"/>
  <c r="L181" i="4"/>
  <c r="L176" i="4"/>
  <c r="L182" i="4" s="1"/>
  <c r="L796" i="16"/>
  <c r="L226" i="4"/>
  <c r="L201" i="5"/>
  <c r="L177" i="4"/>
  <c r="L183" i="4" s="1"/>
  <c r="N823" i="16"/>
  <c r="N340" i="7"/>
  <c r="N347" i="7" s="1"/>
  <c r="N23" i="7"/>
  <c r="N75" i="7"/>
  <c r="H46" i="13"/>
  <c r="H47" i="13"/>
  <c r="K21" i="4"/>
  <c r="R18" i="7"/>
  <c r="R66" i="7" s="1"/>
  <c r="R70" i="7" s="1"/>
  <c r="R271" i="7" s="1"/>
  <c r="J33" i="16"/>
  <c r="K448" i="16"/>
  <c r="F19" i="16"/>
  <c r="J1133" i="17"/>
  <c r="J1134" i="17" s="1"/>
  <c r="J494" i="16"/>
  <c r="H341" i="16"/>
  <c r="H60" i="7"/>
  <c r="J37" i="7"/>
  <c r="J16" i="16" s="1"/>
  <c r="E113" i="7"/>
  <c r="N114" i="7" s="1"/>
  <c r="N117" i="7" s="1"/>
  <c r="G37" i="7"/>
  <c r="I954" i="17"/>
  <c r="I955" i="17" s="1"/>
  <c r="I70" i="15"/>
  <c r="I84" i="16" s="1"/>
  <c r="I24" i="9"/>
  <c r="P411" i="16"/>
  <c r="P62" i="7"/>
  <c r="J235" i="16"/>
  <c r="J57" i="7"/>
  <c r="T841" i="16"/>
  <c r="T349" i="7"/>
  <c r="I678" i="16"/>
  <c r="I63" i="7"/>
  <c r="P855" i="16"/>
  <c r="P351" i="7"/>
  <c r="H1307" i="17"/>
  <c r="H1308" i="17"/>
  <c r="K449" i="16"/>
  <c r="H19" i="16"/>
  <c r="Q925" i="17"/>
  <c r="Q926" i="17" s="1"/>
  <c r="Q428" i="16"/>
  <c r="R1185" i="17"/>
  <c r="R1186" i="17" s="1"/>
  <c r="R527" i="16"/>
  <c r="H141" i="16"/>
  <c r="H224" i="4"/>
  <c r="M46" i="13"/>
  <c r="M47" i="13" s="1"/>
  <c r="K68" i="7"/>
  <c r="K269" i="7" s="1"/>
  <c r="J270" i="16"/>
  <c r="J58" i="7"/>
  <c r="K270" i="16"/>
  <c r="K58" i="7"/>
  <c r="I351" i="7"/>
  <c r="I855" i="16"/>
  <c r="O862" i="16"/>
  <c r="O352" i="7"/>
  <c r="N242" i="5"/>
  <c r="H796" i="16"/>
  <c r="H201" i="5"/>
  <c r="H177" i="4"/>
  <c r="H183" i="4" s="1"/>
  <c r="H226" i="4"/>
  <c r="H176" i="4"/>
  <c r="H182" i="4" s="1"/>
  <c r="J948" i="17"/>
  <c r="J949" i="17" s="1"/>
  <c r="J80" i="16"/>
  <c r="J246" i="5"/>
  <c r="E646" i="17"/>
  <c r="T647" i="17"/>
  <c r="E647" i="17" s="1"/>
  <c r="L916" i="16"/>
  <c r="L626" i="17"/>
  <c r="L627" i="17" s="1"/>
  <c r="R16" i="7"/>
  <c r="R64" i="7" s="1"/>
  <c r="D14" i="16"/>
  <c r="C14" i="16"/>
  <c r="I66" i="2"/>
  <c r="N243" i="16"/>
  <c r="C103" i="1"/>
  <c r="D13" i="15"/>
  <c r="E12" i="4"/>
  <c r="T12" i="4"/>
  <c r="Q10" i="7"/>
  <c r="S12" i="4"/>
  <c r="R12" i="4"/>
  <c r="Q12" i="4"/>
  <c r="P12" i="4"/>
  <c r="L1133" i="17"/>
  <c r="L1134" i="17" s="1"/>
  <c r="L494" i="16"/>
  <c r="S862" i="16"/>
  <c r="S352" i="7"/>
  <c r="R848" i="16"/>
  <c r="R350" i="7"/>
  <c r="L305" i="16"/>
  <c r="L59" i="7"/>
  <c r="K862" i="16"/>
  <c r="K352" i="7"/>
  <c r="O823" i="16"/>
  <c r="O340" i="7"/>
  <c r="O347" i="7" s="1"/>
  <c r="O75" i="7"/>
  <c r="O23" i="7"/>
  <c r="P341" i="16"/>
  <c r="P60" i="7"/>
  <c r="L113" i="4"/>
  <c r="L23" i="4"/>
  <c r="L1316" i="17" s="1"/>
  <c r="Q17" i="6"/>
  <c r="S925" i="17"/>
  <c r="S926" i="17" s="1"/>
  <c r="S428" i="16"/>
  <c r="N148" i="4"/>
  <c r="L50" i="5"/>
  <c r="K65" i="5"/>
  <c r="H841" i="17"/>
  <c r="H842" i="17" s="1"/>
  <c r="H46" i="16"/>
  <c r="H218" i="5"/>
  <c r="H14" i="8"/>
  <c r="M848" i="16"/>
  <c r="M350" i="7"/>
  <c r="N46" i="14"/>
  <c r="N47" i="14"/>
  <c r="D90" i="17"/>
  <c r="B81" i="1"/>
  <c r="O175" i="4"/>
  <c r="O207" i="5"/>
  <c r="O209" i="5" s="1"/>
  <c r="O29" i="4"/>
  <c r="O794" i="16"/>
  <c r="O202" i="5"/>
  <c r="K72" i="4"/>
  <c r="L58" i="4"/>
  <c r="E297" i="17"/>
  <c r="T298" i="17"/>
  <c r="E298" i="17" s="1"/>
  <c r="N10" i="4"/>
  <c r="O626" i="17"/>
  <c r="O627" i="17" s="1"/>
  <c r="O916" i="16"/>
  <c r="N11" i="7"/>
  <c r="J841" i="16"/>
  <c r="J349" i="7"/>
  <c r="J13" i="7"/>
  <c r="Q341" i="16"/>
  <c r="Q60" i="7"/>
  <c r="N848" i="16"/>
  <c r="N350" i="7"/>
  <c r="T862" i="16"/>
  <c r="T352" i="7"/>
  <c r="J16" i="4"/>
  <c r="L30" i="5"/>
  <c r="M9" i="5"/>
  <c r="H1208" i="17"/>
  <c r="H1209" i="17" s="1"/>
  <c r="H145" i="16"/>
  <c r="H248" i="5"/>
  <c r="K23" i="4"/>
  <c r="H925" i="17"/>
  <c r="H926" i="17" s="1"/>
  <c r="H428" i="16"/>
  <c r="I1309" i="17"/>
  <c r="I1310" i="17" s="1"/>
  <c r="M113" i="8"/>
  <c r="M242" i="12" s="1"/>
  <c r="M262" i="17" s="1"/>
  <c r="M263" i="17" s="1"/>
  <c r="M119" i="8"/>
  <c r="M191" i="11" s="1"/>
  <c r="M611" i="17" s="1"/>
  <c r="M612" i="17" s="1"/>
  <c r="Q10" i="4"/>
  <c r="S46" i="14"/>
  <c r="S47" i="14"/>
  <c r="Q277" i="17"/>
  <c r="Q278" i="17" s="1"/>
  <c r="O15" i="7"/>
  <c r="I10" i="7"/>
  <c r="S848" i="16"/>
  <c r="S350" i="7"/>
  <c r="T14" i="7"/>
  <c r="R15" i="7"/>
  <c r="R13" i="7"/>
  <c r="G38" i="7" s="1"/>
  <c r="N855" i="16"/>
  <c r="N351" i="7"/>
  <c r="J1325" i="17"/>
  <c r="I1327" i="17"/>
  <c r="K13" i="4"/>
  <c r="K101" i="4"/>
  <c r="K102" i="4" s="1"/>
  <c r="P207" i="5"/>
  <c r="P209" i="5" s="1"/>
  <c r="P29" i="4"/>
  <c r="P794" i="16"/>
  <c r="P175" i="4"/>
  <c r="P202" i="5"/>
  <c r="F295" i="17"/>
  <c r="F451" i="17" s="1"/>
  <c r="O113" i="8"/>
  <c r="O242" i="12" s="1"/>
  <c r="O262" i="17" s="1"/>
  <c r="O263" i="17" s="1"/>
  <c r="O119" i="8"/>
  <c r="O191" i="11" s="1"/>
  <c r="O611" i="17" s="1"/>
  <c r="O612" i="17" s="1"/>
  <c r="M140" i="7"/>
  <c r="M142" i="7" s="1"/>
  <c r="M243" i="7" s="1"/>
  <c r="T16" i="4"/>
  <c r="H834" i="16"/>
  <c r="H348" i="7"/>
  <c r="E341" i="7"/>
  <c r="L18" i="7"/>
  <c r="L66" i="7" s="1"/>
  <c r="L70" i="7" s="1"/>
  <c r="L271" i="7" s="1"/>
  <c r="K626" i="17"/>
  <c r="K627" i="17" s="1"/>
  <c r="P16" i="4"/>
  <c r="P1315" i="17" s="1"/>
  <c r="T46" i="14"/>
  <c r="T47" i="14"/>
  <c r="J11" i="7"/>
  <c r="S11" i="7"/>
  <c r="M68" i="7"/>
  <c r="M269" i="7" s="1"/>
  <c r="S14" i="7"/>
  <c r="M862" i="16"/>
  <c r="M352" i="7"/>
  <c r="I13" i="4"/>
  <c r="R17" i="6"/>
  <c r="E277" i="17"/>
  <c r="T278" i="17"/>
  <c r="E278" i="17" s="1"/>
  <c r="R794" i="16"/>
  <c r="R29" i="4"/>
  <c r="R202" i="5"/>
  <c r="R207" i="5"/>
  <c r="R209" i="5" s="1"/>
  <c r="R175" i="4"/>
  <c r="M34" i="5"/>
  <c r="N17" i="5"/>
  <c r="K925" i="17"/>
  <c r="K926" i="17" s="1"/>
  <c r="K428" i="16"/>
  <c r="Q20" i="4"/>
  <c r="K130" i="5"/>
  <c r="L105" i="5"/>
  <c r="G295" i="17"/>
  <c r="G451" i="17" s="1"/>
  <c r="M28" i="6"/>
  <c r="E1423" i="17" s="1"/>
  <c r="Q109" i="16"/>
  <c r="Q387" i="16"/>
  <c r="G641" i="17"/>
  <c r="G642" i="17" s="1"/>
  <c r="G215" i="11"/>
  <c r="G917" i="16"/>
  <c r="G287" i="17"/>
  <c r="G288" i="17" s="1"/>
  <c r="G254" i="12"/>
  <c r="T13" i="4"/>
  <c r="K855" i="16"/>
  <c r="K351" i="7"/>
  <c r="H626" i="17"/>
  <c r="H627" i="17" s="1"/>
  <c r="H916" i="16"/>
  <c r="I24" i="4"/>
  <c r="I151" i="4" s="1"/>
  <c r="P15" i="7"/>
  <c r="D13" i="16"/>
  <c r="C13" i="16"/>
  <c r="D12" i="15"/>
  <c r="N207" i="16"/>
  <c r="I65" i="2"/>
  <c r="C102" i="1"/>
  <c r="M9" i="7"/>
  <c r="L9" i="7"/>
  <c r="J34" i="7" s="1"/>
  <c r="E11" i="4"/>
  <c r="S13" i="7"/>
  <c r="H1303" i="17"/>
  <c r="H1304" i="17" s="1"/>
  <c r="H178" i="7"/>
  <c r="M8" i="7"/>
  <c r="I80" i="4"/>
  <c r="I91" i="4" s="1"/>
  <c r="I1263" i="17" s="1"/>
  <c r="I1264" i="17" s="1"/>
  <c r="J66" i="4"/>
  <c r="T263" i="17"/>
  <c r="E263" i="17" s="1"/>
  <c r="E262" i="17"/>
  <c r="G264" i="17" s="1"/>
  <c r="I916" i="16"/>
  <c r="I626" i="17"/>
  <c r="I627" i="17" s="1"/>
  <c r="R9" i="7"/>
  <c r="J46" i="13"/>
  <c r="J47" i="13"/>
  <c r="R277" i="17"/>
  <c r="R278" i="17" s="1"/>
  <c r="R888" i="16"/>
  <c r="I834" i="16"/>
  <c r="I348" i="7"/>
  <c r="S8" i="7"/>
  <c r="R8" i="7"/>
  <c r="N18" i="7"/>
  <c r="N66" i="7" s="1"/>
  <c r="N70" i="7" s="1"/>
  <c r="N271" i="7" s="1"/>
  <c r="T15" i="7"/>
  <c r="N60" i="7"/>
  <c r="N341" i="16"/>
  <c r="O848" i="16"/>
  <c r="O350" i="7"/>
  <c r="J18" i="7"/>
  <c r="J66" i="7" s="1"/>
  <c r="J70" i="7" s="1"/>
  <c r="J271" i="7" s="1"/>
  <c r="I16" i="4"/>
  <c r="K213" i="5"/>
  <c r="K267" i="5" s="1"/>
  <c r="K801" i="16"/>
  <c r="K19" i="16"/>
  <c r="D419" i="16"/>
  <c r="R23" i="9"/>
  <c r="R22" i="9"/>
  <c r="K13" i="9"/>
  <c r="K14" i="9"/>
  <c r="L12" i="9" s="1"/>
  <c r="L14" i="9" s="1"/>
  <c r="M12" i="9" s="1"/>
  <c r="M14" i="9" s="1"/>
  <c r="N12" i="9" s="1"/>
  <c r="N14" i="9" s="1"/>
  <c r="O12" i="9" s="1"/>
  <c r="O14" i="9" s="1"/>
  <c r="P12" i="9" s="1"/>
  <c r="P14" i="9" s="1"/>
  <c r="Q12" i="9" s="1"/>
  <c r="Q14" i="9" s="1"/>
  <c r="R12" i="9" s="1"/>
  <c r="R14" i="9" s="1"/>
  <c r="S12" i="9" s="1"/>
  <c r="S14" i="9" s="1"/>
  <c r="T12" i="9" s="1"/>
  <c r="T14" i="9" s="1"/>
  <c r="D56" i="17" s="1"/>
  <c r="F56" i="17" s="1"/>
  <c r="H41" i="4"/>
  <c r="O11" i="4"/>
  <c r="L11" i="4"/>
  <c r="L844" i="17"/>
  <c r="L845" i="17" s="1"/>
  <c r="L245" i="5"/>
  <c r="L47" i="16"/>
  <c r="I1299" i="17"/>
  <c r="I1300" i="17" s="1"/>
  <c r="J61" i="4"/>
  <c r="I84" i="4"/>
  <c r="I75" i="4"/>
  <c r="I89" i="4" s="1"/>
  <c r="I1257" i="17" s="1"/>
  <c r="I1258" i="17" s="1"/>
  <c r="L925" i="17"/>
  <c r="L926" i="17" s="1"/>
  <c r="L428" i="16"/>
  <c r="Q980" i="17"/>
  <c r="Q981" i="17" s="1"/>
  <c r="Q109" i="15"/>
  <c r="Q182" i="16" s="1"/>
  <c r="K79" i="4"/>
  <c r="L65" i="4"/>
  <c r="H111" i="16"/>
  <c r="H91" i="5"/>
  <c r="H92" i="5" s="1"/>
  <c r="H21" i="8"/>
  <c r="H196" i="7"/>
  <c r="H191" i="4"/>
  <c r="O62" i="7"/>
  <c r="O411" i="16"/>
  <c r="H70" i="7"/>
  <c r="H271" i="7" s="1"/>
  <c r="S858" i="16"/>
  <c r="S856" i="16"/>
  <c r="S857" i="16"/>
  <c r="S139" i="10"/>
  <c r="G210" i="17"/>
  <c r="G434" i="17" s="1"/>
  <c r="F210" i="17"/>
  <c r="F434" i="17" s="1"/>
  <c r="E210" i="17"/>
  <c r="E434" i="17" s="1"/>
  <c r="S19" i="7"/>
  <c r="S67" i="7" s="1"/>
  <c r="S71" i="7" s="1"/>
  <c r="S272" i="7" s="1"/>
  <c r="J341" i="16"/>
  <c r="J60" i="7"/>
  <c r="I888" i="16"/>
  <c r="I277" i="17"/>
  <c r="I278" i="17" s="1"/>
  <c r="S57" i="7"/>
  <c r="S235" i="16"/>
  <c r="K46" i="13"/>
  <c r="K47" i="13"/>
  <c r="P235" i="16"/>
  <c r="P57" i="7"/>
  <c r="L68" i="7"/>
  <c r="L269" i="7" s="1"/>
  <c r="I68" i="7"/>
  <c r="I269" i="7" s="1"/>
  <c r="K50" i="4"/>
  <c r="J51" i="4"/>
  <c r="M1185" i="17"/>
  <c r="M1186" i="17" s="1"/>
  <c r="M527" i="16"/>
  <c r="L55" i="5"/>
  <c r="K67" i="5"/>
  <c r="K181" i="7" s="1"/>
  <c r="K182" i="7" s="1"/>
  <c r="H24" i="15"/>
  <c r="C25" i="16"/>
  <c r="K24" i="15"/>
  <c r="Q648" i="16" s="1"/>
  <c r="J24" i="15"/>
  <c r="I24" i="15"/>
  <c r="D24" i="15"/>
  <c r="C114" i="1"/>
  <c r="I77" i="2"/>
  <c r="N618" i="16"/>
  <c r="D25" i="16"/>
  <c r="E23" i="4"/>
  <c r="M23" i="4"/>
  <c r="P119" i="4"/>
  <c r="P317" i="16" s="1"/>
  <c r="O118" i="4"/>
  <c r="O316" i="16" s="1"/>
  <c r="N117" i="4"/>
  <c r="T119" i="4"/>
  <c r="T317" i="16" s="1"/>
  <c r="R118" i="4"/>
  <c r="R316" i="16" s="1"/>
  <c r="P117" i="4"/>
  <c r="S119" i="4"/>
  <c r="S317" i="16" s="1"/>
  <c r="Q118" i="4"/>
  <c r="Q316" i="16" s="1"/>
  <c r="O117" i="4"/>
  <c r="R119" i="4"/>
  <c r="R317" i="16" s="1"/>
  <c r="P118" i="4"/>
  <c r="P316" i="16" s="1"/>
  <c r="M117" i="4"/>
  <c r="Q119" i="4"/>
  <c r="Q317" i="16" s="1"/>
  <c r="K118" i="4"/>
  <c r="K316" i="16" s="1"/>
  <c r="H118" i="4"/>
  <c r="H316" i="16" s="1"/>
  <c r="T117" i="4"/>
  <c r="O119" i="4"/>
  <c r="O317" i="16" s="1"/>
  <c r="J118" i="4"/>
  <c r="J316" i="16" s="1"/>
  <c r="M119" i="4"/>
  <c r="M317" i="16" s="1"/>
  <c r="N119" i="4"/>
  <c r="N317" i="16" s="1"/>
  <c r="I118" i="4"/>
  <c r="I316" i="16" s="1"/>
  <c r="L119" i="4"/>
  <c r="L317" i="16" s="1"/>
  <c r="S118" i="4"/>
  <c r="S316" i="16" s="1"/>
  <c r="M118" i="4"/>
  <c r="M316" i="16" s="1"/>
  <c r="S117" i="4"/>
  <c r="Q117" i="4"/>
  <c r="L117" i="4"/>
  <c r="N118" i="4"/>
  <c r="N316" i="16" s="1"/>
  <c r="L118" i="4"/>
  <c r="L316" i="16" s="1"/>
  <c r="R117" i="4"/>
  <c r="K117" i="4"/>
  <c r="K119" i="4"/>
  <c r="K317" i="16" s="1"/>
  <c r="J117" i="4"/>
  <c r="I117" i="4"/>
  <c r="H119" i="4"/>
  <c r="H317" i="16" s="1"/>
  <c r="J119" i="4"/>
  <c r="J317" i="16" s="1"/>
  <c r="I119" i="4"/>
  <c r="I317" i="16" s="1"/>
  <c r="T118" i="4"/>
  <c r="T316" i="16" s="1"/>
  <c r="H117" i="4"/>
  <c r="J351" i="7"/>
  <c r="J855" i="16"/>
  <c r="P46" i="14"/>
  <c r="P47" i="14"/>
  <c r="C12" i="16"/>
  <c r="D11" i="15"/>
  <c r="H299" i="5"/>
  <c r="N171" i="16"/>
  <c r="C101" i="1"/>
  <c r="E10" i="4"/>
  <c r="I64" i="2"/>
  <c r="D12" i="16"/>
  <c r="T10" i="4"/>
  <c r="Q8" i="7"/>
  <c r="P8" i="7"/>
  <c r="O8" i="7"/>
  <c r="E8" i="7" s="1"/>
  <c r="S1133" i="17"/>
  <c r="S1134" i="17" s="1"/>
  <c r="S494" i="16"/>
  <c r="L341" i="16"/>
  <c r="L60" i="7"/>
  <c r="H8" i="7"/>
  <c r="N13" i="7"/>
  <c r="H113" i="4"/>
  <c r="K514" i="16"/>
  <c r="F21" i="16"/>
  <c r="L15" i="6"/>
  <c r="L16" i="6" s="1"/>
  <c r="N925" i="17"/>
  <c r="N926" i="17" s="1"/>
  <c r="N428" i="16"/>
  <c r="K341" i="16"/>
  <c r="K60" i="7"/>
  <c r="C15" i="16"/>
  <c r="D15" i="16"/>
  <c r="D14" i="15"/>
  <c r="N278" i="16"/>
  <c r="C104" i="1"/>
  <c r="I67" i="2"/>
  <c r="E13" i="4"/>
  <c r="I11" i="7"/>
  <c r="H11" i="7"/>
  <c r="F11" i="7"/>
  <c r="F24" i="7" s="1"/>
  <c r="Q235" i="16"/>
  <c r="Q57" i="7"/>
  <c r="P512" i="16"/>
  <c r="P230" i="15"/>
  <c r="P507" i="16" s="1"/>
  <c r="J41" i="5"/>
  <c r="K143" i="7"/>
  <c r="K145" i="7" s="1"/>
  <c r="K244" i="7" s="1"/>
  <c r="K18" i="7"/>
  <c r="K66" i="7" s="1"/>
  <c r="K70" i="7" s="1"/>
  <c r="K271" i="7" s="1"/>
  <c r="N16" i="4"/>
  <c r="F13" i="7"/>
  <c r="Q13" i="7"/>
  <c r="M11" i="7"/>
  <c r="N841" i="16"/>
  <c r="N349" i="7"/>
  <c r="L14" i="7"/>
  <c r="H23" i="4"/>
  <c r="H80" i="6" s="1"/>
  <c r="N686" i="16"/>
  <c r="E26" i="15"/>
  <c r="D27" i="16"/>
  <c r="D26" i="15"/>
  <c r="C27" i="16"/>
  <c r="J26" i="15"/>
  <c r="I26" i="15"/>
  <c r="H26" i="15"/>
  <c r="L158" i="7"/>
  <c r="K157" i="7"/>
  <c r="J156" i="7"/>
  <c r="K26" i="15"/>
  <c r="Q718" i="16" s="1"/>
  <c r="N158" i="7"/>
  <c r="L157" i="7"/>
  <c r="I156" i="7"/>
  <c r="I20" i="7"/>
  <c r="M158" i="7"/>
  <c r="J157" i="7"/>
  <c r="H156" i="7"/>
  <c r="H20" i="7"/>
  <c r="K158" i="7"/>
  <c r="I157" i="7"/>
  <c r="E20" i="7"/>
  <c r="N25" i="4"/>
  <c r="S157" i="7"/>
  <c r="N156" i="7"/>
  <c r="T20" i="7"/>
  <c r="R157" i="7"/>
  <c r="M156" i="7"/>
  <c r="S20" i="7"/>
  <c r="Q157" i="7"/>
  <c r="L156" i="7"/>
  <c r="R20" i="7"/>
  <c r="M25" i="4"/>
  <c r="H158" i="7"/>
  <c r="L25" i="4"/>
  <c r="T157" i="7"/>
  <c r="K25" i="4"/>
  <c r="O157" i="7"/>
  <c r="P20" i="7"/>
  <c r="I25" i="4"/>
  <c r="H25" i="4"/>
  <c r="P157" i="7"/>
  <c r="Q20" i="7"/>
  <c r="J25" i="4"/>
  <c r="N157" i="7"/>
  <c r="O20" i="7"/>
  <c r="H157" i="7"/>
  <c r="I79" i="2"/>
  <c r="T25" i="4"/>
  <c r="Q156" i="7"/>
  <c r="T158" i="7"/>
  <c r="N20" i="7"/>
  <c r="O25" i="4"/>
  <c r="M20" i="7"/>
  <c r="T156" i="7"/>
  <c r="S156" i="7"/>
  <c r="C116" i="1"/>
  <c r="R156" i="7"/>
  <c r="S25" i="4"/>
  <c r="R25" i="4"/>
  <c r="P25" i="4"/>
  <c r="R158" i="7"/>
  <c r="Q158" i="7"/>
  <c r="P156" i="7"/>
  <c r="Q25" i="4"/>
  <c r="S158" i="7"/>
  <c r="O156" i="7"/>
  <c r="K156" i="7"/>
  <c r="E25" i="4"/>
  <c r="P158" i="7"/>
  <c r="L20" i="7"/>
  <c r="J20" i="7"/>
  <c r="M157" i="7"/>
  <c r="O158" i="7"/>
  <c r="J158" i="7"/>
  <c r="I158" i="7"/>
  <c r="K20" i="7"/>
  <c r="L621" i="16"/>
  <c r="L76" i="6"/>
  <c r="L46" i="14"/>
  <c r="L47" i="14"/>
  <c r="K848" i="16"/>
  <c r="K350" i="7"/>
  <c r="Q53" i="6"/>
  <c r="O16" i="4"/>
  <c r="O132" i="4" s="1"/>
  <c r="Q14" i="7"/>
  <c r="P340" i="7"/>
  <c r="P347" i="7" s="1"/>
  <c r="P823" i="16"/>
  <c r="P75" i="7"/>
  <c r="P23" i="7"/>
  <c r="O980" i="17"/>
  <c r="O981" i="17" s="1"/>
  <c r="O109" i="15"/>
  <c r="O182" i="16" s="1"/>
  <c r="H421" i="16"/>
  <c r="H136" i="4"/>
  <c r="H137" i="4" s="1"/>
  <c r="T140" i="7"/>
  <c r="T142" i="7" s="1"/>
  <c r="T243" i="7" s="1"/>
  <c r="T17" i="7"/>
  <c r="T65" i="7" s="1"/>
  <c r="T69" i="7" s="1"/>
  <c r="T270" i="7" s="1"/>
  <c r="N113" i="8"/>
  <c r="N242" i="12" s="1"/>
  <c r="N262" i="17" s="1"/>
  <c r="N263" i="17" s="1"/>
  <c r="N119" i="8"/>
  <c r="N191" i="11" s="1"/>
  <c r="N611" i="17" s="1"/>
  <c r="N612" i="17" s="1"/>
  <c r="H277" i="17"/>
  <c r="H278" i="17" s="1"/>
  <c r="M843" i="16"/>
  <c r="M844" i="16"/>
  <c r="M842" i="16"/>
  <c r="M137" i="10"/>
  <c r="N23" i="4"/>
  <c r="J130" i="5"/>
  <c r="S109" i="16"/>
  <c r="S387" i="16"/>
  <c r="H24" i="4"/>
  <c r="N518" i="16"/>
  <c r="D22" i="16"/>
  <c r="D21" i="15"/>
  <c r="C22" i="16"/>
  <c r="I21" i="15"/>
  <c r="H21" i="15"/>
  <c r="C111" i="1"/>
  <c r="K21" i="15"/>
  <c r="Q548" i="16" s="1"/>
  <c r="J21" i="15"/>
  <c r="I74" i="2"/>
  <c r="E20" i="4"/>
  <c r="Q626" i="17"/>
  <c r="Q627" i="17" s="1"/>
  <c r="K621" i="16"/>
  <c r="K76" i="6"/>
  <c r="I77" i="4"/>
  <c r="I90" i="4" s="1"/>
  <c r="I1260" i="17" s="1"/>
  <c r="I1261" i="17" s="1"/>
  <c r="I85" i="4"/>
  <c r="J63" i="4"/>
  <c r="J47" i="16"/>
  <c r="J844" i="17"/>
  <c r="J845" i="17" s="1"/>
  <c r="J245" i="5"/>
  <c r="Q352" i="16"/>
  <c r="Q128" i="4"/>
  <c r="R109" i="16"/>
  <c r="R387" i="16"/>
  <c r="G636" i="17"/>
  <c r="G637" i="17" s="1"/>
  <c r="G203" i="11"/>
  <c r="M855" i="16"/>
  <c r="M351" i="7"/>
  <c r="O12" i="4"/>
  <c r="J24" i="4"/>
  <c r="O235" i="16"/>
  <c r="O57" i="7"/>
  <c r="N452" i="16"/>
  <c r="D20" i="16"/>
  <c r="C20" i="16"/>
  <c r="D19" i="15"/>
  <c r="K19" i="15"/>
  <c r="Q482" i="16" s="1"/>
  <c r="K18" i="4"/>
  <c r="J19" i="15"/>
  <c r="J18" i="4"/>
  <c r="I19" i="15"/>
  <c r="I18" i="4"/>
  <c r="H19" i="15"/>
  <c r="H18" i="4"/>
  <c r="N18" i="4"/>
  <c r="L18" i="4"/>
  <c r="M17" i="7" s="1"/>
  <c r="M65" i="7" s="1"/>
  <c r="E18" i="4"/>
  <c r="S18" i="4"/>
  <c r="R18" i="4"/>
  <c r="P18" i="4"/>
  <c r="Q18" i="4"/>
  <c r="I72" i="2"/>
  <c r="O18" i="4"/>
  <c r="C109" i="1"/>
  <c r="J24" i="5"/>
  <c r="I36" i="5"/>
  <c r="I177" i="7" s="1"/>
  <c r="L351" i="7"/>
  <c r="L855" i="16"/>
  <c r="S834" i="16"/>
  <c r="S348" i="7"/>
  <c r="T76" i="6"/>
  <c r="M46" i="14"/>
  <c r="M47" i="14" s="1"/>
  <c r="H75" i="16"/>
  <c r="H220" i="4"/>
  <c r="H47" i="4"/>
  <c r="H56" i="6"/>
  <c r="H55" i="6"/>
  <c r="H62" i="5"/>
  <c r="H57" i="6"/>
  <c r="R626" i="17"/>
  <c r="R627" i="17" s="1"/>
  <c r="R916" i="16"/>
  <c r="M16" i="4"/>
  <c r="E345" i="7"/>
  <c r="H862" i="16"/>
  <c r="H352" i="7"/>
  <c r="N14" i="7"/>
  <c r="O11" i="7"/>
  <c r="P19" i="7"/>
  <c r="P67" i="7" s="1"/>
  <c r="P71" i="7" s="1"/>
  <c r="P272" i="7" s="1"/>
  <c r="L13" i="7"/>
  <c r="S10" i="7"/>
  <c r="O855" i="16"/>
  <c r="O351" i="7"/>
  <c r="M75" i="10"/>
  <c r="M43" i="10"/>
  <c r="K796" i="16"/>
  <c r="K181" i="4"/>
  <c r="K226" i="4"/>
  <c r="K176" i="4"/>
  <c r="K182" i="4" s="1"/>
  <c r="K201" i="5"/>
  <c r="K177" i="4"/>
  <c r="K183" i="4" s="1"/>
  <c r="L242" i="5"/>
  <c r="F45" i="7"/>
  <c r="O23" i="4"/>
  <c r="M11" i="4"/>
  <c r="Q448" i="16"/>
  <c r="G19" i="16"/>
  <c r="H89" i="4"/>
  <c r="H1257" i="17" s="1"/>
  <c r="H1258" i="17" s="1"/>
  <c r="O925" i="17"/>
  <c r="O926" i="17" s="1"/>
  <c r="O428" i="16"/>
  <c r="Q954" i="17"/>
  <c r="Q955" i="17" s="1"/>
  <c r="Q70" i="15"/>
  <c r="Q84" i="16" s="1"/>
  <c r="Q24" i="9"/>
  <c r="I93" i="5"/>
  <c r="J79" i="5"/>
  <c r="J20" i="4"/>
  <c r="N68" i="7"/>
  <c r="N269" i="7" s="1"/>
  <c r="O277" i="17"/>
  <c r="O278" i="17" s="1"/>
  <c r="J862" i="16"/>
  <c r="J352" i="7"/>
  <c r="T270" i="16"/>
  <c r="T58" i="7"/>
  <c r="J113" i="4"/>
  <c r="I108" i="16"/>
  <c r="I221" i="4"/>
  <c r="I79" i="6"/>
  <c r="I80" i="6" s="1"/>
  <c r="I78" i="6"/>
  <c r="I53" i="4"/>
  <c r="I144" i="4"/>
  <c r="I849" i="16"/>
  <c r="I138" i="10"/>
  <c r="I850" i="16"/>
  <c r="I851" i="16"/>
  <c r="I844" i="17"/>
  <c r="I845" i="17" s="1"/>
  <c r="I47" i="16"/>
  <c r="I245" i="5"/>
  <c r="M916" i="16"/>
  <c r="M626" i="17"/>
  <c r="M627" i="17" s="1"/>
  <c r="J626" i="17"/>
  <c r="J627" i="17" s="1"/>
  <c r="I980" i="17"/>
  <c r="I981" i="17" s="1"/>
  <c r="I109" i="15"/>
  <c r="I182" i="16" s="1"/>
  <c r="G312" i="17"/>
  <c r="G313" i="17" s="1"/>
  <c r="G260" i="12"/>
  <c r="G80" i="7"/>
  <c r="G200" i="16"/>
  <c r="S73" i="11"/>
  <c r="S75" i="11" s="1"/>
  <c r="O113" i="4"/>
  <c r="K277" i="17"/>
  <c r="K278" i="17" s="1"/>
  <c r="K888" i="16"/>
  <c r="J834" i="16"/>
  <c r="J348" i="7"/>
  <c r="R341" i="16"/>
  <c r="R60" i="7"/>
  <c r="O68" i="7"/>
  <c r="O269" i="7" s="1"/>
  <c r="S954" i="17"/>
  <c r="S955" i="17" s="1"/>
  <c r="S24" i="9"/>
  <c r="S70" i="15"/>
  <c r="S84" i="16" s="1"/>
  <c r="H10" i="7"/>
  <c r="M60" i="7"/>
  <c r="M341" i="16"/>
  <c r="P28" i="6"/>
  <c r="M76" i="6"/>
  <c r="H90" i="5"/>
  <c r="L73" i="11"/>
  <c r="L75" i="11" s="1"/>
  <c r="P10" i="7"/>
  <c r="P148" i="4"/>
  <c r="N384" i="16"/>
  <c r="D18" i="16"/>
  <c r="C18" i="16"/>
  <c r="I70" i="2"/>
  <c r="C107" i="1"/>
  <c r="D17" i="15"/>
  <c r="E16" i="4"/>
  <c r="R834" i="16"/>
  <c r="R348" i="7"/>
  <c r="P13" i="4"/>
  <c r="S15" i="6"/>
  <c r="S16" i="6" s="1"/>
  <c r="H823" i="16"/>
  <c r="G44" i="7"/>
  <c r="H340" i="7"/>
  <c r="H23" i="7"/>
  <c r="H75" i="7"/>
  <c r="J44" i="7"/>
  <c r="J30" i="16" s="1"/>
  <c r="L34" i="7"/>
  <c r="I19" i="7"/>
  <c r="I67" i="7" s="1"/>
  <c r="I71" i="7" s="1"/>
  <c r="I272" i="7" s="1"/>
  <c r="H848" i="16"/>
  <c r="H350" i="7"/>
  <c r="E343" i="7"/>
  <c r="M13" i="4"/>
  <c r="O954" i="17"/>
  <c r="O955" i="17" s="1"/>
  <c r="O70" i="15"/>
  <c r="O84" i="16" s="1"/>
  <c r="O24" i="9"/>
  <c r="P22" i="9"/>
  <c r="P23" i="9"/>
  <c r="J74" i="5"/>
  <c r="I88" i="5"/>
  <c r="R13" i="4"/>
  <c r="R864" i="16"/>
  <c r="R863" i="16"/>
  <c r="R865" i="16"/>
  <c r="R140" i="10"/>
  <c r="I53" i="6"/>
  <c r="J44" i="4"/>
  <c r="I138" i="4"/>
  <c r="I45" i="4"/>
  <c r="L10" i="4"/>
  <c r="R14" i="7"/>
  <c r="J15" i="7"/>
  <c r="E626" i="17"/>
  <c r="G628" i="17" s="1"/>
  <c r="T627" i="17"/>
  <c r="E627" i="17" s="1"/>
  <c r="D313" i="16"/>
  <c r="K16" i="16"/>
  <c r="K75" i="10"/>
  <c r="K43" i="10"/>
  <c r="J101" i="4"/>
  <c r="J102" i="4" s="1"/>
  <c r="G130" i="15"/>
  <c r="G131" i="15" s="1"/>
  <c r="L309" i="7"/>
  <c r="L223" i="16" s="1"/>
  <c r="M309" i="7"/>
  <c r="M223" i="16" s="1"/>
  <c r="K309" i="7"/>
  <c r="K223" i="16" s="1"/>
  <c r="G290" i="7"/>
  <c r="G911" i="16" s="1"/>
  <c r="G913" i="16" s="1"/>
  <c r="G919" i="16" s="1"/>
  <c r="J309" i="7"/>
  <c r="J223" i="16" s="1"/>
  <c r="Q309" i="7"/>
  <c r="Q223" i="16" s="1"/>
  <c r="P309" i="7"/>
  <c r="O309" i="7"/>
  <c r="O223" i="16" s="1"/>
  <c r="R309" i="7"/>
  <c r="R223" i="16" s="1"/>
  <c r="I309" i="7"/>
  <c r="I223" i="16" s="1"/>
  <c r="H309" i="7"/>
  <c r="H223" i="16" s="1"/>
  <c r="G309" i="7"/>
  <c r="G223" i="16" s="1"/>
  <c r="T309" i="7"/>
  <c r="S309" i="7"/>
  <c r="S223" i="16" s="1"/>
  <c r="N309" i="7"/>
  <c r="N223" i="16" s="1"/>
  <c r="G277" i="17"/>
  <c r="G278" i="17" s="1"/>
  <c r="G888" i="16"/>
  <c r="N46" i="13"/>
  <c r="N47" i="13" s="1"/>
  <c r="T848" i="16"/>
  <c r="T350" i="7"/>
  <c r="R10" i="7"/>
  <c r="J16" i="7"/>
  <c r="J64" i="7" s="1"/>
  <c r="L138" i="7" s="1"/>
  <c r="I89" i="5"/>
  <c r="J71" i="5"/>
  <c r="M81" i="4"/>
  <c r="N67" i="4"/>
  <c r="I341" i="16"/>
  <c r="I60" i="7"/>
  <c r="T23" i="9"/>
  <c r="T22" i="9"/>
  <c r="L113" i="8"/>
  <c r="L242" i="12" s="1"/>
  <c r="L262" i="17" s="1"/>
  <c r="L263" i="17" s="1"/>
  <c r="L119" i="8"/>
  <c r="L191" i="11" s="1"/>
  <c r="L611" i="17" s="1"/>
  <c r="L612" i="17" s="1"/>
  <c r="L862" i="16"/>
  <c r="L352" i="7"/>
  <c r="Q183" i="4"/>
  <c r="I70" i="4"/>
  <c r="I83" i="4"/>
  <c r="J56" i="4"/>
  <c r="M801" i="16"/>
  <c r="M213" i="5"/>
  <c r="M267" i="5" s="1"/>
  <c r="J277" i="17"/>
  <c r="J278" i="17" s="1"/>
  <c r="S10" i="4"/>
  <c r="P151" i="4"/>
  <c r="O150" i="4"/>
  <c r="N149" i="4"/>
  <c r="P150" i="4"/>
  <c r="M149" i="4"/>
  <c r="M153" i="4" s="1"/>
  <c r="Q151" i="4"/>
  <c r="N150" i="4"/>
  <c r="L149" i="4"/>
  <c r="L153" i="4" s="1"/>
  <c r="O151" i="4"/>
  <c r="M150" i="4"/>
  <c r="K149" i="4"/>
  <c r="K153" i="4" s="1"/>
  <c r="S151" i="4"/>
  <c r="J150" i="4"/>
  <c r="S149" i="4"/>
  <c r="N151" i="4"/>
  <c r="L151" i="4"/>
  <c r="K151" i="4"/>
  <c r="M151" i="4"/>
  <c r="H150" i="4"/>
  <c r="T149" i="4"/>
  <c r="O149" i="4"/>
  <c r="O153" i="4" s="1"/>
  <c r="T151" i="4"/>
  <c r="J149" i="4"/>
  <c r="J151" i="4"/>
  <c r="H149" i="4"/>
  <c r="L150" i="4"/>
  <c r="P149" i="4"/>
  <c r="K150" i="4"/>
  <c r="R149" i="4"/>
  <c r="T834" i="16"/>
  <c r="T348" i="7"/>
  <c r="H12" i="4"/>
  <c r="O46" i="13"/>
  <c r="O47" i="13" s="1"/>
  <c r="O46" i="14"/>
  <c r="O47" i="14"/>
  <c r="S277" i="17"/>
  <c r="S278" i="17" s="1"/>
  <c r="J823" i="16"/>
  <c r="J340" i="7"/>
  <c r="J347" i="7" s="1"/>
  <c r="J23" i="7"/>
  <c r="J75" i="7"/>
  <c r="E62" i="3"/>
  <c r="D83" i="17"/>
  <c r="F83" i="17" s="1"/>
  <c r="D62" i="3"/>
  <c r="I10" i="4"/>
  <c r="T8" i="7"/>
  <c r="M14" i="7"/>
  <c r="I823" i="16"/>
  <c r="I340" i="7"/>
  <c r="I347" i="7" s="1"/>
  <c r="I23" i="7"/>
  <c r="I75" i="7"/>
  <c r="K823" i="16"/>
  <c r="K340" i="7"/>
  <c r="K347" i="7" s="1"/>
  <c r="K23" i="7"/>
  <c r="K75" i="7"/>
  <c r="L823" i="16"/>
  <c r="L75" i="7"/>
  <c r="L23" i="7"/>
  <c r="L340" i="7"/>
  <c r="L347" i="7" s="1"/>
  <c r="O18" i="7"/>
  <c r="O66" i="7" s="1"/>
  <c r="O70" i="7" s="1"/>
  <c r="O271" i="7" s="1"/>
  <c r="J14" i="7"/>
  <c r="Q11" i="7"/>
  <c r="N862" i="16"/>
  <c r="N352" i="7"/>
  <c r="Q823" i="16"/>
  <c r="Q75" i="7"/>
  <c r="Q23" i="7"/>
  <c r="Q340" i="7"/>
  <c r="Q347" i="7" s="1"/>
  <c r="G661" i="17"/>
  <c r="G662" i="17" s="1"/>
  <c r="P1316" i="17"/>
  <c r="O1316" i="17"/>
  <c r="N1315" i="17"/>
  <c r="J1316" i="17"/>
  <c r="L1315" i="17"/>
  <c r="T1315" i="17"/>
  <c r="Q1315" i="17"/>
  <c r="M1316" i="17"/>
  <c r="H1315" i="17"/>
  <c r="K1315" i="17"/>
  <c r="J1315" i="17"/>
  <c r="N1316" i="17"/>
  <c r="T1316" i="17"/>
  <c r="R1315" i="17"/>
  <c r="I1316" i="17"/>
  <c r="S1316" i="17"/>
  <c r="I1315" i="17"/>
  <c r="I1317" i="17" s="1"/>
  <c r="M132" i="4"/>
  <c r="S1315" i="17"/>
  <c r="L132" i="4"/>
  <c r="K132" i="4"/>
  <c r="J132" i="4"/>
  <c r="T132" i="4"/>
  <c r="S132" i="4"/>
  <c r="R132" i="4"/>
  <c r="N132" i="4"/>
  <c r="I132" i="4"/>
  <c r="H132" i="4"/>
  <c r="H113" i="8"/>
  <c r="H242" i="12" s="1"/>
  <c r="H262" i="17" s="1"/>
  <c r="H263" i="17" s="1"/>
  <c r="H119" i="8"/>
  <c r="H191" i="11" s="1"/>
  <c r="H611" i="17" s="1"/>
  <c r="H612" i="17" s="1"/>
  <c r="F609" i="17" s="1"/>
  <c r="F793" i="17" s="1"/>
  <c r="I78" i="4"/>
  <c r="J64" i="4"/>
  <c r="J75" i="10"/>
  <c r="J43" i="10"/>
  <c r="N916" i="16"/>
  <c r="P23" i="4"/>
  <c r="Q11" i="4"/>
  <c r="Q184" i="4"/>
  <c r="Q185" i="4" s="1"/>
  <c r="I183" i="7"/>
  <c r="J183" i="7" s="1"/>
  <c r="K183" i="7" s="1"/>
  <c r="G117" i="15"/>
  <c r="J801" i="16"/>
  <c r="J213" i="5"/>
  <c r="J267" i="5" s="1"/>
  <c r="Q98" i="5"/>
  <c r="H1156" i="17"/>
  <c r="H1157" i="17" s="1"/>
  <c r="H113" i="16"/>
  <c r="H247" i="5"/>
  <c r="I82" i="4"/>
  <c r="J68" i="4"/>
  <c r="I235" i="16"/>
  <c r="I57" i="7"/>
  <c r="I36" i="4"/>
  <c r="J34" i="4"/>
  <c r="I796" i="16"/>
  <c r="I201" i="5"/>
  <c r="I181" i="4"/>
  <c r="I177" i="4"/>
  <c r="I183" i="4" s="1"/>
  <c r="I226" i="4"/>
  <c r="I176" i="4"/>
  <c r="I182" i="4" s="1"/>
  <c r="I352" i="16"/>
  <c r="I128" i="4"/>
  <c r="L23" i="9"/>
  <c r="L22" i="9"/>
  <c r="L39" i="7"/>
  <c r="C17" i="16"/>
  <c r="N349" i="16"/>
  <c r="C106" i="1"/>
  <c r="D17" i="16"/>
  <c r="H15" i="4"/>
  <c r="L15" i="4"/>
  <c r="K15" i="4"/>
  <c r="D16" i="15"/>
  <c r="J15" i="4"/>
  <c r="I69" i="2"/>
  <c r="I15" i="4"/>
  <c r="N15" i="4"/>
  <c r="O13" i="7"/>
  <c r="M15" i="4"/>
  <c r="E15" i="4"/>
  <c r="K13" i="7"/>
  <c r="T15" i="4"/>
  <c r="P15" i="4"/>
  <c r="O15" i="4"/>
  <c r="R15" i="4"/>
  <c r="Q15" i="4"/>
  <c r="S512" i="16"/>
  <c r="S230" i="15"/>
  <c r="S507" i="16" s="1"/>
  <c r="N1133" i="17"/>
  <c r="N1134" i="17" s="1"/>
  <c r="N494" i="16"/>
  <c r="H1133" i="17"/>
  <c r="H1134" i="17" s="1"/>
  <c r="H494" i="16"/>
  <c r="I30" i="16"/>
  <c r="E23" i="7"/>
  <c r="E44" i="7"/>
  <c r="P44" i="7" s="1"/>
  <c r="M204" i="5"/>
  <c r="L203" i="5"/>
  <c r="P204" i="5"/>
  <c r="N203" i="5"/>
  <c r="O204" i="5"/>
  <c r="M203" i="5"/>
  <c r="N204" i="5"/>
  <c r="K203" i="5"/>
  <c r="R204" i="5"/>
  <c r="I203" i="5"/>
  <c r="Q204" i="5"/>
  <c r="H203" i="5"/>
  <c r="K204" i="5"/>
  <c r="L204" i="5"/>
  <c r="J204" i="5"/>
  <c r="S203" i="5"/>
  <c r="R203" i="5"/>
  <c r="Q203" i="5"/>
  <c r="P203" i="5"/>
  <c r="O203" i="5"/>
  <c r="J203" i="5"/>
  <c r="T204" i="5"/>
  <c r="H204" i="5"/>
  <c r="T203" i="5"/>
  <c r="S204" i="5"/>
  <c r="K367" i="7"/>
  <c r="I204" i="5"/>
  <c r="K56" i="7"/>
  <c r="K199" i="16"/>
  <c r="R59" i="7"/>
  <c r="R305" i="16"/>
  <c r="J62" i="4"/>
  <c r="I76" i="4"/>
  <c r="T137" i="7"/>
  <c r="T139" i="7" s="1"/>
  <c r="T242" i="7" s="1"/>
  <c r="T16" i="7"/>
  <c r="T64" i="7" s="1"/>
  <c r="P138" i="7" s="1"/>
  <c r="G190" i="16"/>
  <c r="G186" i="16"/>
  <c r="I1185" i="17"/>
  <c r="I1186" i="17" s="1"/>
  <c r="I527" i="16"/>
  <c r="G889" i="16"/>
  <c r="G292" i="17"/>
  <c r="G293" i="17" s="1"/>
  <c r="G266" i="12"/>
  <c r="S68" i="7"/>
  <c r="S269" i="7" s="1"/>
  <c r="L199" i="16"/>
  <c r="L56" i="7"/>
  <c r="L848" i="16"/>
  <c r="L350" i="7"/>
  <c r="K305" i="16"/>
  <c r="K59" i="7"/>
  <c r="K235" i="16"/>
  <c r="K57" i="7"/>
  <c r="J23" i="4"/>
  <c r="K844" i="17"/>
  <c r="K845" i="17" s="1"/>
  <c r="K47" i="16"/>
  <c r="K245" i="5"/>
  <c r="I411" i="16"/>
  <c r="I62" i="7"/>
  <c r="N235" i="16"/>
  <c r="N57" i="7"/>
  <c r="M19" i="7"/>
  <c r="M67" i="7" s="1"/>
  <c r="M71" i="7" s="1"/>
  <c r="M272" i="7" s="1"/>
  <c r="O10" i="7"/>
  <c r="L10" i="7"/>
  <c r="N834" i="16"/>
  <c r="N348" i="7"/>
  <c r="I841" i="16"/>
  <c r="I349" i="7"/>
  <c r="I101" i="4"/>
  <c r="I102" i="4" s="1"/>
  <c r="R925" i="17"/>
  <c r="R926" i="17" s="1"/>
  <c r="R428" i="16"/>
  <c r="O1185" i="17"/>
  <c r="O1186" i="17" s="1"/>
  <c r="O527" i="16"/>
  <c r="Q858" i="16"/>
  <c r="Q857" i="16"/>
  <c r="Q856" i="16"/>
  <c r="Q139" i="10"/>
  <c r="M176" i="4"/>
  <c r="M182" i="4" s="1"/>
  <c r="M796" i="16"/>
  <c r="M181" i="4"/>
  <c r="M201" i="5"/>
  <c r="M226" i="4"/>
  <c r="M177" i="4"/>
  <c r="M183" i="4" s="1"/>
  <c r="R46" i="14"/>
  <c r="R47" i="14" s="1"/>
  <c r="H101" i="4"/>
  <c r="H102" i="4" s="1"/>
  <c r="J925" i="17"/>
  <c r="J926" i="17" s="1"/>
  <c r="J428" i="16"/>
  <c r="H316" i="7"/>
  <c r="P1185" i="17"/>
  <c r="P1186" i="17" s="1"/>
  <c r="P527" i="16"/>
  <c r="N8" i="7"/>
  <c r="C26" i="16"/>
  <c r="D26" i="16"/>
  <c r="N651" i="16"/>
  <c r="I78" i="2"/>
  <c r="D25" i="15"/>
  <c r="C115" i="1"/>
  <c r="J25" i="15"/>
  <c r="E24" i="4"/>
  <c r="N15" i="7"/>
  <c r="K25" i="15"/>
  <c r="Q683" i="16" s="1"/>
  <c r="I25" i="15"/>
  <c r="M15" i="7"/>
  <c r="E25" i="15"/>
  <c r="H25" i="15"/>
  <c r="L15" i="7"/>
  <c r="T24" i="4"/>
  <c r="T150" i="4" s="1"/>
  <c r="K15" i="7"/>
  <c r="S24" i="4"/>
  <c r="S150" i="4" s="1"/>
  <c r="R24" i="4"/>
  <c r="F15" i="7"/>
  <c r="Q24" i="4"/>
  <c r="K841" i="16"/>
  <c r="K349" i="7"/>
  <c r="T57" i="7"/>
  <c r="T235" i="16"/>
  <c r="T146" i="7"/>
  <c r="T148" i="7" s="1"/>
  <c r="T245" i="7" s="1"/>
  <c r="T19" i="7"/>
  <c r="T67" i="7" s="1"/>
  <c r="T71" i="7" s="1"/>
  <c r="T272" i="7" s="1"/>
  <c r="H88" i="4"/>
  <c r="T1133" i="17"/>
  <c r="T1134" i="17" s="1"/>
  <c r="T494" i="16"/>
  <c r="R791" i="16"/>
  <c r="N791" i="16"/>
  <c r="D29" i="15"/>
  <c r="I82" i="2"/>
  <c r="D30" i="16"/>
  <c r="C30" i="16"/>
  <c r="Q29" i="4"/>
  <c r="H54" i="9"/>
  <c r="H343" i="15" s="1"/>
  <c r="C119" i="1"/>
  <c r="E29" i="4"/>
  <c r="L29" i="15"/>
  <c r="M29" i="4"/>
  <c r="H80" i="16"/>
  <c r="H246" i="5"/>
  <c r="H948" i="17"/>
  <c r="H949" i="17" s="1"/>
  <c r="P1133" i="17"/>
  <c r="P1134" i="17" s="1"/>
  <c r="P494" i="16"/>
  <c r="L46" i="13"/>
  <c r="L47" i="13"/>
  <c r="K23" i="15"/>
  <c r="Q615" i="16" s="1"/>
  <c r="J23" i="15"/>
  <c r="C113" i="1"/>
  <c r="I23" i="15"/>
  <c r="H23" i="15"/>
  <c r="O22" i="4"/>
  <c r="C24" i="16"/>
  <c r="K22" i="4"/>
  <c r="I76" i="2"/>
  <c r="J22" i="4"/>
  <c r="I22" i="4"/>
  <c r="H22" i="4"/>
  <c r="H58" i="6" s="1"/>
  <c r="D23" i="15"/>
  <c r="T22" i="4"/>
  <c r="Q22" i="4"/>
  <c r="M22" i="4"/>
  <c r="M101" i="6" s="1"/>
  <c r="E22" i="4"/>
  <c r="R22" i="4"/>
  <c r="P22" i="4"/>
  <c r="D24" i="16"/>
  <c r="N22" i="4"/>
  <c r="L22" i="4"/>
  <c r="N585" i="16"/>
  <c r="O834" i="16"/>
  <c r="O348" i="7"/>
  <c r="G656" i="17"/>
  <c r="G657" i="17" s="1"/>
  <c r="G209" i="11"/>
  <c r="J99" i="5"/>
  <c r="I127" i="5"/>
  <c r="I925" i="17"/>
  <c r="I926" i="17" s="1"/>
  <c r="I428" i="16"/>
  <c r="S1185" i="17"/>
  <c r="S1186" i="17" s="1"/>
  <c r="S527" i="16"/>
  <c r="P352" i="7"/>
  <c r="P862" i="16"/>
  <c r="P11" i="7"/>
  <c r="O841" i="16"/>
  <c r="O349" i="7"/>
  <c r="K16" i="4"/>
  <c r="K515" i="16"/>
  <c r="H21" i="16"/>
  <c r="C18" i="17"/>
  <c r="C15" i="1" s="1"/>
  <c r="B130" i="17"/>
  <c r="H64" i="5"/>
  <c r="G272" i="17"/>
  <c r="G273" i="17" s="1"/>
  <c r="T387" i="16"/>
  <c r="T109" i="16"/>
  <c r="H844" i="17"/>
  <c r="H845" i="17" s="1"/>
  <c r="H47" i="16"/>
  <c r="H245" i="5"/>
  <c r="R352" i="16"/>
  <c r="R128" i="4"/>
  <c r="H20" i="9"/>
  <c r="I8" i="9"/>
  <c r="L29" i="4"/>
  <c r="I948" i="17"/>
  <c r="I949" i="17" s="1"/>
  <c r="I80" i="16"/>
  <c r="I246" i="5"/>
  <c r="N794" i="16"/>
  <c r="N175" i="4"/>
  <c r="N207" i="5"/>
  <c r="N209" i="5" s="1"/>
  <c r="N202" i="5"/>
  <c r="N29" i="4"/>
  <c r="K834" i="16"/>
  <c r="K348" i="7"/>
  <c r="T794" i="16"/>
  <c r="T207" i="5"/>
  <c r="T209" i="5" s="1"/>
  <c r="T29" i="4"/>
  <c r="T202" i="5"/>
  <c r="T175" i="4"/>
  <c r="S202" i="5"/>
  <c r="S794" i="16"/>
  <c r="S29" i="4"/>
  <c r="S207" i="5"/>
  <c r="S209" i="5" s="1"/>
  <c r="S175" i="4"/>
  <c r="D63" i="3"/>
  <c r="E63" i="3"/>
  <c r="H80" i="2"/>
  <c r="R1133" i="17"/>
  <c r="R1134" i="17" s="1"/>
  <c r="R494" i="16"/>
  <c r="I12" i="4"/>
  <c r="P46" i="13"/>
  <c r="P47" i="13" s="1"/>
  <c r="G626" i="17"/>
  <c r="G627" i="17" s="1"/>
  <c r="G916" i="16"/>
  <c r="P626" i="17"/>
  <c r="P627" i="17" s="1"/>
  <c r="P916" i="16"/>
  <c r="G621" i="17"/>
  <c r="G622" i="17" s="1"/>
  <c r="H954" i="17"/>
  <c r="H955" i="17" s="1"/>
  <c r="H70" i="15"/>
  <c r="H84" i="16" s="1"/>
  <c r="H24" i="9"/>
  <c r="J10" i="4"/>
  <c r="M10" i="7"/>
  <c r="H841" i="16"/>
  <c r="H349" i="7"/>
  <c r="E342" i="7"/>
  <c r="Q15" i="7"/>
  <c r="L841" i="16"/>
  <c r="L349" i="7"/>
  <c r="L834" i="16"/>
  <c r="L348" i="7"/>
  <c r="M834" i="16"/>
  <c r="M348" i="7"/>
  <c r="R19" i="7"/>
  <c r="R67" i="7" s="1"/>
  <c r="R71" i="7" s="1"/>
  <c r="R272" i="7" s="1"/>
  <c r="H15" i="7"/>
  <c r="O341" i="16"/>
  <c r="O60" i="7"/>
  <c r="J8" i="7"/>
  <c r="P834" i="16"/>
  <c r="P348" i="7"/>
  <c r="Q16" i="4"/>
  <c r="Q1316" i="17" s="1"/>
  <c r="K53" i="6"/>
  <c r="K51" i="6"/>
  <c r="K52" i="6" s="1"/>
  <c r="M61" i="5"/>
  <c r="N42" i="5"/>
  <c r="J59" i="4"/>
  <c r="I73" i="4"/>
  <c r="S916" i="16"/>
  <c r="R23" i="4"/>
  <c r="R11" i="4"/>
  <c r="R858" i="16"/>
  <c r="R857" i="16"/>
  <c r="R856" i="16"/>
  <c r="R139" i="10"/>
  <c r="H1305" i="17"/>
  <c r="H1306" i="17" s="1"/>
  <c r="J29" i="4"/>
  <c r="Q842" i="16"/>
  <c r="Q843" i="16"/>
  <c r="Q844" i="16"/>
  <c r="Q137" i="10"/>
  <c r="K20" i="4"/>
  <c r="I114" i="7"/>
  <c r="I117" i="7" s="1"/>
  <c r="I1305" i="17" l="1"/>
  <c r="I1306" i="17"/>
  <c r="O386" i="16"/>
  <c r="O133" i="4"/>
  <c r="M69" i="7"/>
  <c r="M270" i="7" s="1"/>
  <c r="M1314" i="17"/>
  <c r="S653" i="16"/>
  <c r="S152" i="4"/>
  <c r="I87" i="6"/>
  <c r="I654" i="16"/>
  <c r="T653" i="16"/>
  <c r="T152" i="4"/>
  <c r="T156" i="4" s="1"/>
  <c r="T154" i="4"/>
  <c r="J1309" i="17"/>
  <c r="J1310" i="17" s="1"/>
  <c r="J13" i="16"/>
  <c r="C134" i="1"/>
  <c r="I12" i="16"/>
  <c r="K361" i="7"/>
  <c r="L361" i="7" s="1"/>
  <c r="E375" i="7"/>
  <c r="C152" i="1" s="1"/>
  <c r="E33" i="7"/>
  <c r="H112" i="16"/>
  <c r="H220" i="5"/>
  <c r="H22" i="8"/>
  <c r="H123" i="16" s="1"/>
  <c r="H94" i="5"/>
  <c r="J140" i="7"/>
  <c r="J142" i="7" s="1"/>
  <c r="J243" i="7" s="1"/>
  <c r="J17" i="7"/>
  <c r="J65" i="7" s="1"/>
  <c r="J69" i="7" s="1"/>
  <c r="J270" i="7" s="1"/>
  <c r="Q547" i="16"/>
  <c r="G22" i="16"/>
  <c r="L713" i="16"/>
  <c r="L72" i="7"/>
  <c r="K512" i="16"/>
  <c r="K230" i="15"/>
  <c r="K507" i="16" s="1"/>
  <c r="L50" i="4"/>
  <c r="K51" i="4"/>
  <c r="K80" i="6" s="1"/>
  <c r="L101" i="4"/>
  <c r="L102" i="4" s="1"/>
  <c r="H520" i="16"/>
  <c r="H145" i="4"/>
  <c r="H146" i="4" s="1"/>
  <c r="C28" i="16"/>
  <c r="N721" i="16"/>
  <c r="J27" i="15"/>
  <c r="I27" i="15"/>
  <c r="H27" i="15"/>
  <c r="N162" i="7"/>
  <c r="M161" i="7"/>
  <c r="L160" i="7"/>
  <c r="S162" i="7"/>
  <c r="Q161" i="7"/>
  <c r="O160" i="7"/>
  <c r="H21" i="7"/>
  <c r="R162" i="7"/>
  <c r="P161" i="7"/>
  <c r="N160" i="7"/>
  <c r="E21" i="7"/>
  <c r="D28" i="16"/>
  <c r="Q162" i="7"/>
  <c r="O161" i="7"/>
  <c r="M160" i="7"/>
  <c r="T21" i="7"/>
  <c r="M26" i="4"/>
  <c r="D27" i="15"/>
  <c r="S161" i="7"/>
  <c r="J160" i="7"/>
  <c r="R161" i="7"/>
  <c r="I160" i="7"/>
  <c r="N161" i="7"/>
  <c r="H160" i="7"/>
  <c r="S21" i="7"/>
  <c r="N26" i="4"/>
  <c r="O162" i="7"/>
  <c r="S160" i="7"/>
  <c r="I21" i="7"/>
  <c r="O26" i="4"/>
  <c r="P160" i="7"/>
  <c r="J26" i="4"/>
  <c r="K160" i="7"/>
  <c r="I26" i="4"/>
  <c r="M162" i="7"/>
  <c r="R160" i="7"/>
  <c r="L26" i="4"/>
  <c r="K162" i="7"/>
  <c r="E27" i="15"/>
  <c r="L162" i="7"/>
  <c r="Q160" i="7"/>
  <c r="K26" i="4"/>
  <c r="J162" i="7"/>
  <c r="J161" i="7"/>
  <c r="O21" i="7"/>
  <c r="E26" i="4"/>
  <c r="K21" i="7"/>
  <c r="T162" i="7"/>
  <c r="I161" i="7"/>
  <c r="N21" i="7"/>
  <c r="K27" i="15"/>
  <c r="Q753" i="16" s="1"/>
  <c r="H161" i="7"/>
  <c r="M21" i="7"/>
  <c r="T160" i="7"/>
  <c r="L21" i="7"/>
  <c r="L24" i="7" s="1"/>
  <c r="J21" i="7"/>
  <c r="J24" i="7" s="1"/>
  <c r="C151" i="1" s="1"/>
  <c r="T26" i="4"/>
  <c r="P162" i="7"/>
  <c r="I162" i="7"/>
  <c r="S26" i="4"/>
  <c r="C117" i="1"/>
  <c r="P26" i="4"/>
  <c r="R26" i="4"/>
  <c r="Q26" i="4"/>
  <c r="H26" i="4"/>
  <c r="R21" i="7"/>
  <c r="I80" i="2"/>
  <c r="H162" i="7"/>
  <c r="Q21" i="7"/>
  <c r="Q24" i="7" s="1"/>
  <c r="T161" i="7"/>
  <c r="P21" i="7"/>
  <c r="L161" i="7"/>
  <c r="K161" i="7"/>
  <c r="K24" i="16"/>
  <c r="D585" i="16"/>
  <c r="H20" i="16"/>
  <c r="K482" i="16"/>
  <c r="E27" i="16"/>
  <c r="G26" i="15"/>
  <c r="D717" i="16"/>
  <c r="O412" i="16"/>
  <c r="O127" i="7"/>
  <c r="R63" i="7"/>
  <c r="R678" i="16"/>
  <c r="Q342" i="16"/>
  <c r="Q115" i="7"/>
  <c r="H184" i="4"/>
  <c r="H185" i="4" s="1"/>
  <c r="Q49" i="5"/>
  <c r="R545" i="16"/>
  <c r="R243" i="15"/>
  <c r="R540" i="16" s="1"/>
  <c r="T236" i="16"/>
  <c r="T96" i="7"/>
  <c r="J125" i="4"/>
  <c r="J126" i="4" s="1"/>
  <c r="J120" i="7"/>
  <c r="J123" i="7" s="1"/>
  <c r="R835" i="16"/>
  <c r="R836" i="16"/>
  <c r="R837" i="16"/>
  <c r="R136" i="10"/>
  <c r="R353" i="7"/>
  <c r="H942" i="17"/>
  <c r="H943" i="17" s="1"/>
  <c r="H17" i="8"/>
  <c r="H78" i="16"/>
  <c r="H66" i="5"/>
  <c r="H195" i="7"/>
  <c r="H190" i="4"/>
  <c r="J315" i="16"/>
  <c r="J121" i="4"/>
  <c r="J120" i="4"/>
  <c r="J122" i="4" s="1"/>
  <c r="J223" i="4"/>
  <c r="Q647" i="16"/>
  <c r="G25" i="16"/>
  <c r="P796" i="16"/>
  <c r="P176" i="4"/>
  <c r="P182" i="4" s="1"/>
  <c r="P201" i="5"/>
  <c r="P226" i="4"/>
  <c r="P177" i="4"/>
  <c r="P183" i="4" s="1"/>
  <c r="P181" i="4"/>
  <c r="T411" i="16"/>
  <c r="T62" i="7"/>
  <c r="O824" i="16"/>
  <c r="O48" i="9"/>
  <c r="O76" i="7"/>
  <c r="O168" i="7"/>
  <c r="I679" i="16"/>
  <c r="L114" i="7"/>
  <c r="L117" i="7" s="1"/>
  <c r="Q835" i="16"/>
  <c r="Q836" i="16"/>
  <c r="Q837" i="16"/>
  <c r="Q136" i="10"/>
  <c r="Q353" i="7"/>
  <c r="H412" i="16"/>
  <c r="K59" i="4"/>
  <c r="J73" i="4"/>
  <c r="M837" i="16"/>
  <c r="M835" i="16"/>
  <c r="M836" i="16"/>
  <c r="M136" i="10"/>
  <c r="M353" i="7"/>
  <c r="N801" i="16"/>
  <c r="N213" i="5"/>
  <c r="N267" i="5" s="1"/>
  <c r="K843" i="16"/>
  <c r="K844" i="16"/>
  <c r="K842" i="16"/>
  <c r="K137" i="10"/>
  <c r="N678" i="16"/>
  <c r="N63" i="7"/>
  <c r="I236" i="16"/>
  <c r="J78" i="4"/>
  <c r="K64" i="4"/>
  <c r="J386" i="16"/>
  <c r="J133" i="4"/>
  <c r="T836" i="16"/>
  <c r="T835" i="16"/>
  <c r="T837" i="16"/>
  <c r="T353" i="7"/>
  <c r="T354" i="7" s="1"/>
  <c r="T136" i="10"/>
  <c r="J153" i="4"/>
  <c r="S654" i="16"/>
  <c r="T954" i="17"/>
  <c r="T955" i="17" s="1"/>
  <c r="T24" i="9"/>
  <c r="T70" i="15"/>
  <c r="T84" i="16" s="1"/>
  <c r="I545" i="16"/>
  <c r="I243" i="15"/>
  <c r="I540" i="16" s="1"/>
  <c r="S43" i="10"/>
  <c r="S75" i="10"/>
  <c r="H114" i="7"/>
  <c r="H117" i="7" s="1"/>
  <c r="E609" i="17"/>
  <c r="E793" i="17" s="1"/>
  <c r="K184" i="4"/>
  <c r="K185" i="4" s="1"/>
  <c r="P545" i="16"/>
  <c r="P243" i="15"/>
  <c r="P540" i="16" s="1"/>
  <c r="Q140" i="7"/>
  <c r="Q142" i="7" s="1"/>
  <c r="Q243" i="7" s="1"/>
  <c r="Q17" i="7"/>
  <c r="Q65" i="7" s="1"/>
  <c r="T1081" i="17"/>
  <c r="T1082" i="17" s="1"/>
  <c r="T461" i="16"/>
  <c r="M713" i="16"/>
  <c r="M72" i="7"/>
  <c r="I161" i="4"/>
  <c r="I183" i="5"/>
  <c r="I162" i="4"/>
  <c r="I689" i="16" s="1"/>
  <c r="H87" i="6"/>
  <c r="P199" i="16"/>
  <c r="P24" i="7"/>
  <c r="P56" i="7"/>
  <c r="H25" i="16"/>
  <c r="K648" i="16"/>
  <c r="L446" i="16"/>
  <c r="L204" i="15"/>
  <c r="L441" i="16" s="1"/>
  <c r="J342" i="16"/>
  <c r="I144" i="7"/>
  <c r="H260" i="7"/>
  <c r="N342" i="16"/>
  <c r="N115" i="7"/>
  <c r="K13" i="16"/>
  <c r="D207" i="16"/>
  <c r="K858" i="16"/>
  <c r="K856" i="16"/>
  <c r="K857" i="16"/>
  <c r="K139" i="10"/>
  <c r="K1208" i="17"/>
  <c r="K1209" i="17" s="1"/>
  <c r="K145" i="16"/>
  <c r="K248" i="5"/>
  <c r="K916" i="16"/>
  <c r="S850" i="16"/>
  <c r="S851" i="16"/>
  <c r="S849" i="16"/>
  <c r="S138" i="10"/>
  <c r="J376" i="16"/>
  <c r="J61" i="7"/>
  <c r="K948" i="17"/>
  <c r="K949" i="17" s="1"/>
  <c r="K80" i="16"/>
  <c r="K246" i="5"/>
  <c r="O133" i="10"/>
  <c r="Q849" i="16"/>
  <c r="Q850" i="16"/>
  <c r="Q851" i="16"/>
  <c r="Q138" i="10"/>
  <c r="J34" i="6"/>
  <c r="H377" i="16"/>
  <c r="H40" i="6"/>
  <c r="N545" i="16"/>
  <c r="N243" i="15"/>
  <c r="N540" i="16" s="1"/>
  <c r="T101" i="6"/>
  <c r="N61" i="5"/>
  <c r="O42" i="5"/>
  <c r="S177" i="4"/>
  <c r="S183" i="4" s="1"/>
  <c r="S226" i="4"/>
  <c r="S796" i="16"/>
  <c r="S176" i="4"/>
  <c r="S182" i="4" s="1"/>
  <c r="S181" i="4"/>
  <c r="S201" i="5"/>
  <c r="N796" i="16"/>
  <c r="N177" i="4"/>
  <c r="N183" i="4" s="1"/>
  <c r="N201" i="5"/>
  <c r="N226" i="4"/>
  <c r="N176" i="4"/>
  <c r="N182" i="4" s="1"/>
  <c r="N181" i="4"/>
  <c r="N184" i="4" s="1"/>
  <c r="N185" i="4" s="1"/>
  <c r="L851" i="16"/>
  <c r="L849" i="16"/>
  <c r="L850" i="16"/>
  <c r="L138" i="10"/>
  <c r="K200" i="16"/>
  <c r="K89" i="7"/>
  <c r="Q120" i="7"/>
  <c r="Q123" i="7" s="1"/>
  <c r="K120" i="7"/>
  <c r="K123" i="7" s="1"/>
  <c r="K125" i="4"/>
  <c r="K126" i="4" s="1"/>
  <c r="L954" i="17"/>
  <c r="L955" i="17" s="1"/>
  <c r="L70" i="15"/>
  <c r="L84" i="16" s="1"/>
  <c r="L24" i="9"/>
  <c r="Q369" i="15"/>
  <c r="Q799" i="16"/>
  <c r="Q205" i="5"/>
  <c r="Q206" i="5" s="1"/>
  <c r="Q106" i="8"/>
  <c r="Q186" i="4"/>
  <c r="K386" i="16"/>
  <c r="K133" i="4"/>
  <c r="H1317" i="17"/>
  <c r="L824" i="16"/>
  <c r="L48" i="9"/>
  <c r="L76" i="7"/>
  <c r="T654" i="16"/>
  <c r="J888" i="16"/>
  <c r="T980" i="17"/>
  <c r="T981" i="17" s="1"/>
  <c r="T109" i="15"/>
  <c r="T182" i="16" s="1"/>
  <c r="G275" i="17"/>
  <c r="G447" i="17" s="1"/>
  <c r="E275" i="17"/>
  <c r="E447" i="17" s="1"/>
  <c r="F275" i="17"/>
  <c r="F447" i="17" s="1"/>
  <c r="R108" i="7"/>
  <c r="R111" i="7" s="1"/>
  <c r="R113" i="4"/>
  <c r="P58" i="7"/>
  <c r="P270" i="16"/>
  <c r="J146" i="7"/>
  <c r="J148" i="7" s="1"/>
  <c r="J245" i="7" s="1"/>
  <c r="J19" i="7"/>
  <c r="J67" i="7" s="1"/>
  <c r="J71" i="7" s="1"/>
  <c r="J272" i="7" s="1"/>
  <c r="G609" i="17"/>
  <c r="G793" i="17" s="1"/>
  <c r="O305" i="16"/>
  <c r="O59" i="7"/>
  <c r="P140" i="7"/>
  <c r="P142" i="7" s="1"/>
  <c r="P243" i="7" s="1"/>
  <c r="P17" i="7"/>
  <c r="P65" i="7" s="1"/>
  <c r="P69" i="7" s="1"/>
  <c r="P270" i="7" s="1"/>
  <c r="H916" i="17"/>
  <c r="H917" i="17" s="1"/>
  <c r="H424" i="16"/>
  <c r="H57" i="8"/>
  <c r="H165" i="5"/>
  <c r="H164" i="5"/>
  <c r="H200" i="4"/>
  <c r="O161" i="4"/>
  <c r="O183" i="5"/>
  <c r="O162" i="4"/>
  <c r="O689" i="16" s="1"/>
  <c r="P713" i="16"/>
  <c r="P72" i="7"/>
  <c r="T713" i="16"/>
  <c r="T72" i="7"/>
  <c r="J139" i="5"/>
  <c r="K41" i="5"/>
  <c r="Q199" i="16"/>
  <c r="Q56" i="7"/>
  <c r="K315" i="16"/>
  <c r="K121" i="4"/>
  <c r="K120" i="4"/>
  <c r="K122" i="4" s="1"/>
  <c r="K223" i="4"/>
  <c r="N223" i="4"/>
  <c r="N120" i="4"/>
  <c r="N315" i="16"/>
  <c r="N121" i="4"/>
  <c r="J144" i="7"/>
  <c r="H122" i="16"/>
  <c r="H23" i="8"/>
  <c r="H88" i="15" s="1"/>
  <c r="H129" i="16" s="1"/>
  <c r="K45" i="10"/>
  <c r="K77" i="10"/>
  <c r="C61" i="1"/>
  <c r="E12" i="10"/>
  <c r="F12" i="10"/>
  <c r="T678" i="16"/>
  <c r="T63" i="7"/>
  <c r="Q146" i="7"/>
  <c r="Q148" i="7" s="1"/>
  <c r="Q245" i="7" s="1"/>
  <c r="Q19" i="7"/>
  <c r="Q67" i="7" s="1"/>
  <c r="Q71" i="7" s="1"/>
  <c r="Q272" i="7" s="1"/>
  <c r="G279" i="17"/>
  <c r="J842" i="16"/>
  <c r="J844" i="16"/>
  <c r="J137" i="10"/>
  <c r="J843" i="16"/>
  <c r="O801" i="16"/>
  <c r="O213" i="5"/>
  <c r="O267" i="5" s="1"/>
  <c r="M50" i="5"/>
  <c r="L65" i="5"/>
  <c r="T842" i="16"/>
  <c r="T844" i="16"/>
  <c r="T843" i="16"/>
  <c r="T137" i="10"/>
  <c r="H342" i="16"/>
  <c r="J115" i="7"/>
  <c r="N133" i="10"/>
  <c r="N354" i="7"/>
  <c r="L35" i="4"/>
  <c r="K37" i="4"/>
  <c r="I138" i="7"/>
  <c r="O243" i="15"/>
  <c r="O540" i="16" s="1"/>
  <c r="O545" i="16"/>
  <c r="P101" i="6"/>
  <c r="L837" i="16"/>
  <c r="L835" i="16"/>
  <c r="L836" i="16"/>
  <c r="L136" i="10"/>
  <c r="L353" i="7"/>
  <c r="L354" i="7" s="1"/>
  <c r="S801" i="16"/>
  <c r="S213" i="5"/>
  <c r="S267" i="5" s="1"/>
  <c r="K614" i="16"/>
  <c r="F24" i="16"/>
  <c r="Q148" i="4"/>
  <c r="Q132" i="7"/>
  <c r="Q135" i="7" s="1"/>
  <c r="K683" i="16"/>
  <c r="H26" i="16"/>
  <c r="H209" i="16"/>
  <c r="H104" i="4"/>
  <c r="H139" i="5"/>
  <c r="R120" i="7"/>
  <c r="R123" i="7" s="1"/>
  <c r="L120" i="7"/>
  <c r="L123" i="7" s="1"/>
  <c r="L125" i="4"/>
  <c r="L126" i="4" s="1"/>
  <c r="L980" i="17"/>
  <c r="L981" i="17" s="1"/>
  <c r="L109" i="15"/>
  <c r="L182" i="16" s="1"/>
  <c r="K68" i="4"/>
  <c r="J82" i="4"/>
  <c r="L386" i="16"/>
  <c r="L133" i="4"/>
  <c r="Q149" i="4"/>
  <c r="M653" i="16"/>
  <c r="M154" i="4"/>
  <c r="M152" i="4"/>
  <c r="M156" i="4" s="1"/>
  <c r="I342" i="16"/>
  <c r="I90" i="5"/>
  <c r="E9" i="7"/>
  <c r="O446" i="16"/>
  <c r="O204" i="15"/>
  <c r="O441" i="16" s="1"/>
  <c r="K79" i="5"/>
  <c r="J93" i="5"/>
  <c r="N62" i="7"/>
  <c r="N411" i="16"/>
  <c r="R140" i="7"/>
  <c r="R142" i="7" s="1"/>
  <c r="R243" i="7" s="1"/>
  <c r="R17" i="7"/>
  <c r="R65" i="7" s="1"/>
  <c r="R69" i="7" s="1"/>
  <c r="R270" i="7" s="1"/>
  <c r="Q916" i="16"/>
  <c r="H148" i="4"/>
  <c r="H154" i="4" s="1"/>
  <c r="N713" i="16"/>
  <c r="N72" i="7"/>
  <c r="R315" i="16"/>
  <c r="R121" i="4"/>
  <c r="R120" i="4"/>
  <c r="R122" i="4" s="1"/>
  <c r="R223" i="4"/>
  <c r="T315" i="16"/>
  <c r="T120" i="4"/>
  <c r="T223" i="4"/>
  <c r="T121" i="4"/>
  <c r="T152" i="5" s="1"/>
  <c r="P236" i="16"/>
  <c r="P96" i="7"/>
  <c r="S545" i="16"/>
  <c r="S243" i="15"/>
  <c r="S540" i="16" s="1"/>
  <c r="P144" i="7"/>
  <c r="J1299" i="17"/>
  <c r="J1300" i="17" s="1"/>
  <c r="J84" i="4"/>
  <c r="J75" i="4"/>
  <c r="J89" i="4" s="1"/>
  <c r="J1257" i="17" s="1"/>
  <c r="J1258" i="17" s="1"/>
  <c r="K61" i="4"/>
  <c r="R954" i="17"/>
  <c r="R955" i="17" s="1"/>
  <c r="R70" i="15"/>
  <c r="R84" i="16" s="1"/>
  <c r="R24" i="9"/>
  <c r="N512" i="16"/>
  <c r="N230" i="15"/>
  <c r="N507" i="16" s="1"/>
  <c r="T113" i="4"/>
  <c r="T108" i="7"/>
  <c r="T111" i="7" s="1"/>
  <c r="L512" i="16"/>
  <c r="L230" i="15"/>
  <c r="L507" i="16" s="1"/>
  <c r="P801" i="16"/>
  <c r="P213" i="5"/>
  <c r="P267" i="5" s="1"/>
  <c r="I270" i="16"/>
  <c r="I58" i="7"/>
  <c r="O796" i="16"/>
  <c r="O226" i="4"/>
  <c r="O176" i="4"/>
  <c r="O182" i="4" s="1"/>
  <c r="O201" i="5"/>
  <c r="O177" i="4"/>
  <c r="O183" i="4" s="1"/>
  <c r="O181" i="4"/>
  <c r="K865" i="16"/>
  <c r="K863" i="16"/>
  <c r="K864" i="16"/>
  <c r="K140" i="10"/>
  <c r="Q270" i="16"/>
  <c r="Q58" i="7"/>
  <c r="R1314" i="17"/>
  <c r="R68" i="7"/>
  <c r="R269" i="7" s="1"/>
  <c r="O863" i="16"/>
  <c r="O864" i="16"/>
  <c r="O865" i="16"/>
  <c r="O140" i="10"/>
  <c r="K412" i="16"/>
  <c r="K127" i="7"/>
  <c r="N73" i="5"/>
  <c r="S138" i="7"/>
  <c r="D29" i="16"/>
  <c r="N756" i="16"/>
  <c r="I28" i="15"/>
  <c r="H28" i="15"/>
  <c r="C29" i="16"/>
  <c r="P166" i="7"/>
  <c r="O165" i="7"/>
  <c r="N164" i="7"/>
  <c r="I166" i="7"/>
  <c r="T164" i="7"/>
  <c r="E22" i="7"/>
  <c r="H166" i="7"/>
  <c r="S164" i="7"/>
  <c r="T22" i="7"/>
  <c r="K28" i="15"/>
  <c r="Q788" i="16" s="1"/>
  <c r="T165" i="7"/>
  <c r="R164" i="7"/>
  <c r="S22" i="7"/>
  <c r="L27" i="4"/>
  <c r="P165" i="7"/>
  <c r="J164" i="7"/>
  <c r="H22" i="7"/>
  <c r="T166" i="7"/>
  <c r="N165" i="7"/>
  <c r="I164" i="7"/>
  <c r="S166" i="7"/>
  <c r="M165" i="7"/>
  <c r="H164" i="7"/>
  <c r="N27" i="4"/>
  <c r="C118" i="1"/>
  <c r="L165" i="7"/>
  <c r="L22" i="7"/>
  <c r="P27" i="4"/>
  <c r="I165" i="7"/>
  <c r="K27" i="4"/>
  <c r="Q166" i="7"/>
  <c r="K165" i="7"/>
  <c r="K22" i="7"/>
  <c r="O27" i="4"/>
  <c r="R166" i="7"/>
  <c r="H165" i="7"/>
  <c r="J27" i="4"/>
  <c r="J165" i="7"/>
  <c r="J22" i="7"/>
  <c r="M27" i="4"/>
  <c r="I81" i="2"/>
  <c r="I22" i="7"/>
  <c r="D28" i="15"/>
  <c r="Q164" i="7"/>
  <c r="T27" i="4"/>
  <c r="L164" i="7"/>
  <c r="O166" i="7"/>
  <c r="P22" i="7"/>
  <c r="P164" i="7"/>
  <c r="S27" i="4"/>
  <c r="O164" i="7"/>
  <c r="R27" i="4"/>
  <c r="M164" i="7"/>
  <c r="Q27" i="4"/>
  <c r="R22" i="7"/>
  <c r="Q22" i="7"/>
  <c r="H27" i="4"/>
  <c r="O22" i="7"/>
  <c r="I27" i="4"/>
  <c r="K164" i="7"/>
  <c r="N166" i="7"/>
  <c r="E27" i="4"/>
  <c r="M166" i="7"/>
  <c r="L166" i="7"/>
  <c r="N22" i="7"/>
  <c r="K166" i="7"/>
  <c r="M22" i="7"/>
  <c r="E28" i="15"/>
  <c r="R165" i="7"/>
  <c r="S165" i="7"/>
  <c r="J166" i="7"/>
  <c r="J28" i="15"/>
  <c r="Q165" i="7"/>
  <c r="N1185" i="17"/>
  <c r="N1186" i="17" s="1"/>
  <c r="N527" i="16"/>
  <c r="R386" i="16"/>
  <c r="R133" i="4"/>
  <c r="J411" i="16"/>
  <c r="J62" i="7"/>
  <c r="M62" i="7"/>
  <c r="M411" i="16"/>
  <c r="N654" i="16"/>
  <c r="N155" i="4"/>
  <c r="M342" i="16"/>
  <c r="M115" i="7"/>
  <c r="N446" i="16"/>
  <c r="N204" i="15"/>
  <c r="N441" i="16" s="1"/>
  <c r="K144" i="7"/>
  <c r="R235" i="16"/>
  <c r="R57" i="7"/>
  <c r="R376" i="16"/>
  <c r="R61" i="7"/>
  <c r="I18" i="9"/>
  <c r="H199" i="11"/>
  <c r="H250" i="12"/>
  <c r="Q682" i="16"/>
  <c r="G26" i="16"/>
  <c r="P108" i="7"/>
  <c r="P111" i="7" s="1"/>
  <c r="P113" i="4"/>
  <c r="S270" i="16"/>
  <c r="S58" i="7"/>
  <c r="O140" i="7"/>
  <c r="O142" i="7" s="1"/>
  <c r="O243" i="7" s="1"/>
  <c r="O17" i="7"/>
  <c r="O65" i="7" s="1"/>
  <c r="G651" i="17"/>
  <c r="G652" i="17" s="1"/>
  <c r="G211" i="11"/>
  <c r="G212" i="11" s="1"/>
  <c r="S713" i="16"/>
  <c r="S72" i="7"/>
  <c r="P315" i="16"/>
  <c r="P223" i="4"/>
  <c r="P120" i="4"/>
  <c r="P121" i="4"/>
  <c r="M235" i="16"/>
  <c r="M57" i="7"/>
  <c r="S101" i="6"/>
  <c r="H271" i="12"/>
  <c r="H19" i="11"/>
  <c r="H325" i="7"/>
  <c r="H333" i="7"/>
  <c r="H220" i="11"/>
  <c r="H70" i="12"/>
  <c r="L133" i="10"/>
  <c r="H512" i="16"/>
  <c r="H230" i="15"/>
  <c r="H507" i="16" s="1"/>
  <c r="H298" i="7"/>
  <c r="N824" i="16"/>
  <c r="N48" i="9"/>
  <c r="N826" i="16"/>
  <c r="N76" i="7"/>
  <c r="N168" i="7"/>
  <c r="R101" i="6"/>
  <c r="L40" i="7"/>
  <c r="E15" i="7"/>
  <c r="I844" i="16"/>
  <c r="I842" i="16"/>
  <c r="I137" i="10"/>
  <c r="I843" i="16"/>
  <c r="K48" i="9"/>
  <c r="K826" i="16"/>
  <c r="K76" i="7"/>
  <c r="K824" i="16"/>
  <c r="J824" i="16"/>
  <c r="J48" i="9"/>
  <c r="J826" i="16"/>
  <c r="J76" i="7"/>
  <c r="I149" i="4"/>
  <c r="O654" i="16"/>
  <c r="O155" i="4"/>
  <c r="Q162" i="4"/>
  <c r="Q689" i="16" s="1"/>
  <c r="Q161" i="4"/>
  <c r="Q183" i="5"/>
  <c r="R199" i="16"/>
  <c r="R24" i="7"/>
  <c r="R56" i="7"/>
  <c r="G302" i="17"/>
  <c r="G303" i="17" s="1"/>
  <c r="G262" i="12"/>
  <c r="I113" i="4"/>
  <c r="I108" i="7"/>
  <c r="I111" i="7" s="1"/>
  <c r="J236" i="16"/>
  <c r="J96" i="7"/>
  <c r="M377" i="16"/>
  <c r="M121" i="7"/>
  <c r="H824" i="16"/>
  <c r="H48" i="9"/>
  <c r="H76" i="7"/>
  <c r="H826" i="16"/>
  <c r="M168" i="7"/>
  <c r="R144" i="7"/>
  <c r="S199" i="16"/>
  <c r="S56" i="7"/>
  <c r="M864" i="16"/>
  <c r="M140" i="10"/>
  <c r="M865" i="16"/>
  <c r="M863" i="16"/>
  <c r="L306" i="16"/>
  <c r="L109" i="7"/>
  <c r="I200" i="16"/>
  <c r="E93" i="7"/>
  <c r="R95" i="7" s="1"/>
  <c r="R98" i="7" s="1"/>
  <c r="H1254" i="17"/>
  <c r="H1255" i="17" s="1"/>
  <c r="H92" i="4"/>
  <c r="H126" i="5"/>
  <c r="H129" i="5" s="1"/>
  <c r="H128" i="5"/>
  <c r="H386" i="16"/>
  <c r="H133" i="4"/>
  <c r="H78" i="6"/>
  <c r="H221" i="4"/>
  <c r="R411" i="16"/>
  <c r="R62" i="7"/>
  <c r="T271" i="16"/>
  <c r="T103" i="7"/>
  <c r="S835" i="16"/>
  <c r="S836" i="16"/>
  <c r="S353" i="7"/>
  <c r="S354" i="7" s="1"/>
  <c r="S136" i="10"/>
  <c r="S141" i="10" s="1"/>
  <c r="S837" i="16"/>
  <c r="L183" i="5"/>
  <c r="L162" i="4"/>
  <c r="L689" i="16" s="1"/>
  <c r="L161" i="4"/>
  <c r="S115" i="4"/>
  <c r="S148" i="5"/>
  <c r="S280" i="16"/>
  <c r="L653" i="16"/>
  <c r="L154" i="4"/>
  <c r="L152" i="4"/>
  <c r="L156" i="4" s="1"/>
  <c r="L157" i="4" s="1"/>
  <c r="Q654" i="16"/>
  <c r="Q155" i="4"/>
  <c r="K71" i="5"/>
  <c r="J89" i="5"/>
  <c r="H347" i="7"/>
  <c r="E340" i="7"/>
  <c r="G317" i="17"/>
  <c r="G318" i="17" s="1"/>
  <c r="N140" i="7"/>
  <c r="N142" i="7" s="1"/>
  <c r="N243" i="7" s="1"/>
  <c r="N17" i="7"/>
  <c r="N65" i="7" s="1"/>
  <c r="D518" i="16"/>
  <c r="K22" i="16"/>
  <c r="K717" i="16"/>
  <c r="F27" i="16"/>
  <c r="J857" i="16"/>
  <c r="J856" i="16"/>
  <c r="J858" i="16"/>
  <c r="J139" i="10"/>
  <c r="S411" i="16"/>
  <c r="S62" i="7"/>
  <c r="R850" i="16"/>
  <c r="R849" i="16"/>
  <c r="R851" i="16"/>
  <c r="R138" i="10"/>
  <c r="P837" i="16"/>
  <c r="P835" i="16"/>
  <c r="P836" i="16"/>
  <c r="P136" i="10"/>
  <c r="P141" i="10" s="1"/>
  <c r="P353" i="7"/>
  <c r="E644" i="17"/>
  <c r="E800" i="17" s="1"/>
  <c r="O843" i="16"/>
  <c r="O842" i="16"/>
  <c r="O844" i="16"/>
  <c r="O137" i="10"/>
  <c r="N386" i="16"/>
  <c r="N133" i="4"/>
  <c r="I75" i="16"/>
  <c r="I62" i="5"/>
  <c r="I64" i="5" s="1"/>
  <c r="I47" i="4"/>
  <c r="I56" i="6"/>
  <c r="I55" i="6"/>
  <c r="O75" i="10"/>
  <c r="O43" i="10"/>
  <c r="J865" i="16"/>
  <c r="J863" i="16"/>
  <c r="J864" i="16"/>
  <c r="J140" i="10"/>
  <c r="M144" i="7"/>
  <c r="N271" i="16"/>
  <c r="N103" i="7"/>
  <c r="Q446" i="16"/>
  <c r="Q204" i="15"/>
  <c r="Q441" i="16" s="1"/>
  <c r="I16" i="16"/>
  <c r="Q152" i="5"/>
  <c r="K366" i="7"/>
  <c r="L366" i="7" s="1"/>
  <c r="P152" i="5"/>
  <c r="J152" i="5"/>
  <c r="E37" i="7"/>
  <c r="P37" i="7" s="1"/>
  <c r="Q280" i="16"/>
  <c r="Q115" i="4"/>
  <c r="Q148" i="5"/>
  <c r="P653" i="16"/>
  <c r="P154" i="4"/>
  <c r="P152" i="4"/>
  <c r="P156" i="4" s="1"/>
  <c r="L857" i="16"/>
  <c r="L139" i="10"/>
  <c r="L858" i="16"/>
  <c r="L856" i="16"/>
  <c r="K481" i="16"/>
  <c r="F20" i="16"/>
  <c r="H888" i="16"/>
  <c r="R161" i="4"/>
  <c r="R162" i="4"/>
  <c r="R689" i="16" s="1"/>
  <c r="R183" i="5"/>
  <c r="O713" i="16"/>
  <c r="O72" i="7"/>
  <c r="M161" i="4"/>
  <c r="M162" i="4"/>
  <c r="M689" i="16" s="1"/>
  <c r="M183" i="5"/>
  <c r="H713" i="16"/>
  <c r="J41" i="7"/>
  <c r="J27" i="16" s="1"/>
  <c r="G41" i="7"/>
  <c r="H72" i="7"/>
  <c r="K718" i="16"/>
  <c r="H27" i="16"/>
  <c r="L38" i="7"/>
  <c r="E13" i="7"/>
  <c r="H305" i="16"/>
  <c r="H59" i="7"/>
  <c r="G36" i="7"/>
  <c r="J36" i="7"/>
  <c r="J15" i="16" s="1"/>
  <c r="E107" i="7"/>
  <c r="L342" i="16"/>
  <c r="L115" i="7"/>
  <c r="N144" i="7"/>
  <c r="H1311" i="17"/>
  <c r="L888" i="16"/>
  <c r="M1081" i="17"/>
  <c r="M1082" i="17" s="1"/>
  <c r="M461" i="16"/>
  <c r="J1327" i="17"/>
  <c r="K1325" i="17"/>
  <c r="T863" i="16"/>
  <c r="T865" i="16"/>
  <c r="T864" i="16"/>
  <c r="T140" i="10"/>
  <c r="G299" i="17"/>
  <c r="M849" i="16"/>
  <c r="M850" i="16"/>
  <c r="M851" i="16"/>
  <c r="M138" i="10"/>
  <c r="L280" i="16"/>
  <c r="L148" i="5"/>
  <c r="L115" i="4"/>
  <c r="S864" i="16"/>
  <c r="S863" i="16"/>
  <c r="S865" i="16"/>
  <c r="S140" i="10"/>
  <c r="J271" i="16"/>
  <c r="R230" i="15"/>
  <c r="R507" i="16" s="1"/>
  <c r="R512" i="16"/>
  <c r="L184" i="4"/>
  <c r="L185" i="4" s="1"/>
  <c r="K138" i="7"/>
  <c r="G262" i="17"/>
  <c r="G263" i="17" s="1"/>
  <c r="G246" i="12"/>
  <c r="M512" i="16"/>
  <c r="M230" i="15"/>
  <c r="M507" i="16" s="1"/>
  <c r="H173" i="16"/>
  <c r="H99" i="4"/>
  <c r="H135" i="5"/>
  <c r="M354" i="7"/>
  <c r="M133" i="10"/>
  <c r="Q101" i="6"/>
  <c r="G34" i="7"/>
  <c r="I9" i="9"/>
  <c r="I10" i="9" s="1"/>
  <c r="P864" i="16"/>
  <c r="P863" i="16"/>
  <c r="P865" i="16"/>
  <c r="P140" i="10"/>
  <c r="M678" i="16"/>
  <c r="M63" i="7"/>
  <c r="K236" i="16"/>
  <c r="K96" i="7"/>
  <c r="O653" i="16"/>
  <c r="O154" i="4"/>
  <c r="O152" i="4"/>
  <c r="O156" i="4" s="1"/>
  <c r="H587" i="16"/>
  <c r="H59" i="6"/>
  <c r="O849" i="16"/>
  <c r="O850" i="16"/>
  <c r="O851" i="16"/>
  <c r="O138" i="10"/>
  <c r="K146" i="7"/>
  <c r="K148" i="7" s="1"/>
  <c r="K245" i="7" s="1"/>
  <c r="K19" i="7"/>
  <c r="K67" i="7" s="1"/>
  <c r="K71" i="7" s="1"/>
  <c r="K272" i="7" s="1"/>
  <c r="H227" i="12"/>
  <c r="H71" i="12"/>
  <c r="H20" i="11"/>
  <c r="H75" i="10"/>
  <c r="H111" i="9"/>
  <c r="H176" i="11"/>
  <c r="H43" i="10"/>
  <c r="H82" i="9"/>
  <c r="D791" i="16"/>
  <c r="K30" i="16"/>
  <c r="G390" i="15"/>
  <c r="G397" i="15"/>
  <c r="G118" i="15"/>
  <c r="O512" i="16"/>
  <c r="O230" i="15"/>
  <c r="O507" i="16" s="1"/>
  <c r="P654" i="16"/>
  <c r="P155" i="4"/>
  <c r="H851" i="16"/>
  <c r="H850" i="16"/>
  <c r="H849" i="16"/>
  <c r="H138" i="10"/>
  <c r="I111" i="16"/>
  <c r="I21" i="8"/>
  <c r="I191" i="4"/>
  <c r="I196" i="7"/>
  <c r="I260" i="7" s="1"/>
  <c r="I91" i="5"/>
  <c r="I92" i="5" s="1"/>
  <c r="K1133" i="17"/>
  <c r="K1134" i="17" s="1"/>
  <c r="K494" i="16"/>
  <c r="O144" i="7"/>
  <c r="H1185" i="17"/>
  <c r="H1186" i="17" s="1"/>
  <c r="H527" i="16"/>
  <c r="J39" i="7"/>
  <c r="J18" i="16" s="1"/>
  <c r="R306" i="16"/>
  <c r="R109" i="7"/>
  <c r="E14" i="7"/>
  <c r="I41" i="4"/>
  <c r="I38" i="4"/>
  <c r="I32" i="6"/>
  <c r="I33" i="6" s="1"/>
  <c r="I31" i="6"/>
  <c r="I34" i="6"/>
  <c r="T386" i="16"/>
  <c r="T133" i="4"/>
  <c r="H1301" i="17"/>
  <c r="H107" i="4"/>
  <c r="J654" i="16"/>
  <c r="G222" i="16"/>
  <c r="G226" i="16"/>
  <c r="G883" i="16"/>
  <c r="G885" i="16" s="1"/>
  <c r="G310" i="7"/>
  <c r="G311" i="7" s="1"/>
  <c r="O280" i="16"/>
  <c r="O115" i="4"/>
  <c r="O148" i="5"/>
  <c r="J916" i="16"/>
  <c r="I620" i="16"/>
  <c r="I81" i="6"/>
  <c r="L376" i="16"/>
  <c r="L61" i="7"/>
  <c r="K851" i="16"/>
  <c r="K850" i="16"/>
  <c r="K138" i="10"/>
  <c r="K849" i="16"/>
  <c r="H162" i="4"/>
  <c r="H689" i="16" s="1"/>
  <c r="H183" i="5"/>
  <c r="H161" i="4"/>
  <c r="O199" i="16"/>
  <c r="O24" i="7"/>
  <c r="O56" i="7"/>
  <c r="H838" i="17"/>
  <c r="H839" i="17" s="1"/>
  <c r="H45" i="16"/>
  <c r="H194" i="7"/>
  <c r="H189" i="4"/>
  <c r="H13" i="8"/>
  <c r="H35" i="5"/>
  <c r="J38" i="7"/>
  <c r="J17" i="16" s="1"/>
  <c r="K582" i="16"/>
  <c r="H23" i="16"/>
  <c r="R153" i="4"/>
  <c r="G233" i="16"/>
  <c r="I1156" i="17"/>
  <c r="I1157" i="17" s="1"/>
  <c r="I113" i="16"/>
  <c r="I247" i="5"/>
  <c r="S140" i="7"/>
  <c r="S142" i="7" s="1"/>
  <c r="S243" i="7" s="1"/>
  <c r="S17" i="7"/>
  <c r="S65" i="7" s="1"/>
  <c r="K183" i="5"/>
  <c r="K161" i="4"/>
  <c r="K162" i="4"/>
  <c r="K689" i="16" s="1"/>
  <c r="Q144" i="7"/>
  <c r="R980" i="17"/>
  <c r="R981" i="17" s="1"/>
  <c r="R109" i="15"/>
  <c r="R182" i="16" s="1"/>
  <c r="J80" i="4"/>
  <c r="J91" i="4" s="1"/>
  <c r="J1263" i="17" s="1"/>
  <c r="J1264" i="17" s="1"/>
  <c r="K66" i="4"/>
  <c r="J86" i="4"/>
  <c r="K209" i="16"/>
  <c r="K104" i="4"/>
  <c r="O63" i="7"/>
  <c r="O678" i="16"/>
  <c r="N305" i="16"/>
  <c r="N59" i="7"/>
  <c r="P850" i="16"/>
  <c r="P849" i="16"/>
  <c r="P851" i="16"/>
  <c r="P138" i="10"/>
  <c r="D45" i="17"/>
  <c r="F45" i="17" s="1"/>
  <c r="S844" i="16"/>
  <c r="S842" i="16"/>
  <c r="S843" i="16"/>
  <c r="S137" i="10"/>
  <c r="L843" i="16"/>
  <c r="L842" i="16"/>
  <c r="L844" i="16"/>
  <c r="L137" i="10"/>
  <c r="R148" i="4"/>
  <c r="R132" i="7"/>
  <c r="R135" i="7" s="1"/>
  <c r="Q114" i="7"/>
  <c r="Q117" i="7" s="1"/>
  <c r="P120" i="7"/>
  <c r="P123" i="7" s="1"/>
  <c r="N81" i="4"/>
  <c r="O67" i="4"/>
  <c r="P980" i="17"/>
  <c r="P981" i="17" s="1"/>
  <c r="P109" i="15"/>
  <c r="P182" i="16" s="1"/>
  <c r="N844" i="16"/>
  <c r="N843" i="16"/>
  <c r="N842" i="16"/>
  <c r="N137" i="10"/>
  <c r="K12" i="16"/>
  <c r="D171" i="16"/>
  <c r="H835" i="16"/>
  <c r="H837" i="16"/>
  <c r="H136" i="10"/>
  <c r="H353" i="7"/>
  <c r="H836" i="16"/>
  <c r="J184" i="4"/>
  <c r="J185" i="4" s="1"/>
  <c r="L200" i="16"/>
  <c r="L89" i="7"/>
  <c r="M114" i="7"/>
  <c r="M117" i="7" s="1"/>
  <c r="J133" i="10"/>
  <c r="P153" i="4"/>
  <c r="P157" i="4" s="1"/>
  <c r="N653" i="16"/>
  <c r="N154" i="4"/>
  <c r="N152" i="4"/>
  <c r="N156" i="4" s="1"/>
  <c r="P954" i="17"/>
  <c r="P955" i="17" s="1"/>
  <c r="P24" i="9"/>
  <c r="P70" i="15"/>
  <c r="P84" i="16" s="1"/>
  <c r="M101" i="4"/>
  <c r="K713" i="16"/>
  <c r="K72" i="7"/>
  <c r="E41" i="7"/>
  <c r="P41" i="7" s="1"/>
  <c r="I27" i="16"/>
  <c r="H280" i="16"/>
  <c r="H148" i="5"/>
  <c r="H115" i="4"/>
  <c r="M55" i="5"/>
  <c r="L67" i="5"/>
  <c r="L181" i="7" s="1"/>
  <c r="L182" i="7" s="1"/>
  <c r="P412" i="16"/>
  <c r="P127" i="7"/>
  <c r="O138" i="7"/>
  <c r="K678" i="16"/>
  <c r="K63" i="7"/>
  <c r="I386" i="16"/>
  <c r="I133" i="4"/>
  <c r="R1316" i="17"/>
  <c r="M305" i="16"/>
  <c r="M59" i="7"/>
  <c r="N376" i="16"/>
  <c r="N61" i="7"/>
  <c r="M315" i="16"/>
  <c r="M223" i="4"/>
  <c r="M120" i="4"/>
  <c r="M121" i="4"/>
  <c r="M152" i="5" s="1"/>
  <c r="J114" i="7"/>
  <c r="J117" i="7" s="1"/>
  <c r="T306" i="16"/>
  <c r="T109" i="7"/>
  <c r="L1185" i="17"/>
  <c r="L1186" i="17" s="1"/>
  <c r="L527" i="16"/>
  <c r="I864" i="16"/>
  <c r="I863" i="16"/>
  <c r="I140" i="10"/>
  <c r="I865" i="16"/>
  <c r="P114" i="7"/>
  <c r="P117" i="7" s="1"/>
  <c r="S888" i="16"/>
  <c r="M654" i="16"/>
  <c r="M155" i="4"/>
  <c r="I88" i="4"/>
  <c r="P824" i="16"/>
  <c r="P76" i="7"/>
  <c r="P48" i="9"/>
  <c r="P826" i="16" s="1"/>
  <c r="P168" i="7"/>
  <c r="P183" i="5"/>
  <c r="P162" i="4"/>
  <c r="P689" i="16" s="1"/>
  <c r="P161" i="4"/>
  <c r="Q717" i="16"/>
  <c r="G27" i="16"/>
  <c r="H199" i="16"/>
  <c r="H56" i="7"/>
  <c r="J33" i="7"/>
  <c r="G33" i="7"/>
  <c r="E86" i="7"/>
  <c r="H315" i="16"/>
  <c r="H121" i="4"/>
  <c r="H152" i="5" s="1"/>
  <c r="H120" i="4"/>
  <c r="H223" i="4"/>
  <c r="I1303" i="17"/>
  <c r="I1311" i="17" s="1"/>
  <c r="T826" i="16"/>
  <c r="T824" i="16"/>
  <c r="T48" i="9"/>
  <c r="T76" i="7"/>
  <c r="T168" i="7"/>
  <c r="G362" i="17"/>
  <c r="G363" i="17" s="1"/>
  <c r="G886" i="16"/>
  <c r="L101" i="6"/>
  <c r="H844" i="16"/>
  <c r="H842" i="16"/>
  <c r="H843" i="16"/>
  <c r="H137" i="10"/>
  <c r="G644" i="17"/>
  <c r="G800" i="17" s="1"/>
  <c r="H65" i="6"/>
  <c r="T1185" i="17"/>
  <c r="T1186" i="17" s="1"/>
  <c r="T527" i="16"/>
  <c r="L678" i="16"/>
  <c r="L63" i="7"/>
  <c r="O270" i="16"/>
  <c r="O58" i="7"/>
  <c r="S204" i="15"/>
  <c r="S441" i="16" s="1"/>
  <c r="S446" i="16"/>
  <c r="K62" i="4"/>
  <c r="J76" i="4"/>
  <c r="M125" i="4"/>
  <c r="M126" i="4" s="1"/>
  <c r="R98" i="5"/>
  <c r="I454" i="16"/>
  <c r="I139" i="4"/>
  <c r="I140" i="4" s="1"/>
  <c r="J56" i="7"/>
  <c r="J199" i="16"/>
  <c r="I1301" i="17"/>
  <c r="T801" i="16"/>
  <c r="T213" i="5"/>
  <c r="T267" i="5" s="1"/>
  <c r="F644" i="17"/>
  <c r="F800" i="17" s="1"/>
  <c r="M243" i="15"/>
  <c r="M540" i="16" s="1"/>
  <c r="M545" i="16"/>
  <c r="O376" i="16"/>
  <c r="O61" i="7"/>
  <c r="I184" i="4"/>
  <c r="I185" i="4" s="1"/>
  <c r="P132" i="4"/>
  <c r="H1316" i="17"/>
  <c r="I133" i="10"/>
  <c r="R150" i="4"/>
  <c r="L654" i="16"/>
  <c r="L155" i="4"/>
  <c r="R151" i="4"/>
  <c r="O114" i="7"/>
  <c r="O117" i="7" s="1"/>
  <c r="J836" i="16"/>
  <c r="J837" i="16"/>
  <c r="J835" i="16"/>
  <c r="J136" i="10"/>
  <c r="J353" i="7"/>
  <c r="J354" i="7" s="1"/>
  <c r="O888" i="16"/>
  <c r="I178" i="7"/>
  <c r="I140" i="7"/>
  <c r="I142" i="7" s="1"/>
  <c r="I243" i="7" s="1"/>
  <c r="I17" i="7"/>
  <c r="I65" i="7" s="1"/>
  <c r="P354" i="7"/>
  <c r="P133" i="10"/>
  <c r="S161" i="4"/>
  <c r="S162" i="4"/>
  <c r="S689" i="16" s="1"/>
  <c r="S183" i="5"/>
  <c r="R713" i="16"/>
  <c r="R72" i="7"/>
  <c r="I305" i="16"/>
  <c r="I59" i="7"/>
  <c r="H871" i="16"/>
  <c r="H899" i="16"/>
  <c r="H66" i="12"/>
  <c r="H15" i="11"/>
  <c r="H420" i="15"/>
  <c r="H409" i="15"/>
  <c r="O223" i="4"/>
  <c r="O120" i="4"/>
  <c r="O315" i="16"/>
  <c r="O121" i="4"/>
  <c r="O152" i="5" s="1"/>
  <c r="K25" i="16"/>
  <c r="D618" i="16"/>
  <c r="S236" i="16"/>
  <c r="S96" i="7"/>
  <c r="T144" i="7"/>
  <c r="T114" i="7"/>
  <c r="T117" i="7" s="1"/>
  <c r="S376" i="16"/>
  <c r="S61" i="7"/>
  <c r="R796" i="16"/>
  <c r="R181" i="4"/>
  <c r="R177" i="4"/>
  <c r="R183" i="4" s="1"/>
  <c r="R226" i="4"/>
  <c r="R176" i="4"/>
  <c r="R182" i="4" s="1"/>
  <c r="R201" i="5"/>
  <c r="S59" i="7"/>
  <c r="S305" i="16"/>
  <c r="N858" i="16"/>
  <c r="N857" i="16"/>
  <c r="N856" i="16"/>
  <c r="N139" i="10"/>
  <c r="L72" i="4"/>
  <c r="M58" i="4"/>
  <c r="K14" i="16"/>
  <c r="D243" i="16"/>
  <c r="I1307" i="17"/>
  <c r="I1308" i="17" s="1"/>
  <c r="I75" i="10"/>
  <c r="I43" i="10"/>
  <c r="K101" i="6"/>
  <c r="N980" i="17"/>
  <c r="N981" i="17" s="1"/>
  <c r="N109" i="15"/>
  <c r="N182" i="16" s="1"/>
  <c r="P842" i="16"/>
  <c r="P843" i="16"/>
  <c r="P844" i="16"/>
  <c r="P137" i="10"/>
  <c r="I107" i="4"/>
  <c r="R133" i="10"/>
  <c r="R354" i="7"/>
  <c r="M1133" i="17"/>
  <c r="M1134" i="17" s="1"/>
  <c r="M494" i="16"/>
  <c r="I230" i="15"/>
  <c r="I507" i="16" s="1"/>
  <c r="I512" i="16"/>
  <c r="M824" i="16"/>
  <c r="M48" i="9"/>
  <c r="M826" i="16" s="1"/>
  <c r="M76" i="7"/>
  <c r="S679" i="16"/>
  <c r="S133" i="7"/>
  <c r="P1314" i="17"/>
  <c r="P68" i="7"/>
  <c r="P269" i="7" s="1"/>
  <c r="E295" i="17"/>
  <c r="E451" i="17" s="1"/>
  <c r="O101" i="6"/>
  <c r="H236" i="16"/>
  <c r="C133" i="1"/>
  <c r="I125" i="4"/>
  <c r="I126" i="4" s="1"/>
  <c r="I120" i="7"/>
  <c r="I123" i="7" s="1"/>
  <c r="I520" i="16"/>
  <c r="I145" i="4"/>
  <c r="I146" i="4" s="1"/>
  <c r="Q72" i="7"/>
  <c r="Q713" i="16"/>
  <c r="D278" i="16"/>
  <c r="K15" i="16"/>
  <c r="L235" i="16"/>
  <c r="L57" i="7"/>
  <c r="I96" i="7" s="1"/>
  <c r="I132" i="7"/>
  <c r="I135" i="7" s="1"/>
  <c r="I148" i="4"/>
  <c r="I155" i="4" s="1"/>
  <c r="P858" i="16"/>
  <c r="P856" i="16"/>
  <c r="P857" i="16"/>
  <c r="P139" i="10"/>
  <c r="H678" i="16"/>
  <c r="H63" i="7"/>
  <c r="J40" i="7"/>
  <c r="J26" i="16" s="1"/>
  <c r="G40" i="7"/>
  <c r="E131" i="7"/>
  <c r="I412" i="16"/>
  <c r="D349" i="16"/>
  <c r="K17" i="16"/>
  <c r="J36" i="4"/>
  <c r="J32" i="6" s="1"/>
  <c r="K34" i="4"/>
  <c r="S386" i="16"/>
  <c r="S133" i="4"/>
  <c r="O1315" i="17"/>
  <c r="T199" i="16"/>
  <c r="T56" i="7"/>
  <c r="T24" i="7"/>
  <c r="H270" i="16"/>
  <c r="H58" i="7"/>
  <c r="J35" i="7"/>
  <c r="J14" i="16" s="1"/>
  <c r="G35" i="7"/>
  <c r="E100" i="7"/>
  <c r="I713" i="16"/>
  <c r="I72" i="7"/>
  <c r="I315" i="16"/>
  <c r="I121" i="4"/>
  <c r="I120" i="4"/>
  <c r="I122" i="4" s="1"/>
  <c r="I223" i="4"/>
  <c r="I446" i="16"/>
  <c r="I204" i="15"/>
  <c r="I441" i="16" s="1"/>
  <c r="Q512" i="16"/>
  <c r="Q230" i="15"/>
  <c r="Q507" i="16" s="1"/>
  <c r="H557" i="16"/>
  <c r="H36" i="6"/>
  <c r="H37" i="6" s="1"/>
  <c r="H73" i="8"/>
  <c r="H204" i="4"/>
  <c r="R40" i="5"/>
  <c r="S342" i="16"/>
  <c r="S115" i="7"/>
  <c r="Q581" i="16"/>
  <c r="G23" i="16"/>
  <c r="K306" i="16"/>
  <c r="L183" i="7"/>
  <c r="J1317" i="17"/>
  <c r="I96" i="4"/>
  <c r="I97" i="4" s="1"/>
  <c r="I220" i="4" s="1"/>
  <c r="I88" i="7"/>
  <c r="J653" i="16"/>
  <c r="J154" i="4"/>
  <c r="J152" i="4"/>
  <c r="J156" i="4" s="1"/>
  <c r="D452" i="16"/>
  <c r="K20" i="16"/>
  <c r="K140" i="7"/>
  <c r="K142" i="7" s="1"/>
  <c r="K243" i="7" s="1"/>
  <c r="K17" i="7"/>
  <c r="K65" i="7" s="1"/>
  <c r="T479" i="16"/>
  <c r="T217" i="15"/>
  <c r="T474" i="16" s="1"/>
  <c r="L130" i="5"/>
  <c r="M105" i="5"/>
  <c r="Q1133" i="17"/>
  <c r="Q1134" i="17" s="1"/>
  <c r="Q494" i="16"/>
  <c r="J71" i="4"/>
  <c r="K57" i="4"/>
  <c r="Q614" i="16"/>
  <c r="G24" i="16"/>
  <c r="K74" i="5"/>
  <c r="J88" i="5"/>
  <c r="J280" i="16"/>
  <c r="J148" i="5"/>
  <c r="J115" i="4"/>
  <c r="H864" i="16"/>
  <c r="H865" i="16"/>
  <c r="H140" i="10"/>
  <c r="H863" i="16"/>
  <c r="L411" i="16"/>
  <c r="L62" i="7"/>
  <c r="K647" i="16"/>
  <c r="F25" i="16"/>
  <c r="G312" i="7"/>
  <c r="G313" i="7" s="1"/>
  <c r="J74" i="4"/>
  <c r="K60" i="4"/>
  <c r="H125" i="4"/>
  <c r="H126" i="4" s="1"/>
  <c r="K114" i="7"/>
  <c r="K117" i="7" s="1"/>
  <c r="M386" i="16"/>
  <c r="M133" i="4"/>
  <c r="Q354" i="7"/>
  <c r="Q133" i="10"/>
  <c r="K653" i="16"/>
  <c r="K152" i="4"/>
  <c r="K156" i="4" s="1"/>
  <c r="K154" i="4"/>
  <c r="H21" i="9"/>
  <c r="T223" i="16"/>
  <c r="T916" i="16"/>
  <c r="T888" i="16"/>
  <c r="J678" i="16"/>
  <c r="J63" i="7"/>
  <c r="Q75" i="10"/>
  <c r="Q43" i="10"/>
  <c r="N161" i="4"/>
  <c r="N183" i="5"/>
  <c r="N162" i="4"/>
  <c r="N689" i="16" s="1"/>
  <c r="Q236" i="16"/>
  <c r="Q96" i="7"/>
  <c r="D551" i="16"/>
  <c r="K23" i="16"/>
  <c r="N280" i="16"/>
  <c r="N148" i="5"/>
  <c r="N115" i="4"/>
  <c r="K99" i="5"/>
  <c r="J127" i="5"/>
  <c r="H24" i="16"/>
  <c r="K615" i="16"/>
  <c r="S148" i="4"/>
  <c r="S153" i="4" s="1"/>
  <c r="S132" i="7"/>
  <c r="S135" i="7" s="1"/>
  <c r="D651" i="16"/>
  <c r="K26" i="16"/>
  <c r="N835" i="16"/>
  <c r="N837" i="16"/>
  <c r="N836" i="16"/>
  <c r="N136" i="10"/>
  <c r="N353" i="7"/>
  <c r="T1314" i="17"/>
  <c r="T68" i="7"/>
  <c r="T269" i="7" s="1"/>
  <c r="T120" i="7"/>
  <c r="T123" i="7" s="1"/>
  <c r="K133" i="10"/>
  <c r="K354" i="7"/>
  <c r="C155" i="1" s="1"/>
  <c r="T153" i="4"/>
  <c r="J83" i="4"/>
  <c r="K56" i="4"/>
  <c r="J70" i="4"/>
  <c r="J88" i="4" s="1"/>
  <c r="J209" i="16"/>
  <c r="J104" i="4"/>
  <c r="G367" i="17"/>
  <c r="G368" i="17" s="1"/>
  <c r="G716" i="17"/>
  <c r="G717" i="17" s="1"/>
  <c r="G566" i="17"/>
  <c r="G567" i="17" s="1"/>
  <c r="G81" i="7"/>
  <c r="G217" i="17"/>
  <c r="G218" i="17" s="1"/>
  <c r="L140" i="7"/>
  <c r="L142" i="7" s="1"/>
  <c r="L243" i="7" s="1"/>
  <c r="L17" i="7"/>
  <c r="L65" i="7" s="1"/>
  <c r="T161" i="4"/>
  <c r="T162" i="4"/>
  <c r="T689" i="16" s="1"/>
  <c r="T183" i="5"/>
  <c r="L315" i="16"/>
  <c r="L223" i="4"/>
  <c r="L121" i="4"/>
  <c r="L152" i="5" s="1"/>
  <c r="L120" i="4"/>
  <c r="S144" i="7"/>
  <c r="I836" i="16"/>
  <c r="I835" i="16"/>
  <c r="I136" i="10"/>
  <c r="I141" i="10" s="1"/>
  <c r="I837" i="16"/>
  <c r="I353" i="7"/>
  <c r="I354" i="7" s="1"/>
  <c r="M199" i="16"/>
  <c r="M24" i="7"/>
  <c r="M56" i="7"/>
  <c r="Q888" i="16"/>
  <c r="N9" i="5"/>
  <c r="M30" i="5"/>
  <c r="I856" i="16"/>
  <c r="I858" i="16"/>
  <c r="I139" i="10"/>
  <c r="I857" i="16"/>
  <c r="I101" i="6"/>
  <c r="I377" i="16"/>
  <c r="L19" i="7"/>
  <c r="L67" i="7" s="1"/>
  <c r="L71" i="7" s="1"/>
  <c r="L272" i="7" s="1"/>
  <c r="T377" i="16"/>
  <c r="T121" i="7"/>
  <c r="Q63" i="7"/>
  <c r="Q678" i="16"/>
  <c r="F624" i="17"/>
  <c r="F796" i="17" s="1"/>
  <c r="G624" i="17"/>
  <c r="G796" i="17" s="1"/>
  <c r="E624" i="17"/>
  <c r="E796" i="17" s="1"/>
  <c r="T796" i="16"/>
  <c r="T226" i="4"/>
  <c r="T176" i="4"/>
  <c r="T182" i="4" s="1"/>
  <c r="T181" i="4"/>
  <c r="T201" i="5"/>
  <c r="T177" i="4"/>
  <c r="T183" i="4" s="1"/>
  <c r="G666" i="17"/>
  <c r="G667" i="17" s="1"/>
  <c r="S114" i="7"/>
  <c r="S117" i="7" s="1"/>
  <c r="T428" i="16"/>
  <c r="T925" i="17"/>
  <c r="T926" i="17" s="1"/>
  <c r="K376" i="16"/>
  <c r="K61" i="7"/>
  <c r="Q817" i="16"/>
  <c r="Q824" i="16"/>
  <c r="Q76" i="7"/>
  <c r="Q48" i="9"/>
  <c r="Q168" i="7"/>
  <c r="H653" i="16"/>
  <c r="H152" i="4"/>
  <c r="I87" i="4"/>
  <c r="K18" i="16"/>
  <c r="D384" i="16"/>
  <c r="O236" i="16"/>
  <c r="O96" i="7"/>
  <c r="D686" i="16"/>
  <c r="E160" i="4"/>
  <c r="B198" i="1"/>
  <c r="H62" i="3"/>
  <c r="E635" i="2"/>
  <c r="K27" i="16"/>
  <c r="L36" i="7"/>
  <c r="L45" i="7" s="1"/>
  <c r="E11" i="7"/>
  <c r="Q315" i="16"/>
  <c r="Q120" i="4"/>
  <c r="Q223" i="4"/>
  <c r="Q121" i="4"/>
  <c r="L144" i="7"/>
  <c r="L79" i="4"/>
  <c r="M65" i="4"/>
  <c r="H179" i="7"/>
  <c r="I179" i="7" s="1"/>
  <c r="O17" i="5"/>
  <c r="N34" i="5"/>
  <c r="K108" i="7"/>
  <c r="K111" i="7" s="1"/>
  <c r="K113" i="4"/>
  <c r="G648" i="17"/>
  <c r="K271" i="16"/>
  <c r="T133" i="10"/>
  <c r="T545" i="16"/>
  <c r="T243" i="15"/>
  <c r="T540" i="16" s="1"/>
  <c r="T148" i="4"/>
  <c r="T155" i="4" s="1"/>
  <c r="T132" i="7"/>
  <c r="T135" i="7" s="1"/>
  <c r="L270" i="16"/>
  <c r="L58" i="7"/>
  <c r="I824" i="16"/>
  <c r="I48" i="9"/>
  <c r="I76" i="7"/>
  <c r="N44" i="7"/>
  <c r="R342" i="16"/>
  <c r="R115" i="7"/>
  <c r="H140" i="7"/>
  <c r="H142" i="7" s="1"/>
  <c r="H243" i="7" s="1"/>
  <c r="H138" i="4"/>
  <c r="H17" i="7"/>
  <c r="H65" i="7" s="1"/>
  <c r="K548" i="16"/>
  <c r="H22" i="16"/>
  <c r="Q376" i="16"/>
  <c r="Q61" i="7"/>
  <c r="K342" i="16"/>
  <c r="K115" i="7"/>
  <c r="H88" i="2"/>
  <c r="S315" i="16"/>
  <c r="S223" i="4"/>
  <c r="S120" i="4"/>
  <c r="S121" i="4"/>
  <c r="M844" i="17"/>
  <c r="M845" i="17" s="1"/>
  <c r="M245" i="5"/>
  <c r="M47" i="16"/>
  <c r="M446" i="16"/>
  <c r="M204" i="15"/>
  <c r="M441" i="16" s="1"/>
  <c r="H204" i="15"/>
  <c r="H441" i="16" s="1"/>
  <c r="H296" i="7"/>
  <c r="H446" i="16"/>
  <c r="H856" i="16"/>
  <c r="H857" i="16"/>
  <c r="H139" i="10"/>
  <c r="H858" i="16"/>
  <c r="J80" i="6"/>
  <c r="K1316" i="17"/>
  <c r="N865" i="16"/>
  <c r="N864" i="16"/>
  <c r="N140" i="10"/>
  <c r="N863" i="16"/>
  <c r="Q150" i="4"/>
  <c r="K654" i="16"/>
  <c r="K155" i="4"/>
  <c r="J68" i="7"/>
  <c r="J269" i="7" s="1"/>
  <c r="J132" i="7"/>
  <c r="J135" i="7" s="1"/>
  <c r="J148" i="4"/>
  <c r="J155" i="4" s="1"/>
  <c r="P305" i="16"/>
  <c r="P59" i="7"/>
  <c r="O836" i="16"/>
  <c r="O837" i="16"/>
  <c r="O835" i="16"/>
  <c r="O136" i="10"/>
  <c r="O353" i="7"/>
  <c r="O354" i="7" s="1"/>
  <c r="F26" i="16"/>
  <c r="K682" i="16"/>
  <c r="N199" i="16"/>
  <c r="N56" i="7"/>
  <c r="R114" i="7"/>
  <c r="R117" i="7" s="1"/>
  <c r="M1315" i="17"/>
  <c r="R270" i="16"/>
  <c r="R58" i="7"/>
  <c r="K44" i="4"/>
  <c r="J138" i="4"/>
  <c r="J45" i="4"/>
  <c r="O342" i="16"/>
  <c r="O115" i="7"/>
  <c r="M270" i="16"/>
  <c r="M58" i="7"/>
  <c r="K836" i="16"/>
  <c r="K837" i="16"/>
  <c r="K835" i="16"/>
  <c r="K136" i="10"/>
  <c r="K353" i="7"/>
  <c r="H945" i="17"/>
  <c r="H946" i="17" s="1"/>
  <c r="H79" i="16"/>
  <c r="H18" i="8"/>
  <c r="H90" i="16" s="1"/>
  <c r="H219" i="5"/>
  <c r="D682" i="16"/>
  <c r="E40" i="15"/>
  <c r="E26" i="16"/>
  <c r="G25" i="15"/>
  <c r="M184" i="4"/>
  <c r="M185" i="4" s="1"/>
  <c r="I209" i="16"/>
  <c r="I104" i="4"/>
  <c r="N236" i="16"/>
  <c r="N96" i="7"/>
  <c r="N125" i="4"/>
  <c r="N126" i="4" s="1"/>
  <c r="Q132" i="4"/>
  <c r="Q305" i="16"/>
  <c r="Q59" i="7"/>
  <c r="H151" i="4"/>
  <c r="I150" i="4"/>
  <c r="N153" i="4"/>
  <c r="N157" i="4" s="1"/>
  <c r="L863" i="16"/>
  <c r="L865" i="16"/>
  <c r="L864" i="16"/>
  <c r="L140" i="10"/>
  <c r="T849" i="16"/>
  <c r="T851" i="16"/>
  <c r="T850" i="16"/>
  <c r="T138" i="10"/>
  <c r="P223" i="16"/>
  <c r="P888" i="16"/>
  <c r="E1424" i="17"/>
  <c r="M108" i="7"/>
  <c r="M111" i="7" s="1"/>
  <c r="M113" i="4"/>
  <c r="O858" i="16"/>
  <c r="O857" i="16"/>
  <c r="O139" i="10"/>
  <c r="O856" i="16"/>
  <c r="J36" i="5"/>
  <c r="J177" i="7" s="1"/>
  <c r="K24" i="5"/>
  <c r="Q481" i="16"/>
  <c r="G20" i="16"/>
  <c r="M857" i="16"/>
  <c r="M858" i="16"/>
  <c r="M856" i="16"/>
  <c r="M139" i="10"/>
  <c r="J77" i="4"/>
  <c r="K63" i="4"/>
  <c r="J85" i="4"/>
  <c r="K547" i="16"/>
  <c r="F22" i="16"/>
  <c r="J1208" i="17"/>
  <c r="J1209" i="17" s="1"/>
  <c r="J145" i="16"/>
  <c r="J248" i="5"/>
  <c r="Q411" i="16"/>
  <c r="Q62" i="7"/>
  <c r="J72" i="7"/>
  <c r="J713" i="16"/>
  <c r="J183" i="5"/>
  <c r="J161" i="4"/>
  <c r="J162" i="4"/>
  <c r="J689" i="16" s="1"/>
  <c r="J108" i="16"/>
  <c r="J221" i="4"/>
  <c r="J144" i="4"/>
  <c r="J79" i="6"/>
  <c r="J53" i="4"/>
  <c r="J78" i="6"/>
  <c r="H144" i="7"/>
  <c r="J512" i="16"/>
  <c r="J230" i="15"/>
  <c r="J507" i="16" s="1"/>
  <c r="P63" i="7"/>
  <c r="P678" i="16"/>
  <c r="R801" i="16"/>
  <c r="R213" i="5"/>
  <c r="R267" i="5" s="1"/>
  <c r="J305" i="16"/>
  <c r="J59" i="7"/>
  <c r="N849" i="16"/>
  <c r="N850" i="16"/>
  <c r="N138" i="10"/>
  <c r="N851" i="16"/>
  <c r="H57" i="16"/>
  <c r="P342" i="16"/>
  <c r="P115" i="7"/>
  <c r="K446" i="16"/>
  <c r="K204" i="15"/>
  <c r="K441" i="16" s="1"/>
  <c r="N954" i="17"/>
  <c r="N955" i="17" s="1"/>
  <c r="N70" i="15"/>
  <c r="N84" i="16" s="1"/>
  <c r="N24" i="9"/>
  <c r="H71" i="7"/>
  <c r="H272" i="7" s="1"/>
  <c r="Q138" i="7"/>
  <c r="K106" i="4"/>
  <c r="J107" i="4"/>
  <c r="E119" i="7"/>
  <c r="S120" i="7" s="1"/>
  <c r="S123" i="7" s="1"/>
  <c r="I1133" i="17"/>
  <c r="I1134" i="17" s="1"/>
  <c r="I494" i="16"/>
  <c r="P925" i="17"/>
  <c r="P926" i="17" s="1"/>
  <c r="P428" i="16"/>
  <c r="P377" i="16"/>
  <c r="P121" i="7"/>
  <c r="N101" i="6"/>
  <c r="S133" i="10"/>
  <c r="E125" i="7"/>
  <c r="M126" i="7" s="1"/>
  <c r="M129" i="7" s="1"/>
  <c r="R843" i="16"/>
  <c r="R842" i="16"/>
  <c r="R844" i="16"/>
  <c r="R137" i="10"/>
  <c r="J138" i="7"/>
  <c r="E10" i="7"/>
  <c r="R824" i="16"/>
  <c r="R76" i="7"/>
  <c r="R168" i="7"/>
  <c r="R48" i="9"/>
  <c r="R826" i="16" s="1"/>
  <c r="Q863" i="16"/>
  <c r="Q864" i="16"/>
  <c r="Q865" i="16"/>
  <c r="Q140" i="10"/>
  <c r="J101" i="6"/>
  <c r="J33" i="6"/>
  <c r="F23" i="16"/>
  <c r="K581" i="16"/>
  <c r="S824" i="16"/>
  <c r="S48" i="9"/>
  <c r="S76" i="7"/>
  <c r="S168" i="7"/>
  <c r="G39" i="7"/>
  <c r="H896" i="17" l="1"/>
  <c r="H897" i="17" s="1"/>
  <c r="H321" i="16"/>
  <c r="H253" i="5"/>
  <c r="L1228" i="17"/>
  <c r="L1229" i="17" s="1"/>
  <c r="L656" i="16"/>
  <c r="L207" i="4"/>
  <c r="L177" i="5"/>
  <c r="L205" i="7"/>
  <c r="L276" i="7" s="1"/>
  <c r="L85" i="8"/>
  <c r="T896" i="17"/>
  <c r="T897" i="17" s="1"/>
  <c r="T321" i="16"/>
  <c r="T253" i="5"/>
  <c r="M896" i="17"/>
  <c r="M897" i="17" s="1"/>
  <c r="M321" i="16"/>
  <c r="M253" i="5"/>
  <c r="H560" i="16"/>
  <c r="H250" i="15"/>
  <c r="H39" i="6"/>
  <c r="H287" i="5"/>
  <c r="H38" i="6"/>
  <c r="H90" i="6" s="1"/>
  <c r="K1309" i="17"/>
  <c r="K1310" i="17"/>
  <c r="L896" i="17"/>
  <c r="L897" i="17" s="1"/>
  <c r="L321" i="16"/>
  <c r="L253" i="5"/>
  <c r="I112" i="16"/>
  <c r="I22" i="8"/>
  <c r="I123" i="16" s="1"/>
  <c r="I220" i="5"/>
  <c r="I94" i="5"/>
  <c r="O896" i="17"/>
  <c r="O897" i="17" s="1"/>
  <c r="O321" i="16"/>
  <c r="O253" i="5"/>
  <c r="I40" i="6"/>
  <c r="J8" i="9"/>
  <c r="I20" i="9"/>
  <c r="J1307" i="17"/>
  <c r="J1308" i="17"/>
  <c r="S157" i="4"/>
  <c r="H176" i="5"/>
  <c r="Q212" i="5"/>
  <c r="Q240" i="5" s="1"/>
  <c r="Q800" i="16"/>
  <c r="Q107" i="8"/>
  <c r="Q210" i="5"/>
  <c r="J40" i="6"/>
  <c r="H147" i="7"/>
  <c r="Q412" i="16"/>
  <c r="Q127" i="7"/>
  <c r="J179" i="7"/>
  <c r="K126" i="7"/>
  <c r="K129" i="7" s="1"/>
  <c r="J1254" i="17"/>
  <c r="J1255" i="17" s="1"/>
  <c r="J92" i="4"/>
  <c r="J126" i="5"/>
  <c r="J128" i="5"/>
  <c r="M204" i="7"/>
  <c r="M389" i="16"/>
  <c r="M199" i="4"/>
  <c r="M53" i="8"/>
  <c r="K71" i="4"/>
  <c r="L57" i="4"/>
  <c r="T200" i="16"/>
  <c r="T80" i="7"/>
  <c r="T89" i="7"/>
  <c r="H679" i="16"/>
  <c r="M133" i="7"/>
  <c r="Q714" i="16"/>
  <c r="I1081" i="17"/>
  <c r="I1082" i="17" s="1"/>
  <c r="I461" i="16"/>
  <c r="I144" i="10"/>
  <c r="I147" i="10" s="1"/>
  <c r="I134" i="10"/>
  <c r="I145" i="10" s="1"/>
  <c r="M122" i="4"/>
  <c r="O864" i="17"/>
  <c r="O865" i="17" s="1"/>
  <c r="O283" i="16"/>
  <c r="O41" i="8"/>
  <c r="O149" i="5"/>
  <c r="O201" i="7"/>
  <c r="O196" i="4"/>
  <c r="T389" i="16"/>
  <c r="T53" i="8"/>
  <c r="T199" i="4"/>
  <c r="T204" i="7"/>
  <c r="G260" i="17"/>
  <c r="G444" i="17" s="1"/>
  <c r="F260" i="17"/>
  <c r="F444" i="17" s="1"/>
  <c r="E260" i="17"/>
  <c r="E444" i="17" s="1"/>
  <c r="H306" i="16"/>
  <c r="H265" i="7"/>
  <c r="K109" i="7"/>
  <c r="H1202" i="17"/>
  <c r="H1203" i="17" s="1"/>
  <c r="H143" i="16"/>
  <c r="H197" i="7"/>
  <c r="H192" i="4"/>
  <c r="H212" i="4" s="1"/>
  <c r="H131" i="5"/>
  <c r="H25" i="8"/>
  <c r="H29" i="16"/>
  <c r="K788" i="16"/>
  <c r="O783" i="16"/>
  <c r="O74" i="7"/>
  <c r="K170" i="4"/>
  <c r="K759" i="16" s="1"/>
  <c r="K169" i="4"/>
  <c r="K195" i="5"/>
  <c r="R75" i="10"/>
  <c r="R43" i="10"/>
  <c r="K32" i="6"/>
  <c r="K31" i="6"/>
  <c r="K34" i="6"/>
  <c r="N50" i="5"/>
  <c r="M65" i="5"/>
  <c r="J1185" i="17"/>
  <c r="J1186" i="17" s="1"/>
  <c r="J527" i="16"/>
  <c r="J557" i="16"/>
  <c r="J36" i="6"/>
  <c r="J37" i="6"/>
  <c r="J73" i="8"/>
  <c r="J204" i="4"/>
  <c r="J377" i="16"/>
  <c r="L64" i="4"/>
  <c r="K78" i="4"/>
  <c r="T412" i="16"/>
  <c r="T268" i="7"/>
  <c r="T127" i="7"/>
  <c r="S165" i="4"/>
  <c r="S166" i="4"/>
  <c r="S724" i="16" s="1"/>
  <c r="S189" i="5"/>
  <c r="J189" i="5"/>
  <c r="J166" i="4"/>
  <c r="J724" i="16" s="1"/>
  <c r="J165" i="4"/>
  <c r="L51" i="4"/>
  <c r="M50" i="4"/>
  <c r="L147" i="7"/>
  <c r="Q386" i="16"/>
  <c r="Q133" i="4"/>
  <c r="Q653" i="16"/>
  <c r="Q152" i="4"/>
  <c r="Q156" i="4" s="1"/>
  <c r="Q154" i="4"/>
  <c r="Q825" i="16"/>
  <c r="Q52" i="9"/>
  <c r="L545" i="16"/>
  <c r="L243" i="15"/>
  <c r="L540" i="16" s="1"/>
  <c r="N30" i="5"/>
  <c r="O9" i="5"/>
  <c r="K83" i="4"/>
  <c r="L56" i="4"/>
  <c r="K70" i="4"/>
  <c r="K88" i="4" s="1"/>
  <c r="I890" i="17"/>
  <c r="I891" i="17" s="1"/>
  <c r="I319" i="16"/>
  <c r="I197" i="4"/>
  <c r="I202" i="7"/>
  <c r="I266" i="7" s="1"/>
  <c r="I45" i="8"/>
  <c r="I153" i="5"/>
  <c r="O126" i="7"/>
  <c r="O129" i="7" s="1"/>
  <c r="P446" i="16"/>
  <c r="P204" i="15"/>
  <c r="P441" i="16" s="1"/>
  <c r="I1304" i="17"/>
  <c r="P688" i="16"/>
  <c r="P182" i="5"/>
  <c r="P184" i="5" s="1"/>
  <c r="P163" i="4"/>
  <c r="J134" i="10"/>
  <c r="J135" i="10"/>
  <c r="H688" i="16"/>
  <c r="H163" i="4"/>
  <c r="H182" i="5"/>
  <c r="H184" i="5" s="1"/>
  <c r="N37" i="7"/>
  <c r="I942" i="17"/>
  <c r="I943" i="17" s="1"/>
  <c r="I17" i="8"/>
  <c r="I78" i="16"/>
  <c r="I190" i="4"/>
  <c r="I66" i="5"/>
  <c r="I195" i="7"/>
  <c r="I259" i="7" s="1"/>
  <c r="S714" i="16"/>
  <c r="H169" i="4"/>
  <c r="H170" i="4"/>
  <c r="H759" i="16" s="1"/>
  <c r="H195" i="5"/>
  <c r="T122" i="4"/>
  <c r="R479" i="16"/>
  <c r="R217" i="15"/>
  <c r="R474" i="16" s="1"/>
  <c r="L37" i="4"/>
  <c r="M35" i="4"/>
  <c r="O688" i="16"/>
  <c r="O163" i="4"/>
  <c r="O182" i="5"/>
  <c r="O184" i="5" s="1"/>
  <c r="L825" i="16"/>
  <c r="L52" i="9"/>
  <c r="L75" i="10"/>
  <c r="L43" i="10"/>
  <c r="J31" i="6"/>
  <c r="H133" i="16"/>
  <c r="H87" i="15"/>
  <c r="H128" i="16" s="1"/>
  <c r="K799" i="16"/>
  <c r="K369" i="15"/>
  <c r="K817" i="16" s="1"/>
  <c r="K205" i="5"/>
  <c r="K206" i="5" s="1"/>
  <c r="K211" i="5"/>
  <c r="K106" i="8"/>
  <c r="K186" i="4"/>
  <c r="T75" i="10"/>
  <c r="T43" i="10"/>
  <c r="J351" i="16"/>
  <c r="J222" i="4"/>
  <c r="J141" i="4"/>
  <c r="J129" i="4"/>
  <c r="O748" i="16"/>
  <c r="O73" i="7"/>
  <c r="M165" i="4"/>
  <c r="M189" i="5"/>
  <c r="M166" i="4"/>
  <c r="M724" i="16" s="1"/>
  <c r="S156" i="4"/>
  <c r="I147" i="7"/>
  <c r="J620" i="16"/>
  <c r="J81" i="6"/>
  <c r="K36" i="5"/>
  <c r="K177" i="7" s="1"/>
  <c r="L24" i="5"/>
  <c r="J126" i="7"/>
  <c r="J129" i="7" s="1"/>
  <c r="Q377" i="16"/>
  <c r="Q121" i="7"/>
  <c r="M157" i="4"/>
  <c r="T134" i="10"/>
  <c r="T135" i="10" s="1"/>
  <c r="T144" i="10"/>
  <c r="T147" i="10" s="1"/>
  <c r="N65" i="4"/>
  <c r="M79" i="4"/>
  <c r="J87" i="4"/>
  <c r="J679" i="16"/>
  <c r="S40" i="5"/>
  <c r="I1176" i="17"/>
  <c r="I1177" i="17" s="1"/>
  <c r="I523" i="16"/>
  <c r="I69" i="8"/>
  <c r="I173" i="5"/>
  <c r="I203" i="4"/>
  <c r="I174" i="5"/>
  <c r="R134" i="10"/>
  <c r="R135" i="10" s="1"/>
  <c r="R144" i="10"/>
  <c r="R147" i="10" s="1"/>
  <c r="I306" i="16"/>
  <c r="O271" i="16"/>
  <c r="O103" i="7"/>
  <c r="K679" i="16"/>
  <c r="I557" i="16"/>
  <c r="I36" i="6"/>
  <c r="I73" i="8"/>
  <c r="I204" i="4"/>
  <c r="I37" i="6"/>
  <c r="I38" i="6" s="1"/>
  <c r="I90" i="6" s="1"/>
  <c r="L799" i="16"/>
  <c r="L369" i="15"/>
  <c r="L817" i="16" s="1"/>
  <c r="L106" i="8"/>
  <c r="L211" i="5"/>
  <c r="L205" i="5"/>
  <c r="L206" i="5" s="1"/>
  <c r="L186" i="4"/>
  <c r="K364" i="7"/>
  <c r="L364" i="7" s="1"/>
  <c r="E38" i="7"/>
  <c r="P38" i="7" s="1"/>
  <c r="I17" i="16"/>
  <c r="Q870" i="17"/>
  <c r="Q871" i="17" s="1"/>
  <c r="Q285" i="16"/>
  <c r="Q252" i="5"/>
  <c r="P896" i="17"/>
  <c r="P897" i="17" s="1"/>
  <c r="P321" i="16"/>
  <c r="P253" i="5"/>
  <c r="I945" i="17"/>
  <c r="I946" i="17" s="1"/>
  <c r="I79" i="16"/>
  <c r="I219" i="5"/>
  <c r="I18" i="8"/>
  <c r="I90" i="16" s="1"/>
  <c r="K825" i="16"/>
  <c r="K52" i="9"/>
  <c r="Q783" i="16"/>
  <c r="Q74" i="7"/>
  <c r="I783" i="16"/>
  <c r="I74" i="7"/>
  <c r="P195" i="5"/>
  <c r="P170" i="4"/>
  <c r="P759" i="16" s="1"/>
  <c r="P169" i="4"/>
  <c r="L169" i="4"/>
  <c r="L195" i="5"/>
  <c r="L170" i="4"/>
  <c r="L759" i="16" s="1"/>
  <c r="R461" i="16"/>
  <c r="R1081" i="17"/>
  <c r="R1082" i="17" s="1"/>
  <c r="H997" i="17"/>
  <c r="H998" i="17" s="1"/>
  <c r="H213" i="16"/>
  <c r="H34" i="8"/>
  <c r="H225" i="16" s="1"/>
  <c r="H223" i="5"/>
  <c r="Q200" i="16"/>
  <c r="Q89" i="7"/>
  <c r="P271" i="16"/>
  <c r="P103" i="7"/>
  <c r="L826" i="16"/>
  <c r="M141" i="10"/>
  <c r="P184" i="4"/>
  <c r="P185" i="4" s="1"/>
  <c r="O165" i="4"/>
  <c r="O189" i="5"/>
  <c r="O166" i="4"/>
  <c r="O724" i="16" s="1"/>
  <c r="T748" i="16"/>
  <c r="T73" i="7"/>
  <c r="J245" i="16"/>
  <c r="J109" i="4"/>
  <c r="J147" i="7"/>
  <c r="J1150" i="17"/>
  <c r="J1151" i="17" s="1"/>
  <c r="J111" i="16"/>
  <c r="J21" i="8"/>
  <c r="J196" i="7"/>
  <c r="J91" i="5"/>
  <c r="J191" i="4"/>
  <c r="J178" i="7"/>
  <c r="N120" i="7"/>
  <c r="N123" i="7" s="1"/>
  <c r="O141" i="10"/>
  <c r="Q826" i="16"/>
  <c r="T184" i="4"/>
  <c r="T185" i="4" s="1"/>
  <c r="M200" i="16"/>
  <c r="M89" i="7"/>
  <c r="T157" i="4"/>
  <c r="H120" i="7"/>
  <c r="H123" i="7" s="1"/>
  <c r="S389" i="16"/>
  <c r="S53" i="8"/>
  <c r="S204" i="7"/>
  <c r="S199" i="4"/>
  <c r="I245" i="16"/>
  <c r="I109" i="4"/>
  <c r="S306" i="16"/>
  <c r="S109" i="7"/>
  <c r="P386" i="16"/>
  <c r="P133" i="4"/>
  <c r="J200" i="16"/>
  <c r="J80" i="7"/>
  <c r="J89" i="7"/>
  <c r="H122" i="4"/>
  <c r="N377" i="16"/>
  <c r="N121" i="7"/>
  <c r="K714" i="16"/>
  <c r="P126" i="7"/>
  <c r="P129" i="7" s="1"/>
  <c r="G891" i="16"/>
  <c r="N34" i="7"/>
  <c r="R688" i="16"/>
  <c r="R225" i="4"/>
  <c r="R163" i="4"/>
  <c r="R182" i="5"/>
  <c r="R184" i="5" s="1"/>
  <c r="Q864" i="17"/>
  <c r="Q865" i="17" s="1"/>
  <c r="Q41" i="8"/>
  <c r="Q196" i="4"/>
  <c r="Q283" i="16"/>
  <c r="Q149" i="5"/>
  <c r="Q201" i="7"/>
  <c r="Q265" i="7" s="1"/>
  <c r="R152" i="5"/>
  <c r="R153" i="5" s="1"/>
  <c r="Q126" i="7"/>
  <c r="Q129" i="7" s="1"/>
  <c r="Q688" i="16"/>
  <c r="Q163" i="4"/>
  <c r="Q182" i="5"/>
  <c r="Q184" i="5" s="1"/>
  <c r="G214" i="11"/>
  <c r="G213" i="11"/>
  <c r="G671" i="17" s="1"/>
  <c r="G672" i="17" s="1"/>
  <c r="R783" i="16"/>
  <c r="R74" i="7"/>
  <c r="D756" i="16"/>
  <c r="E168" i="4"/>
  <c r="E703" i="2"/>
  <c r="K29" i="16"/>
  <c r="B200" i="1"/>
  <c r="H64" i="3"/>
  <c r="L783" i="16"/>
  <c r="L74" i="7"/>
  <c r="S783" i="16"/>
  <c r="S74" i="7"/>
  <c r="K787" i="16"/>
  <c r="F29" i="16"/>
  <c r="K1299" i="17"/>
  <c r="K1300" i="17" s="1"/>
  <c r="K84" i="4"/>
  <c r="K75" i="4"/>
  <c r="K89" i="4" s="1"/>
  <c r="K1257" i="17" s="1"/>
  <c r="K1258" i="17" s="1"/>
  <c r="L61" i="4"/>
  <c r="Q153" i="4"/>
  <c r="Q157" i="4" s="1"/>
  <c r="H994" i="17"/>
  <c r="H995" i="17" s="1"/>
  <c r="H199" i="7"/>
  <c r="H194" i="4"/>
  <c r="H212" i="16"/>
  <c r="H141" i="5"/>
  <c r="H33" i="8"/>
  <c r="N134" i="10"/>
  <c r="N135" i="10" s="1"/>
  <c r="H922" i="17"/>
  <c r="H923" i="17" s="1"/>
  <c r="H426" i="16"/>
  <c r="H256" i="5"/>
  <c r="R280" i="16"/>
  <c r="R115" i="4"/>
  <c r="R148" i="5"/>
  <c r="P42" i="5"/>
  <c r="O61" i="5"/>
  <c r="S155" i="4"/>
  <c r="R679" i="16"/>
  <c r="R133" i="7"/>
  <c r="P748" i="16"/>
  <c r="P73" i="7"/>
  <c r="T166" i="4"/>
  <c r="T724" i="16" s="1"/>
  <c r="T165" i="4"/>
  <c r="T189" i="5"/>
  <c r="I748" i="16"/>
  <c r="I73" i="7"/>
  <c r="L714" i="16"/>
  <c r="S154" i="4"/>
  <c r="H545" i="16"/>
  <c r="H243" i="15"/>
  <c r="H540" i="16" s="1"/>
  <c r="H299" i="7"/>
  <c r="H434" i="16"/>
  <c r="H437" i="16"/>
  <c r="I296" i="7"/>
  <c r="P17" i="5"/>
  <c r="O34" i="5"/>
  <c r="H187" i="12"/>
  <c r="H188" i="12" s="1"/>
  <c r="L62" i="4"/>
  <c r="K76" i="4"/>
  <c r="P1228" i="17"/>
  <c r="P1229" i="17" s="1"/>
  <c r="P656" i="16"/>
  <c r="P85" i="8"/>
  <c r="P207" i="4"/>
  <c r="P205" i="7"/>
  <c r="P276" i="7" s="1"/>
  <c r="P177" i="5"/>
  <c r="O870" i="17"/>
  <c r="O871" i="17" s="1"/>
  <c r="O285" i="16"/>
  <c r="O252" i="5"/>
  <c r="H590" i="16"/>
  <c r="H205" i="4"/>
  <c r="H61" i="6"/>
  <c r="H77" i="8"/>
  <c r="G282" i="17"/>
  <c r="G283" i="17" s="1"/>
  <c r="G263" i="12"/>
  <c r="P142" i="10"/>
  <c r="P143" i="10" s="1"/>
  <c r="H1205" i="17"/>
  <c r="H1206" i="17" s="1"/>
  <c r="H26" i="8"/>
  <c r="H155" i="16" s="1"/>
  <c r="H144" i="16"/>
  <c r="H221" i="5"/>
  <c r="R200" i="16"/>
  <c r="R89" i="7"/>
  <c r="T195" i="5"/>
  <c r="T170" i="4"/>
  <c r="T759" i="16" s="1"/>
  <c r="T169" i="4"/>
  <c r="L948" i="17"/>
  <c r="L949" i="17" s="1"/>
  <c r="L80" i="16"/>
  <c r="L246" i="5"/>
  <c r="K890" i="17"/>
  <c r="K891" i="17" s="1"/>
  <c r="K202" i="7"/>
  <c r="K266" i="7" s="1"/>
  <c r="K197" i="4"/>
  <c r="K45" i="8"/>
  <c r="K319" i="16"/>
  <c r="K147" i="7"/>
  <c r="H351" i="16"/>
  <c r="H129" i="4"/>
  <c r="H222" i="4"/>
  <c r="H141" i="4"/>
  <c r="I91" i="7"/>
  <c r="I714" i="16"/>
  <c r="N69" i="7"/>
  <c r="N270" i="7" s="1"/>
  <c r="N1314" i="17"/>
  <c r="C136" i="1"/>
  <c r="N95" i="7"/>
  <c r="N98" i="7" s="1"/>
  <c r="P95" i="7"/>
  <c r="P98" i="7" s="1"/>
  <c r="H95" i="7"/>
  <c r="H98" i="7" s="1"/>
  <c r="I95" i="7"/>
  <c r="I98" i="7" s="1"/>
  <c r="K95" i="7"/>
  <c r="K98" i="7" s="1"/>
  <c r="J95" i="7"/>
  <c r="J98" i="7" s="1"/>
  <c r="T95" i="7"/>
  <c r="T98" i="7" s="1"/>
  <c r="S95" i="7"/>
  <c r="S98" i="7" s="1"/>
  <c r="S200" i="16"/>
  <c r="S89" i="7"/>
  <c r="Q195" i="5"/>
  <c r="Q170" i="4"/>
  <c r="Q759" i="16" s="1"/>
  <c r="Q169" i="4"/>
  <c r="M116" i="7"/>
  <c r="L116" i="7"/>
  <c r="O116" i="7"/>
  <c r="K116" i="7"/>
  <c r="P116" i="7"/>
  <c r="N116" i="7"/>
  <c r="R116" i="7"/>
  <c r="Q116" i="7"/>
  <c r="I116" i="7"/>
  <c r="T116" i="7"/>
  <c r="S116" i="7"/>
  <c r="J116" i="7"/>
  <c r="H116" i="7"/>
  <c r="H259" i="7"/>
  <c r="J748" i="16"/>
  <c r="J73" i="7"/>
  <c r="K189" i="5"/>
  <c r="K166" i="4"/>
  <c r="K724" i="16" s="1"/>
  <c r="K165" i="4"/>
  <c r="K752" i="16"/>
  <c r="F28" i="16"/>
  <c r="S144" i="10"/>
  <c r="S147" i="10" s="1"/>
  <c r="S134" i="10"/>
  <c r="S135" i="10" s="1"/>
  <c r="K134" i="10"/>
  <c r="K135" i="10" s="1"/>
  <c r="K144" i="10"/>
  <c r="K147" i="10" s="1"/>
  <c r="J864" i="17"/>
  <c r="J865" i="17" s="1"/>
  <c r="J201" i="7"/>
  <c r="J41" i="8"/>
  <c r="J149" i="5"/>
  <c r="J196" i="4"/>
  <c r="J283" i="16"/>
  <c r="I351" i="16"/>
  <c r="I222" i="4"/>
  <c r="I141" i="4"/>
  <c r="I129" i="4"/>
  <c r="J141" i="10"/>
  <c r="O377" i="16"/>
  <c r="O121" i="7"/>
  <c r="M306" i="16"/>
  <c r="M109" i="7"/>
  <c r="N306" i="16"/>
  <c r="N265" i="7"/>
  <c r="N109" i="7"/>
  <c r="Q896" i="17"/>
  <c r="Q897" i="17" s="1"/>
  <c r="Q321" i="16"/>
  <c r="Q253" i="5"/>
  <c r="N389" i="16"/>
  <c r="N204" i="7"/>
  <c r="N268" i="7" s="1"/>
  <c r="N199" i="4"/>
  <c r="N53" i="8"/>
  <c r="O69" i="7"/>
  <c r="O270" i="7" s="1"/>
  <c r="O1314" i="17"/>
  <c r="J1156" i="17"/>
  <c r="J1157" i="17" s="1"/>
  <c r="J113" i="16"/>
  <c r="J247" i="5"/>
  <c r="I688" i="16"/>
  <c r="I163" i="4"/>
  <c r="I182" i="5"/>
  <c r="I184" i="5" s="1"/>
  <c r="N679" i="16"/>
  <c r="N276" i="7"/>
  <c r="N133" i="7"/>
  <c r="Q748" i="16"/>
  <c r="Q73" i="7"/>
  <c r="O147" i="7"/>
  <c r="L60" i="4"/>
  <c r="K74" i="4"/>
  <c r="J41" i="4"/>
  <c r="J38" i="4"/>
  <c r="I1072" i="17"/>
  <c r="I1073" i="17" s="1"/>
  <c r="I167" i="5"/>
  <c r="I61" i="8"/>
  <c r="I168" i="5"/>
  <c r="I201" i="4"/>
  <c r="I457" i="16"/>
  <c r="S69" i="7"/>
  <c r="S270" i="7" s="1"/>
  <c r="S1314" i="17"/>
  <c r="I838" i="17"/>
  <c r="I839" i="17" s="1"/>
  <c r="I45" i="16"/>
  <c r="I194" i="7"/>
  <c r="I189" i="4"/>
  <c r="I13" i="8"/>
  <c r="H714" i="16"/>
  <c r="S870" i="17"/>
  <c r="S871" i="17" s="1"/>
  <c r="S285" i="16"/>
  <c r="S252" i="5"/>
  <c r="O461" i="16"/>
  <c r="O1081" i="17"/>
  <c r="O1082" i="17" s="1"/>
  <c r="N169" i="4"/>
  <c r="N195" i="5"/>
  <c r="N170" i="4"/>
  <c r="N759" i="16" s="1"/>
  <c r="T141" i="10"/>
  <c r="K753" i="16"/>
  <c r="H28" i="16"/>
  <c r="M479" i="16"/>
  <c r="M217" i="15"/>
  <c r="M474" i="16" s="1"/>
  <c r="R271" i="16"/>
  <c r="R103" i="7"/>
  <c r="J87" i="6"/>
  <c r="E101" i="7"/>
  <c r="M1301" i="17"/>
  <c r="L1301" i="17"/>
  <c r="N1301" i="17"/>
  <c r="K1301" i="17"/>
  <c r="J1301" i="17"/>
  <c r="H258" i="7"/>
  <c r="I18" i="16"/>
  <c r="E39" i="7"/>
  <c r="P39" i="7" s="1"/>
  <c r="K363" i="7"/>
  <c r="L363" i="7" s="1"/>
  <c r="K545" i="16"/>
  <c r="K243" i="15"/>
  <c r="K540" i="16" s="1"/>
  <c r="K28" i="16"/>
  <c r="D721" i="16"/>
  <c r="B199" i="1"/>
  <c r="E669" i="2"/>
  <c r="E164" i="4"/>
  <c r="H63" i="3"/>
  <c r="D752" i="16"/>
  <c r="E28" i="16"/>
  <c r="G27" i="15"/>
  <c r="S748" i="16"/>
  <c r="S73" i="7"/>
  <c r="I28" i="16"/>
  <c r="E42" i="7"/>
  <c r="P42" i="7" s="1"/>
  <c r="J217" i="15"/>
  <c r="J474" i="16" s="1"/>
  <c r="J479" i="16"/>
  <c r="O389" i="16"/>
  <c r="O199" i="4"/>
  <c r="O53" i="8"/>
  <c r="O204" i="7"/>
  <c r="O268" i="7" s="1"/>
  <c r="S825" i="16"/>
  <c r="S52" i="9"/>
  <c r="L63" i="4"/>
  <c r="K77" i="4"/>
  <c r="K90" i="4" s="1"/>
  <c r="K1260" i="17" s="1"/>
  <c r="K1261" i="17" s="1"/>
  <c r="K85" i="4"/>
  <c r="I994" i="17"/>
  <c r="I995" i="17" s="1"/>
  <c r="I212" i="16"/>
  <c r="I141" i="5"/>
  <c r="I199" i="7"/>
  <c r="I263" i="7" s="1"/>
  <c r="I194" i="4"/>
  <c r="I33" i="8"/>
  <c r="S141" i="7"/>
  <c r="R141" i="7"/>
  <c r="Q141" i="7"/>
  <c r="P141" i="7"/>
  <c r="O141" i="7"/>
  <c r="N141" i="7"/>
  <c r="H69" i="7"/>
  <c r="H270" i="7" s="1"/>
  <c r="M141" i="7"/>
  <c r="J141" i="7"/>
  <c r="I141" i="7"/>
  <c r="L141" i="7"/>
  <c r="K141" i="7"/>
  <c r="T141" i="7"/>
  <c r="H141" i="7"/>
  <c r="H1314" i="17"/>
  <c r="L271" i="16"/>
  <c r="L103" i="7"/>
  <c r="Q122" i="4"/>
  <c r="I142" i="10"/>
  <c r="I143" i="10"/>
  <c r="L99" i="5"/>
  <c r="K127" i="5"/>
  <c r="N35" i="7"/>
  <c r="E24" i="7"/>
  <c r="Q147" i="7"/>
  <c r="M280" i="16"/>
  <c r="M115" i="4"/>
  <c r="M148" i="5"/>
  <c r="H159" i="5"/>
  <c r="J896" i="17"/>
  <c r="J897" i="17" s="1"/>
  <c r="J321" i="16"/>
  <c r="J253" i="5"/>
  <c r="L688" i="16"/>
  <c r="L182" i="5"/>
  <c r="L184" i="5" s="1"/>
  <c r="L225" i="4"/>
  <c r="L163" i="4"/>
  <c r="O95" i="7"/>
  <c r="O98" i="7" s="1"/>
  <c r="K362" i="7"/>
  <c r="L362" i="7" s="1"/>
  <c r="E34" i="7"/>
  <c r="P34" i="7" s="1"/>
  <c r="I13" i="16"/>
  <c r="I139" i="5"/>
  <c r="T714" i="16"/>
  <c r="O144" i="10"/>
  <c r="O147" i="10" s="1"/>
  <c r="O134" i="10"/>
  <c r="H165" i="4"/>
  <c r="H189" i="5"/>
  <c r="H166" i="4"/>
  <c r="H724" i="16" s="1"/>
  <c r="H1081" i="17"/>
  <c r="H1082" i="17" s="1"/>
  <c r="H461" i="16"/>
  <c r="G25" i="7"/>
  <c r="H864" i="17"/>
  <c r="H865" i="17" s="1"/>
  <c r="H283" i="16"/>
  <c r="H196" i="4"/>
  <c r="H41" i="8"/>
  <c r="H149" i="5"/>
  <c r="H201" i="7"/>
  <c r="O81" i="4"/>
  <c r="P67" i="4"/>
  <c r="I623" i="16"/>
  <c r="I83" i="6"/>
  <c r="I81" i="8"/>
  <c r="I206" i="4"/>
  <c r="H133" i="10"/>
  <c r="H354" i="7"/>
  <c r="H389" i="16"/>
  <c r="H204" i="7"/>
  <c r="H199" i="4"/>
  <c r="H161" i="5"/>
  <c r="H53" i="8"/>
  <c r="H1150" i="17"/>
  <c r="H1151" i="17" s="1"/>
  <c r="I280" i="16"/>
  <c r="I115" i="4"/>
  <c r="I148" i="5"/>
  <c r="J52" i="9"/>
  <c r="J825" i="16"/>
  <c r="P783" i="16"/>
  <c r="P74" i="7"/>
  <c r="O195" i="5"/>
  <c r="O170" i="4"/>
  <c r="O759" i="16" s="1"/>
  <c r="O169" i="4"/>
  <c r="I29" i="16"/>
  <c r="E43" i="7"/>
  <c r="P43" i="7" s="1"/>
  <c r="I24" i="7"/>
  <c r="Q1185" i="17"/>
  <c r="Q1186" i="17" s="1"/>
  <c r="Q527" i="16"/>
  <c r="N122" i="4"/>
  <c r="O306" i="16"/>
  <c r="O265" i="7"/>
  <c r="O109" i="7"/>
  <c r="H95" i="6"/>
  <c r="O825" i="16"/>
  <c r="O52" i="9"/>
  <c r="R141" i="10"/>
  <c r="H799" i="16"/>
  <c r="H106" i="8"/>
  <c r="H369" i="15"/>
  <c r="H186" i="4"/>
  <c r="H205" i="5"/>
  <c r="H206" i="5" s="1"/>
  <c r="H211" i="5"/>
  <c r="Q165" i="4"/>
  <c r="Q225" i="4" s="1"/>
  <c r="Q166" i="4"/>
  <c r="Q724" i="16" s="1"/>
  <c r="Q189" i="5"/>
  <c r="N748" i="16"/>
  <c r="N73" i="7"/>
  <c r="H153" i="4"/>
  <c r="H157" i="4" s="1"/>
  <c r="J1306" i="17"/>
  <c r="J1305" i="17"/>
  <c r="I69" i="7"/>
  <c r="I270" i="7" s="1"/>
  <c r="I1314" i="17"/>
  <c r="I389" i="16"/>
  <c r="I204" i="7"/>
  <c r="I268" i="7" s="1"/>
  <c r="I199" i="4"/>
  <c r="I161" i="5"/>
  <c r="I53" i="8"/>
  <c r="R157" i="4"/>
  <c r="I44" i="10"/>
  <c r="I19" i="9"/>
  <c r="I76" i="10"/>
  <c r="S142" i="10"/>
  <c r="S143" i="10" s="1"/>
  <c r="I169" i="4"/>
  <c r="I170" i="4"/>
  <c r="I759" i="16" s="1"/>
  <c r="I195" i="5"/>
  <c r="H783" i="16"/>
  <c r="H74" i="7"/>
  <c r="G43" i="7"/>
  <c r="J43" i="7"/>
  <c r="J29" i="16" s="1"/>
  <c r="J545" i="16"/>
  <c r="J243" i="15"/>
  <c r="J540" i="16" s="1"/>
  <c r="L126" i="7"/>
  <c r="L129" i="7" s="1"/>
  <c r="R126" i="7"/>
  <c r="R129" i="7" s="1"/>
  <c r="S126" i="7"/>
  <c r="S129" i="7" s="1"/>
  <c r="H126" i="7"/>
  <c r="H129" i="7" s="1"/>
  <c r="L106" i="4"/>
  <c r="K107" i="4"/>
  <c r="N351" i="16"/>
  <c r="N141" i="4"/>
  <c r="N222" i="4"/>
  <c r="N129" i="4"/>
  <c r="J75" i="16"/>
  <c r="J47" i="4"/>
  <c r="J62" i="5"/>
  <c r="J64" i="5" s="1"/>
  <c r="I825" i="16"/>
  <c r="I52" i="9"/>
  <c r="T688" i="16"/>
  <c r="T182" i="5"/>
  <c r="T184" i="5" s="1"/>
  <c r="T163" i="4"/>
  <c r="R714" i="16"/>
  <c r="I799" i="16"/>
  <c r="I186" i="4"/>
  <c r="I369" i="15"/>
  <c r="I817" i="16" s="1"/>
  <c r="I205" i="5"/>
  <c r="I206" i="5" s="1"/>
  <c r="I211" i="5"/>
  <c r="I106" i="8"/>
  <c r="L679" i="16"/>
  <c r="K182" i="5"/>
  <c r="K184" i="5" s="1"/>
  <c r="K688" i="16"/>
  <c r="K163" i="4"/>
  <c r="H48" i="16"/>
  <c r="H55" i="15"/>
  <c r="H272" i="5"/>
  <c r="I21" i="9"/>
  <c r="D787" i="16"/>
  <c r="E29" i="16"/>
  <c r="G28" i="15"/>
  <c r="M169" i="4"/>
  <c r="M195" i="5"/>
  <c r="M170" i="4"/>
  <c r="M759" i="16" s="1"/>
  <c r="Q787" i="16"/>
  <c r="G29" i="16"/>
  <c r="R446" i="16"/>
  <c r="R204" i="15"/>
  <c r="R441" i="16" s="1"/>
  <c r="I271" i="16"/>
  <c r="R890" i="17"/>
  <c r="R891" i="17" s="1"/>
  <c r="R319" i="16"/>
  <c r="R197" i="4"/>
  <c r="R45" i="8"/>
  <c r="R202" i="7"/>
  <c r="R266" i="7" s="1"/>
  <c r="N412" i="16"/>
  <c r="N127" i="7"/>
  <c r="L389" i="16"/>
  <c r="L53" i="8"/>
  <c r="L204" i="7"/>
  <c r="L268" i="7" s="1"/>
  <c r="L199" i="4"/>
  <c r="L141" i="10"/>
  <c r="H427" i="16"/>
  <c r="H51" i="11"/>
  <c r="H198" i="15"/>
  <c r="H283" i="5"/>
  <c r="H102" i="12"/>
  <c r="H199" i="15"/>
  <c r="K351" i="16"/>
  <c r="K222" i="4"/>
  <c r="K129" i="4"/>
  <c r="K141" i="4"/>
  <c r="J454" i="16"/>
  <c r="J139" i="4"/>
  <c r="J140" i="4" s="1"/>
  <c r="L69" i="7"/>
  <c r="L270" i="7" s="1"/>
  <c r="L1314" i="17"/>
  <c r="K36" i="4"/>
  <c r="L34" i="4"/>
  <c r="M102" i="4"/>
  <c r="N101" i="4"/>
  <c r="I41" i="16"/>
  <c r="I219" i="4"/>
  <c r="I30" i="6"/>
  <c r="I553" i="16" s="1"/>
  <c r="I135" i="4"/>
  <c r="I31" i="5"/>
  <c r="I33" i="5" s="1"/>
  <c r="I35" i="5" s="1"/>
  <c r="M412" i="16"/>
  <c r="M268" i="7"/>
  <c r="M127" i="7"/>
  <c r="H435" i="16"/>
  <c r="H59" i="8"/>
  <c r="H205" i="15" s="1"/>
  <c r="H442" i="16" s="1"/>
  <c r="P33" i="7"/>
  <c r="E45" i="7"/>
  <c r="K377" i="16"/>
  <c r="J285" i="16"/>
  <c r="J870" i="17"/>
  <c r="J871" i="17" s="1"/>
  <c r="J252" i="5"/>
  <c r="H568" i="16"/>
  <c r="H75" i="8"/>
  <c r="K88" i="7"/>
  <c r="O88" i="7"/>
  <c r="P88" i="7"/>
  <c r="M88" i="7"/>
  <c r="H88" i="7"/>
  <c r="R88" i="7"/>
  <c r="G197" i="16"/>
  <c r="M134" i="10"/>
  <c r="M135" i="10"/>
  <c r="K152" i="5"/>
  <c r="J412" i="16"/>
  <c r="Q95" i="7"/>
  <c r="Q98" i="7" s="1"/>
  <c r="J306" i="16"/>
  <c r="J265" i="7"/>
  <c r="P306" i="16"/>
  <c r="P109" i="7"/>
  <c r="N41" i="7"/>
  <c r="I153" i="4"/>
  <c r="J997" i="17"/>
  <c r="J998" i="17" s="1"/>
  <c r="J213" i="16"/>
  <c r="J223" i="5"/>
  <c r="J34" i="8"/>
  <c r="J225" i="16" s="1"/>
  <c r="J159" i="5"/>
  <c r="J161" i="5" s="1"/>
  <c r="J90" i="5"/>
  <c r="J92" i="5" s="1"/>
  <c r="R184" i="4"/>
  <c r="R185" i="4" s="1"/>
  <c r="S688" i="16"/>
  <c r="S225" i="4"/>
  <c r="S163" i="4"/>
  <c r="S182" i="5"/>
  <c r="S184" i="5" s="1"/>
  <c r="P75" i="10"/>
  <c r="P43" i="10"/>
  <c r="G391" i="15"/>
  <c r="R389" i="16"/>
  <c r="R204" i="7"/>
  <c r="R268" i="7" s="1"/>
  <c r="R53" i="8"/>
  <c r="R199" i="4"/>
  <c r="P479" i="16"/>
  <c r="P217" i="15"/>
  <c r="P474" i="16" s="1"/>
  <c r="R1301" i="17"/>
  <c r="I653" i="16"/>
  <c r="I154" i="4"/>
  <c r="I152" i="4"/>
  <c r="I156" i="4" s="1"/>
  <c r="S122" i="4"/>
  <c r="K280" i="16"/>
  <c r="K148" i="5"/>
  <c r="K115" i="4"/>
  <c r="N864" i="17"/>
  <c r="N865" i="17" s="1"/>
  <c r="N283" i="16"/>
  <c r="N149" i="5"/>
  <c r="N201" i="7"/>
  <c r="N41" i="8"/>
  <c r="N196" i="4"/>
  <c r="P134" i="10"/>
  <c r="P135" i="10" s="1"/>
  <c r="P144" i="10"/>
  <c r="P147" i="10" s="1"/>
  <c r="S98" i="5"/>
  <c r="M67" i="5"/>
  <c r="M181" i="7" s="1"/>
  <c r="M182" i="7" s="1"/>
  <c r="N55" i="5"/>
  <c r="H968" i="17"/>
  <c r="H969" i="17" s="1"/>
  <c r="H29" i="8"/>
  <c r="H176" i="16"/>
  <c r="H198" i="7"/>
  <c r="H193" i="4"/>
  <c r="H136" i="5"/>
  <c r="H620" i="16"/>
  <c r="H81" i="6"/>
  <c r="H1020" i="17" s="1"/>
  <c r="H1021" i="17" s="1"/>
  <c r="P280" i="16"/>
  <c r="P115" i="4"/>
  <c r="P148" i="5"/>
  <c r="L68" i="4"/>
  <c r="K82" i="4"/>
  <c r="S147" i="7"/>
  <c r="H654" i="16"/>
  <c r="H155" i="4"/>
  <c r="I15" i="16"/>
  <c r="K365" i="7"/>
  <c r="L365" i="7" s="1"/>
  <c r="E36" i="7"/>
  <c r="P36" i="7" s="1"/>
  <c r="I141" i="16"/>
  <c r="I224" i="4"/>
  <c r="K33" i="6"/>
  <c r="S377" i="16"/>
  <c r="S121" i="7"/>
  <c r="R654" i="16"/>
  <c r="R155" i="4"/>
  <c r="M351" i="16"/>
  <c r="M222" i="4"/>
  <c r="M141" i="4"/>
  <c r="M129" i="4"/>
  <c r="T825" i="16"/>
  <c r="T52" i="9"/>
  <c r="K69" i="7"/>
  <c r="K270" i="7" s="1"/>
  <c r="K1314" i="17"/>
  <c r="M120" i="7"/>
  <c r="M123" i="7" s="1"/>
  <c r="H285" i="16"/>
  <c r="H870" i="17"/>
  <c r="H871" i="17" s="1"/>
  <c r="H252" i="5"/>
  <c r="H109" i="4"/>
  <c r="H245" i="16"/>
  <c r="I1150" i="17"/>
  <c r="I1151" i="17" s="1"/>
  <c r="L864" i="17"/>
  <c r="L865" i="17" s="1"/>
  <c r="L201" i="7"/>
  <c r="L265" i="7" s="1"/>
  <c r="L41" i="8"/>
  <c r="L149" i="5"/>
  <c r="L196" i="4"/>
  <c r="L283" i="16"/>
  <c r="K1327" i="17"/>
  <c r="L1325" i="17"/>
  <c r="H108" i="7"/>
  <c r="H111" i="7" s="1"/>
  <c r="L108" i="7"/>
  <c r="L111" i="7" s="1"/>
  <c r="N108" i="7"/>
  <c r="N111" i="7" s="1"/>
  <c r="Q108" i="7"/>
  <c r="Q111" i="7" s="1"/>
  <c r="S108" i="7"/>
  <c r="S111" i="7" s="1"/>
  <c r="J108" i="7"/>
  <c r="J111" i="7" s="1"/>
  <c r="O108" i="7"/>
  <c r="O111" i="7" s="1"/>
  <c r="N152" i="5"/>
  <c r="K783" i="16"/>
  <c r="K74" i="7"/>
  <c r="T280" i="16"/>
  <c r="T148" i="5"/>
  <c r="T115" i="4"/>
  <c r="I159" i="5"/>
  <c r="I1153" i="17" s="1"/>
  <c r="I1154" i="17" s="1"/>
  <c r="P714" i="16"/>
  <c r="K157" i="4"/>
  <c r="Q810" i="16"/>
  <c r="Q101" i="8"/>
  <c r="L121" i="7"/>
  <c r="Q69" i="7"/>
  <c r="Q270" i="7" s="1"/>
  <c r="Q1314" i="17"/>
  <c r="O826" i="16"/>
  <c r="J890" i="17"/>
  <c r="J891" i="17" s="1"/>
  <c r="J197" i="4"/>
  <c r="J202" i="7"/>
  <c r="J266" i="7" s="1"/>
  <c r="J319" i="16"/>
  <c r="J153" i="5"/>
  <c r="J45" i="8"/>
  <c r="R165" i="4"/>
  <c r="R166" i="4"/>
  <c r="R724" i="16" s="1"/>
  <c r="R189" i="5"/>
  <c r="H748" i="16"/>
  <c r="J42" i="7"/>
  <c r="J28" i="16" s="1"/>
  <c r="H73" i="7"/>
  <c r="G42" i="7"/>
  <c r="L209" i="16"/>
  <c r="L104" i="4"/>
  <c r="J88" i="7"/>
  <c r="J714" i="16"/>
  <c r="E101" i="14"/>
  <c r="E101" i="13"/>
  <c r="R653" i="16"/>
  <c r="R152" i="4"/>
  <c r="R156" i="4" s="1"/>
  <c r="R154" i="4"/>
  <c r="O714" i="16"/>
  <c r="I587" i="16"/>
  <c r="I59" i="6"/>
  <c r="I98" i="6" s="1"/>
  <c r="K748" i="16"/>
  <c r="K73" i="7"/>
  <c r="K79" i="6"/>
  <c r="K87" i="6" s="1"/>
  <c r="K221" i="4"/>
  <c r="K108" i="16"/>
  <c r="K53" i="4"/>
  <c r="K78" i="6"/>
  <c r="K144" i="4"/>
  <c r="H114" i="16"/>
  <c r="H81" i="15"/>
  <c r="H274" i="5"/>
  <c r="R147" i="7"/>
  <c r="J520" i="16"/>
  <c r="J145" i="4"/>
  <c r="J146" i="4" s="1"/>
  <c r="I173" i="16"/>
  <c r="I99" i="4"/>
  <c r="I135" i="5"/>
  <c r="P825" i="16"/>
  <c r="P52" i="9"/>
  <c r="H56" i="16"/>
  <c r="H15" i="8"/>
  <c r="N1081" i="17"/>
  <c r="N1082" i="17" s="1"/>
  <c r="N461" i="16"/>
  <c r="N825" i="16"/>
  <c r="N52" i="9"/>
  <c r="R377" i="16"/>
  <c r="R121" i="7"/>
  <c r="M783" i="16"/>
  <c r="M74" i="7"/>
  <c r="J783" i="16"/>
  <c r="J74" i="7"/>
  <c r="K139" i="5"/>
  <c r="L41" i="5"/>
  <c r="N799" i="16"/>
  <c r="N369" i="15"/>
  <c r="N817" i="16" s="1"/>
  <c r="N106" i="8"/>
  <c r="N205" i="5"/>
  <c r="N206" i="5" s="1"/>
  <c r="N186" i="4"/>
  <c r="C190" i="1"/>
  <c r="J157" i="4"/>
  <c r="H81" i="16"/>
  <c r="H68" i="15"/>
  <c r="H273" i="5"/>
  <c r="L748" i="16"/>
  <c r="L73" i="7"/>
  <c r="Q752" i="16"/>
  <c r="G28" i="16"/>
  <c r="R825" i="16"/>
  <c r="R52" i="9"/>
  <c r="N75" i="10"/>
  <c r="N43" i="10"/>
  <c r="L44" i="4"/>
  <c r="K138" i="4"/>
  <c r="K45" i="4"/>
  <c r="I826" i="16"/>
  <c r="L1081" i="17"/>
  <c r="L1082" i="17" s="1"/>
  <c r="L461" i="16"/>
  <c r="N688" i="16"/>
  <c r="N182" i="5"/>
  <c r="N184" i="5" s="1"/>
  <c r="N163" i="4"/>
  <c r="M95" i="7"/>
  <c r="M98" i="7" s="1"/>
  <c r="I87" i="15"/>
  <c r="I128" i="16" s="1"/>
  <c r="I133" i="16"/>
  <c r="R412" i="16"/>
  <c r="R127" i="7"/>
  <c r="S24" i="7"/>
  <c r="R195" i="5"/>
  <c r="R170" i="4"/>
  <c r="R759" i="16" s="1"/>
  <c r="R169" i="4"/>
  <c r="Q271" i="16"/>
  <c r="Q103" i="7"/>
  <c r="L79" i="5"/>
  <c r="K93" i="5"/>
  <c r="K389" i="16"/>
  <c r="K53" i="8"/>
  <c r="K204" i="7"/>
  <c r="K268" i="7" s="1"/>
  <c r="K199" i="4"/>
  <c r="M714" i="16"/>
  <c r="N165" i="4"/>
  <c r="N189" i="5"/>
  <c r="N166" i="4"/>
  <c r="N724" i="16" s="1"/>
  <c r="P147" i="7"/>
  <c r="K141" i="10"/>
  <c r="M130" i="5"/>
  <c r="N105" i="5"/>
  <c r="H260" i="5"/>
  <c r="H559" i="16"/>
  <c r="M825" i="16"/>
  <c r="M52" i="9"/>
  <c r="H24" i="7"/>
  <c r="S1081" i="17"/>
  <c r="S1082" i="17" s="1"/>
  <c r="S461" i="16"/>
  <c r="G398" i="15"/>
  <c r="M679" i="16"/>
  <c r="I152" i="5"/>
  <c r="S412" i="16"/>
  <c r="S268" i="7"/>
  <c r="S127" i="7"/>
  <c r="S864" i="17"/>
  <c r="S865" i="17" s="1"/>
  <c r="S283" i="16"/>
  <c r="S201" i="7"/>
  <c r="S265" i="7" s="1"/>
  <c r="S196" i="4"/>
  <c r="S149" i="5"/>
  <c r="S41" i="8"/>
  <c r="M236" i="16"/>
  <c r="M96" i="7"/>
  <c r="P97" i="7" s="1"/>
  <c r="S271" i="16"/>
  <c r="S103" i="7"/>
  <c r="R236" i="16"/>
  <c r="R96" i="7"/>
  <c r="N783" i="16"/>
  <c r="N74" i="7"/>
  <c r="J170" i="4"/>
  <c r="J759" i="16" s="1"/>
  <c r="J169" i="4"/>
  <c r="J195" i="5"/>
  <c r="T783" i="16"/>
  <c r="T74" i="7"/>
  <c r="L59" i="4"/>
  <c r="K73" i="4"/>
  <c r="Q1301" i="17"/>
  <c r="H89" i="16"/>
  <c r="H19" i="8"/>
  <c r="H75" i="15" s="1"/>
  <c r="H96" i="16" s="1"/>
  <c r="M748" i="16"/>
  <c r="M73" i="7"/>
  <c r="K370" i="7"/>
  <c r="N147" i="7"/>
  <c r="N126" i="7"/>
  <c r="N129" i="7" s="1"/>
  <c r="N1228" i="17"/>
  <c r="N1229" i="17" s="1"/>
  <c r="N656" i="16"/>
  <c r="N205" i="7"/>
  <c r="N207" i="4"/>
  <c r="N85" i="8"/>
  <c r="N177" i="5"/>
  <c r="N88" i="7"/>
  <c r="T446" i="16"/>
  <c r="T204" i="15"/>
  <c r="T441" i="16" s="1"/>
  <c r="L1208" i="17"/>
  <c r="L1209" i="17" s="1"/>
  <c r="L145" i="16"/>
  <c r="L248" i="5"/>
  <c r="O122" i="4"/>
  <c r="G45" i="7"/>
  <c r="N33" i="7"/>
  <c r="J799" i="16"/>
  <c r="J369" i="15"/>
  <c r="J817" i="16" s="1"/>
  <c r="J205" i="5"/>
  <c r="J206" i="5" s="1"/>
  <c r="J211" i="5"/>
  <c r="J106" i="8"/>
  <c r="J186" i="4"/>
  <c r="O679" i="16"/>
  <c r="O133" i="7"/>
  <c r="L377" i="16"/>
  <c r="S88" i="7"/>
  <c r="I122" i="16"/>
  <c r="K1185" i="17"/>
  <c r="K1186" i="17" s="1"/>
  <c r="K527" i="16"/>
  <c r="H971" i="17"/>
  <c r="H972" i="17" s="1"/>
  <c r="H177" i="16"/>
  <c r="H222" i="5"/>
  <c r="H30" i="8"/>
  <c r="H189" i="16" s="1"/>
  <c r="S170" i="7"/>
  <c r="N170" i="7"/>
  <c r="M170" i="7"/>
  <c r="O170" i="7"/>
  <c r="L170" i="7"/>
  <c r="Q170" i="7"/>
  <c r="I170" i="7"/>
  <c r="K170" i="7"/>
  <c r="J170" i="7"/>
  <c r="T170" i="7"/>
  <c r="P170" i="7"/>
  <c r="R170" i="7"/>
  <c r="H170" i="7"/>
  <c r="T1301" i="17"/>
  <c r="H500" i="16"/>
  <c r="I298" i="7"/>
  <c r="S170" i="4"/>
  <c r="S759" i="16" s="1"/>
  <c r="S169" i="4"/>
  <c r="S195" i="5"/>
  <c r="O73" i="5"/>
  <c r="T88" i="7"/>
  <c r="J127" i="7"/>
  <c r="R748" i="16"/>
  <c r="R73" i="7"/>
  <c r="J1081" i="17"/>
  <c r="J1082" i="17" s="1"/>
  <c r="J461" i="16"/>
  <c r="J90" i="4"/>
  <c r="J1260" i="17" s="1"/>
  <c r="J1261" i="17" s="1"/>
  <c r="H454" i="16"/>
  <c r="H139" i="4"/>
  <c r="H140" i="4" s="1"/>
  <c r="L74" i="5"/>
  <c r="K88" i="5"/>
  <c r="L236" i="16"/>
  <c r="L96" i="7"/>
  <c r="N97" i="7" s="1"/>
  <c r="J12" i="16"/>
  <c r="J45" i="7"/>
  <c r="K994" i="17"/>
  <c r="K995" i="17" s="1"/>
  <c r="K212" i="16"/>
  <c r="K33" i="8"/>
  <c r="K194" i="4"/>
  <c r="K199" i="7"/>
  <c r="K263" i="7" s="1"/>
  <c r="Q88" i="7"/>
  <c r="N714" i="16"/>
  <c r="Q545" i="16"/>
  <c r="Q243" i="15"/>
  <c r="Q540" i="16" s="1"/>
  <c r="P1081" i="17"/>
  <c r="P1082" i="17" s="1"/>
  <c r="P461" i="16"/>
  <c r="Q209" i="7"/>
  <c r="Q280" i="7" s="1"/>
  <c r="Q211" i="4"/>
  <c r="R49" i="5"/>
  <c r="E41" i="15"/>
  <c r="L189" i="5"/>
  <c r="L165" i="4"/>
  <c r="L166" i="4"/>
  <c r="L724" i="16" s="1"/>
  <c r="H523" i="16"/>
  <c r="H203" i="4"/>
  <c r="H69" i="8"/>
  <c r="H1176" i="17"/>
  <c r="H1177" i="17" s="1"/>
  <c r="H173" i="5"/>
  <c r="J688" i="16"/>
  <c r="J163" i="4"/>
  <c r="J182" i="5"/>
  <c r="J184" i="5" s="1"/>
  <c r="M799" i="16"/>
  <c r="M369" i="15"/>
  <c r="M817" i="16" s="1"/>
  <c r="M210" i="5"/>
  <c r="M211" i="5"/>
  <c r="M106" i="8"/>
  <c r="M205" i="5"/>
  <c r="M206" i="5" s="1"/>
  <c r="M186" i="4"/>
  <c r="N870" i="17"/>
  <c r="N871" i="17" s="1"/>
  <c r="N285" i="16"/>
  <c r="N252" i="5"/>
  <c r="O120" i="7"/>
  <c r="O123" i="7" s="1"/>
  <c r="H271" i="16"/>
  <c r="K103" i="7"/>
  <c r="N58" i="4"/>
  <c r="M72" i="4"/>
  <c r="S826" i="16"/>
  <c r="T147" i="7"/>
  <c r="Q306" i="16"/>
  <c r="Q109" i="7"/>
  <c r="M271" i="16"/>
  <c r="M103" i="7"/>
  <c r="N200" i="16"/>
  <c r="N89" i="7"/>
  <c r="J204" i="15"/>
  <c r="J441" i="16" s="1"/>
  <c r="J446" i="16"/>
  <c r="T126" i="7"/>
  <c r="T129" i="7" s="1"/>
  <c r="H156" i="4"/>
  <c r="Q679" i="16"/>
  <c r="Q133" i="7"/>
  <c r="N141" i="10"/>
  <c r="O125" i="4"/>
  <c r="O132" i="7"/>
  <c r="O135" i="7" s="1"/>
  <c r="L132" i="7"/>
  <c r="L135" i="7" s="1"/>
  <c r="K132" i="7"/>
  <c r="K135" i="7" s="1"/>
  <c r="N132" i="7"/>
  <c r="N135" i="7" s="1"/>
  <c r="P132" i="7"/>
  <c r="P135" i="7" s="1"/>
  <c r="M132" i="7"/>
  <c r="M135" i="7" s="1"/>
  <c r="H262" i="7"/>
  <c r="H200" i="16"/>
  <c r="H80" i="7"/>
  <c r="I89" i="7"/>
  <c r="I1254" i="17"/>
  <c r="I1255" i="17" s="1"/>
  <c r="I126" i="5"/>
  <c r="I92" i="4"/>
  <c r="I128" i="5"/>
  <c r="L88" i="7"/>
  <c r="I14" i="16"/>
  <c r="E35" i="7"/>
  <c r="P35" i="7" s="1"/>
  <c r="M147" i="7"/>
  <c r="P679" i="16"/>
  <c r="P133" i="7"/>
  <c r="N24" i="7"/>
  <c r="J1314" i="17"/>
  <c r="B6" i="12"/>
  <c r="B6" i="11"/>
  <c r="C19" i="17"/>
  <c r="C16" i="1" s="1"/>
  <c r="N844" i="17"/>
  <c r="N845" i="17" s="1"/>
  <c r="N47" i="16"/>
  <c r="N245" i="5"/>
  <c r="G920" i="16"/>
  <c r="L122" i="4"/>
  <c r="J994" i="17"/>
  <c r="J995" i="17" s="1"/>
  <c r="J212" i="16"/>
  <c r="J33" i="8"/>
  <c r="C139" i="1"/>
  <c r="J194" i="4"/>
  <c r="J199" i="7"/>
  <c r="J263" i="7" s="1"/>
  <c r="J141" i="5"/>
  <c r="Q134" i="10"/>
  <c r="Q135" i="10"/>
  <c r="L412" i="16"/>
  <c r="L127" i="7"/>
  <c r="K1081" i="17"/>
  <c r="K1082" i="17" s="1"/>
  <c r="K461" i="16"/>
  <c r="I126" i="7"/>
  <c r="I129" i="7" s="1"/>
  <c r="H136" i="11"/>
  <c r="H137" i="11" s="1"/>
  <c r="O1301" i="17"/>
  <c r="H141" i="10"/>
  <c r="O157" i="4"/>
  <c r="K80" i="4"/>
  <c r="K91" i="4" s="1"/>
  <c r="K1263" i="17" s="1"/>
  <c r="K1264" i="17" s="1"/>
  <c r="L66" i="4"/>
  <c r="K86" i="4"/>
  <c r="O200" i="16"/>
  <c r="O89" i="7"/>
  <c r="L870" i="17"/>
  <c r="L871" i="17" s="1"/>
  <c r="L285" i="16"/>
  <c r="L252" i="5"/>
  <c r="M688" i="16"/>
  <c r="M182" i="5"/>
  <c r="M184" i="5" s="1"/>
  <c r="M163" i="4"/>
  <c r="S152" i="5"/>
  <c r="I57" i="6"/>
  <c r="I58" i="6" s="1"/>
  <c r="L71" i="5"/>
  <c r="K89" i="5"/>
  <c r="T49" i="9"/>
  <c r="T53" i="9" s="1"/>
  <c r="L49" i="9"/>
  <c r="L53" i="9" s="1"/>
  <c r="K49" i="9"/>
  <c r="K53" i="9" s="1"/>
  <c r="J49" i="9"/>
  <c r="J53" i="9" s="1"/>
  <c r="H50" i="9"/>
  <c r="H52" i="9"/>
  <c r="S49" i="9"/>
  <c r="S53" i="9" s="1"/>
  <c r="R49" i="9"/>
  <c r="R53" i="9" s="1"/>
  <c r="N49" i="9"/>
  <c r="N53" i="9" s="1"/>
  <c r="M49" i="9"/>
  <c r="M53" i="9" s="1"/>
  <c r="I49" i="9"/>
  <c r="I53" i="9" s="1"/>
  <c r="H825" i="16"/>
  <c r="P49" i="9"/>
  <c r="P53" i="9" s="1"/>
  <c r="Q49" i="9"/>
  <c r="Q53" i="9" s="1"/>
  <c r="O49" i="9"/>
  <c r="O53" i="9" s="1"/>
  <c r="I26" i="16"/>
  <c r="K373" i="7"/>
  <c r="E40" i="7"/>
  <c r="P40" i="7" s="1"/>
  <c r="L134" i="10"/>
  <c r="L135" i="10"/>
  <c r="P122" i="4"/>
  <c r="O184" i="4"/>
  <c r="O185" i="4" s="1"/>
  <c r="H132" i="7"/>
  <c r="H135" i="7" s="1"/>
  <c r="L222" i="4"/>
  <c r="L141" i="4"/>
  <c r="L129" i="4"/>
  <c r="L351" i="16"/>
  <c r="S1301" i="17"/>
  <c r="T679" i="16"/>
  <c r="T133" i="7"/>
  <c r="S184" i="4"/>
  <c r="S185" i="4" s="1"/>
  <c r="P200" i="16"/>
  <c r="P89" i="7"/>
  <c r="Q1081" i="17"/>
  <c r="Q1082" i="17" s="1"/>
  <c r="Q461" i="16"/>
  <c r="J389" i="16"/>
  <c r="J53" i="8"/>
  <c r="J199" i="4"/>
  <c r="J204" i="7"/>
  <c r="J268" i="7" s="1"/>
  <c r="Q141" i="10"/>
  <c r="P1301" i="17"/>
  <c r="P189" i="5"/>
  <c r="P165" i="4"/>
  <c r="P166" i="4"/>
  <c r="P724" i="16" s="1"/>
  <c r="I166" i="4"/>
  <c r="I724" i="16" s="1"/>
  <c r="I189" i="5"/>
  <c r="I165" i="4"/>
  <c r="L95" i="7"/>
  <c r="L98" i="7" s="1"/>
  <c r="J96" i="4"/>
  <c r="K24" i="7"/>
  <c r="J106" i="10" l="1"/>
  <c r="J191" i="15"/>
  <c r="J406" i="16" s="1"/>
  <c r="J392" i="16"/>
  <c r="J282" i="5"/>
  <c r="J185" i="15"/>
  <c r="Q152" i="15"/>
  <c r="Q300" i="16" s="1"/>
  <c r="Q103" i="10"/>
  <c r="P107" i="10"/>
  <c r="P295" i="15"/>
  <c r="P673" i="16" s="1"/>
  <c r="R191" i="15"/>
  <c r="R406" i="16" s="1"/>
  <c r="R106" i="10"/>
  <c r="S152" i="15"/>
  <c r="S300" i="16" s="1"/>
  <c r="S103" i="10"/>
  <c r="L191" i="15"/>
  <c r="L406" i="16" s="1"/>
  <c r="L106" i="10"/>
  <c r="I10" i="12"/>
  <c r="I62" i="12"/>
  <c r="I77" i="7"/>
  <c r="I273" i="7" s="1"/>
  <c r="I79" i="7"/>
  <c r="I275" i="7" s="1"/>
  <c r="I78" i="7"/>
  <c r="I274" i="7" s="1"/>
  <c r="S827" i="16"/>
  <c r="S146" i="10"/>
  <c r="Q347" i="15"/>
  <c r="Q111" i="10"/>
  <c r="L107" i="10"/>
  <c r="L295" i="15"/>
  <c r="L673" i="16" s="1"/>
  <c r="I48" i="16"/>
  <c r="I55" i="15"/>
  <c r="I272" i="5"/>
  <c r="J176" i="5"/>
  <c r="H10" i="11"/>
  <c r="H60" i="12"/>
  <c r="E376" i="7"/>
  <c r="N827" i="16"/>
  <c r="P827" i="16"/>
  <c r="P146" i="10"/>
  <c r="N800" i="16"/>
  <c r="N212" i="5"/>
  <c r="N240" i="5" s="1"/>
  <c r="N107" i="8"/>
  <c r="N210" i="5"/>
  <c r="J1153" i="17"/>
  <c r="J1154" i="17" s="1"/>
  <c r="J112" i="16"/>
  <c r="J220" i="5"/>
  <c r="J22" i="8"/>
  <c r="J123" i="16" s="1"/>
  <c r="J94" i="5"/>
  <c r="N191" i="15"/>
  <c r="N406" i="16" s="1"/>
  <c r="N106" i="10"/>
  <c r="R159" i="15"/>
  <c r="R280" i="5"/>
  <c r="R322" i="16"/>
  <c r="O90" i="7"/>
  <c r="Q90" i="7"/>
  <c r="R90" i="7"/>
  <c r="R150" i="7" s="1"/>
  <c r="P90" i="7"/>
  <c r="I90" i="7"/>
  <c r="H90" i="7"/>
  <c r="T90" i="7"/>
  <c r="M90" i="7"/>
  <c r="K90" i="7"/>
  <c r="S90" i="7"/>
  <c r="J90" i="7"/>
  <c r="N90" i="7"/>
  <c r="L90" i="7"/>
  <c r="M749" i="16"/>
  <c r="N723" i="16"/>
  <c r="N188" i="5"/>
  <c r="N190" i="5" s="1"/>
  <c r="N167" i="4"/>
  <c r="M41" i="5"/>
  <c r="L139" i="5"/>
  <c r="Q142" i="10"/>
  <c r="Q143" i="10"/>
  <c r="Q146" i="10" s="1"/>
  <c r="L827" i="16"/>
  <c r="M691" i="16"/>
  <c r="M89" i="8"/>
  <c r="M186" i="5"/>
  <c r="M206" i="7"/>
  <c r="M277" i="7" s="1"/>
  <c r="M208" i="4"/>
  <c r="H142" i="10"/>
  <c r="H143" i="10"/>
  <c r="L91" i="7"/>
  <c r="H1182" i="17"/>
  <c r="H1183" i="17" s="1"/>
  <c r="H525" i="16"/>
  <c r="H259" i="5"/>
  <c r="L171" i="7"/>
  <c r="M79" i="5"/>
  <c r="L93" i="5"/>
  <c r="I971" i="17"/>
  <c r="I972" i="17" s="1"/>
  <c r="I177" i="16"/>
  <c r="I222" i="5"/>
  <c r="I30" i="8"/>
  <c r="I189" i="16" s="1"/>
  <c r="K520" i="16"/>
  <c r="K145" i="4"/>
  <c r="K146" i="4" s="1"/>
  <c r="K40" i="6"/>
  <c r="M68" i="4"/>
  <c r="L82" i="4"/>
  <c r="O55" i="5"/>
  <c r="N67" i="5"/>
  <c r="N181" i="7" s="1"/>
  <c r="N182" i="7" s="1"/>
  <c r="J103" i="10"/>
  <c r="J152" i="15"/>
  <c r="J300" i="16" s="1"/>
  <c r="R91" i="7"/>
  <c r="H429" i="16"/>
  <c r="H203" i="15"/>
  <c r="H440" i="16" s="1"/>
  <c r="H201" i="15"/>
  <c r="H431" i="16" s="1"/>
  <c r="K1305" i="17"/>
  <c r="K1306" i="17" s="1"/>
  <c r="P81" i="4"/>
  <c r="Q67" i="4"/>
  <c r="H723" i="16"/>
  <c r="H167" i="4"/>
  <c r="H188" i="5"/>
  <c r="H190" i="5" s="1"/>
  <c r="L74" i="4"/>
  <c r="M60" i="4"/>
  <c r="N103" i="10"/>
  <c r="N152" i="15"/>
  <c r="N300" i="16" s="1"/>
  <c r="K104" i="10"/>
  <c r="K165" i="15"/>
  <c r="K336" i="16" s="1"/>
  <c r="H215" i="16"/>
  <c r="H120" i="15"/>
  <c r="H277" i="5"/>
  <c r="L784" i="16"/>
  <c r="Q692" i="16"/>
  <c r="Q90" i="8"/>
  <c r="Q703" i="16" s="1"/>
  <c r="Q237" i="5"/>
  <c r="J223" i="11"/>
  <c r="J39" i="13"/>
  <c r="J73" i="10"/>
  <c r="J330" i="7"/>
  <c r="O692" i="16"/>
  <c r="O90" i="8"/>
  <c r="O703" i="16" s="1"/>
  <c r="O237" i="5"/>
  <c r="P691" i="16"/>
  <c r="P208" i="4"/>
  <c r="P186" i="5"/>
  <c r="P206" i="7"/>
  <c r="P277" i="7" s="1"/>
  <c r="P89" i="8"/>
  <c r="K1254" i="17"/>
  <c r="K1255" i="17" s="1"/>
  <c r="K126" i="5"/>
  <c r="K92" i="4"/>
  <c r="K128" i="5"/>
  <c r="Q802" i="16"/>
  <c r="Q815" i="16"/>
  <c r="Q211" i="5"/>
  <c r="L80" i="7"/>
  <c r="Q97" i="7"/>
  <c r="M90" i="8"/>
  <c r="M703" i="16" s="1"/>
  <c r="M692" i="16"/>
  <c r="M237" i="5"/>
  <c r="Q827" i="16"/>
  <c r="J298" i="7"/>
  <c r="I500" i="16"/>
  <c r="O171" i="7"/>
  <c r="O890" i="17"/>
  <c r="O891" i="17" s="1"/>
  <c r="O319" i="16"/>
  <c r="O202" i="7"/>
  <c r="O266" i="7" s="1"/>
  <c r="O153" i="5"/>
  <c r="O45" i="8"/>
  <c r="O197" i="4"/>
  <c r="T784" i="16"/>
  <c r="K142" i="10"/>
  <c r="K143" i="10"/>
  <c r="K146" i="10" s="1"/>
  <c r="N691" i="16"/>
  <c r="N89" i="8"/>
  <c r="N208" i="4"/>
  <c r="N186" i="5"/>
  <c r="N206" i="7"/>
  <c r="N277" i="7" s="1"/>
  <c r="I968" i="17"/>
  <c r="I969" i="17" s="1"/>
  <c r="I136" i="5"/>
  <c r="I198" i="7"/>
  <c r="I262" i="7" s="1"/>
  <c r="I29" i="8"/>
  <c r="I193" i="4"/>
  <c r="I137" i="5"/>
  <c r="I176" i="16"/>
  <c r="K81" i="6"/>
  <c r="K620" i="16"/>
  <c r="I122" i="7"/>
  <c r="T122" i="7"/>
  <c r="J122" i="7"/>
  <c r="K122" i="7"/>
  <c r="H122" i="7"/>
  <c r="O122" i="7"/>
  <c r="N122" i="7"/>
  <c r="L122" i="7"/>
  <c r="M122" i="7"/>
  <c r="S122" i="7"/>
  <c r="R122" i="7"/>
  <c r="Q122" i="7"/>
  <c r="P122" i="7"/>
  <c r="R400" i="16"/>
  <c r="H91" i="7"/>
  <c r="H149" i="7"/>
  <c r="E46" i="7"/>
  <c r="H105" i="12"/>
  <c r="H103" i="12"/>
  <c r="R104" i="10"/>
  <c r="R165" i="15"/>
  <c r="R336" i="16" s="1"/>
  <c r="M758" i="16"/>
  <c r="M171" i="4"/>
  <c r="M194" i="5"/>
  <c r="M196" i="5" s="1"/>
  <c r="I800" i="16"/>
  <c r="I107" i="8"/>
  <c r="I212" i="5"/>
  <c r="I240" i="5" s="1"/>
  <c r="H1228" i="17"/>
  <c r="H1229" i="17" s="1"/>
  <c r="H656" i="16"/>
  <c r="H85" i="8"/>
  <c r="H177" i="5"/>
  <c r="H205" i="7"/>
  <c r="H207" i="4"/>
  <c r="R142" i="10"/>
  <c r="R143" i="10"/>
  <c r="O145" i="10"/>
  <c r="O191" i="15"/>
  <c r="O406" i="16" s="1"/>
  <c r="O106" i="10"/>
  <c r="K723" i="16"/>
  <c r="K167" i="4"/>
  <c r="K188" i="5"/>
  <c r="K190" i="5" s="1"/>
  <c r="H98" i="6"/>
  <c r="Q691" i="16"/>
  <c r="Q208" i="4"/>
  <c r="Q186" i="5"/>
  <c r="Q206" i="7"/>
  <c r="Q277" i="7" s="1"/>
  <c r="Q89" i="8"/>
  <c r="O188" i="5"/>
  <c r="O190" i="5" s="1"/>
  <c r="O723" i="16"/>
  <c r="O167" i="4"/>
  <c r="Q784" i="16"/>
  <c r="T827" i="16"/>
  <c r="O691" i="16"/>
  <c r="O206" i="7"/>
  <c r="O277" i="7" s="1"/>
  <c r="O89" i="8"/>
  <c r="O186" i="5"/>
  <c r="O208" i="4"/>
  <c r="I19" i="8"/>
  <c r="I75" i="15" s="1"/>
  <c r="I96" i="16" s="1"/>
  <c r="I89" i="16"/>
  <c r="P692" i="16"/>
  <c r="P90" i="8"/>
  <c r="P703" i="16" s="1"/>
  <c r="P237" i="5"/>
  <c r="M56" i="4"/>
  <c r="L70" i="4"/>
  <c r="L83" i="4"/>
  <c r="H261" i="7"/>
  <c r="M134" i="7"/>
  <c r="L134" i="7"/>
  <c r="K134" i="7"/>
  <c r="T134" i="7"/>
  <c r="R134" i="7"/>
  <c r="H134" i="7"/>
  <c r="S134" i="7"/>
  <c r="I134" i="7"/>
  <c r="N134" i="7"/>
  <c r="J134" i="7"/>
  <c r="Q134" i="7"/>
  <c r="P134" i="7"/>
  <c r="O134" i="7"/>
  <c r="Q811" i="16"/>
  <c r="Q102" i="8"/>
  <c r="Q103" i="8" s="1"/>
  <c r="L97" i="7"/>
  <c r="L1309" i="17"/>
  <c r="L1310" i="17" s="1"/>
  <c r="H79" i="10"/>
  <c r="H47" i="10"/>
  <c r="Q144" i="10"/>
  <c r="Q147" i="10" s="1"/>
  <c r="I1202" i="17"/>
  <c r="I1203" i="17" s="1"/>
  <c r="I143" i="16"/>
  <c r="I197" i="7"/>
  <c r="I261" i="7" s="1"/>
  <c r="I192" i="4"/>
  <c r="I25" i="8"/>
  <c r="O58" i="4"/>
  <c r="N72" i="4"/>
  <c r="M209" i="7"/>
  <c r="M280" i="7" s="1"/>
  <c r="M211" i="4"/>
  <c r="H534" i="16"/>
  <c r="H71" i="8"/>
  <c r="H244" i="15" s="1"/>
  <c r="H541" i="16" s="1"/>
  <c r="R749" i="16"/>
  <c r="M171" i="7"/>
  <c r="N692" i="16"/>
  <c r="N237" i="5"/>
  <c r="N90" i="8"/>
  <c r="N703" i="16" s="1"/>
  <c r="N810" i="16"/>
  <c r="N108" i="8"/>
  <c r="N101" i="8"/>
  <c r="K1150" i="17"/>
  <c r="K1151" i="17" s="1"/>
  <c r="K111" i="16"/>
  <c r="K191" i="4"/>
  <c r="K21" i="8"/>
  <c r="K196" i="7"/>
  <c r="K91" i="5"/>
  <c r="R723" i="16"/>
  <c r="R188" i="5"/>
  <c r="R190" i="5" s="1"/>
  <c r="R167" i="4"/>
  <c r="L279" i="5"/>
  <c r="L146" i="15"/>
  <c r="L286" i="16"/>
  <c r="K479" i="16"/>
  <c r="K217" i="15"/>
  <c r="K474" i="16" s="1"/>
  <c r="P870" i="17"/>
  <c r="P871" i="17" s="1"/>
  <c r="P285" i="16"/>
  <c r="P252" i="5"/>
  <c r="K864" i="17"/>
  <c r="K865" i="17" s="1"/>
  <c r="K283" i="16"/>
  <c r="K41" i="8"/>
  <c r="K201" i="7"/>
  <c r="K265" i="7" s="1"/>
  <c r="K196" i="4"/>
  <c r="K149" i="5"/>
  <c r="M149" i="7"/>
  <c r="M91" i="7"/>
  <c r="R330" i="16"/>
  <c r="R47" i="8"/>
  <c r="I210" i="5"/>
  <c r="O758" i="16"/>
  <c r="O194" i="5"/>
  <c r="O196" i="5" s="1"/>
  <c r="O171" i="4"/>
  <c r="H400" i="16"/>
  <c r="O218" i="7"/>
  <c r="S218" i="7"/>
  <c r="S238" i="7" s="1"/>
  <c r="R218" i="7"/>
  <c r="R238" i="7" s="1"/>
  <c r="M870" i="17"/>
  <c r="M871" i="17" s="1"/>
  <c r="M285" i="16"/>
  <c r="M252" i="5"/>
  <c r="O400" i="16"/>
  <c r="J286" i="16"/>
  <c r="J279" i="5"/>
  <c r="J146" i="15"/>
  <c r="I749" i="16"/>
  <c r="T145" i="10"/>
  <c r="K87" i="4"/>
  <c r="T191" i="15"/>
  <c r="T406" i="16" s="1"/>
  <c r="T106" i="10"/>
  <c r="J129" i="5"/>
  <c r="S97" i="7"/>
  <c r="N38" i="7"/>
  <c r="J400" i="16"/>
  <c r="H813" i="16"/>
  <c r="H55" i="9"/>
  <c r="I47" i="9"/>
  <c r="Q145" i="10"/>
  <c r="I129" i="5"/>
  <c r="I131" i="5" s="1"/>
  <c r="K104" i="7"/>
  <c r="Q104" i="7"/>
  <c r="P104" i="7"/>
  <c r="J104" i="7"/>
  <c r="N104" i="7"/>
  <c r="O104" i="7"/>
  <c r="M104" i="7"/>
  <c r="T104" i="7"/>
  <c r="S104" i="7"/>
  <c r="L104" i="7"/>
  <c r="H104" i="7"/>
  <c r="R104" i="7"/>
  <c r="I104" i="7"/>
  <c r="M800" i="16"/>
  <c r="M107" i="8"/>
  <c r="M212" i="5"/>
  <c r="M240" i="5" s="1"/>
  <c r="N171" i="7"/>
  <c r="S43" i="8"/>
  <c r="S294" i="16"/>
  <c r="J1176" i="17"/>
  <c r="J1177" i="17" s="1"/>
  <c r="J523" i="16"/>
  <c r="J203" i="4"/>
  <c r="J173" i="5"/>
  <c r="J69" i="8"/>
  <c r="J174" i="5"/>
  <c r="J47" i="8"/>
  <c r="J166" i="15" s="1"/>
  <c r="J337" i="16" s="1"/>
  <c r="J330" i="16"/>
  <c r="Q108" i="8"/>
  <c r="L294" i="16"/>
  <c r="L43" i="8"/>
  <c r="P864" i="17"/>
  <c r="P865" i="17" s="1"/>
  <c r="P41" i="8"/>
  <c r="P201" i="7"/>
  <c r="P265" i="7" s="1"/>
  <c r="P196" i="4"/>
  <c r="P283" i="16"/>
  <c r="P149" i="5"/>
  <c r="K870" i="17"/>
  <c r="K871" i="17" s="1"/>
  <c r="K285" i="16"/>
  <c r="K252" i="5"/>
  <c r="S692" i="16"/>
  <c r="S90" i="8"/>
  <c r="S703" i="16" s="1"/>
  <c r="S237" i="5"/>
  <c r="P91" i="7"/>
  <c r="M34" i="4"/>
  <c r="L36" i="4"/>
  <c r="H439" i="16"/>
  <c r="H206" i="15"/>
  <c r="I726" i="17"/>
  <c r="I727" i="17" s="1"/>
  <c r="I377" i="17"/>
  <c r="I378" i="17" s="1"/>
  <c r="N749" i="16"/>
  <c r="H392" i="16"/>
  <c r="H185" i="15"/>
  <c r="H282" i="5"/>
  <c r="H146" i="15"/>
  <c r="H286" i="16"/>
  <c r="H279" i="5"/>
  <c r="O135" i="10"/>
  <c r="M864" i="17"/>
  <c r="M865" i="17" s="1"/>
  <c r="M283" i="16"/>
  <c r="M41" i="8"/>
  <c r="M149" i="5"/>
  <c r="M196" i="4"/>
  <c r="M201" i="7"/>
  <c r="M265" i="7" s="1"/>
  <c r="S217" i="15"/>
  <c r="S474" i="16" s="1"/>
  <c r="S479" i="16"/>
  <c r="Q749" i="16"/>
  <c r="J294" i="16"/>
  <c r="J43" i="8"/>
  <c r="C137" i="1"/>
  <c r="Q42" i="5"/>
  <c r="P61" i="5"/>
  <c r="H263" i="7"/>
  <c r="P389" i="16"/>
  <c r="P204" i="7"/>
  <c r="P268" i="7" s="1"/>
  <c r="P199" i="4"/>
  <c r="P53" i="8"/>
  <c r="T1228" i="17"/>
  <c r="T1229" i="17" s="1"/>
  <c r="T656" i="16"/>
  <c r="T205" i="7"/>
  <c r="T276" i="7" s="1"/>
  <c r="T85" i="8"/>
  <c r="T207" i="4"/>
  <c r="T177" i="5"/>
  <c r="P369" i="15"/>
  <c r="P817" i="16" s="1"/>
  <c r="P799" i="16"/>
  <c r="P205" i="5"/>
  <c r="P206" i="5" s="1"/>
  <c r="P210" i="5" s="1"/>
  <c r="P106" i="8"/>
  <c r="P186" i="4"/>
  <c r="T40" i="5"/>
  <c r="M1228" i="17"/>
  <c r="M1229" i="17" s="1"/>
  <c r="M656" i="16"/>
  <c r="M205" i="7"/>
  <c r="M276" i="7" s="1"/>
  <c r="M207" i="4"/>
  <c r="M85" i="8"/>
  <c r="M177" i="5"/>
  <c r="N35" i="4"/>
  <c r="M37" i="4"/>
  <c r="J1303" i="17"/>
  <c r="J1311" i="17" s="1"/>
  <c r="J1304" i="17"/>
  <c r="P9" i="5"/>
  <c r="O30" i="5"/>
  <c r="O286" i="16"/>
  <c r="O146" i="15"/>
  <c r="O279" i="5"/>
  <c r="J1202" i="17"/>
  <c r="J1203" i="17" s="1"/>
  <c r="J143" i="16"/>
  <c r="J197" i="7"/>
  <c r="J261" i="7" s="1"/>
  <c r="J192" i="4"/>
  <c r="J25" i="8"/>
  <c r="J131" i="5"/>
  <c r="H97" i="7"/>
  <c r="J97" i="4"/>
  <c r="K96" i="4"/>
  <c r="H56" i="9"/>
  <c r="J215" i="16"/>
  <c r="J120" i="15"/>
  <c r="J277" i="5"/>
  <c r="C140" i="1"/>
  <c r="O126" i="4"/>
  <c r="P125" i="4"/>
  <c r="N80" i="7"/>
  <c r="M810" i="16"/>
  <c r="M101" i="8"/>
  <c r="H174" i="5"/>
  <c r="S171" i="7"/>
  <c r="L370" i="7"/>
  <c r="K372" i="7"/>
  <c r="L372" i="7" s="1"/>
  <c r="J758" i="16"/>
  <c r="J171" i="4"/>
  <c r="J194" i="5"/>
  <c r="J196" i="5" s="1"/>
  <c r="S286" i="16"/>
  <c r="S146" i="15"/>
  <c r="S279" i="5"/>
  <c r="R758" i="16"/>
  <c r="R171" i="4"/>
  <c r="R194" i="5"/>
  <c r="R196" i="5" s="1"/>
  <c r="N225" i="4"/>
  <c r="J159" i="15"/>
  <c r="J322" i="16"/>
  <c r="J280" i="5"/>
  <c r="N896" i="17"/>
  <c r="N897" i="17" s="1"/>
  <c r="N253" i="5"/>
  <c r="N321" i="16"/>
  <c r="L103" i="10"/>
  <c r="L152" i="15"/>
  <c r="L300" i="16" s="1"/>
  <c r="T98" i="5"/>
  <c r="S186" i="5"/>
  <c r="S206" i="7"/>
  <c r="S277" i="7" s="1"/>
  <c r="S208" i="4"/>
  <c r="S691" i="16"/>
  <c r="S89" i="8"/>
  <c r="I157" i="4"/>
  <c r="O149" i="7"/>
  <c r="O91" i="7"/>
  <c r="K38" i="4"/>
  <c r="K41" i="4"/>
  <c r="H54" i="11"/>
  <c r="H52" i="11"/>
  <c r="I211" i="4"/>
  <c r="I209" i="7"/>
  <c r="I280" i="7" s="1"/>
  <c r="J945" i="17"/>
  <c r="J946" i="17" s="1"/>
  <c r="J18" i="8"/>
  <c r="J90" i="16" s="1"/>
  <c r="J219" i="5"/>
  <c r="J79" i="16"/>
  <c r="H294" i="16"/>
  <c r="H43" i="8"/>
  <c r="H153" i="15" s="1"/>
  <c r="H301" i="16" s="1"/>
  <c r="L691" i="16"/>
  <c r="L89" i="8"/>
  <c r="L206" i="7"/>
  <c r="L277" i="7" s="1"/>
  <c r="L208" i="4"/>
  <c r="L186" i="5"/>
  <c r="I224" i="16"/>
  <c r="O217" i="15"/>
  <c r="O474" i="16" s="1"/>
  <c r="O479" i="16"/>
  <c r="J749" i="16"/>
  <c r="H142" i="4"/>
  <c r="H143" i="4" s="1"/>
  <c r="H487" i="16"/>
  <c r="P1234" i="17"/>
  <c r="P1235" i="17" s="1"/>
  <c r="P658" i="16"/>
  <c r="P263" i="5"/>
  <c r="O844" i="17"/>
  <c r="O845" i="17" s="1"/>
  <c r="O47" i="16"/>
  <c r="O245" i="5"/>
  <c r="R870" i="17"/>
  <c r="R871" i="17" s="1"/>
  <c r="R285" i="16"/>
  <c r="R252" i="5"/>
  <c r="J260" i="7"/>
  <c r="M723" i="16"/>
  <c r="M188" i="5"/>
  <c r="M190" i="5" s="1"/>
  <c r="M167" i="4"/>
  <c r="L32" i="6"/>
  <c r="L34" i="6"/>
  <c r="L31" i="6"/>
  <c r="L33" i="6"/>
  <c r="H692" i="16"/>
  <c r="H237" i="5"/>
  <c r="H90" i="8"/>
  <c r="H703" i="16" s="1"/>
  <c r="M948" i="17"/>
  <c r="M949" i="17" s="1"/>
  <c r="M80" i="16"/>
  <c r="M246" i="5"/>
  <c r="J110" i="7"/>
  <c r="I110" i="7"/>
  <c r="H110" i="7"/>
  <c r="S110" i="7"/>
  <c r="Q110" i="7"/>
  <c r="O110" i="7"/>
  <c r="P110" i="7"/>
  <c r="M110" i="7"/>
  <c r="K110" i="7"/>
  <c r="N110" i="7"/>
  <c r="L110" i="7"/>
  <c r="R110" i="7"/>
  <c r="T110" i="7"/>
  <c r="O294" i="16"/>
  <c r="O43" i="8"/>
  <c r="O153" i="15" s="1"/>
  <c r="O301" i="16" s="1"/>
  <c r="R97" i="7"/>
  <c r="L667" i="16"/>
  <c r="L1098" i="17"/>
  <c r="L1099" i="17" s="1"/>
  <c r="L354" i="16"/>
  <c r="L203" i="7"/>
  <c r="L267" i="7" s="1"/>
  <c r="L49" i="8"/>
  <c r="L198" i="4"/>
  <c r="N142" i="10"/>
  <c r="N143" i="10" s="1"/>
  <c r="N146" i="10" s="1"/>
  <c r="J211" i="4"/>
  <c r="J209" i="7"/>
  <c r="J280" i="7" s="1"/>
  <c r="H93" i="16"/>
  <c r="S890" i="17"/>
  <c r="S891" i="17" s="1"/>
  <c r="S319" i="16"/>
  <c r="S153" i="5"/>
  <c r="S202" i="7"/>
  <c r="S266" i="7" s="1"/>
  <c r="S45" i="8"/>
  <c r="S197" i="4"/>
  <c r="M191" i="15"/>
  <c r="M406" i="16" s="1"/>
  <c r="M106" i="10"/>
  <c r="H67" i="16"/>
  <c r="H61" i="15"/>
  <c r="H62" i="16" s="1"/>
  <c r="N400" i="16"/>
  <c r="Q17" i="5"/>
  <c r="P34" i="5"/>
  <c r="Q1228" i="17"/>
  <c r="Q1229" i="17" s="1"/>
  <c r="Q656" i="16"/>
  <c r="Q207" i="4"/>
  <c r="Q205" i="7"/>
  <c r="Q276" i="7" s="1"/>
  <c r="Q85" i="8"/>
  <c r="Q177" i="5"/>
  <c r="M142" i="10"/>
  <c r="M145" i="10" s="1"/>
  <c r="H691" i="16"/>
  <c r="H206" i="7"/>
  <c r="H89" i="8"/>
  <c r="H208" i="4"/>
  <c r="H186" i="5"/>
  <c r="N50" i="4"/>
  <c r="M51" i="4"/>
  <c r="O50" i="5"/>
  <c r="N65" i="5"/>
  <c r="H103" i="10"/>
  <c r="H152" i="15"/>
  <c r="H300" i="16" s="1"/>
  <c r="T97" i="7"/>
  <c r="I723" i="16"/>
  <c r="I167" i="4"/>
  <c r="I188" i="5"/>
  <c r="I190" i="5" s="1"/>
  <c r="L487" i="16"/>
  <c r="L142" i="4"/>
  <c r="L143" i="4" s="1"/>
  <c r="H39" i="13"/>
  <c r="H330" i="7"/>
  <c r="H73" i="10"/>
  <c r="H223" i="11"/>
  <c r="M815" i="16"/>
  <c r="M802" i="16"/>
  <c r="P128" i="7"/>
  <c r="I128" i="7"/>
  <c r="H128" i="7"/>
  <c r="R128" i="7"/>
  <c r="O128" i="7"/>
  <c r="J128" i="7"/>
  <c r="Q128" i="7"/>
  <c r="N128" i="7"/>
  <c r="M128" i="7"/>
  <c r="S128" i="7"/>
  <c r="T128" i="7"/>
  <c r="L128" i="7"/>
  <c r="K128" i="7"/>
  <c r="J810" i="16"/>
  <c r="J101" i="8"/>
  <c r="N784" i="16"/>
  <c r="K896" i="17"/>
  <c r="K897" i="17" s="1"/>
  <c r="K321" i="16"/>
  <c r="K253" i="5"/>
  <c r="I400" i="16"/>
  <c r="L692" i="16"/>
  <c r="L90" i="8"/>
  <c r="L703" i="16" s="1"/>
  <c r="L237" i="5"/>
  <c r="I126" i="15"/>
  <c r="I230" i="16" s="1"/>
  <c r="I101" i="10"/>
  <c r="I434" i="16"/>
  <c r="J296" i="7"/>
  <c r="T723" i="16"/>
  <c r="T188" i="5"/>
  <c r="T190" i="5" s="1"/>
  <c r="T167" i="4"/>
  <c r="J1228" i="17"/>
  <c r="J1229" i="17" s="1"/>
  <c r="J85" i="8"/>
  <c r="J177" i="5"/>
  <c r="J656" i="16"/>
  <c r="J205" i="7"/>
  <c r="J276" i="7" s="1"/>
  <c r="J207" i="4"/>
  <c r="H974" i="17"/>
  <c r="H975" i="17" s="1"/>
  <c r="H178" i="16"/>
  <c r="H249" i="5"/>
  <c r="I176" i="5"/>
  <c r="R799" i="16"/>
  <c r="R369" i="15"/>
  <c r="R817" i="16" s="1"/>
  <c r="R205" i="5"/>
  <c r="R206" i="5" s="1"/>
  <c r="R106" i="8"/>
  <c r="R186" i="4"/>
  <c r="M827" i="16"/>
  <c r="H257" i="15"/>
  <c r="H575" i="16" s="1"/>
  <c r="N43" i="7"/>
  <c r="N45" i="7" s="1"/>
  <c r="D57" i="17" s="1"/>
  <c r="F57" i="17" s="1"/>
  <c r="I392" i="16"/>
  <c r="I185" i="15"/>
  <c r="I282" i="5"/>
  <c r="O103" i="10"/>
  <c r="O152" i="15"/>
  <c r="O300" i="16" s="1"/>
  <c r="F10" i="10"/>
  <c r="E10" i="10"/>
  <c r="G265" i="12"/>
  <c r="G264" i="12"/>
  <c r="G322" i="17" s="1"/>
  <c r="G323" i="17" s="1"/>
  <c r="G892" i="16"/>
  <c r="R827" i="16"/>
  <c r="R146" i="10"/>
  <c r="J35" i="8"/>
  <c r="J224" i="16"/>
  <c r="H113" i="15"/>
  <c r="H194" i="16" s="1"/>
  <c r="H100" i="10"/>
  <c r="P171" i="7"/>
  <c r="J800" i="16"/>
  <c r="J107" i="8"/>
  <c r="J108" i="8" s="1"/>
  <c r="J212" i="5"/>
  <c r="J240" i="5" s="1"/>
  <c r="J784" i="16"/>
  <c r="I590" i="16"/>
  <c r="I61" i="6"/>
  <c r="I1026" i="17" s="1"/>
  <c r="I1027" i="17" s="1"/>
  <c r="I205" i="4"/>
  <c r="I77" i="8"/>
  <c r="H110" i="4"/>
  <c r="H111" i="4"/>
  <c r="I421" i="16"/>
  <c r="I136" i="4"/>
  <c r="I137" i="4" s="1"/>
  <c r="K225" i="4"/>
  <c r="N1098" i="17"/>
  <c r="N1099" i="17" s="1"/>
  <c r="N354" i="16"/>
  <c r="N49" i="8"/>
  <c r="N203" i="7"/>
  <c r="N267" i="7" s="1"/>
  <c r="N198" i="4"/>
  <c r="H784" i="16"/>
  <c r="H134" i="10"/>
  <c r="H135" i="10" s="1"/>
  <c r="H144" i="10"/>
  <c r="H147" i="10" s="1"/>
  <c r="I468" i="16"/>
  <c r="I63" i="8"/>
  <c r="J142" i="10"/>
  <c r="J145" i="10" s="1"/>
  <c r="J143" i="10"/>
  <c r="J146" i="10" s="1"/>
  <c r="K145" i="10"/>
  <c r="P667" i="16"/>
  <c r="R784" i="16"/>
  <c r="I110" i="4"/>
  <c r="I111" i="4"/>
  <c r="I868" i="16" s="1"/>
  <c r="T799" i="16"/>
  <c r="T211" i="5"/>
  <c r="T369" i="15"/>
  <c r="T817" i="16" s="1"/>
  <c r="T186" i="4"/>
  <c r="T106" i="8"/>
  <c r="T205" i="5"/>
  <c r="T206" i="5" s="1"/>
  <c r="T210" i="5"/>
  <c r="I559" i="16"/>
  <c r="I260" i="5"/>
  <c r="J141" i="16"/>
  <c r="J224" i="4"/>
  <c r="J1098" i="17"/>
  <c r="J1099" i="17" s="1"/>
  <c r="J354" i="16"/>
  <c r="J49" i="8"/>
  <c r="J155" i="5"/>
  <c r="J157" i="5" s="1"/>
  <c r="J198" i="4"/>
  <c r="J156" i="5"/>
  <c r="J203" i="7"/>
  <c r="J267" i="7" s="1"/>
  <c r="I322" i="16"/>
  <c r="I159" i="15"/>
  <c r="I280" i="5"/>
  <c r="H800" i="16"/>
  <c r="H107" i="8"/>
  <c r="H108" i="8" s="1"/>
  <c r="H818" i="16" s="1"/>
  <c r="H212" i="5"/>
  <c r="H240" i="5" s="1"/>
  <c r="I997" i="17"/>
  <c r="I998" i="17" s="1"/>
  <c r="I213" i="16"/>
  <c r="I223" i="5"/>
  <c r="I34" i="8"/>
  <c r="I225" i="16" s="1"/>
  <c r="T142" i="10"/>
  <c r="T143" i="10" s="1"/>
  <c r="T146" i="10" s="1"/>
  <c r="I1078" i="17"/>
  <c r="I1079" i="17" s="1"/>
  <c r="I459" i="16"/>
  <c r="I257" i="5"/>
  <c r="H601" i="16"/>
  <c r="H79" i="8"/>
  <c r="H270" i="15" s="1"/>
  <c r="H608" i="16" s="1"/>
  <c r="L209" i="7"/>
  <c r="L280" i="7" s="1"/>
  <c r="L211" i="4"/>
  <c r="I238" i="15"/>
  <c r="I526" i="16"/>
  <c r="I152" i="12"/>
  <c r="I286" i="5"/>
  <c r="I237" i="15"/>
  <c r="I101" i="11"/>
  <c r="K800" i="16"/>
  <c r="K212" i="5"/>
  <c r="K240" i="5" s="1"/>
  <c r="K107" i="8"/>
  <c r="I330" i="16"/>
  <c r="I47" i="8"/>
  <c r="J97" i="7"/>
  <c r="J171" i="7"/>
  <c r="K106" i="10"/>
  <c r="K191" i="15"/>
  <c r="K406" i="16" s="1"/>
  <c r="M784" i="16"/>
  <c r="H126" i="16"/>
  <c r="H749" i="16"/>
  <c r="T864" i="17"/>
  <c r="T865" i="17" s="1"/>
  <c r="T283" i="16"/>
  <c r="T201" i="7"/>
  <c r="T265" i="7" s="1"/>
  <c r="T196" i="4"/>
  <c r="T149" i="5"/>
  <c r="T41" i="8"/>
  <c r="I227" i="4"/>
  <c r="K487" i="16"/>
  <c r="K142" i="4"/>
  <c r="K143" i="4" s="1"/>
  <c r="K90" i="8"/>
  <c r="K703" i="16" s="1"/>
  <c r="K692" i="16"/>
  <c r="K237" i="5"/>
  <c r="T691" i="16"/>
  <c r="T206" i="7"/>
  <c r="T277" i="7" s="1"/>
  <c r="T186" i="5"/>
  <c r="T208" i="4"/>
  <c r="T89" i="8"/>
  <c r="H211" i="4"/>
  <c r="H209" i="7"/>
  <c r="I634" i="16"/>
  <c r="I83" i="8"/>
  <c r="M99" i="5"/>
  <c r="L127" i="5"/>
  <c r="I258" i="7"/>
  <c r="I225" i="4"/>
  <c r="H592" i="16"/>
  <c r="H261" i="5"/>
  <c r="I1020" i="17"/>
  <c r="I1021" i="17" s="1"/>
  <c r="L890" i="17"/>
  <c r="L891" i="17" s="1"/>
  <c r="L319" i="16"/>
  <c r="L202" i="7"/>
  <c r="L266" i="7" s="1"/>
  <c r="L45" i="8"/>
  <c r="L153" i="5"/>
  <c r="L197" i="4"/>
  <c r="K171" i="7"/>
  <c r="H1026" i="17"/>
  <c r="H1027" i="17" s="1"/>
  <c r="M44" i="4"/>
  <c r="L138" i="4"/>
  <c r="L45" i="4"/>
  <c r="T870" i="17"/>
  <c r="T871" i="17" s="1"/>
  <c r="T285" i="16"/>
  <c r="T252" i="5"/>
  <c r="N294" i="16"/>
  <c r="N43" i="8"/>
  <c r="K1098" i="17"/>
  <c r="K1099" i="17" s="1"/>
  <c r="K49" i="8"/>
  <c r="K198" i="4"/>
  <c r="K354" i="16"/>
  <c r="K156" i="5"/>
  <c r="K203" i="7"/>
  <c r="K267" i="7" s="1"/>
  <c r="T692" i="16"/>
  <c r="T90" i="8"/>
  <c r="T703" i="16" s="1"/>
  <c r="T237" i="5"/>
  <c r="J41" i="16"/>
  <c r="J219" i="4"/>
  <c r="J135" i="4"/>
  <c r="J31" i="5"/>
  <c r="J33" i="5" s="1"/>
  <c r="J30" i="6"/>
  <c r="J553" i="16" s="1"/>
  <c r="N217" i="15"/>
  <c r="N474" i="16" s="1"/>
  <c r="N479" i="16"/>
  <c r="N144" i="10"/>
  <c r="N147" i="10" s="1"/>
  <c r="O142" i="10"/>
  <c r="O143" i="10"/>
  <c r="T749" i="16"/>
  <c r="I1182" i="17"/>
  <c r="I1183" i="17" s="1"/>
  <c r="I259" i="5"/>
  <c r="I525" i="16"/>
  <c r="I100" i="16"/>
  <c r="I74" i="15"/>
  <c r="I95" i="16" s="1"/>
  <c r="J560" i="16"/>
  <c r="J250" i="15"/>
  <c r="J39" i="6"/>
  <c r="J287" i="5"/>
  <c r="I80" i="7"/>
  <c r="S194" i="5"/>
  <c r="S196" i="5" s="1"/>
  <c r="S171" i="4"/>
  <c r="S758" i="16"/>
  <c r="L1327" i="17"/>
  <c r="M1325" i="17"/>
  <c r="K245" i="16"/>
  <c r="K109" i="4"/>
  <c r="I479" i="16"/>
  <c r="I217" i="15"/>
  <c r="I474" i="16" s="1"/>
  <c r="J838" i="17"/>
  <c r="J839" i="17" s="1"/>
  <c r="J45" i="16"/>
  <c r="J194" i="7"/>
  <c r="J189" i="4"/>
  <c r="J13" i="8"/>
  <c r="J35" i="5"/>
  <c r="N39" i="7"/>
  <c r="S80" i="7"/>
  <c r="K47" i="8"/>
  <c r="K166" i="15" s="1"/>
  <c r="K337" i="16" s="1"/>
  <c r="K330" i="16"/>
  <c r="H62" i="6"/>
  <c r="M62" i="4"/>
  <c r="L76" i="4"/>
  <c r="S784" i="16"/>
  <c r="R692" i="16"/>
  <c r="R90" i="8"/>
  <c r="R703" i="16" s="1"/>
  <c r="R237" i="5"/>
  <c r="H890" i="17"/>
  <c r="H891" i="17" s="1"/>
  <c r="H319" i="16"/>
  <c r="H45" i="8"/>
  <c r="H202" i="7"/>
  <c r="H153" i="5"/>
  <c r="H197" i="4"/>
  <c r="Q80" i="7"/>
  <c r="L810" i="16"/>
  <c r="L101" i="8"/>
  <c r="I534" i="16"/>
  <c r="I71" i="8"/>
  <c r="I68" i="15"/>
  <c r="I81" i="16"/>
  <c r="I273" i="5"/>
  <c r="Q389" i="16"/>
  <c r="Q204" i="7"/>
  <c r="Q268" i="7" s="1"/>
  <c r="Q53" i="8"/>
  <c r="Q199" i="4"/>
  <c r="J559" i="16"/>
  <c r="J260" i="5"/>
  <c r="H154" i="16"/>
  <c r="H27" i="8"/>
  <c r="H101" i="15" s="1"/>
  <c r="H161" i="16" s="1"/>
  <c r="J38" i="6"/>
  <c r="J90" i="6" s="1"/>
  <c r="I199" i="11"/>
  <c r="J18" i="9"/>
  <c r="I250" i="12"/>
  <c r="M97" i="7"/>
  <c r="J126" i="15"/>
  <c r="J230" i="16" s="1"/>
  <c r="J101" i="10"/>
  <c r="K159" i="5"/>
  <c r="K90" i="5"/>
  <c r="K92" i="5" s="1"/>
  <c r="K1317" i="17"/>
  <c r="O238" i="7"/>
  <c r="M1098" i="17"/>
  <c r="M1099" i="17" s="1"/>
  <c r="M354" i="16"/>
  <c r="M49" i="8"/>
  <c r="M198" i="4"/>
  <c r="M203" i="7"/>
  <c r="M267" i="7" s="1"/>
  <c r="H623" i="16"/>
  <c r="H83" i="6"/>
  <c r="H84" i="6"/>
  <c r="H81" i="8"/>
  <c r="H206" i="4"/>
  <c r="H215" i="4" s="1"/>
  <c r="K91" i="7"/>
  <c r="K149" i="7"/>
  <c r="J942" i="17"/>
  <c r="J943" i="17" s="1"/>
  <c r="J17" i="8"/>
  <c r="J78" i="16"/>
  <c r="J190" i="4"/>
  <c r="J66" i="5"/>
  <c r="J195" i="7"/>
  <c r="R1228" i="17"/>
  <c r="R1229" i="17" s="1"/>
  <c r="R656" i="16"/>
  <c r="R205" i="7"/>
  <c r="R276" i="7" s="1"/>
  <c r="R85" i="8"/>
  <c r="R207" i="4"/>
  <c r="R177" i="5"/>
  <c r="P784" i="16"/>
  <c r="H221" i="7"/>
  <c r="H241" i="7" s="1"/>
  <c r="K221" i="7"/>
  <c r="Q221" i="7"/>
  <c r="Q241" i="7" s="1"/>
  <c r="Q393" i="16" s="1"/>
  <c r="O221" i="7"/>
  <c r="O241" i="7" s="1"/>
  <c r="O393" i="16" s="1"/>
  <c r="N221" i="7"/>
  <c r="N241" i="7" s="1"/>
  <c r="N393" i="16" s="1"/>
  <c r="M221" i="7"/>
  <c r="M241" i="7" s="1"/>
  <c r="M393" i="16" s="1"/>
  <c r="L221" i="7"/>
  <c r="L241" i="7" s="1"/>
  <c r="L393" i="16" s="1"/>
  <c r="H268" i="7"/>
  <c r="M102" i="7"/>
  <c r="M105" i="7" s="1"/>
  <c r="N102" i="7"/>
  <c r="N105" i="7" s="1"/>
  <c r="K102" i="7"/>
  <c r="K105" i="7" s="1"/>
  <c r="L102" i="7"/>
  <c r="L105" i="7" s="1"/>
  <c r="J102" i="7"/>
  <c r="J105" i="7" s="1"/>
  <c r="H102" i="7"/>
  <c r="H105" i="7" s="1"/>
  <c r="O102" i="7"/>
  <c r="O105" i="7" s="1"/>
  <c r="T102" i="7"/>
  <c r="T105" i="7" s="1"/>
  <c r="I102" i="7"/>
  <c r="I105" i="7" s="1"/>
  <c r="P102" i="7"/>
  <c r="P105" i="7" s="1"/>
  <c r="S102" i="7"/>
  <c r="S105" i="7" s="1"/>
  <c r="R102" i="7"/>
  <c r="R105" i="7" s="1"/>
  <c r="Q102" i="7"/>
  <c r="Q105" i="7" s="1"/>
  <c r="R864" i="17"/>
  <c r="R865" i="17" s="1"/>
  <c r="R283" i="16"/>
  <c r="R196" i="4"/>
  <c r="R149" i="5"/>
  <c r="R201" i="7"/>
  <c r="R265" i="7" s="1"/>
  <c r="R41" i="8"/>
  <c r="R896" i="17"/>
  <c r="R897" i="17" s="1"/>
  <c r="R321" i="16"/>
  <c r="R253" i="5"/>
  <c r="M80" i="7"/>
  <c r="J23" i="8"/>
  <c r="J88" i="15" s="1"/>
  <c r="J129" i="16" s="1"/>
  <c r="J122" i="16"/>
  <c r="I560" i="16"/>
  <c r="I250" i="15"/>
  <c r="I39" i="6"/>
  <c r="I287" i="5"/>
  <c r="O749" i="16"/>
  <c r="M64" i="4"/>
  <c r="L78" i="4"/>
  <c r="K171" i="4"/>
  <c r="K758" i="16"/>
  <c r="K194" i="5"/>
  <c r="K196" i="5" s="1"/>
  <c r="T39" i="13"/>
  <c r="T330" i="7"/>
  <c r="T223" i="11"/>
  <c r="T73" i="10"/>
  <c r="H1231" i="17"/>
  <c r="H1232" i="17" s="1"/>
  <c r="H657" i="16"/>
  <c r="H236" i="5"/>
  <c r="H86" i="8"/>
  <c r="H668" i="16" s="1"/>
  <c r="M74" i="5"/>
  <c r="L88" i="5"/>
  <c r="H171" i="7"/>
  <c r="H172" i="7"/>
  <c r="K997" i="17"/>
  <c r="K998" i="17" s="1"/>
  <c r="K213" i="16"/>
  <c r="K223" i="5"/>
  <c r="K34" i="8"/>
  <c r="K225" i="16" s="1"/>
  <c r="K749" i="16"/>
  <c r="J91" i="7"/>
  <c r="J149" i="7"/>
  <c r="J165" i="15"/>
  <c r="J336" i="16" s="1"/>
  <c r="J104" i="10"/>
  <c r="K1228" i="17"/>
  <c r="K1229" i="17" s="1"/>
  <c r="K656" i="16"/>
  <c r="K177" i="5"/>
  <c r="K205" i="7"/>
  <c r="K276" i="7" s="1"/>
  <c r="K85" i="8"/>
  <c r="K207" i="4"/>
  <c r="M487" i="16"/>
  <c r="M142" i="4"/>
  <c r="M143" i="4" s="1"/>
  <c r="P145" i="10"/>
  <c r="L479" i="16"/>
  <c r="L217" i="15"/>
  <c r="L474" i="16" s="1"/>
  <c r="L142" i="10"/>
  <c r="L145" i="10" s="1"/>
  <c r="Q758" i="16"/>
  <c r="Q171" i="4"/>
  <c r="Q194" i="5"/>
  <c r="Q196" i="5" s="1"/>
  <c r="H1098" i="17"/>
  <c r="H1099" i="17" s="1"/>
  <c r="H203" i="7"/>
  <c r="H156" i="5"/>
  <c r="H198" i="4"/>
  <c r="H155" i="5"/>
  <c r="H354" i="16"/>
  <c r="H49" i="8"/>
  <c r="L1299" i="17"/>
  <c r="L1300" i="17" s="1"/>
  <c r="L84" i="4"/>
  <c r="L75" i="4"/>
  <c r="M61" i="4"/>
  <c r="I215" i="4"/>
  <c r="K209" i="7"/>
  <c r="K280" i="7" s="1"/>
  <c r="K211" i="4"/>
  <c r="H225" i="4"/>
  <c r="H227" i="4" s="1"/>
  <c r="L108" i="16"/>
  <c r="L79" i="6"/>
  <c r="L53" i="4"/>
  <c r="L78" i="6"/>
  <c r="L144" i="4"/>
  <c r="L221" i="4"/>
  <c r="L80" i="6"/>
  <c r="K557" i="16"/>
  <c r="K36" i="6"/>
  <c r="K37" i="6"/>
  <c r="K38" i="6" s="1"/>
  <c r="K90" i="6" s="1"/>
  <c r="K204" i="4"/>
  <c r="K73" i="8"/>
  <c r="K241" i="7"/>
  <c r="K393" i="16" s="1"/>
  <c r="S1228" i="17"/>
  <c r="S1229" i="17" s="1"/>
  <c r="S205" i="7"/>
  <c r="S276" i="7" s="1"/>
  <c r="S85" i="8"/>
  <c r="S656" i="16"/>
  <c r="S177" i="5"/>
  <c r="S207" i="4"/>
  <c r="I97" i="7"/>
  <c r="L1234" i="17"/>
  <c r="L1235" i="17" s="1"/>
  <c r="L658" i="16"/>
  <c r="L263" i="5"/>
  <c r="L723" i="16"/>
  <c r="L167" i="4"/>
  <c r="L188" i="5"/>
  <c r="L190" i="5" s="1"/>
  <c r="Q91" i="7"/>
  <c r="Q149" i="7"/>
  <c r="R171" i="7"/>
  <c r="L994" i="17"/>
  <c r="L995" i="17" s="1"/>
  <c r="L212" i="16"/>
  <c r="L33" i="8"/>
  <c r="L194" i="4"/>
  <c r="L199" i="7"/>
  <c r="L263" i="7" s="1"/>
  <c r="I841" i="17"/>
  <c r="I842" i="17" s="1"/>
  <c r="I46" i="16"/>
  <c r="I218" i="5"/>
  <c r="I14" i="8"/>
  <c r="I15" i="8" s="1"/>
  <c r="J1072" i="17"/>
  <c r="J1073" i="17" s="1"/>
  <c r="J457" i="16"/>
  <c r="J61" i="8"/>
  <c r="J168" i="5"/>
  <c r="J201" i="4"/>
  <c r="J167" i="5"/>
  <c r="K691" i="16"/>
  <c r="K206" i="7"/>
  <c r="K277" i="7" s="1"/>
  <c r="K208" i="4"/>
  <c r="K186" i="5"/>
  <c r="K89" i="8"/>
  <c r="Q723" i="16"/>
  <c r="Q188" i="5"/>
  <c r="Q190" i="5" s="1"/>
  <c r="Q167" i="4"/>
  <c r="I215" i="16"/>
  <c r="I120" i="15"/>
  <c r="I277" i="5"/>
  <c r="I460" i="16"/>
  <c r="I211" i="15"/>
  <c r="I212" i="15"/>
  <c r="I284" i="5"/>
  <c r="I132" i="12"/>
  <c r="I81" i="11"/>
  <c r="N107" i="10"/>
  <c r="N295" i="15"/>
  <c r="N673" i="16" s="1"/>
  <c r="K827" i="16"/>
  <c r="C163" i="1"/>
  <c r="T758" i="16"/>
  <c r="T171" i="4"/>
  <c r="T194" i="5"/>
  <c r="T196" i="5" s="1"/>
  <c r="Q286" i="16"/>
  <c r="Q279" i="5"/>
  <c r="Q146" i="15"/>
  <c r="I568" i="16"/>
  <c r="I75" i="8"/>
  <c r="K101" i="8"/>
  <c r="K810" i="16"/>
  <c r="O784" i="16"/>
  <c r="M890" i="17"/>
  <c r="M891" i="17" s="1"/>
  <c r="M202" i="7"/>
  <c r="M266" i="7" s="1"/>
  <c r="M45" i="8"/>
  <c r="M319" i="16"/>
  <c r="M153" i="5"/>
  <c r="M197" i="4"/>
  <c r="K179" i="7"/>
  <c r="K1307" i="17"/>
  <c r="K1308" i="17" s="1"/>
  <c r="I114" i="16"/>
  <c r="I81" i="15"/>
  <c r="I274" i="5"/>
  <c r="O97" i="7"/>
  <c r="K141" i="5"/>
  <c r="T91" i="7"/>
  <c r="N91" i="7"/>
  <c r="I56" i="16"/>
  <c r="P749" i="16"/>
  <c r="R145" i="10"/>
  <c r="M24" i="5"/>
  <c r="L36" i="5"/>
  <c r="L177" i="7" s="1"/>
  <c r="J723" i="16"/>
  <c r="J167" i="4"/>
  <c r="J188" i="5"/>
  <c r="J190" i="5" s="1"/>
  <c r="L71" i="4"/>
  <c r="M57" i="4"/>
  <c r="P80" i="7"/>
  <c r="O369" i="15"/>
  <c r="O817" i="16" s="1"/>
  <c r="O799" i="16"/>
  <c r="O106" i="8"/>
  <c r="O205" i="5"/>
  <c r="O206" i="5" s="1"/>
  <c r="O210" i="5" s="1"/>
  <c r="O186" i="4"/>
  <c r="O80" i="7"/>
  <c r="N40" i="7"/>
  <c r="E102" i="13"/>
  <c r="E102" i="14"/>
  <c r="K126" i="15"/>
  <c r="K230" i="16" s="1"/>
  <c r="K101" i="10"/>
  <c r="T171" i="7"/>
  <c r="J210" i="5"/>
  <c r="N1234" i="17"/>
  <c r="N1235" i="17" s="1"/>
  <c r="N658" i="16"/>
  <c r="N263" i="5"/>
  <c r="K62" i="5"/>
  <c r="K64" i="5" s="1"/>
  <c r="K47" i="4"/>
  <c r="K75" i="16"/>
  <c r="N42" i="7"/>
  <c r="I390" i="16"/>
  <c r="I228" i="5"/>
  <c r="I54" i="8"/>
  <c r="I401" i="16" s="1"/>
  <c r="M183" i="7"/>
  <c r="N183" i="7" s="1"/>
  <c r="M144" i="10"/>
  <c r="M147" i="10" s="1"/>
  <c r="T225" i="4"/>
  <c r="I191" i="15"/>
  <c r="I406" i="16" s="1"/>
  <c r="I106" i="10"/>
  <c r="N890" i="17"/>
  <c r="N891" i="17" s="1"/>
  <c r="N319" i="16"/>
  <c r="N45" i="8"/>
  <c r="N202" i="7"/>
  <c r="N266" i="7" s="1"/>
  <c r="N153" i="5"/>
  <c r="N197" i="4"/>
  <c r="I212" i="4"/>
  <c r="I692" i="16"/>
  <c r="I90" i="8"/>
  <c r="I703" i="16" s="1"/>
  <c r="I237" i="5"/>
  <c r="I1098" i="17"/>
  <c r="I1099" i="17" s="1"/>
  <c r="I354" i="16"/>
  <c r="I156" i="5"/>
  <c r="I49" i="8"/>
  <c r="I155" i="5"/>
  <c r="I203" i="7"/>
  <c r="I267" i="7" s="1"/>
  <c r="I198" i="4"/>
  <c r="S145" i="10"/>
  <c r="H533" i="16"/>
  <c r="I299" i="7"/>
  <c r="H536" i="16"/>
  <c r="J111" i="4"/>
  <c r="J110" i="4"/>
  <c r="L171" i="4"/>
  <c r="L758" i="16"/>
  <c r="L194" i="5"/>
  <c r="L196" i="5" s="1"/>
  <c r="K178" i="7"/>
  <c r="J487" i="16"/>
  <c r="J142" i="4"/>
  <c r="J143" i="4" s="1"/>
  <c r="T890" i="17"/>
  <c r="T891" i="17" s="1"/>
  <c r="T319" i="16"/>
  <c r="T153" i="5"/>
  <c r="T202" i="7"/>
  <c r="T266" i="7" s="1"/>
  <c r="T45" i="8"/>
  <c r="T197" i="4"/>
  <c r="J827" i="16"/>
  <c r="K80" i="7"/>
  <c r="H572" i="16"/>
  <c r="M71" i="5"/>
  <c r="L89" i="5"/>
  <c r="J692" i="16"/>
  <c r="J90" i="8"/>
  <c r="J703" i="16" s="1"/>
  <c r="J237" i="5"/>
  <c r="H1072" i="17"/>
  <c r="H1073" i="17" s="1"/>
  <c r="H457" i="16"/>
  <c r="H201" i="4"/>
  <c r="H167" i="5"/>
  <c r="H168" i="5" s="1"/>
  <c r="H61" i="8"/>
  <c r="P73" i="5"/>
  <c r="N667" i="16"/>
  <c r="S191" i="15"/>
  <c r="S406" i="16" s="1"/>
  <c r="S106" i="10"/>
  <c r="K454" i="16"/>
  <c r="K139" i="4"/>
  <c r="K140" i="4" s="1"/>
  <c r="H62" i="15"/>
  <c r="H63" i="16" s="1"/>
  <c r="J228" i="5"/>
  <c r="J390" i="16"/>
  <c r="J54" i="8"/>
  <c r="J401" i="16" s="1"/>
  <c r="L400" i="16"/>
  <c r="N142" i="4"/>
  <c r="N143" i="4" s="1"/>
  <c r="N487" i="16"/>
  <c r="I870" i="17"/>
  <c r="I871" i="17" s="1"/>
  <c r="I285" i="16"/>
  <c r="I252" i="5"/>
  <c r="S749" i="16"/>
  <c r="I487" i="16"/>
  <c r="I142" i="4"/>
  <c r="I143" i="4" s="1"/>
  <c r="K153" i="5"/>
  <c r="Q294" i="16"/>
  <c r="Q43" i="8"/>
  <c r="P758" i="16"/>
  <c r="P171" i="4"/>
  <c r="P194" i="5"/>
  <c r="P196" i="5" s="1"/>
  <c r="L800" i="16"/>
  <c r="L212" i="5"/>
  <c r="L240" i="5" s="1"/>
  <c r="L107" i="8"/>
  <c r="L108" i="8" s="1"/>
  <c r="J623" i="16"/>
  <c r="J83" i="6"/>
  <c r="J84" i="6" s="1"/>
  <c r="J81" i="8"/>
  <c r="J206" i="4"/>
  <c r="K210" i="5"/>
  <c r="J144" i="10"/>
  <c r="J147" i="10" s="1"/>
  <c r="I165" i="15"/>
  <c r="I336" i="16" s="1"/>
  <c r="I104" i="10"/>
  <c r="J568" i="16"/>
  <c r="J75" i="8"/>
  <c r="I135" i="10"/>
  <c r="M400" i="16"/>
  <c r="K97" i="7"/>
  <c r="P723" i="16"/>
  <c r="P188" i="5"/>
  <c r="P190" i="5" s="1"/>
  <c r="P167" i="4"/>
  <c r="I65" i="6"/>
  <c r="I95" i="6" s="1"/>
  <c r="L80" i="4"/>
  <c r="L91" i="4" s="1"/>
  <c r="L1263" i="17" s="1"/>
  <c r="L1264" i="17" s="1"/>
  <c r="M66" i="4"/>
  <c r="L86" i="4"/>
  <c r="J691" i="16"/>
  <c r="J206" i="7"/>
  <c r="J277" i="7" s="1"/>
  <c r="J208" i="4"/>
  <c r="J89" i="8"/>
  <c r="J186" i="5"/>
  <c r="S49" i="5"/>
  <c r="K224" i="16"/>
  <c r="L73" i="4"/>
  <c r="M59" i="4"/>
  <c r="K400" i="16"/>
  <c r="L749" i="16"/>
  <c r="H137" i="5"/>
  <c r="H60" i="16"/>
  <c r="H210" i="5"/>
  <c r="I864" i="17"/>
  <c r="I865" i="17" s="1"/>
  <c r="I283" i="16"/>
  <c r="I201" i="7"/>
  <c r="I265" i="7" s="1"/>
  <c r="I196" i="4"/>
  <c r="I41" i="8"/>
  <c r="I149" i="5"/>
  <c r="I625" i="16"/>
  <c r="I262" i="5"/>
  <c r="H390" i="16"/>
  <c r="H54" i="8"/>
  <c r="H401" i="16" s="1"/>
  <c r="H228" i="5"/>
  <c r="H1153" i="17"/>
  <c r="H1154" i="17" s="1"/>
  <c r="H479" i="16"/>
  <c r="H297" i="7"/>
  <c r="H217" i="15"/>
  <c r="H474" i="16" s="1"/>
  <c r="I691" i="16"/>
  <c r="I206" i="7"/>
  <c r="I277" i="7" s="1"/>
  <c r="I208" i="4"/>
  <c r="I89" i="8"/>
  <c r="I186" i="5"/>
  <c r="R80" i="7"/>
  <c r="P890" i="17"/>
  <c r="P891" i="17" s="1"/>
  <c r="P319" i="16"/>
  <c r="P197" i="4"/>
  <c r="P202" i="7"/>
  <c r="P266" i="7" s="1"/>
  <c r="P153" i="5"/>
  <c r="P45" i="8"/>
  <c r="S896" i="17"/>
  <c r="S897" i="17" s="1"/>
  <c r="S321" i="16"/>
  <c r="S253" i="5"/>
  <c r="J225" i="4"/>
  <c r="I171" i="7"/>
  <c r="I23" i="8"/>
  <c r="I88" i="15" s="1"/>
  <c r="I129" i="16" s="1"/>
  <c r="I896" i="17"/>
  <c r="I897" i="17" s="1"/>
  <c r="I321" i="16"/>
  <c r="I253" i="5"/>
  <c r="O105" i="5"/>
  <c r="N130" i="5"/>
  <c r="N209" i="7"/>
  <c r="N280" i="7" s="1"/>
  <c r="N214" i="5"/>
  <c r="N211" i="4"/>
  <c r="N36" i="7"/>
  <c r="H188" i="16"/>
  <c r="H31" i="8"/>
  <c r="H114" i="15" s="1"/>
  <c r="H195" i="16" s="1"/>
  <c r="N102" i="4"/>
  <c r="O101" i="4"/>
  <c r="I758" i="16"/>
  <c r="I194" i="5"/>
  <c r="I196" i="5" s="1"/>
  <c r="I171" i="4"/>
  <c r="S370" i="15"/>
  <c r="S803" i="16" s="1"/>
  <c r="R370" i="15"/>
  <c r="R803" i="16" s="1"/>
  <c r="L370" i="15"/>
  <c r="L803" i="16" s="1"/>
  <c r="H817" i="16"/>
  <c r="I84" i="6"/>
  <c r="M63" i="4"/>
  <c r="L77" i="4"/>
  <c r="L90" i="4" s="1"/>
  <c r="L1260" i="17" s="1"/>
  <c r="L1261" i="17" s="1"/>
  <c r="L85" i="4"/>
  <c r="S369" i="15"/>
  <c r="S817" i="16" s="1"/>
  <c r="S799" i="16"/>
  <c r="S210" i="5"/>
  <c r="S211" i="5" s="1"/>
  <c r="S106" i="8"/>
  <c r="S186" i="4"/>
  <c r="S205" i="5"/>
  <c r="S206" i="5" s="1"/>
  <c r="L144" i="10"/>
  <c r="L147" i="10" s="1"/>
  <c r="M225" i="4"/>
  <c r="O1228" i="17"/>
  <c r="O1229" i="17" s="1"/>
  <c r="O656" i="16"/>
  <c r="O207" i="4"/>
  <c r="O85" i="8"/>
  <c r="O205" i="7"/>
  <c r="O276" i="7" s="1"/>
  <c r="O177" i="5"/>
  <c r="Q214" i="5"/>
  <c r="Q171" i="7"/>
  <c r="S91" i="7"/>
  <c r="M1208" i="17"/>
  <c r="M1209" i="17" s="1"/>
  <c r="M145" i="16"/>
  <c r="M248" i="5"/>
  <c r="K1156" i="17"/>
  <c r="K1157" i="17" s="1"/>
  <c r="K113" i="16"/>
  <c r="K247" i="5"/>
  <c r="Q479" i="16"/>
  <c r="Q217" i="15"/>
  <c r="Q474" i="16" s="1"/>
  <c r="K784" i="16"/>
  <c r="N286" i="16"/>
  <c r="N146" i="15"/>
  <c r="N279" i="5"/>
  <c r="M209" i="16"/>
  <c r="M104" i="4"/>
  <c r="I810" i="16"/>
  <c r="I101" i="8"/>
  <c r="L107" i="4"/>
  <c r="M106" i="4"/>
  <c r="H810" i="16"/>
  <c r="H101" i="8"/>
  <c r="Q890" i="17"/>
  <c r="Q891" i="17" s="1"/>
  <c r="Q319" i="16"/>
  <c r="Q153" i="5"/>
  <c r="Q45" i="8"/>
  <c r="Q197" i="4"/>
  <c r="Q202" i="7"/>
  <c r="Q266" i="7" s="1"/>
  <c r="N758" i="16"/>
  <c r="N194" i="5"/>
  <c r="N196" i="5" s="1"/>
  <c r="N171" i="4"/>
  <c r="H100" i="16"/>
  <c r="H74" i="15"/>
  <c r="H95" i="16" s="1"/>
  <c r="H35" i="8"/>
  <c r="H127" i="15" s="1"/>
  <c r="H231" i="16" s="1"/>
  <c r="H224" i="16"/>
  <c r="R691" i="16"/>
  <c r="R89" i="8"/>
  <c r="R208" i="4"/>
  <c r="R186" i="5"/>
  <c r="R206" i="7"/>
  <c r="R277" i="7" s="1"/>
  <c r="S400" i="16"/>
  <c r="I784" i="16"/>
  <c r="L210" i="5"/>
  <c r="O65" i="4"/>
  <c r="N79" i="4"/>
  <c r="O225" i="4"/>
  <c r="H758" i="16"/>
  <c r="H194" i="5"/>
  <c r="H196" i="5" s="1"/>
  <c r="H171" i="4"/>
  <c r="P225" i="4"/>
  <c r="S723" i="16"/>
  <c r="S188" i="5"/>
  <c r="S190" i="5" s="1"/>
  <c r="S167" i="4"/>
  <c r="H94" i="15"/>
  <c r="H146" i="16"/>
  <c r="H275" i="5"/>
  <c r="T400" i="16"/>
  <c r="J9" i="9"/>
  <c r="K214" i="5" l="1"/>
  <c r="M214" i="5"/>
  <c r="J214" i="5"/>
  <c r="L214" i="5"/>
  <c r="N162" i="10"/>
  <c r="N153" i="10"/>
  <c r="I62" i="15"/>
  <c r="I63" i="16" s="1"/>
  <c r="O802" i="16"/>
  <c r="O371" i="15"/>
  <c r="O815" i="16"/>
  <c r="O211" i="5"/>
  <c r="L1307" i="17"/>
  <c r="L1308" i="17" s="1"/>
  <c r="P802" i="16"/>
  <c r="P815" i="16"/>
  <c r="P211" i="5"/>
  <c r="I146" i="16"/>
  <c r="I94" i="15"/>
  <c r="I275" i="5"/>
  <c r="J276" i="15"/>
  <c r="J86" i="6"/>
  <c r="J626" i="16"/>
  <c r="J289" i="5"/>
  <c r="J85" i="6"/>
  <c r="J92" i="6" s="1"/>
  <c r="H132" i="12"/>
  <c r="H212" i="15"/>
  <c r="H284" i="5"/>
  <c r="H460" i="16"/>
  <c r="H211" i="15"/>
  <c r="H81" i="11"/>
  <c r="J162" i="10"/>
  <c r="J153" i="10"/>
  <c r="L1305" i="17"/>
  <c r="L1306" i="17"/>
  <c r="S873" i="17"/>
  <c r="S874" i="17" s="1"/>
  <c r="S287" i="16"/>
  <c r="S41" i="11"/>
  <c r="S92" i="12"/>
  <c r="S147" i="15"/>
  <c r="K162" i="10"/>
  <c r="K153" i="10"/>
  <c r="H393" i="16"/>
  <c r="H186" i="15"/>
  <c r="K1153" i="17"/>
  <c r="K1154" i="17" s="1"/>
  <c r="K112" i="16"/>
  <c r="K22" i="8"/>
  <c r="K123" i="16" s="1"/>
  <c r="K220" i="5"/>
  <c r="K94" i="5"/>
  <c r="M1309" i="17"/>
  <c r="M1310" i="17" s="1"/>
  <c r="T153" i="10"/>
  <c r="T162" i="10"/>
  <c r="J357" i="16"/>
  <c r="J281" i="5"/>
  <c r="J172" i="15"/>
  <c r="Q162" i="10"/>
  <c r="Q153" i="10"/>
  <c r="I528" i="16"/>
  <c r="I242" i="15"/>
  <c r="I539" i="16" s="1"/>
  <c r="I240" i="15"/>
  <c r="I530" i="16" s="1"/>
  <c r="I241" i="15"/>
  <c r="I531" i="16" s="1"/>
  <c r="L40" i="6"/>
  <c r="S298" i="16"/>
  <c r="J173" i="16"/>
  <c r="J99" i="4"/>
  <c r="J135" i="5"/>
  <c r="J55" i="6"/>
  <c r="J58" i="6"/>
  <c r="J56" i="6"/>
  <c r="J220" i="4"/>
  <c r="J57" i="6"/>
  <c r="T667" i="16"/>
  <c r="M811" i="16"/>
  <c r="M102" i="8"/>
  <c r="I612" i="16"/>
  <c r="I269" i="15"/>
  <c r="I607" i="16" s="1"/>
  <c r="J44" i="10"/>
  <c r="J19" i="9"/>
  <c r="J76" i="10"/>
  <c r="N239" i="5"/>
  <c r="N98" i="8"/>
  <c r="N773" i="16" s="1"/>
  <c r="N762" i="16"/>
  <c r="T49" i="5"/>
  <c r="H1101" i="17"/>
  <c r="H1102" i="17" s="1"/>
  <c r="H355" i="16"/>
  <c r="H50" i="8"/>
  <c r="H366" i="16" s="1"/>
  <c r="H227" i="5"/>
  <c r="O873" i="17"/>
  <c r="O874" i="17" s="1"/>
  <c r="O287" i="16"/>
  <c r="K110" i="4"/>
  <c r="K111" i="4"/>
  <c r="L75" i="16"/>
  <c r="L62" i="5"/>
  <c r="L64" i="5" s="1"/>
  <c r="L47" i="4"/>
  <c r="T211" i="4"/>
  <c r="T209" i="7"/>
  <c r="T280" i="7" s="1"/>
  <c r="M108" i="8"/>
  <c r="M818" i="16" s="1"/>
  <c r="T104" i="10"/>
  <c r="T165" i="15"/>
  <c r="T336" i="16" s="1"/>
  <c r="I10" i="11"/>
  <c r="I60" i="12"/>
  <c r="Q298" i="16"/>
  <c r="L727" i="16"/>
  <c r="L238" i="5"/>
  <c r="L94" i="8"/>
  <c r="L738" i="16" s="1"/>
  <c r="H330" i="16"/>
  <c r="H47" i="8"/>
  <c r="H166" i="15" s="1"/>
  <c r="H337" i="16" s="1"/>
  <c r="N347" i="15"/>
  <c r="N111" i="10"/>
  <c r="I135" i="12"/>
  <c r="I133" i="12"/>
  <c r="H634" i="16"/>
  <c r="H83" i="8"/>
  <c r="T152" i="15"/>
  <c r="T300" i="16" s="1"/>
  <c r="T103" i="10"/>
  <c r="Q1234" i="17"/>
  <c r="Q1235" i="17" s="1"/>
  <c r="Q658" i="16"/>
  <c r="Q263" i="5"/>
  <c r="J294" i="5"/>
  <c r="J341" i="15"/>
  <c r="Q702" i="16"/>
  <c r="Q91" i="8"/>
  <c r="M762" i="16"/>
  <c r="M98" i="8"/>
  <c r="M773" i="16" s="1"/>
  <c r="M239" i="5"/>
  <c r="R694" i="16"/>
  <c r="R302" i="15"/>
  <c r="R291" i="5"/>
  <c r="R303" i="15"/>
  <c r="S149" i="7"/>
  <c r="I86" i="6"/>
  <c r="I626" i="16"/>
  <c r="I276" i="15"/>
  <c r="I289" i="5"/>
  <c r="I85" i="6"/>
  <c r="I92" i="6" s="1"/>
  <c r="Q47" i="8"/>
  <c r="Q166" i="15" s="1"/>
  <c r="Q337" i="16" s="1"/>
  <c r="Q330" i="16"/>
  <c r="M994" i="17"/>
  <c r="M995" i="17" s="1"/>
  <c r="M212" i="16"/>
  <c r="M33" i="8"/>
  <c r="M194" i="4"/>
  <c r="M199" i="7"/>
  <c r="H370" i="15"/>
  <c r="H803" i="16" s="1"/>
  <c r="N209" i="16"/>
  <c r="N104" i="4"/>
  <c r="I694" i="16"/>
  <c r="I302" i="15"/>
  <c r="I167" i="12"/>
  <c r="I214" i="12"/>
  <c r="I116" i="11"/>
  <c r="I291" i="5"/>
  <c r="I303" i="15"/>
  <c r="I286" i="16"/>
  <c r="I147" i="15"/>
  <c r="I92" i="12"/>
  <c r="I279" i="5"/>
  <c r="I146" i="15"/>
  <c r="Q73" i="5"/>
  <c r="K73" i="10"/>
  <c r="K223" i="11"/>
  <c r="K39" i="13"/>
  <c r="K330" i="7"/>
  <c r="I365" i="16"/>
  <c r="I51" i="8"/>
  <c r="I179" i="15" s="1"/>
  <c r="I372" i="16" s="1"/>
  <c r="J727" i="16"/>
  <c r="J94" i="8"/>
  <c r="J738" i="16" s="1"/>
  <c r="J238" i="5"/>
  <c r="L179" i="7"/>
  <c r="L224" i="16"/>
  <c r="L35" i="8"/>
  <c r="L89" i="4"/>
  <c r="L1257" i="17" s="1"/>
  <c r="L1258" i="17" s="1"/>
  <c r="H809" i="16"/>
  <c r="H812" i="16"/>
  <c r="I172" i="7"/>
  <c r="R41" i="11"/>
  <c r="R147" i="15"/>
  <c r="R146" i="15"/>
  <c r="R286" i="16"/>
  <c r="R92" i="12"/>
  <c r="R279" i="5"/>
  <c r="J68" i="15"/>
  <c r="J81" i="16"/>
  <c r="J273" i="5"/>
  <c r="Q191" i="15"/>
  <c r="Q406" i="16" s="1"/>
  <c r="Q106" i="10"/>
  <c r="I39" i="13"/>
  <c r="I81" i="7"/>
  <c r="I73" i="10"/>
  <c r="I330" i="7"/>
  <c r="I223" i="11"/>
  <c r="J421" i="16"/>
  <c r="J136" i="4"/>
  <c r="J137" i="4" s="1"/>
  <c r="L47" i="8"/>
  <c r="L166" i="15" s="1"/>
  <c r="L337" i="16" s="1"/>
  <c r="L330" i="16"/>
  <c r="N99" i="5"/>
  <c r="M127" i="5"/>
  <c r="K1124" i="17"/>
  <c r="K1125" i="17" s="1"/>
  <c r="K490" i="16"/>
  <c r="K65" i="8"/>
  <c r="K170" i="5"/>
  <c r="K171" i="5" s="1"/>
  <c r="K202" i="4"/>
  <c r="I102" i="11"/>
  <c r="I104" i="11"/>
  <c r="I334" i="16"/>
  <c r="H1046" i="17"/>
  <c r="H1047" i="17" s="1"/>
  <c r="H248" i="16"/>
  <c r="H37" i="8"/>
  <c r="H200" i="7"/>
  <c r="H144" i="5"/>
  <c r="H195" i="4"/>
  <c r="H213" i="4" s="1"/>
  <c r="H143" i="5"/>
  <c r="H896" i="16"/>
  <c r="H868" i="16"/>
  <c r="J1234" i="17"/>
  <c r="J1235" i="17" s="1"/>
  <c r="J658" i="16"/>
  <c r="J263" i="5"/>
  <c r="L1124" i="17"/>
  <c r="L1125" i="17" s="1"/>
  <c r="L490" i="16"/>
  <c r="L170" i="5"/>
  <c r="L202" i="4"/>
  <c r="L65" i="8"/>
  <c r="L171" i="5"/>
  <c r="H694" i="16"/>
  <c r="H116" i="11"/>
  <c r="H291" i="5"/>
  <c r="H302" i="15"/>
  <c r="H214" i="12"/>
  <c r="H163" i="11"/>
  <c r="H167" i="12"/>
  <c r="P844" i="17"/>
  <c r="P845" i="17" s="1"/>
  <c r="P47" i="16"/>
  <c r="P245" i="5"/>
  <c r="S47" i="8"/>
  <c r="S166" i="15" s="1"/>
  <c r="S337" i="16" s="1"/>
  <c r="S330" i="16"/>
  <c r="L308" i="15"/>
  <c r="L708" i="16" s="1"/>
  <c r="L108" i="10"/>
  <c r="K838" i="17"/>
  <c r="K839" i="17" s="1"/>
  <c r="K45" i="16"/>
  <c r="K194" i="7"/>
  <c r="K35" i="5"/>
  <c r="K189" i="4"/>
  <c r="K212" i="4" s="1"/>
  <c r="K13" i="8"/>
  <c r="M1234" i="17"/>
  <c r="M1235" i="17" s="1"/>
  <c r="M658" i="16"/>
  <c r="M263" i="5"/>
  <c r="H126" i="15"/>
  <c r="H230" i="16" s="1"/>
  <c r="H101" i="10"/>
  <c r="M147" i="15"/>
  <c r="M146" i="15"/>
  <c r="M92" i="12"/>
  <c r="M41" i="11"/>
  <c r="M279" i="5"/>
  <c r="M286" i="16"/>
  <c r="P149" i="7"/>
  <c r="H218" i="7"/>
  <c r="H238" i="7" s="1"/>
  <c r="O762" i="16"/>
  <c r="O98" i="8"/>
  <c r="O773" i="16" s="1"/>
  <c r="O239" i="5"/>
  <c r="R238" i="5"/>
  <c r="R727" i="16"/>
  <c r="R94" i="8"/>
  <c r="R738" i="16" s="1"/>
  <c r="O72" i="4"/>
  <c r="P58" i="4"/>
  <c r="H1234" i="17"/>
  <c r="H1235" i="17" s="1"/>
  <c r="H658" i="16"/>
  <c r="H263" i="5"/>
  <c r="K150" i="7"/>
  <c r="K1302" i="17" s="1"/>
  <c r="R334" i="16"/>
  <c r="P65" i="4"/>
  <c r="O79" i="4"/>
  <c r="Q160" i="15"/>
  <c r="Q280" i="5"/>
  <c r="Q159" i="15"/>
  <c r="Q97" i="12"/>
  <c r="Q322" i="16"/>
  <c r="Q205" i="12"/>
  <c r="S810" i="16"/>
  <c r="S101" i="8"/>
  <c r="I370" i="15"/>
  <c r="I803" i="16" s="1"/>
  <c r="I702" i="16"/>
  <c r="I91" i="8"/>
  <c r="I309" i="15" s="1"/>
  <c r="I709" i="16" s="1"/>
  <c r="I294" i="16"/>
  <c r="I43" i="8"/>
  <c r="I153" i="15" s="1"/>
  <c r="I301" i="16" s="1"/>
  <c r="N59" i="4"/>
  <c r="M73" i="4"/>
  <c r="K802" i="16"/>
  <c r="K815" i="16"/>
  <c r="K371" i="15"/>
  <c r="N145" i="10"/>
  <c r="L762" i="16"/>
  <c r="L98" i="8"/>
  <c r="L773" i="16" s="1"/>
  <c r="L239" i="5"/>
  <c r="I1104" i="17"/>
  <c r="I1105" i="17" s="1"/>
  <c r="I254" i="5"/>
  <c r="I356" i="16"/>
  <c r="K942" i="17"/>
  <c r="K943" i="17" s="1"/>
  <c r="K78" i="16"/>
  <c r="K190" i="4"/>
  <c r="K66" i="5"/>
  <c r="K195" i="7"/>
  <c r="K17" i="8"/>
  <c r="J726" i="16"/>
  <c r="J93" i="8"/>
  <c r="J192" i="5"/>
  <c r="J207" i="7"/>
  <c r="J278" i="7" s="1"/>
  <c r="J209" i="4"/>
  <c r="T149" i="7"/>
  <c r="J1078" i="17"/>
  <c r="J1079" i="17" s="1"/>
  <c r="J459" i="16"/>
  <c r="J257" i="5"/>
  <c r="L87" i="6"/>
  <c r="L143" i="10"/>
  <c r="L146" i="10" s="1"/>
  <c r="T221" i="7"/>
  <c r="T241" i="7" s="1"/>
  <c r="T393" i="16" s="1"/>
  <c r="J227" i="4"/>
  <c r="N153" i="15"/>
  <c r="N301" i="16" s="1"/>
  <c r="L104" i="10"/>
  <c r="L165" i="15"/>
  <c r="L336" i="16" s="1"/>
  <c r="I283" i="15"/>
  <c r="I641" i="16" s="1"/>
  <c r="I538" i="16"/>
  <c r="R810" i="16"/>
  <c r="R101" i="8"/>
  <c r="J667" i="16"/>
  <c r="J87" i="8"/>
  <c r="I55" i="8"/>
  <c r="R17" i="5"/>
  <c r="Q34" i="5"/>
  <c r="S104" i="10"/>
  <c r="S165" i="15"/>
  <c r="S336" i="16" s="1"/>
  <c r="L702" i="16"/>
  <c r="L91" i="8"/>
  <c r="L309" i="15" s="1"/>
  <c r="L709" i="16" s="1"/>
  <c r="K41" i="16"/>
  <c r="K31" i="5"/>
  <c r="K33" i="5" s="1"/>
  <c r="K219" i="4"/>
  <c r="K30" i="6"/>
  <c r="K553" i="16" s="1"/>
  <c r="K135" i="4"/>
  <c r="R762" i="16"/>
  <c r="R239" i="5"/>
  <c r="R98" i="8"/>
  <c r="R773" i="16" s="1"/>
  <c r="J228" i="16"/>
  <c r="O147" i="15"/>
  <c r="M667" i="16"/>
  <c r="R42" i="5"/>
  <c r="Q61" i="5"/>
  <c r="M43" i="8"/>
  <c r="M153" i="15" s="1"/>
  <c r="M301" i="16" s="1"/>
  <c r="M294" i="16"/>
  <c r="S153" i="15"/>
  <c r="S301" i="16" s="1"/>
  <c r="J298" i="16"/>
  <c r="I218" i="7"/>
  <c r="I238" i="7" s="1"/>
  <c r="L87" i="4"/>
  <c r="K94" i="8"/>
  <c r="K738" i="16" s="1"/>
  <c r="K238" i="5"/>
  <c r="K727" i="16"/>
  <c r="H667" i="16"/>
  <c r="H87" i="8"/>
  <c r="H296" i="15" s="1"/>
  <c r="H674" i="16" s="1"/>
  <c r="D87" i="17"/>
  <c r="F87" i="17" s="1"/>
  <c r="C153" i="1"/>
  <c r="N308" i="15"/>
  <c r="N708" i="16" s="1"/>
  <c r="N108" i="10"/>
  <c r="P702" i="16"/>
  <c r="P91" i="8"/>
  <c r="M150" i="7"/>
  <c r="M1302" i="17" s="1"/>
  <c r="I60" i="16"/>
  <c r="S162" i="10"/>
  <c r="S153" i="10"/>
  <c r="K762" i="16"/>
  <c r="K98" i="8"/>
  <c r="K773" i="16" s="1"/>
  <c r="K239" i="5"/>
  <c r="R873" i="17"/>
  <c r="R874" i="17" s="1"/>
  <c r="R287" i="16"/>
  <c r="I815" i="16"/>
  <c r="I802" i="16"/>
  <c r="I371" i="15"/>
  <c r="I165" i="16"/>
  <c r="I100" i="15"/>
  <c r="I160" i="16" s="1"/>
  <c r="S727" i="16"/>
  <c r="S94" i="8"/>
  <c r="S738" i="16" s="1"/>
  <c r="S238" i="5"/>
  <c r="H815" i="16"/>
  <c r="H802" i="16"/>
  <c r="O183" i="7"/>
  <c r="N219" i="7"/>
  <c r="N239" i="7" s="1"/>
  <c r="N97" i="12" s="1"/>
  <c r="S219" i="7"/>
  <c r="S239" i="7" s="1"/>
  <c r="S160" i="15" s="1"/>
  <c r="R219" i="7"/>
  <c r="R239" i="7" s="1"/>
  <c r="Q219" i="7"/>
  <c r="Q239" i="7" s="1"/>
  <c r="Q154" i="11" s="1"/>
  <c r="K219" i="7"/>
  <c r="K239" i="7" s="1"/>
  <c r="K205" i="12" s="1"/>
  <c r="J219" i="7"/>
  <c r="J239" i="7" s="1"/>
  <c r="I219" i="7"/>
  <c r="I239" i="7" s="1"/>
  <c r="L219" i="7"/>
  <c r="L239" i="7" s="1"/>
  <c r="H219" i="7"/>
  <c r="H239" i="7" s="1"/>
  <c r="M219" i="7"/>
  <c r="M239" i="7" s="1"/>
  <c r="M160" i="15" s="1"/>
  <c r="T219" i="7"/>
  <c r="T239" i="7" s="1"/>
  <c r="P219" i="7"/>
  <c r="P239" i="7" s="1"/>
  <c r="O219" i="7"/>
  <c r="O239" i="7" s="1"/>
  <c r="H266" i="7"/>
  <c r="L811" i="16"/>
  <c r="L102" i="8"/>
  <c r="L103" i="8" s="1"/>
  <c r="Q726" i="16"/>
  <c r="Q209" i="4"/>
  <c r="Q207" i="7"/>
  <c r="Q278" i="7" s="1"/>
  <c r="Q192" i="5"/>
  <c r="Q93" i="8"/>
  <c r="M1124" i="17"/>
  <c r="M1125" i="17" s="1"/>
  <c r="M490" i="16"/>
  <c r="M170" i="5"/>
  <c r="M171" i="5" s="1"/>
  <c r="M202" i="4"/>
  <c r="M65" i="8"/>
  <c r="L294" i="5"/>
  <c r="L341" i="15"/>
  <c r="L802" i="16"/>
  <c r="L815" i="16"/>
  <c r="L371" i="15"/>
  <c r="S815" i="16"/>
  <c r="S802" i="16"/>
  <c r="S371" i="15"/>
  <c r="M370" i="15"/>
  <c r="K322" i="16"/>
  <c r="K160" i="15"/>
  <c r="K159" i="15"/>
  <c r="K154" i="11"/>
  <c r="K97" i="12"/>
  <c r="K280" i="5"/>
  <c r="K46" i="11"/>
  <c r="H468" i="16"/>
  <c r="H63" i="8"/>
  <c r="H218" i="15" s="1"/>
  <c r="H475" i="16" s="1"/>
  <c r="K945" i="17"/>
  <c r="K946" i="17" s="1"/>
  <c r="K79" i="16"/>
  <c r="K18" i="8"/>
  <c r="K90" i="16" s="1"/>
  <c r="K219" i="5"/>
  <c r="O73" i="10"/>
  <c r="O223" i="11"/>
  <c r="O39" i="13"/>
  <c r="O330" i="7"/>
  <c r="K120" i="15"/>
  <c r="K277" i="5"/>
  <c r="K215" i="16"/>
  <c r="M159" i="15"/>
  <c r="M322" i="16"/>
  <c r="M280" i="5"/>
  <c r="I103" i="6"/>
  <c r="I257" i="15"/>
  <c r="I575" i="16" s="1"/>
  <c r="S1234" i="17"/>
  <c r="S1235" i="17" s="1"/>
  <c r="S658" i="16"/>
  <c r="S263" i="5"/>
  <c r="Q39" i="13"/>
  <c r="Q73" i="10"/>
  <c r="Q223" i="11"/>
  <c r="Q330" i="7"/>
  <c r="R800" i="16"/>
  <c r="R107" i="8"/>
  <c r="R108" i="8" s="1"/>
  <c r="R818" i="16" s="1"/>
  <c r="R212" i="5"/>
  <c r="R240" i="5" s="1"/>
  <c r="I727" i="16"/>
  <c r="I94" i="8"/>
  <c r="I738" i="16" s="1"/>
  <c r="I238" i="5"/>
  <c r="H702" i="16"/>
  <c r="H91" i="8"/>
  <c r="H309" i="15" s="1"/>
  <c r="H709" i="16" s="1"/>
  <c r="S322" i="16"/>
  <c r="S159" i="15"/>
  <c r="S280" i="5"/>
  <c r="J87" i="15"/>
  <c r="J128" i="16" s="1"/>
  <c r="J133" i="16"/>
  <c r="R761" i="16"/>
  <c r="R97" i="8"/>
  <c r="R208" i="7"/>
  <c r="R279" i="7" s="1"/>
  <c r="R210" i="4"/>
  <c r="R198" i="5"/>
  <c r="O41" i="11"/>
  <c r="T1234" i="17"/>
  <c r="T1235" i="17" s="1"/>
  <c r="T658" i="16"/>
  <c r="T263" i="5"/>
  <c r="L218" i="7"/>
  <c r="L238" i="7" s="1"/>
  <c r="L88" i="4"/>
  <c r="K726" i="16"/>
  <c r="K93" i="8"/>
  <c r="K209" i="4"/>
  <c r="K192" i="5"/>
  <c r="K207" i="7"/>
  <c r="K278" i="7" s="1"/>
  <c r="N694" i="16"/>
  <c r="N302" i="15"/>
  <c r="N167" i="12"/>
  <c r="N163" i="11"/>
  <c r="N291" i="5"/>
  <c r="N303" i="15"/>
  <c r="N116" i="11"/>
  <c r="P108" i="10"/>
  <c r="P308" i="15"/>
  <c r="P708" i="16" s="1"/>
  <c r="L997" i="17"/>
  <c r="L998" i="17" s="1"/>
  <c r="L213" i="16"/>
  <c r="L34" i="8"/>
  <c r="L225" i="16" s="1"/>
  <c r="L223" i="5"/>
  <c r="T150" i="7"/>
  <c r="T1302" i="17" s="1"/>
  <c r="O1234" i="17"/>
  <c r="O1235" i="17" s="1"/>
  <c r="O658" i="16"/>
  <c r="O263" i="5"/>
  <c r="J370" i="15"/>
  <c r="J803" i="16" s="1"/>
  <c r="I308" i="15"/>
  <c r="I708" i="16" s="1"/>
  <c r="I108" i="10"/>
  <c r="I152" i="15"/>
  <c r="I300" i="16" s="1"/>
  <c r="I103" i="10"/>
  <c r="K35" i="8"/>
  <c r="K127" i="15" s="1"/>
  <c r="K231" i="16" s="1"/>
  <c r="P726" i="16"/>
  <c r="P207" i="7"/>
  <c r="P278" i="7" s="1"/>
  <c r="P209" i="4"/>
  <c r="P192" i="5"/>
  <c r="P93" i="8"/>
  <c r="I1124" i="17"/>
  <c r="I1125" i="17" s="1"/>
  <c r="I490" i="16"/>
  <c r="I65" i="8"/>
  <c r="I202" i="4"/>
  <c r="I170" i="5"/>
  <c r="I171" i="5"/>
  <c r="H1078" i="17"/>
  <c r="H1079" i="17" s="1"/>
  <c r="H459" i="16"/>
  <c r="H257" i="5"/>
  <c r="L198" i="5"/>
  <c r="L208" i="7"/>
  <c r="L279" i="7" s="1"/>
  <c r="L761" i="16"/>
  <c r="L97" i="8"/>
  <c r="L210" i="4"/>
  <c r="L178" i="7"/>
  <c r="I228" i="16"/>
  <c r="J460" i="16"/>
  <c r="J211" i="15"/>
  <c r="J81" i="11"/>
  <c r="J212" i="15"/>
  <c r="J284" i="5"/>
  <c r="J132" i="12"/>
  <c r="L520" i="16"/>
  <c r="L145" i="4"/>
  <c r="L146" i="4" s="1"/>
  <c r="H365" i="16"/>
  <c r="H51" i="8"/>
  <c r="H179" i="15" s="1"/>
  <c r="H372" i="16" s="1"/>
  <c r="L159" i="5"/>
  <c r="L90" i="5"/>
  <c r="L1317" i="17"/>
  <c r="I572" i="16"/>
  <c r="P221" i="7"/>
  <c r="P241" i="7" s="1"/>
  <c r="P393" i="16" s="1"/>
  <c r="J89" i="16"/>
  <c r="J19" i="8"/>
  <c r="J75" i="15" s="1"/>
  <c r="J96" i="16" s="1"/>
  <c r="M365" i="16"/>
  <c r="N62" i="4"/>
  <c r="M76" i="4"/>
  <c r="H280" i="7"/>
  <c r="I153" i="12"/>
  <c r="I155" i="12"/>
  <c r="J178" i="15"/>
  <c r="J371" i="16" s="1"/>
  <c r="J105" i="10"/>
  <c r="T802" i="16"/>
  <c r="T815" i="16"/>
  <c r="E374" i="15"/>
  <c r="I601" i="16"/>
  <c r="I79" i="8"/>
  <c r="I270" i="15" s="1"/>
  <c r="I608" i="16" s="1"/>
  <c r="T726" i="16"/>
  <c r="T93" i="8"/>
  <c r="T207" i="7"/>
  <c r="T278" i="7" s="1"/>
  <c r="T192" i="5"/>
  <c r="T209" i="4"/>
  <c r="I726" i="16"/>
  <c r="I207" i="7"/>
  <c r="I278" i="7" s="1"/>
  <c r="I93" i="8"/>
  <c r="I192" i="5"/>
  <c r="I209" i="4"/>
  <c r="R223" i="7"/>
  <c r="R250" i="7" s="1"/>
  <c r="R695" i="16" s="1"/>
  <c r="L223" i="7"/>
  <c r="L250" i="7" s="1"/>
  <c r="L695" i="16" s="1"/>
  <c r="K223" i="7"/>
  <c r="K250" i="7" s="1"/>
  <c r="K695" i="16" s="1"/>
  <c r="J223" i="7"/>
  <c r="J250" i="7" s="1"/>
  <c r="J695" i="16" s="1"/>
  <c r="Q223" i="7"/>
  <c r="Q250" i="7" s="1"/>
  <c r="Q695" i="16" s="1"/>
  <c r="P223" i="7"/>
  <c r="P250" i="7" s="1"/>
  <c r="P695" i="16" s="1"/>
  <c r="O223" i="7"/>
  <c r="O250" i="7" s="1"/>
  <c r="O695" i="16" s="1"/>
  <c r="N223" i="7"/>
  <c r="N250" i="7" s="1"/>
  <c r="N695" i="16" s="1"/>
  <c r="M223" i="7"/>
  <c r="M250" i="7" s="1"/>
  <c r="M695" i="16" s="1"/>
  <c r="I223" i="7"/>
  <c r="I250" i="7" s="1"/>
  <c r="I695" i="16" s="1"/>
  <c r="H223" i="7"/>
  <c r="H250" i="7" s="1"/>
  <c r="H695" i="16" s="1"/>
  <c r="T223" i="7"/>
  <c r="T250" i="7" s="1"/>
  <c r="T695" i="16" s="1"/>
  <c r="S223" i="7"/>
  <c r="S250" i="7" s="1"/>
  <c r="S695" i="16" s="1"/>
  <c r="H277" i="7"/>
  <c r="L365" i="16"/>
  <c r="H1124" i="17"/>
  <c r="H1125" i="17" s="1"/>
  <c r="H490" i="16"/>
  <c r="H65" i="8"/>
  <c r="H170" i="5"/>
  <c r="H202" i="4"/>
  <c r="H526" i="16"/>
  <c r="H237" i="15"/>
  <c r="H101" i="11"/>
  <c r="H286" i="5"/>
  <c r="H238" i="15"/>
  <c r="H152" i="12"/>
  <c r="O92" i="12"/>
  <c r="M107" i="10"/>
  <c r="M295" i="15"/>
  <c r="M673" i="16" s="1"/>
  <c r="L153" i="15"/>
  <c r="L301" i="16" s="1"/>
  <c r="J1205" i="17"/>
  <c r="J1206" i="17" s="1"/>
  <c r="J26" i="8"/>
  <c r="J155" i="16" s="1"/>
  <c r="J144" i="16"/>
  <c r="J221" i="5"/>
  <c r="N218" i="7"/>
  <c r="N238" i="7" s="1"/>
  <c r="K260" i="7"/>
  <c r="I154" i="16"/>
  <c r="H165" i="16"/>
  <c r="H100" i="15"/>
  <c r="H160" i="16" s="1"/>
  <c r="N56" i="4"/>
  <c r="M70" i="4"/>
  <c r="M88" i="4" s="1"/>
  <c r="M83" i="4"/>
  <c r="L223" i="11"/>
  <c r="L330" i="7"/>
  <c r="L39" i="13"/>
  <c r="L73" i="10"/>
  <c r="P694" i="16"/>
  <c r="P302" i="15"/>
  <c r="P291" i="5"/>
  <c r="H202" i="15"/>
  <c r="H432" i="16" s="1"/>
  <c r="K1176" i="17"/>
  <c r="K1177" i="17" s="1"/>
  <c r="K523" i="16"/>
  <c r="K203" i="4"/>
  <c r="K69" i="8"/>
  <c r="K173" i="5"/>
  <c r="K174" i="5" s="1"/>
  <c r="M139" i="5"/>
  <c r="M141" i="5" s="1"/>
  <c r="N41" i="5"/>
  <c r="H150" i="7"/>
  <c r="H1302" i="17" s="1"/>
  <c r="P153" i="10"/>
  <c r="P162" i="10"/>
  <c r="H158" i="16"/>
  <c r="O107" i="10"/>
  <c r="O295" i="15"/>
  <c r="O673" i="16" s="1"/>
  <c r="K370" i="15"/>
  <c r="K803" i="16" s="1"/>
  <c r="P727" i="16"/>
  <c r="P238" i="5"/>
  <c r="P94" i="8"/>
  <c r="P738" i="16" s="1"/>
  <c r="J634" i="16"/>
  <c r="J83" i="8"/>
  <c r="J283" i="15" s="1"/>
  <c r="J641" i="16" s="1"/>
  <c r="O211" i="4"/>
  <c r="O209" i="7"/>
  <c r="O280" i="7" s="1"/>
  <c r="M36" i="5"/>
  <c r="M177" i="7" s="1"/>
  <c r="N24" i="5"/>
  <c r="M330" i="16"/>
  <c r="M47" i="8"/>
  <c r="M166" i="15" s="1"/>
  <c r="M337" i="16" s="1"/>
  <c r="J468" i="16"/>
  <c r="J63" i="8"/>
  <c r="J218" i="15" s="1"/>
  <c r="J475" i="16" s="1"/>
  <c r="S667" i="16"/>
  <c r="L81" i="6"/>
  <c r="L620" i="16"/>
  <c r="H157" i="5"/>
  <c r="N74" i="5"/>
  <c r="M88" i="5"/>
  <c r="H106" i="10"/>
  <c r="H191" i="15"/>
  <c r="H406" i="16" s="1"/>
  <c r="H295" i="7"/>
  <c r="H593" i="16"/>
  <c r="H263" i="15"/>
  <c r="H288" i="5"/>
  <c r="H296" i="5" s="1"/>
  <c r="H64" i="6"/>
  <c r="H63" i="6"/>
  <c r="H91" i="6" s="1"/>
  <c r="H93" i="6" s="1"/>
  <c r="H100" i="6"/>
  <c r="H214" i="5"/>
  <c r="J1104" i="17"/>
  <c r="J1105" i="17" s="1"/>
  <c r="J356" i="16"/>
  <c r="J254" i="5"/>
  <c r="T107" i="8"/>
  <c r="T800" i="16"/>
  <c r="T212" i="5"/>
  <c r="T240" i="5" s="1"/>
  <c r="I404" i="16"/>
  <c r="T94" i="8"/>
  <c r="T738" i="16" s="1"/>
  <c r="T727" i="16"/>
  <c r="T238" i="5"/>
  <c r="L178" i="15"/>
  <c r="L371" i="16" s="1"/>
  <c r="L105" i="10"/>
  <c r="I1228" i="17"/>
  <c r="I1229" i="17" s="1"/>
  <c r="I656" i="16"/>
  <c r="I85" i="8"/>
  <c r="I177" i="5"/>
  <c r="I178" i="5"/>
  <c r="I205" i="7"/>
  <c r="I276" i="7" s="1"/>
  <c r="I207" i="4"/>
  <c r="M103" i="8"/>
  <c r="K97" i="4"/>
  <c r="L96" i="4"/>
  <c r="O298" i="16"/>
  <c r="O827" i="16"/>
  <c r="O146" i="10"/>
  <c r="T218" i="7"/>
  <c r="T238" i="7" s="1"/>
  <c r="T147" i="15" s="1"/>
  <c r="K122" i="16"/>
  <c r="O726" i="16"/>
  <c r="O207" i="7"/>
  <c r="O278" i="7" s="1"/>
  <c r="O209" i="4"/>
  <c r="O192" i="5"/>
  <c r="O93" i="8"/>
  <c r="N702" i="16"/>
  <c r="N91" i="8"/>
  <c r="L149" i="7"/>
  <c r="I150" i="7"/>
  <c r="I1302" i="17" s="1"/>
  <c r="S726" i="16"/>
  <c r="S93" i="8"/>
  <c r="S192" i="5"/>
  <c r="S209" i="4"/>
  <c r="S207" i="7"/>
  <c r="S278" i="7" s="1"/>
  <c r="N761" i="16"/>
  <c r="N210" i="4"/>
  <c r="N208" i="7"/>
  <c r="N279" i="7" s="1"/>
  <c r="N198" i="5"/>
  <c r="N97" i="8"/>
  <c r="N298" i="16"/>
  <c r="O667" i="16"/>
  <c r="J625" i="16"/>
  <c r="J262" i="5"/>
  <c r="J1046" i="17"/>
  <c r="J1047" i="17" s="1"/>
  <c r="J248" i="16"/>
  <c r="J200" i="7"/>
  <c r="J264" i="7" s="1"/>
  <c r="J37" i="8"/>
  <c r="J143" i="5"/>
  <c r="J195" i="4"/>
  <c r="J144" i="5"/>
  <c r="J145" i="5"/>
  <c r="O800" i="16"/>
  <c r="O107" i="8"/>
  <c r="O212" i="5"/>
  <c r="O240" i="5" s="1"/>
  <c r="L1150" i="17"/>
  <c r="L1151" i="17" s="1"/>
  <c r="L191" i="4"/>
  <c r="L196" i="7"/>
  <c r="L111" i="16"/>
  <c r="L21" i="8"/>
  <c r="L91" i="5"/>
  <c r="T810" i="16"/>
  <c r="T101" i="8"/>
  <c r="T108" i="8"/>
  <c r="N178" i="15"/>
  <c r="N371" i="16" s="1"/>
  <c r="N105" i="10"/>
  <c r="I261" i="5"/>
  <c r="I269" i="5" s="1"/>
  <c r="I592" i="16"/>
  <c r="J127" i="15"/>
  <c r="J231" i="16" s="1"/>
  <c r="I1231" i="17"/>
  <c r="I1232" i="17" s="1"/>
  <c r="I657" i="16"/>
  <c r="I86" i="8"/>
  <c r="I668" i="16" s="1"/>
  <c r="I236" i="5"/>
  <c r="S91" i="8"/>
  <c r="S309" i="15" s="1"/>
  <c r="S709" i="16" s="1"/>
  <c r="S702" i="16"/>
  <c r="K298" i="7"/>
  <c r="J500" i="16"/>
  <c r="N726" i="16"/>
  <c r="N209" i="4"/>
  <c r="N207" i="7"/>
  <c r="N278" i="7" s="1"/>
  <c r="N192" i="5"/>
  <c r="N93" i="8"/>
  <c r="J572" i="16"/>
  <c r="T91" i="8"/>
  <c r="T702" i="16"/>
  <c r="T286" i="16"/>
  <c r="E155" i="15"/>
  <c r="T146" i="15"/>
  <c r="T279" i="5"/>
  <c r="J1101" i="17"/>
  <c r="J1102" i="17" s="1"/>
  <c r="J355" i="16"/>
  <c r="J227" i="5"/>
  <c r="J50" i="8"/>
  <c r="J366" i="16" s="1"/>
  <c r="N365" i="16"/>
  <c r="I62" i="6"/>
  <c r="J434" i="16"/>
  <c r="K296" i="7"/>
  <c r="M143" i="10"/>
  <c r="M146" i="10" s="1"/>
  <c r="K141" i="16"/>
  <c r="K224" i="4"/>
  <c r="O727" i="16"/>
  <c r="O94" i="8"/>
  <c r="O738" i="16" s="1"/>
  <c r="O238" i="5"/>
  <c r="I811" i="16"/>
  <c r="I102" i="8"/>
  <c r="I103" i="8" s="1"/>
  <c r="N60" i="4"/>
  <c r="M74" i="4"/>
  <c r="R149" i="7"/>
  <c r="R1302" i="17" s="1"/>
  <c r="N238" i="5"/>
  <c r="N727" i="16"/>
  <c r="N94" i="8"/>
  <c r="N738" i="16" s="1"/>
  <c r="I645" i="16"/>
  <c r="I282" i="15"/>
  <c r="I640" i="16" s="1"/>
  <c r="J10" i="9"/>
  <c r="N294" i="5"/>
  <c r="N341" i="15"/>
  <c r="J694" i="16"/>
  <c r="J214" i="12"/>
  <c r="J116" i="11"/>
  <c r="J302" i="15"/>
  <c r="J291" i="5"/>
  <c r="I536" i="16"/>
  <c r="I533" i="16"/>
  <c r="J299" i="7"/>
  <c r="R1234" i="17"/>
  <c r="R1235" i="17" s="1"/>
  <c r="R658" i="16"/>
  <c r="R263" i="5"/>
  <c r="L454" i="16"/>
  <c r="L139" i="4"/>
  <c r="L140" i="4" s="1"/>
  <c r="J111" i="10"/>
  <c r="J347" i="15"/>
  <c r="L73" i="8"/>
  <c r="L36" i="6"/>
  <c r="L557" i="16"/>
  <c r="L204" i="4"/>
  <c r="N330" i="7"/>
  <c r="N73" i="10"/>
  <c r="N39" i="13"/>
  <c r="N223" i="11"/>
  <c r="I1205" i="17"/>
  <c r="I1206" i="17" s="1"/>
  <c r="I144" i="16"/>
  <c r="I26" i="8"/>
  <c r="I155" i="16" s="1"/>
  <c r="I221" i="5"/>
  <c r="Q150" i="7"/>
  <c r="Q1302" i="17" s="1"/>
  <c r="R108" i="10"/>
  <c r="R308" i="15"/>
  <c r="R708" i="16" s="1"/>
  <c r="L245" i="16"/>
  <c r="L109" i="4"/>
  <c r="N63" i="4"/>
  <c r="M77" i="4"/>
  <c r="M90" i="4" s="1"/>
  <c r="M1260" i="17" s="1"/>
  <c r="M1261" i="17" s="1"/>
  <c r="M85" i="4"/>
  <c r="P322" i="16"/>
  <c r="P280" i="5"/>
  <c r="P97" i="12"/>
  <c r="P154" i="11"/>
  <c r="P159" i="15"/>
  <c r="P205" i="12"/>
  <c r="J815" i="16"/>
  <c r="J802" i="16"/>
  <c r="J371" i="15"/>
  <c r="M1327" i="17"/>
  <c r="N1325" i="17"/>
  <c r="K1104" i="17"/>
  <c r="K1105" i="17" s="1"/>
  <c r="K356" i="16"/>
  <c r="K254" i="5"/>
  <c r="N44" i="4"/>
  <c r="M138" i="4"/>
  <c r="M45" i="4"/>
  <c r="T694" i="16"/>
  <c r="T302" i="15"/>
  <c r="T303" i="15"/>
  <c r="T163" i="11"/>
  <c r="T291" i="5"/>
  <c r="T167" i="12"/>
  <c r="E311" i="15"/>
  <c r="J365" i="16"/>
  <c r="J51" i="8"/>
  <c r="H727" i="16"/>
  <c r="H94" i="8"/>
  <c r="H738" i="16" s="1"/>
  <c r="H238" i="5"/>
  <c r="M308" i="15"/>
  <c r="M708" i="16" s="1"/>
  <c r="M108" i="10"/>
  <c r="T370" i="15"/>
  <c r="T803" i="16" s="1"/>
  <c r="P165" i="15"/>
  <c r="P336" i="16" s="1"/>
  <c r="P104" i="10"/>
  <c r="H107" i="15"/>
  <c r="H179" i="16"/>
  <c r="H276" i="5"/>
  <c r="I827" i="16"/>
  <c r="I146" i="10"/>
  <c r="K75" i="8"/>
  <c r="K568" i="16"/>
  <c r="H267" i="7"/>
  <c r="N64" i="4"/>
  <c r="M78" i="4"/>
  <c r="K228" i="5"/>
  <c r="K390" i="16"/>
  <c r="K54" i="8"/>
  <c r="K161" i="5"/>
  <c r="I93" i="16"/>
  <c r="N948" i="17"/>
  <c r="N949" i="17" s="1"/>
  <c r="N80" i="16"/>
  <c r="N246" i="5"/>
  <c r="Q667" i="16"/>
  <c r="M726" i="16"/>
  <c r="M207" i="7"/>
  <c r="M278" i="7" s="1"/>
  <c r="M192" i="5"/>
  <c r="M93" i="8"/>
  <c r="M209" i="4"/>
  <c r="S302" i="15"/>
  <c r="S163" i="11"/>
  <c r="S291" i="5"/>
  <c r="S694" i="16"/>
  <c r="S167" i="12"/>
  <c r="S116" i="11"/>
  <c r="S214" i="12"/>
  <c r="S303" i="15"/>
  <c r="J154" i="16"/>
  <c r="P209" i="7"/>
  <c r="P280" i="7" s="1"/>
  <c r="P211" i="4"/>
  <c r="P147" i="15"/>
  <c r="P146" i="15"/>
  <c r="P41" i="11"/>
  <c r="P286" i="16"/>
  <c r="P279" i="5"/>
  <c r="P92" i="12"/>
  <c r="J534" i="16"/>
  <c r="J71" i="8"/>
  <c r="J244" i="15" s="1"/>
  <c r="J541" i="16" s="1"/>
  <c r="Q218" i="7"/>
  <c r="Q238" i="7" s="1"/>
  <c r="L1156" i="17"/>
  <c r="L1157" i="17" s="1"/>
  <c r="L113" i="16"/>
  <c r="L247" i="5"/>
  <c r="H762" i="16"/>
  <c r="H98" i="8"/>
  <c r="H773" i="16" s="1"/>
  <c r="H239" i="5"/>
  <c r="I761" i="16"/>
  <c r="I97" i="8"/>
  <c r="I208" i="7"/>
  <c r="I279" i="7" s="1"/>
  <c r="I198" i="5"/>
  <c r="I210" i="4"/>
  <c r="L92" i="5"/>
  <c r="K702" i="16"/>
  <c r="K91" i="8"/>
  <c r="R221" i="7"/>
  <c r="R241" i="7" s="1"/>
  <c r="R393" i="16" s="1"/>
  <c r="H625" i="16"/>
  <c r="H262" i="5"/>
  <c r="H269" i="5" s="1"/>
  <c r="H99" i="6"/>
  <c r="I1046" i="17"/>
  <c r="I1047" i="17" s="1"/>
  <c r="I248" i="16"/>
  <c r="I200" i="7"/>
  <c r="I264" i="7" s="1"/>
  <c r="I37" i="8"/>
  <c r="I195" i="4"/>
  <c r="I144" i="5"/>
  <c r="I143" i="5"/>
  <c r="I896" i="16"/>
  <c r="H827" i="16"/>
  <c r="H146" i="10"/>
  <c r="I916" i="17"/>
  <c r="I917" i="17" s="1"/>
  <c r="I57" i="8"/>
  <c r="I424" i="16"/>
  <c r="I165" i="5"/>
  <c r="I164" i="5"/>
  <c r="I200" i="4"/>
  <c r="K1303" i="17"/>
  <c r="K1311" i="17" s="1"/>
  <c r="K1304" i="17"/>
  <c r="H252" i="12"/>
  <c r="H201" i="11"/>
  <c r="M218" i="7"/>
  <c r="M238" i="7" s="1"/>
  <c r="K286" i="16"/>
  <c r="K279" i="5"/>
  <c r="K146" i="15"/>
  <c r="L298" i="16"/>
  <c r="O694" i="16"/>
  <c r="O302" i="15"/>
  <c r="O214" i="12"/>
  <c r="O291" i="5"/>
  <c r="Q694" i="16"/>
  <c r="Q302" i="15"/>
  <c r="Q291" i="5"/>
  <c r="Q214" i="12"/>
  <c r="Q303" i="15"/>
  <c r="I213" i="4"/>
  <c r="I214" i="4" s="1"/>
  <c r="L150" i="7"/>
  <c r="N370" i="15"/>
  <c r="N803" i="16" s="1"/>
  <c r="P97" i="8"/>
  <c r="P210" i="4"/>
  <c r="P761" i="16"/>
  <c r="P208" i="7"/>
  <c r="P279" i="7" s="1"/>
  <c r="P198" i="5"/>
  <c r="J1124" i="17"/>
  <c r="J1125" i="17" s="1"/>
  <c r="J490" i="16"/>
  <c r="J65" i="8"/>
  <c r="J202" i="4"/>
  <c r="J170" i="5"/>
  <c r="J171" i="5"/>
  <c r="N160" i="15"/>
  <c r="N159" i="15"/>
  <c r="N322" i="16"/>
  <c r="N280" i="5"/>
  <c r="P39" i="13"/>
  <c r="P73" i="10"/>
  <c r="P223" i="11"/>
  <c r="P330" i="7"/>
  <c r="K302" i="15"/>
  <c r="K116" i="11"/>
  <c r="K167" i="12"/>
  <c r="K694" i="16"/>
  <c r="K291" i="5"/>
  <c r="Q762" i="16"/>
  <c r="Q239" i="5"/>
  <c r="Q98" i="8"/>
  <c r="Q773" i="16" s="1"/>
  <c r="J295" i="15"/>
  <c r="J673" i="16" s="1"/>
  <c r="J107" i="10"/>
  <c r="I214" i="5"/>
  <c r="J761" i="16"/>
  <c r="J97" i="8"/>
  <c r="J208" i="7"/>
  <c r="J279" i="7" s="1"/>
  <c r="J198" i="5"/>
  <c r="J210" i="4"/>
  <c r="H55" i="8"/>
  <c r="H192" i="15" s="1"/>
  <c r="H407" i="16" s="1"/>
  <c r="M294" i="5"/>
  <c r="M341" i="15"/>
  <c r="O702" i="16"/>
  <c r="O91" i="8"/>
  <c r="N150" i="7"/>
  <c r="N371" i="15"/>
  <c r="N815" i="16"/>
  <c r="C191" i="1"/>
  <c r="N802" i="16"/>
  <c r="N211" i="5"/>
  <c r="J1231" i="17"/>
  <c r="J1232" i="17" s="1"/>
  <c r="J86" i="8"/>
  <c r="J668" i="16" s="1"/>
  <c r="J657" i="16"/>
  <c r="J236" i="5"/>
  <c r="I108" i="8"/>
  <c r="I818" i="16" s="1"/>
  <c r="S800" i="16"/>
  <c r="S107" i="8"/>
  <c r="S212" i="5"/>
  <c r="S240" i="5" s="1"/>
  <c r="I1101" i="17"/>
  <c r="I1102" i="17" s="1"/>
  <c r="I355" i="16"/>
  <c r="I227" i="5"/>
  <c r="I50" i="8"/>
  <c r="I366" i="16" s="1"/>
  <c r="K1234" i="17"/>
  <c r="K1235" i="17" s="1"/>
  <c r="K658" i="16"/>
  <c r="K263" i="5"/>
  <c r="S239" i="5"/>
  <c r="S762" i="16"/>
  <c r="S98" i="8"/>
  <c r="S773" i="16" s="1"/>
  <c r="I67" i="16"/>
  <c r="I880" i="16"/>
  <c r="I908" i="16"/>
  <c r="I61" i="15"/>
  <c r="I62" i="16" s="1"/>
  <c r="I281" i="7"/>
  <c r="H145" i="10"/>
  <c r="R210" i="5"/>
  <c r="N51" i="4"/>
  <c r="O50" i="4"/>
  <c r="L303" i="15"/>
  <c r="L163" i="11"/>
  <c r="L116" i="11"/>
  <c r="L167" i="12"/>
  <c r="L694" i="16"/>
  <c r="L291" i="5"/>
  <c r="L214" i="12"/>
  <c r="L302" i="15"/>
  <c r="H53" i="11"/>
  <c r="H55" i="11"/>
  <c r="M34" i="6"/>
  <c r="M31" i="6"/>
  <c r="M32" i="6"/>
  <c r="M33" i="6"/>
  <c r="P191" i="15"/>
  <c r="P406" i="16" s="1"/>
  <c r="P106" i="10"/>
  <c r="M103" i="10"/>
  <c r="M152" i="15"/>
  <c r="M300" i="16" s="1"/>
  <c r="L41" i="4"/>
  <c r="L38" i="4"/>
  <c r="P152" i="15"/>
  <c r="P300" i="16" s="1"/>
  <c r="P103" i="10"/>
  <c r="J55" i="8"/>
  <c r="I149" i="7"/>
  <c r="J218" i="7"/>
  <c r="J238" i="7" s="1"/>
  <c r="K103" i="10"/>
  <c r="K152" i="15"/>
  <c r="K300" i="16" s="1"/>
  <c r="M347" i="15"/>
  <c r="M111" i="10"/>
  <c r="O308" i="15"/>
  <c r="O708" i="16" s="1"/>
  <c r="O108" i="10"/>
  <c r="Q222" i="7"/>
  <c r="Q249" i="7" s="1"/>
  <c r="J222" i="7"/>
  <c r="J249" i="7" s="1"/>
  <c r="L222" i="7"/>
  <c r="L249" i="7" s="1"/>
  <c r="K222" i="7"/>
  <c r="K249" i="7" s="1"/>
  <c r="T222" i="7"/>
  <c r="T249" i="7" s="1"/>
  <c r="P222" i="7"/>
  <c r="P249" i="7" s="1"/>
  <c r="O222" i="7"/>
  <c r="O249" i="7" s="1"/>
  <c r="S222" i="7"/>
  <c r="S249" i="7" s="1"/>
  <c r="R222" i="7"/>
  <c r="R249" i="7" s="1"/>
  <c r="N222" i="7"/>
  <c r="N249" i="7" s="1"/>
  <c r="M222" i="7"/>
  <c r="M249" i="7" s="1"/>
  <c r="H276" i="7"/>
  <c r="I100" i="10"/>
  <c r="I113" i="15"/>
  <c r="I194" i="16" s="1"/>
  <c r="O322" i="16"/>
  <c r="O280" i="5"/>
  <c r="O159" i="15"/>
  <c r="O205" i="12"/>
  <c r="K1202" i="17"/>
  <c r="K1203" i="17" s="1"/>
  <c r="K143" i="16"/>
  <c r="K197" i="7"/>
  <c r="K192" i="4"/>
  <c r="K25" i="8"/>
  <c r="K131" i="5"/>
  <c r="J150" i="7"/>
  <c r="J1302" i="17" s="1"/>
  <c r="N811" i="16"/>
  <c r="N102" i="8"/>
  <c r="N103" i="8" s="1"/>
  <c r="M104" i="10"/>
  <c r="M165" i="15"/>
  <c r="M336" i="16" s="1"/>
  <c r="S107" i="10"/>
  <c r="S295" i="15"/>
  <c r="S673" i="16" s="1"/>
  <c r="H159" i="15"/>
  <c r="H205" i="12"/>
  <c r="H154" i="11"/>
  <c r="H280" i="5"/>
  <c r="H322" i="16"/>
  <c r="T43" i="8"/>
  <c r="T294" i="16"/>
  <c r="P150" i="7"/>
  <c r="P1302" i="17" s="1"/>
  <c r="H467" i="16"/>
  <c r="I297" i="7"/>
  <c r="T330" i="16"/>
  <c r="T47" i="8"/>
  <c r="O810" i="16"/>
  <c r="O101" i="8"/>
  <c r="T295" i="15"/>
  <c r="T673" i="16" s="1"/>
  <c r="T107" i="10"/>
  <c r="J114" i="16"/>
  <c r="J274" i="5"/>
  <c r="J81" i="15"/>
  <c r="J404" i="16"/>
  <c r="M107" i="4"/>
  <c r="N106" i="4"/>
  <c r="P47" i="8"/>
  <c r="P330" i="16"/>
  <c r="K457" i="16"/>
  <c r="K1072" i="17"/>
  <c r="K1073" i="17" s="1"/>
  <c r="K168" i="5"/>
  <c r="K61" i="8"/>
  <c r="K201" i="4"/>
  <c r="K167" i="5"/>
  <c r="I84" i="11"/>
  <c r="I82" i="11"/>
  <c r="I57" i="16"/>
  <c r="K761" i="16"/>
  <c r="K97" i="8"/>
  <c r="K208" i="7"/>
  <c r="K279" i="7" s="1"/>
  <c r="K198" i="5"/>
  <c r="K210" i="4"/>
  <c r="S39" i="13"/>
  <c r="S223" i="11"/>
  <c r="S73" i="10"/>
  <c r="S330" i="7"/>
  <c r="K178" i="15"/>
  <c r="K371" i="16" s="1"/>
  <c r="K105" i="10"/>
  <c r="H811" i="16"/>
  <c r="H102" i="8"/>
  <c r="H103" i="8" s="1"/>
  <c r="H348" i="15" s="1"/>
  <c r="K623" i="16"/>
  <c r="K83" i="6"/>
  <c r="K81" i="8"/>
  <c r="K84" i="6"/>
  <c r="K206" i="4"/>
  <c r="I579" i="16"/>
  <c r="I256" i="15"/>
  <c r="I574" i="16" s="1"/>
  <c r="I282" i="7"/>
  <c r="I34" i="12" s="1"/>
  <c r="P370" i="15"/>
  <c r="P803" i="16" s="1"/>
  <c r="J702" i="16"/>
  <c r="J91" i="8"/>
  <c r="T322" i="16"/>
  <c r="T205" i="12"/>
  <c r="T160" i="15"/>
  <c r="E168" i="15"/>
  <c r="T159" i="15"/>
  <c r="T280" i="5"/>
  <c r="T46" i="11"/>
  <c r="T154" i="11"/>
  <c r="T97" i="12"/>
  <c r="Q727" i="16"/>
  <c r="Q238" i="5"/>
  <c r="Q94" i="8"/>
  <c r="Q738" i="16" s="1"/>
  <c r="L726" i="16"/>
  <c r="L207" i="7"/>
  <c r="L278" i="7" s="1"/>
  <c r="L192" i="5"/>
  <c r="L209" i="4"/>
  <c r="L93" i="8"/>
  <c r="H1104" i="17"/>
  <c r="H1105" i="17" s="1"/>
  <c r="H356" i="16"/>
  <c r="H254" i="5"/>
  <c r="M330" i="7"/>
  <c r="M73" i="10"/>
  <c r="M39" i="13"/>
  <c r="M223" i="11"/>
  <c r="L347" i="15"/>
  <c r="L111" i="10"/>
  <c r="R153" i="10"/>
  <c r="R162" i="10"/>
  <c r="S308" i="15"/>
  <c r="S708" i="16" s="1"/>
  <c r="S108" i="10"/>
  <c r="P126" i="4"/>
  <c r="Q125" i="4"/>
  <c r="J94" i="15"/>
  <c r="J146" i="16"/>
  <c r="J275" i="5"/>
  <c r="J526" i="16"/>
  <c r="J286" i="5"/>
  <c r="J152" i="12"/>
  <c r="J101" i="11"/>
  <c r="J237" i="15"/>
  <c r="J238" i="15"/>
  <c r="P218" i="7"/>
  <c r="P238" i="7" s="1"/>
  <c r="O150" i="7"/>
  <c r="O1302" i="17" s="1"/>
  <c r="H761" i="16"/>
  <c r="H97" i="8"/>
  <c r="H198" i="5"/>
  <c r="H208" i="7"/>
  <c r="H210" i="4"/>
  <c r="N1208" i="17"/>
  <c r="N1209" i="17" s="1"/>
  <c r="N145" i="16"/>
  <c r="N248" i="5"/>
  <c r="I126" i="16"/>
  <c r="R667" i="16"/>
  <c r="H626" i="16"/>
  <c r="H289" i="5"/>
  <c r="H86" i="6"/>
  <c r="H276" i="15"/>
  <c r="H85" i="6"/>
  <c r="H92" i="6" s="1"/>
  <c r="J48" i="16"/>
  <c r="J55" i="15"/>
  <c r="J272" i="5"/>
  <c r="K155" i="5"/>
  <c r="T308" i="15"/>
  <c r="T708" i="16" s="1"/>
  <c r="T108" i="10"/>
  <c r="I111" i="10"/>
  <c r="I347" i="15"/>
  <c r="O222" i="4"/>
  <c r="O129" i="4"/>
  <c r="O351" i="16"/>
  <c r="O141" i="4"/>
  <c r="Q9" i="5"/>
  <c r="P30" i="5"/>
  <c r="P400" i="16"/>
  <c r="I50" i="9"/>
  <c r="I51" i="9"/>
  <c r="Q308" i="15"/>
  <c r="Q708" i="16" s="1"/>
  <c r="Q108" i="10"/>
  <c r="M761" i="16"/>
  <c r="M208" i="7"/>
  <c r="M279" i="7" s="1"/>
  <c r="M198" i="5"/>
  <c r="M97" i="8"/>
  <c r="M210" i="4"/>
  <c r="I107" i="15"/>
  <c r="I179" i="16"/>
  <c r="I276" i="5"/>
  <c r="H726" i="16"/>
  <c r="H207" i="7"/>
  <c r="H93" i="8"/>
  <c r="H192" i="5"/>
  <c r="H209" i="4"/>
  <c r="M167" i="12"/>
  <c r="M302" i="15"/>
  <c r="M694" i="16"/>
  <c r="M163" i="11"/>
  <c r="M291" i="5"/>
  <c r="M214" i="12"/>
  <c r="M303" i="15"/>
  <c r="M116" i="11"/>
  <c r="P105" i="5"/>
  <c r="O130" i="5"/>
  <c r="J108" i="10"/>
  <c r="J308" i="15"/>
  <c r="J708" i="16" s="1"/>
  <c r="J257" i="15"/>
  <c r="J575" i="16" s="1"/>
  <c r="P762" i="16"/>
  <c r="P98" i="8"/>
  <c r="P773" i="16" s="1"/>
  <c r="P239" i="5"/>
  <c r="I216" i="15"/>
  <c r="I473" i="16" s="1"/>
  <c r="I214" i="15"/>
  <c r="I464" i="16" s="1"/>
  <c r="I462" i="16"/>
  <c r="K294" i="5"/>
  <c r="K341" i="15"/>
  <c r="K667" i="16"/>
  <c r="R295" i="15"/>
  <c r="R673" i="16" s="1"/>
  <c r="R107" i="10"/>
  <c r="J56" i="16"/>
  <c r="P50" i="5"/>
  <c r="O65" i="5"/>
  <c r="Q295" i="15"/>
  <c r="Q673" i="16" s="1"/>
  <c r="Q107" i="10"/>
  <c r="M727" i="16"/>
  <c r="M238" i="5"/>
  <c r="M94" i="8"/>
  <c r="M738" i="16" s="1"/>
  <c r="I35" i="8"/>
  <c r="I127" i="15" s="1"/>
  <c r="I231" i="16" s="1"/>
  <c r="J762" i="16"/>
  <c r="J98" i="8"/>
  <c r="J773" i="16" s="1"/>
  <c r="J239" i="5"/>
  <c r="H298" i="16"/>
  <c r="H443" i="16"/>
  <c r="H208" i="15"/>
  <c r="H209" i="15"/>
  <c r="J1182" i="17"/>
  <c r="J1183" i="17" s="1"/>
  <c r="J259" i="5"/>
  <c r="J525" i="16"/>
  <c r="N79" i="5"/>
  <c r="M93" i="5"/>
  <c r="M702" i="16"/>
  <c r="M91" i="8"/>
  <c r="R702" i="16"/>
  <c r="R91" i="8"/>
  <c r="R309" i="15" s="1"/>
  <c r="R709" i="16" s="1"/>
  <c r="I98" i="8"/>
  <c r="I773" i="16" s="1"/>
  <c r="I762" i="16"/>
  <c r="I239" i="5"/>
  <c r="N1124" i="17"/>
  <c r="N1125" i="17" s="1"/>
  <c r="N490" i="16"/>
  <c r="N170" i="5"/>
  <c r="N171" i="5"/>
  <c r="N202" i="4"/>
  <c r="N65" i="8"/>
  <c r="N71" i="5"/>
  <c r="M89" i="5"/>
  <c r="I178" i="15"/>
  <c r="I371" i="16" s="1"/>
  <c r="I105" i="10"/>
  <c r="I472" i="16"/>
  <c r="L126" i="15"/>
  <c r="L230" i="16" s="1"/>
  <c r="L101" i="10"/>
  <c r="K39" i="6"/>
  <c r="K250" i="15"/>
  <c r="K560" i="16"/>
  <c r="K287" i="5"/>
  <c r="K347" i="15"/>
  <c r="K111" i="10"/>
  <c r="K107" i="10"/>
  <c r="K295" i="15"/>
  <c r="K673" i="16" s="1"/>
  <c r="S221" i="7"/>
  <c r="S241" i="7" s="1"/>
  <c r="S393" i="16" s="1"/>
  <c r="I244" i="15"/>
  <c r="I541" i="16" s="1"/>
  <c r="J212" i="4"/>
  <c r="S761" i="16"/>
  <c r="S97" i="8"/>
  <c r="S208" i="7"/>
  <c r="S279" i="7" s="1"/>
  <c r="S210" i="4"/>
  <c r="S198" i="5"/>
  <c r="I210" i="7"/>
  <c r="K811" i="16"/>
  <c r="K102" i="8"/>
  <c r="K103" i="8" s="1"/>
  <c r="E1432" i="17"/>
  <c r="D59" i="17" s="1"/>
  <c r="F59" i="17" s="1"/>
  <c r="J811" i="16"/>
  <c r="J102" i="8"/>
  <c r="J103" i="8" s="1"/>
  <c r="M144" i="4"/>
  <c r="M79" i="6"/>
  <c r="M108" i="16"/>
  <c r="M53" i="4"/>
  <c r="M78" i="6"/>
  <c r="M221" i="4"/>
  <c r="M80" i="6"/>
  <c r="J334" i="16"/>
  <c r="J165" i="16"/>
  <c r="J100" i="15"/>
  <c r="J160" i="16" s="1"/>
  <c r="P810" i="16"/>
  <c r="P101" i="8"/>
  <c r="I188" i="16"/>
  <c r="I31" i="8"/>
  <c r="I114" i="15" s="1"/>
  <c r="I195" i="16" s="1"/>
  <c r="O47" i="8"/>
  <c r="O166" i="15" s="1"/>
  <c r="O337" i="16" s="1"/>
  <c r="O330" i="16"/>
  <c r="H228" i="16"/>
  <c r="R67" i="4"/>
  <c r="Q81" i="4"/>
  <c r="P55" i="5"/>
  <c r="O67" i="5"/>
  <c r="O181" i="7" s="1"/>
  <c r="O182" i="7" s="1"/>
  <c r="Q104" i="10"/>
  <c r="Q165" i="15"/>
  <c r="Q336" i="16" s="1"/>
  <c r="O370" i="15"/>
  <c r="O803" i="16" s="1"/>
  <c r="N104" i="10"/>
  <c r="N165" i="15"/>
  <c r="N336" i="16" s="1"/>
  <c r="N57" i="4"/>
  <c r="M71" i="4"/>
  <c r="T762" i="16"/>
  <c r="T98" i="8"/>
  <c r="T773" i="16" s="1"/>
  <c r="T239" i="5"/>
  <c r="K559" i="16"/>
  <c r="K260" i="5"/>
  <c r="Q761" i="16"/>
  <c r="Q208" i="7"/>
  <c r="Q279" i="7" s="1"/>
  <c r="Q97" i="8"/>
  <c r="Q210" i="4"/>
  <c r="Q198" i="5"/>
  <c r="R294" i="16"/>
  <c r="R43" i="8"/>
  <c r="R153" i="15" s="1"/>
  <c r="R301" i="16" s="1"/>
  <c r="I221" i="7"/>
  <c r="I241" i="7" s="1"/>
  <c r="M178" i="15"/>
  <c r="M371" i="16" s="1"/>
  <c r="M105" i="10"/>
  <c r="J258" i="7"/>
  <c r="Q341" i="15"/>
  <c r="Q294" i="5"/>
  <c r="S209" i="7"/>
  <c r="S280" i="7" s="1"/>
  <c r="S211" i="4"/>
  <c r="Q370" i="15"/>
  <c r="O102" i="4"/>
  <c r="P101" i="4"/>
  <c r="R223" i="11"/>
  <c r="R73" i="10"/>
  <c r="R39" i="13"/>
  <c r="R330" i="7"/>
  <c r="N66" i="4"/>
  <c r="M80" i="4"/>
  <c r="M91" i="4" s="1"/>
  <c r="M1263" i="17" s="1"/>
  <c r="M1264" i="17" s="1"/>
  <c r="M86" i="4"/>
  <c r="I157" i="5"/>
  <c r="N330" i="16"/>
  <c r="N47" i="8"/>
  <c r="N166" i="15" s="1"/>
  <c r="N337" i="16" s="1"/>
  <c r="N149" i="7"/>
  <c r="K108" i="8"/>
  <c r="K818" i="16" s="1"/>
  <c r="T761" i="16"/>
  <c r="T97" i="8"/>
  <c r="T208" i="7"/>
  <c r="T279" i="7" s="1"/>
  <c r="T210" i="4"/>
  <c r="T198" i="5"/>
  <c r="K108" i="10"/>
  <c r="K308" i="15"/>
  <c r="K708" i="16" s="1"/>
  <c r="L141" i="5"/>
  <c r="M1299" i="17"/>
  <c r="M1300" i="17" s="1"/>
  <c r="N61" i="4"/>
  <c r="M84" i="4"/>
  <c r="M75" i="4"/>
  <c r="R152" i="15"/>
  <c r="R300" i="16" s="1"/>
  <c r="R103" i="10"/>
  <c r="J221" i="7"/>
  <c r="J241" i="7" s="1"/>
  <c r="J259" i="7"/>
  <c r="Q400" i="16"/>
  <c r="J218" i="5"/>
  <c r="J841" i="17"/>
  <c r="J842" i="17" s="1"/>
  <c r="J46" i="16"/>
  <c r="J14" i="8"/>
  <c r="K365" i="16"/>
  <c r="L322" i="16"/>
  <c r="L159" i="15"/>
  <c r="L280" i="5"/>
  <c r="I99" i="6"/>
  <c r="R209" i="7"/>
  <c r="R280" i="7" s="1"/>
  <c r="R211" i="4"/>
  <c r="J178" i="5"/>
  <c r="D63" i="17"/>
  <c r="F63" i="17" s="1"/>
  <c r="N37" i="4"/>
  <c r="O35" i="4"/>
  <c r="P800" i="16"/>
  <c r="P212" i="5"/>
  <c r="P240" i="5" s="1"/>
  <c r="P107" i="8"/>
  <c r="H404" i="16"/>
  <c r="M36" i="4"/>
  <c r="N34" i="4"/>
  <c r="P294" i="16"/>
  <c r="P43" i="8"/>
  <c r="P153" i="15" s="1"/>
  <c r="P301" i="16" s="1"/>
  <c r="K218" i="7"/>
  <c r="K238" i="7" s="1"/>
  <c r="K41" i="11" s="1"/>
  <c r="O761" i="16"/>
  <c r="O208" i="7"/>
  <c r="O279" i="7" s="1"/>
  <c r="O198" i="5"/>
  <c r="O97" i="8"/>
  <c r="O210" i="4"/>
  <c r="K294" i="16"/>
  <c r="K43" i="8"/>
  <c r="K153" i="15" s="1"/>
  <c r="K301" i="16" s="1"/>
  <c r="R726" i="16"/>
  <c r="R93" i="8"/>
  <c r="R209" i="4"/>
  <c r="R207" i="7"/>
  <c r="R278" i="7" s="1"/>
  <c r="R192" i="5"/>
  <c r="H10" i="12"/>
  <c r="H62" i="12"/>
  <c r="H79" i="7"/>
  <c r="H78" i="7"/>
  <c r="H77" i="7"/>
  <c r="H178" i="5"/>
  <c r="H931" i="17"/>
  <c r="H932" i="17" s="1"/>
  <c r="H104" i="12"/>
  <c r="H934" i="17" s="1"/>
  <c r="H935" i="17" s="1"/>
  <c r="I974" i="17"/>
  <c r="I975" i="17" s="1"/>
  <c r="I249" i="5"/>
  <c r="I178" i="16"/>
  <c r="O104" i="10"/>
  <c r="O165" i="15"/>
  <c r="O336" i="16" s="1"/>
  <c r="K129" i="5"/>
  <c r="N68" i="4"/>
  <c r="M82" i="4"/>
  <c r="S150" i="7"/>
  <c r="K348" i="15" l="1"/>
  <c r="N348" i="15"/>
  <c r="O214" i="5"/>
  <c r="O341" i="15" s="1"/>
  <c r="I348" i="15"/>
  <c r="R226" i="7"/>
  <c r="R253" i="7" s="1"/>
  <c r="R214" i="5"/>
  <c r="R223" i="12" s="1"/>
  <c r="L348" i="15"/>
  <c r="M215" i="16"/>
  <c r="M120" i="15"/>
  <c r="M277" i="5"/>
  <c r="K237" i="15"/>
  <c r="K526" i="16"/>
  <c r="K101" i="11"/>
  <c r="K152" i="12"/>
  <c r="K286" i="5"/>
  <c r="K238" i="15"/>
  <c r="K493" i="16"/>
  <c r="K91" i="11"/>
  <c r="K225" i="15"/>
  <c r="K224" i="15"/>
  <c r="K285" i="5"/>
  <c r="K142" i="12"/>
  <c r="N100" i="12"/>
  <c r="N98" i="12"/>
  <c r="M224" i="15"/>
  <c r="M493" i="16"/>
  <c r="M142" i="12"/>
  <c r="M91" i="11"/>
  <c r="M285" i="5"/>
  <c r="M225" i="15"/>
  <c r="T288" i="16"/>
  <c r="T151" i="15"/>
  <c r="T299" i="16" s="1"/>
  <c r="T149" i="15"/>
  <c r="T290" i="16" s="1"/>
  <c r="T150" i="15"/>
  <c r="T291" i="16" s="1"/>
  <c r="I9" i="11"/>
  <c r="I216" i="4"/>
  <c r="S324" i="16"/>
  <c r="S164" i="15"/>
  <c r="S335" i="16" s="1"/>
  <c r="S162" i="15"/>
  <c r="S326" i="16" s="1"/>
  <c r="M324" i="16"/>
  <c r="M162" i="15"/>
  <c r="M326" i="16" s="1"/>
  <c r="M164" i="15"/>
  <c r="M335" i="16" s="1"/>
  <c r="M163" i="15"/>
  <c r="M327" i="16" s="1"/>
  <c r="M1307" i="17"/>
  <c r="M1308" i="17" s="1"/>
  <c r="K44" i="11"/>
  <c r="K42" i="11"/>
  <c r="N1309" i="17"/>
  <c r="N1310" i="17"/>
  <c r="M92" i="5"/>
  <c r="S696" i="16"/>
  <c r="S307" i="15"/>
  <c r="S707" i="16" s="1"/>
  <c r="S305" i="15"/>
  <c r="S698" i="16" s="1"/>
  <c r="M178" i="7"/>
  <c r="H1130" i="17"/>
  <c r="H1131" i="17" s="1"/>
  <c r="H492" i="16"/>
  <c r="H258" i="5"/>
  <c r="T321" i="15"/>
  <c r="T743" i="16" s="1"/>
  <c r="T109" i="10"/>
  <c r="I804" i="16"/>
  <c r="I372" i="15"/>
  <c r="I377" i="15"/>
  <c r="I807" i="16" s="1"/>
  <c r="K60" i="12"/>
  <c r="K10" i="11"/>
  <c r="S93" i="12"/>
  <c r="S95" i="12"/>
  <c r="I40" i="13"/>
  <c r="I323" i="7"/>
  <c r="I224" i="11"/>
  <c r="I225" i="11" s="1"/>
  <c r="I571" i="17" s="1"/>
  <c r="I572" i="17" s="1"/>
  <c r="I42" i="10"/>
  <c r="I74" i="10"/>
  <c r="I40" i="14"/>
  <c r="I275" i="12"/>
  <c r="I331" i="7"/>
  <c r="M309" i="15"/>
  <c r="M709" i="16" s="1"/>
  <c r="S224" i="7"/>
  <c r="S251" i="7" s="1"/>
  <c r="S730" i="16" s="1"/>
  <c r="N224" i="7"/>
  <c r="N251" i="7" s="1"/>
  <c r="N730" i="16" s="1"/>
  <c r="M224" i="7"/>
  <c r="M251" i="7" s="1"/>
  <c r="M730" i="16" s="1"/>
  <c r="L224" i="7"/>
  <c r="L251" i="7" s="1"/>
  <c r="L730" i="16" s="1"/>
  <c r="R224" i="7"/>
  <c r="R251" i="7" s="1"/>
  <c r="R730" i="16" s="1"/>
  <c r="Q224" i="7"/>
  <c r="Q251" i="7" s="1"/>
  <c r="Q730" i="16" s="1"/>
  <c r="P224" i="7"/>
  <c r="P251" i="7" s="1"/>
  <c r="P730" i="16" s="1"/>
  <c r="O224" i="7"/>
  <c r="O251" i="7" s="1"/>
  <c r="O730" i="16" s="1"/>
  <c r="K224" i="7"/>
  <c r="K251" i="7" s="1"/>
  <c r="K730" i="16" s="1"/>
  <c r="T224" i="7"/>
  <c r="T251" i="7" s="1"/>
  <c r="T730" i="16" s="1"/>
  <c r="J224" i="7"/>
  <c r="J251" i="7" s="1"/>
  <c r="J730" i="16" s="1"/>
  <c r="I224" i="7"/>
  <c r="I251" i="7" s="1"/>
  <c r="I730" i="16" s="1"/>
  <c r="H224" i="7"/>
  <c r="H251" i="7" s="1"/>
  <c r="H730" i="16" s="1"/>
  <c r="H278" i="7"/>
  <c r="H156" i="11"/>
  <c r="H155" i="11"/>
  <c r="I155" i="11" s="1"/>
  <c r="J155" i="11" s="1"/>
  <c r="K155" i="11" s="1"/>
  <c r="L838" i="17"/>
  <c r="L839" i="17" s="1"/>
  <c r="L45" i="16"/>
  <c r="L194" i="7"/>
  <c r="L35" i="5"/>
  <c r="L189" i="4"/>
  <c r="L13" i="8"/>
  <c r="O706" i="16"/>
  <c r="J706" i="16"/>
  <c r="H171" i="5"/>
  <c r="H111" i="10"/>
  <c r="H347" i="15"/>
  <c r="P95" i="8"/>
  <c r="P737" i="16"/>
  <c r="S97" i="12"/>
  <c r="I158" i="16"/>
  <c r="J659" i="16"/>
  <c r="J290" i="15"/>
  <c r="J160" i="11"/>
  <c r="J290" i="5"/>
  <c r="J162" i="12"/>
  <c r="J289" i="15"/>
  <c r="J211" i="12"/>
  <c r="J111" i="11"/>
  <c r="S67" i="4"/>
  <c r="R81" i="4"/>
  <c r="N501" i="16"/>
  <c r="N67" i="8"/>
  <c r="Q105" i="5"/>
  <c r="P130" i="5"/>
  <c r="J126" i="16"/>
  <c r="N804" i="16"/>
  <c r="N372" i="15"/>
  <c r="J1130" i="17"/>
  <c r="J1131" i="17" s="1"/>
  <c r="J492" i="16"/>
  <c r="J258" i="5"/>
  <c r="K257" i="15"/>
  <c r="K575" i="16" s="1"/>
  <c r="H226" i="7"/>
  <c r="H253" i="7" s="1"/>
  <c r="H131" i="11" s="1"/>
  <c r="L772" i="16"/>
  <c r="L99" i="8"/>
  <c r="P729" i="16"/>
  <c r="P315" i="15"/>
  <c r="P292" i="5"/>
  <c r="P121" i="11"/>
  <c r="P172" i="12"/>
  <c r="R764" i="16"/>
  <c r="R328" i="15"/>
  <c r="R293" i="5"/>
  <c r="K49" i="11"/>
  <c r="K47" i="11"/>
  <c r="L141" i="16"/>
  <c r="L224" i="4"/>
  <c r="M93" i="12"/>
  <c r="M95" i="12"/>
  <c r="K258" i="7"/>
  <c r="H216" i="12"/>
  <c r="H215" i="12"/>
  <c r="I215" i="12" s="1"/>
  <c r="J215" i="12" s="1"/>
  <c r="K215" i="12" s="1"/>
  <c r="L215" i="12" s="1"/>
  <c r="M215" i="12" s="1"/>
  <c r="N215" i="12" s="1"/>
  <c r="O215" i="12" s="1"/>
  <c r="P215" i="12" s="1"/>
  <c r="Q215" i="12" s="1"/>
  <c r="I167" i="10"/>
  <c r="I812" i="16"/>
  <c r="I809" i="16"/>
  <c r="J172" i="7"/>
  <c r="I288" i="16"/>
  <c r="I151" i="15"/>
  <c r="I299" i="16" s="1"/>
  <c r="I149" i="15"/>
  <c r="I290" i="16" s="1"/>
  <c r="R696" i="16"/>
  <c r="R307" i="15"/>
  <c r="R707" i="16" s="1"/>
  <c r="R306" i="15"/>
  <c r="R699" i="16" s="1"/>
  <c r="R305" i="15"/>
  <c r="R698" i="16" s="1"/>
  <c r="L945" i="17"/>
  <c r="L946" i="17" s="1"/>
  <c r="L79" i="16"/>
  <c r="L18" i="8"/>
  <c r="L90" i="16" s="1"/>
  <c r="L219" i="5"/>
  <c r="K114" i="16"/>
  <c r="K81" i="15"/>
  <c r="K274" i="5"/>
  <c r="R315" i="15"/>
  <c r="R729" i="16"/>
  <c r="R166" i="11"/>
  <c r="R292" i="5"/>
  <c r="R172" i="12"/>
  <c r="R121" i="11"/>
  <c r="M89" i="4"/>
  <c r="M1257" i="17" s="1"/>
  <c r="M1258" i="17" s="1"/>
  <c r="I393" i="16"/>
  <c r="I186" i="15"/>
  <c r="M87" i="6"/>
  <c r="K572" i="16"/>
  <c r="M1156" i="17"/>
  <c r="M1157" i="17" s="1"/>
  <c r="M247" i="5"/>
  <c r="M113" i="16"/>
  <c r="I805" i="16"/>
  <c r="I54" i="9"/>
  <c r="T100" i="12"/>
  <c r="T98" i="12"/>
  <c r="H334" i="16"/>
  <c r="K261" i="7"/>
  <c r="M1237" i="17"/>
  <c r="M1238" i="17" s="1"/>
  <c r="M660" i="16"/>
  <c r="L170" i="12"/>
  <c r="L168" i="12"/>
  <c r="I259" i="16"/>
  <c r="I118" i="8"/>
  <c r="I112" i="8"/>
  <c r="I764" i="16"/>
  <c r="I169" i="11"/>
  <c r="I329" i="15"/>
  <c r="I126" i="11"/>
  <c r="I328" i="15"/>
  <c r="I293" i="5"/>
  <c r="I220" i="12"/>
  <c r="I177" i="12"/>
  <c r="P93" i="12"/>
  <c r="P95" i="12"/>
  <c r="S170" i="12"/>
  <c r="S168" i="12"/>
  <c r="T696" i="16"/>
  <c r="T305" i="15"/>
  <c r="T698" i="16" s="1"/>
  <c r="T307" i="15"/>
  <c r="T707" i="16" s="1"/>
  <c r="L110" i="4"/>
  <c r="L111" i="4"/>
  <c r="L1072" i="17"/>
  <c r="L1073" i="17" s="1"/>
  <c r="L457" i="16"/>
  <c r="L61" i="8"/>
  <c r="L201" i="4"/>
  <c r="L167" i="5"/>
  <c r="L168" i="5"/>
  <c r="T92" i="12"/>
  <c r="N729" i="16"/>
  <c r="N315" i="15"/>
  <c r="N166" i="11"/>
  <c r="N292" i="5"/>
  <c r="H14" i="12"/>
  <c r="H357" i="16"/>
  <c r="H281" i="5"/>
  <c r="H172" i="15"/>
  <c r="P116" i="11"/>
  <c r="I226" i="7"/>
  <c r="I253" i="7" s="1"/>
  <c r="I131" i="11" s="1"/>
  <c r="O62" i="4"/>
  <c r="N76" i="4"/>
  <c r="L1176" i="17"/>
  <c r="L1177" i="17" s="1"/>
  <c r="L523" i="16"/>
  <c r="L203" i="4"/>
  <c r="L69" i="8"/>
  <c r="L173" i="5"/>
  <c r="K321" i="15"/>
  <c r="K743" i="16" s="1"/>
  <c r="K109" i="10"/>
  <c r="O899" i="17"/>
  <c r="O900" i="17" s="1"/>
  <c r="O323" i="16"/>
  <c r="P72" i="4"/>
  <c r="Q58" i="4"/>
  <c r="M154" i="15"/>
  <c r="M298" i="16"/>
  <c r="H706" i="16"/>
  <c r="I103" i="11"/>
  <c r="I105" i="11" s="1"/>
  <c r="R116" i="11"/>
  <c r="I1087" i="17"/>
  <c r="I1088" i="17" s="1"/>
  <c r="I134" i="12"/>
  <c r="I1090" i="17" s="1"/>
  <c r="I1091" i="17" s="1"/>
  <c r="O804" i="16"/>
  <c r="O372" i="15"/>
  <c r="R321" i="15"/>
  <c r="R743" i="16" s="1"/>
  <c r="R109" i="10"/>
  <c r="O34" i="4"/>
  <c r="N36" i="4"/>
  <c r="N34" i="6" s="1"/>
  <c r="R342" i="15"/>
  <c r="J57" i="16"/>
  <c r="S334" i="15"/>
  <c r="S778" i="16" s="1"/>
  <c r="S110" i="10"/>
  <c r="N225" i="15"/>
  <c r="N493" i="16"/>
  <c r="N224" i="15"/>
  <c r="N91" i="11"/>
  <c r="N142" i="12"/>
  <c r="N285" i="5"/>
  <c r="O79" i="5"/>
  <c r="N93" i="5"/>
  <c r="J15" i="8"/>
  <c r="M117" i="11"/>
  <c r="M119" i="11"/>
  <c r="I813" i="16"/>
  <c r="I55" i="9"/>
  <c r="J47" i="9"/>
  <c r="K1101" i="17"/>
  <c r="K1102" i="17" s="1"/>
  <c r="K355" i="16"/>
  <c r="K227" i="5"/>
  <c r="K50" i="8"/>
  <c r="K157" i="5"/>
  <c r="K1078" i="17"/>
  <c r="K1079" i="17" s="1"/>
  <c r="K459" i="16"/>
  <c r="K257" i="5"/>
  <c r="I470" i="16"/>
  <c r="I467" i="16"/>
  <c r="J297" i="7"/>
  <c r="N1237" i="17"/>
  <c r="N1238" i="17" s="1"/>
  <c r="N660" i="16"/>
  <c r="L117" i="11"/>
  <c r="L119" i="11"/>
  <c r="S811" i="16"/>
  <c r="S102" i="8"/>
  <c r="S103" i="8" s="1"/>
  <c r="N1302" i="17"/>
  <c r="J220" i="12"/>
  <c r="J329" i="15"/>
  <c r="J764" i="16"/>
  <c r="J293" i="5"/>
  <c r="J328" i="15"/>
  <c r="J501" i="16"/>
  <c r="J67" i="8"/>
  <c r="Q167" i="12"/>
  <c r="N818" i="16"/>
  <c r="I102" i="10"/>
  <c r="I139" i="15"/>
  <c r="I265" i="16" s="1"/>
  <c r="I334" i="15"/>
  <c r="I778" i="16" s="1"/>
  <c r="I110" i="10"/>
  <c r="I162" i="10"/>
  <c r="I153" i="10"/>
  <c r="T706" i="16"/>
  <c r="T298" i="16"/>
  <c r="N109" i="10"/>
  <c r="N321" i="15"/>
  <c r="N743" i="16" s="1"/>
  <c r="O811" i="16"/>
  <c r="O102" i="8"/>
  <c r="O103" i="8" s="1"/>
  <c r="O348" i="15" s="1"/>
  <c r="N309" i="15"/>
  <c r="N709" i="16" s="1"/>
  <c r="P163" i="11"/>
  <c r="L226" i="7"/>
  <c r="L253" i="7" s="1"/>
  <c r="L110" i="10"/>
  <c r="L334" i="15"/>
  <c r="L778" i="16" s="1"/>
  <c r="P321" i="15"/>
  <c r="P743" i="16" s="1"/>
  <c r="P109" i="10"/>
  <c r="K729" i="16"/>
  <c r="K121" i="11"/>
  <c r="K172" i="12"/>
  <c r="K166" i="11"/>
  <c r="K217" i="12"/>
  <c r="K316" i="15"/>
  <c r="K315" i="15"/>
  <c r="K292" i="5"/>
  <c r="R334" i="15"/>
  <c r="R778" i="16" s="1"/>
  <c r="R110" i="10"/>
  <c r="M205" i="12"/>
  <c r="K98" i="12"/>
  <c r="K100" i="12"/>
  <c r="L804" i="16"/>
  <c r="L372" i="15"/>
  <c r="M67" i="8"/>
  <c r="M501" i="16"/>
  <c r="P899" i="17"/>
  <c r="P900" i="17" s="1"/>
  <c r="P323" i="16"/>
  <c r="I873" i="17"/>
  <c r="I874" i="17" s="1"/>
  <c r="I287" i="16"/>
  <c r="Q844" i="17"/>
  <c r="Q845" i="17" s="1"/>
  <c r="Q47" i="16"/>
  <c r="Q245" i="5"/>
  <c r="J321" i="15"/>
  <c r="J743" i="16" s="1"/>
  <c r="J109" i="10"/>
  <c r="Q65" i="4"/>
  <c r="P79" i="4"/>
  <c r="M288" i="16"/>
  <c r="M149" i="15"/>
  <c r="M290" i="16" s="1"/>
  <c r="M150" i="15"/>
  <c r="M291" i="16" s="1"/>
  <c r="M151" i="15"/>
  <c r="M299" i="16" s="1"/>
  <c r="I696" i="16"/>
  <c r="I305" i="15"/>
  <c r="I698" i="16" s="1"/>
  <c r="I306" i="15"/>
  <c r="I699" i="16" s="1"/>
  <c r="I307" i="15"/>
  <c r="I707" i="16" s="1"/>
  <c r="M224" i="16"/>
  <c r="R167" i="12"/>
  <c r="M1305" i="17"/>
  <c r="M1306" i="17"/>
  <c r="J818" i="16"/>
  <c r="I268" i="5"/>
  <c r="M41" i="4"/>
  <c r="M38" i="4"/>
  <c r="R347" i="15"/>
  <c r="R111" i="10"/>
  <c r="N1299" i="17"/>
  <c r="N1300" i="17" s="1"/>
  <c r="N75" i="4"/>
  <c r="N84" i="4"/>
  <c r="O61" i="4"/>
  <c r="I357" i="16"/>
  <c r="I281" i="5"/>
  <c r="I172" i="15"/>
  <c r="P102" i="4"/>
  <c r="Q101" i="4"/>
  <c r="M620" i="16"/>
  <c r="M81" i="6"/>
  <c r="S772" i="16"/>
  <c r="S99" i="8"/>
  <c r="N1130" i="17"/>
  <c r="N1131" i="17" s="1"/>
  <c r="N492" i="16"/>
  <c r="N258" i="5"/>
  <c r="I215" i="15"/>
  <c r="I465" i="16" s="1"/>
  <c r="M696" i="16"/>
  <c r="M305" i="15"/>
  <c r="M698" i="16" s="1"/>
  <c r="M307" i="15"/>
  <c r="M707" i="16" s="1"/>
  <c r="I56" i="9"/>
  <c r="T225" i="7"/>
  <c r="T252" i="7" s="1"/>
  <c r="T765" i="16" s="1"/>
  <c r="P225" i="7"/>
  <c r="P252" i="7" s="1"/>
  <c r="P765" i="16" s="1"/>
  <c r="O225" i="7"/>
  <c r="O252" i="7" s="1"/>
  <c r="O765" i="16" s="1"/>
  <c r="N225" i="7"/>
  <c r="N252" i="7" s="1"/>
  <c r="N765" i="16" s="1"/>
  <c r="J225" i="7"/>
  <c r="J252" i="7" s="1"/>
  <c r="J765" i="16" s="1"/>
  <c r="I225" i="7"/>
  <c r="I252" i="7" s="1"/>
  <c r="I765" i="16" s="1"/>
  <c r="H225" i="7"/>
  <c r="H252" i="7" s="1"/>
  <c r="H765" i="16" s="1"/>
  <c r="S225" i="7"/>
  <c r="S252" i="7" s="1"/>
  <c r="S765" i="16" s="1"/>
  <c r="M225" i="7"/>
  <c r="M252" i="7" s="1"/>
  <c r="M765" i="16" s="1"/>
  <c r="R225" i="7"/>
  <c r="R252" i="7" s="1"/>
  <c r="R765" i="16" s="1"/>
  <c r="Q225" i="7"/>
  <c r="Q252" i="7" s="1"/>
  <c r="Q765" i="16" s="1"/>
  <c r="L225" i="7"/>
  <c r="L252" i="7" s="1"/>
  <c r="L765" i="16" s="1"/>
  <c r="K225" i="7"/>
  <c r="K252" i="7" s="1"/>
  <c r="K765" i="16" s="1"/>
  <c r="H279" i="7"/>
  <c r="T49" i="11"/>
  <c r="T47" i="11"/>
  <c r="R1237" i="17"/>
  <c r="R1238" i="17" s="1"/>
  <c r="R660" i="16"/>
  <c r="O309" i="15"/>
  <c r="O709" i="16" s="1"/>
  <c r="J334" i="15"/>
  <c r="J778" i="16" s="1"/>
  <c r="J110" i="10"/>
  <c r="K163" i="11"/>
  <c r="Q706" i="16"/>
  <c r="I922" i="17"/>
  <c r="I923" i="17" s="1"/>
  <c r="I426" i="16"/>
  <c r="I256" i="5"/>
  <c r="I772" i="16"/>
  <c r="I99" i="8"/>
  <c r="I166" i="15"/>
  <c r="I337" i="16" s="1"/>
  <c r="L296" i="7"/>
  <c r="K434" i="16"/>
  <c r="T41" i="11"/>
  <c r="H94" i="6"/>
  <c r="H96" i="6" s="1"/>
  <c r="L623" i="16"/>
  <c r="L206" i="4"/>
  <c r="L81" i="8"/>
  <c r="L83" i="6"/>
  <c r="O95" i="12"/>
  <c r="O93" i="12"/>
  <c r="T374" i="15"/>
  <c r="J226" i="7"/>
  <c r="J253" i="7" s="1"/>
  <c r="J135" i="12"/>
  <c r="J133" i="12"/>
  <c r="L764" i="16"/>
  <c r="L329" i="15"/>
  <c r="L177" i="12"/>
  <c r="L220" i="12"/>
  <c r="L126" i="11"/>
  <c r="L293" i="5"/>
  <c r="L328" i="15"/>
  <c r="L169" i="11"/>
  <c r="R772" i="16"/>
  <c r="R99" i="8"/>
  <c r="M46" i="11"/>
  <c r="T899" i="17"/>
  <c r="T900" i="17" s="1"/>
  <c r="T323" i="16"/>
  <c r="P309" i="15"/>
  <c r="P709" i="16" s="1"/>
  <c r="S17" i="5"/>
  <c r="R34" i="5"/>
  <c r="J729" i="16"/>
  <c r="J121" i="11"/>
  <c r="J172" i="12"/>
  <c r="J217" i="12"/>
  <c r="J166" i="11"/>
  <c r="J315" i="15"/>
  <c r="J316" i="15"/>
  <c r="J292" i="5"/>
  <c r="S108" i="8"/>
  <c r="S818" i="16" s="1"/>
  <c r="H303" i="15"/>
  <c r="H1049" i="17"/>
  <c r="H1050" i="17" s="1"/>
  <c r="H249" i="16"/>
  <c r="H224" i="5"/>
  <c r="H241" i="5" s="1"/>
  <c r="H38" i="8"/>
  <c r="I244" i="11"/>
  <c r="I691" i="17" s="1"/>
  <c r="I692" i="17" s="1"/>
  <c r="I163" i="11"/>
  <c r="L334" i="16"/>
  <c r="L219" i="4"/>
  <c r="L31" i="5"/>
  <c r="L33" i="5" s="1"/>
  <c r="L41" i="16"/>
  <c r="L30" i="6"/>
  <c r="L553" i="16" s="1"/>
  <c r="L135" i="4"/>
  <c r="Q873" i="17"/>
  <c r="Q874" i="17" s="1"/>
  <c r="Q287" i="16"/>
  <c r="Q92" i="12"/>
  <c r="Q147" i="15"/>
  <c r="Q41" i="11"/>
  <c r="S737" i="16"/>
  <c r="S95" i="8"/>
  <c r="S322" i="15" s="1"/>
  <c r="S744" i="16" s="1"/>
  <c r="I1191" i="17"/>
  <c r="I1192" i="17" s="1"/>
  <c r="I154" i="12"/>
  <c r="I1194" i="17" s="1"/>
  <c r="I1195" i="17" s="1"/>
  <c r="S804" i="16"/>
  <c r="S372" i="15"/>
  <c r="K1205" i="17"/>
  <c r="K1206" i="17" s="1"/>
  <c r="K144" i="16"/>
  <c r="K26" i="8"/>
  <c r="K155" i="16" s="1"/>
  <c r="K221" i="5"/>
  <c r="O1208" i="17"/>
  <c r="O1209" i="17" s="1"/>
  <c r="O145" i="16"/>
  <c r="O248" i="5"/>
  <c r="J102" i="11"/>
  <c r="J104" i="11"/>
  <c r="Q696" i="16"/>
  <c r="Q306" i="15"/>
  <c r="Q699" i="16" s="1"/>
  <c r="Q307" i="15"/>
  <c r="Q707" i="16" s="1"/>
  <c r="Q305" i="15"/>
  <c r="Q698" i="16" s="1"/>
  <c r="L1153" i="17"/>
  <c r="L1154" i="17" s="1"/>
  <c r="L112" i="16"/>
  <c r="L220" i="5"/>
  <c r="L22" i="8"/>
  <c r="L123" i="16" s="1"/>
  <c r="N706" i="16"/>
  <c r="H165" i="11"/>
  <c r="H164" i="11"/>
  <c r="J153" i="15"/>
  <c r="J301" i="16" s="1"/>
  <c r="S764" i="16"/>
  <c r="S329" i="15"/>
  <c r="S293" i="5"/>
  <c r="S328" i="15"/>
  <c r="H207" i="12"/>
  <c r="H206" i="12"/>
  <c r="O63" i="4"/>
  <c r="N77" i="4"/>
  <c r="N85" i="4"/>
  <c r="M162" i="10"/>
  <c r="M153" i="10"/>
  <c r="O162" i="10"/>
  <c r="O153" i="10"/>
  <c r="P167" i="12"/>
  <c r="H165" i="15"/>
  <c r="H336" i="16" s="1"/>
  <c r="H293" i="7"/>
  <c r="H104" i="10"/>
  <c r="S1237" i="17"/>
  <c r="S1238" i="17" s="1"/>
  <c r="S660" i="16"/>
  <c r="P42" i="11"/>
  <c r="P44" i="11"/>
  <c r="N74" i="4"/>
  <c r="O60" i="4"/>
  <c r="K737" i="16"/>
  <c r="K95" i="8"/>
  <c r="M1130" i="17"/>
  <c r="M1131" i="17" s="1"/>
  <c r="M492" i="16"/>
  <c r="M258" i="5"/>
  <c r="H371" i="15"/>
  <c r="J737" i="16"/>
  <c r="J95" i="8"/>
  <c r="J322" i="15" s="1"/>
  <c r="J744" i="16" s="1"/>
  <c r="K1130" i="17"/>
  <c r="K1131" i="17" s="1"/>
  <c r="K492" i="16"/>
  <c r="K258" i="5"/>
  <c r="L215" i="16"/>
  <c r="L120" i="15"/>
  <c r="L277" i="5"/>
  <c r="Q153" i="15"/>
  <c r="Q301" i="16" s="1"/>
  <c r="Q764" i="16"/>
  <c r="Q328" i="15"/>
  <c r="Q177" i="12"/>
  <c r="Q126" i="11"/>
  <c r="Q329" i="15"/>
  <c r="Q169" i="11"/>
  <c r="Q220" i="12"/>
  <c r="Q293" i="5"/>
  <c r="K634" i="16"/>
  <c r="K83" i="8"/>
  <c r="K283" i="15" s="1"/>
  <c r="K641" i="16" s="1"/>
  <c r="K211" i="15"/>
  <c r="K460" i="16"/>
  <c r="K212" i="15"/>
  <c r="K81" i="11"/>
  <c r="K284" i="5"/>
  <c r="K132" i="12"/>
  <c r="O334" i="16"/>
  <c r="P328" i="15"/>
  <c r="P764" i="16"/>
  <c r="P169" i="11"/>
  <c r="P293" i="5"/>
  <c r="K92" i="12"/>
  <c r="S310" i="15"/>
  <c r="S706" i="16"/>
  <c r="P334" i="16"/>
  <c r="N764" i="16"/>
  <c r="N329" i="15"/>
  <c r="N293" i="5"/>
  <c r="N328" i="15"/>
  <c r="H605" i="16"/>
  <c r="H308" i="15"/>
  <c r="H708" i="16" s="1"/>
  <c r="H108" i="10"/>
  <c r="H304" i="7"/>
  <c r="J462" i="16"/>
  <c r="J215" i="15"/>
  <c r="J465" i="16" s="1"/>
  <c r="J214" i="15"/>
  <c r="J464" i="16" s="1"/>
  <c r="J216" i="15"/>
  <c r="J473" i="16" s="1"/>
  <c r="M97" i="12"/>
  <c r="J296" i="15"/>
  <c r="J674" i="16" s="1"/>
  <c r="K67" i="8"/>
  <c r="K501" i="16"/>
  <c r="K625" i="16"/>
  <c r="K262" i="5"/>
  <c r="I342" i="15"/>
  <c r="I341" i="15"/>
  <c r="I294" i="5"/>
  <c r="K392" i="16"/>
  <c r="K282" i="5"/>
  <c r="K186" i="15"/>
  <c r="K185" i="15"/>
  <c r="I593" i="16"/>
  <c r="I263" i="15"/>
  <c r="I288" i="5"/>
  <c r="I296" i="5" s="1"/>
  <c r="I64" i="6"/>
  <c r="I94" i="6" s="1"/>
  <c r="I100" i="6"/>
  <c r="I63" i="6"/>
  <c r="I91" i="6" s="1"/>
  <c r="I93" i="6" s="1"/>
  <c r="T371" i="15"/>
  <c r="L899" i="17"/>
  <c r="L900" i="17" s="1"/>
  <c r="L323" i="16"/>
  <c r="R706" i="16"/>
  <c r="R310" i="15"/>
  <c r="P811" i="16"/>
  <c r="P102" i="8"/>
  <c r="P103" i="8" s="1"/>
  <c r="Q772" i="16"/>
  <c r="Q99" i="8"/>
  <c r="Q335" i="15" s="1"/>
  <c r="Q779" i="16" s="1"/>
  <c r="R9" i="5"/>
  <c r="Q30" i="5"/>
  <c r="L737" i="16"/>
  <c r="L95" i="8"/>
  <c r="L322" i="15" s="1"/>
  <c r="L744" i="16" s="1"/>
  <c r="K764" i="16"/>
  <c r="K329" i="15"/>
  <c r="K177" i="12"/>
  <c r="K293" i="5"/>
  <c r="K126" i="11"/>
  <c r="K220" i="12"/>
  <c r="K328" i="15"/>
  <c r="K169" i="11"/>
  <c r="F155" i="15"/>
  <c r="T155" i="15" s="1"/>
  <c r="T153" i="15"/>
  <c r="T301" i="16" s="1"/>
  <c r="M348" i="15"/>
  <c r="I737" i="16"/>
  <c r="I95" i="8"/>
  <c r="J219" i="15"/>
  <c r="J472" i="16"/>
  <c r="I323" i="16"/>
  <c r="I899" i="17"/>
  <c r="I900" i="17" s="1"/>
  <c r="I205" i="12"/>
  <c r="I207" i="12" s="1"/>
  <c r="I160" i="15"/>
  <c r="I154" i="11"/>
  <c r="I97" i="12"/>
  <c r="I46" i="11"/>
  <c r="L67" i="8"/>
  <c r="L231" i="15" s="1"/>
  <c r="L508" i="16" s="1"/>
  <c r="L501" i="16"/>
  <c r="I716" i="17"/>
  <c r="I717" i="17" s="1"/>
  <c r="T347" i="15"/>
  <c r="T111" i="10"/>
  <c r="H659" i="16"/>
  <c r="H290" i="15"/>
  <c r="H111" i="11"/>
  <c r="H162" i="12"/>
  <c r="H160" i="11"/>
  <c r="H211" i="12"/>
  <c r="H289" i="15"/>
  <c r="H290" i="5"/>
  <c r="L97" i="12"/>
  <c r="T764" i="16"/>
  <c r="E337" i="15"/>
  <c r="T293" i="5"/>
  <c r="T328" i="15"/>
  <c r="T220" i="12"/>
  <c r="T177" i="12"/>
  <c r="T126" i="11"/>
  <c r="S214" i="5"/>
  <c r="M772" i="16"/>
  <c r="M99" i="8"/>
  <c r="J60" i="16"/>
  <c r="M557" i="16"/>
  <c r="M73" i="8"/>
  <c r="M36" i="6"/>
  <c r="M204" i="4"/>
  <c r="K214" i="12"/>
  <c r="N46" i="11"/>
  <c r="O116" i="11"/>
  <c r="E20" i="10"/>
  <c r="H153" i="10"/>
  <c r="F20" i="10"/>
  <c r="H162" i="10"/>
  <c r="I321" i="15"/>
  <c r="I743" i="16" s="1"/>
  <c r="I109" i="10"/>
  <c r="Q98" i="12"/>
  <c r="Q100" i="12"/>
  <c r="H259" i="16"/>
  <c r="H39" i="8"/>
  <c r="H118" i="8"/>
  <c r="H112" i="8"/>
  <c r="I706" i="16"/>
  <c r="H82" i="11"/>
  <c r="H84" i="11"/>
  <c r="L818" i="16"/>
  <c r="L160" i="15"/>
  <c r="P166" i="15"/>
  <c r="P337" i="16" s="1"/>
  <c r="P160" i="15"/>
  <c r="L568" i="16"/>
  <c r="L75" i="8"/>
  <c r="J167" i="12"/>
  <c r="J102" i="10"/>
  <c r="J139" i="15"/>
  <c r="J265" i="16" s="1"/>
  <c r="I295" i="15"/>
  <c r="I673" i="16" s="1"/>
  <c r="I107" i="10"/>
  <c r="N873" i="17"/>
  <c r="N874" i="17" s="1"/>
  <c r="N287" i="16"/>
  <c r="N92" i="12"/>
  <c r="N147" i="15"/>
  <c r="N41" i="11"/>
  <c r="H538" i="16"/>
  <c r="O226" i="7"/>
  <c r="O253" i="7" s="1"/>
  <c r="O172" i="11" s="1"/>
  <c r="S334" i="16"/>
  <c r="S167" i="15"/>
  <c r="M803" i="16"/>
  <c r="M371" i="15"/>
  <c r="Q321" i="15"/>
  <c r="Q743" i="16" s="1"/>
  <c r="Q109" i="10"/>
  <c r="K323" i="16"/>
  <c r="K899" i="17"/>
  <c r="K900" i="17" s="1"/>
  <c r="Q334" i="16"/>
  <c r="H873" i="17"/>
  <c r="H874" i="17" s="1"/>
  <c r="H287" i="16"/>
  <c r="H147" i="15"/>
  <c r="H92" i="12"/>
  <c r="H292" i="7"/>
  <c r="H41" i="11"/>
  <c r="L1130" i="17"/>
  <c r="L1131" i="17" s="1"/>
  <c r="L492" i="16"/>
  <c r="L258" i="5"/>
  <c r="O99" i="5"/>
  <c r="N127" i="5"/>
  <c r="R298" i="16"/>
  <c r="R73" i="5"/>
  <c r="I638" i="16"/>
  <c r="T214" i="5"/>
  <c r="H472" i="16"/>
  <c r="Q55" i="5"/>
  <c r="P67" i="5"/>
  <c r="P181" i="7" s="1"/>
  <c r="P182" i="7" s="1"/>
  <c r="H95" i="8"/>
  <c r="H322" i="15" s="1"/>
  <c r="H744" i="16" s="1"/>
  <c r="H737" i="16"/>
  <c r="J538" i="16"/>
  <c r="K146" i="16"/>
  <c r="K94" i="15"/>
  <c r="K275" i="5"/>
  <c r="L260" i="7"/>
  <c r="I667" i="16"/>
  <c r="I87" i="8"/>
  <c r="I296" i="15" s="1"/>
  <c r="I674" i="16" s="1"/>
  <c r="L390" i="16"/>
  <c r="L228" i="5"/>
  <c r="L54" i="8"/>
  <c r="L161" i="5"/>
  <c r="S899" i="17"/>
  <c r="S900" i="17" s="1"/>
  <c r="S323" i="16"/>
  <c r="H170" i="12"/>
  <c r="H168" i="12"/>
  <c r="J916" i="17"/>
  <c r="J917" i="17" s="1"/>
  <c r="J57" i="8"/>
  <c r="J165" i="5"/>
  <c r="J164" i="5"/>
  <c r="J200" i="4"/>
  <c r="J424" i="16"/>
  <c r="H283" i="15"/>
  <c r="H641" i="16" s="1"/>
  <c r="H103" i="6"/>
  <c r="H214" i="15"/>
  <c r="H464" i="16" s="1"/>
  <c r="H462" i="16"/>
  <c r="H216" i="15"/>
  <c r="H473" i="16" s="1"/>
  <c r="K873" i="17"/>
  <c r="K874" i="17" s="1"/>
  <c r="K287" i="16"/>
  <c r="O71" i="5"/>
  <c r="N89" i="5"/>
  <c r="Q126" i="4"/>
  <c r="R125" i="4"/>
  <c r="K154" i="16"/>
  <c r="H178" i="15"/>
  <c r="H371" i="16" s="1"/>
  <c r="H105" i="10"/>
  <c r="T873" i="17"/>
  <c r="T874" i="17" s="1"/>
  <c r="T287" i="16"/>
  <c r="O111" i="10"/>
  <c r="O347" i="15"/>
  <c r="O42" i="11"/>
  <c r="O44" i="11"/>
  <c r="M42" i="11"/>
  <c r="M44" i="11"/>
  <c r="K48" i="16"/>
  <c r="K272" i="5"/>
  <c r="K55" i="15"/>
  <c r="I95" i="12"/>
  <c r="I93" i="12"/>
  <c r="M263" i="7"/>
  <c r="H135" i="12"/>
  <c r="H133" i="12"/>
  <c r="J153" i="12"/>
  <c r="J155" i="12"/>
  <c r="T166" i="15"/>
  <c r="T337" i="16" s="1"/>
  <c r="F168" i="15"/>
  <c r="H295" i="15"/>
  <c r="H673" i="16" s="1"/>
  <c r="H107" i="10"/>
  <c r="H303" i="7"/>
  <c r="J804" i="16"/>
  <c r="J372" i="15"/>
  <c r="N737" i="16"/>
  <c r="N95" i="8"/>
  <c r="H341" i="15"/>
  <c r="H223" i="12"/>
  <c r="H294" i="5"/>
  <c r="O74" i="5"/>
  <c r="N88" i="5"/>
  <c r="O294" i="5"/>
  <c r="H501" i="16"/>
  <c r="H67" i="8"/>
  <c r="O104" i="4"/>
  <c r="O209" i="16"/>
  <c r="N71" i="4"/>
  <c r="O57" i="4"/>
  <c r="M216" i="12"/>
  <c r="H220" i="12"/>
  <c r="H329" i="15"/>
  <c r="H126" i="11"/>
  <c r="H764" i="16"/>
  <c r="H328" i="15"/>
  <c r="H293" i="5"/>
  <c r="K626" i="16"/>
  <c r="K276" i="15"/>
  <c r="K86" i="6"/>
  <c r="K289" i="5"/>
  <c r="K85" i="6"/>
  <c r="K92" i="6" s="1"/>
  <c r="K468" i="16"/>
  <c r="K63" i="8"/>
  <c r="K218" i="15" s="1"/>
  <c r="K475" i="16" s="1"/>
  <c r="H470" i="16"/>
  <c r="L696" i="16"/>
  <c r="L306" i="15"/>
  <c r="L699" i="16" s="1"/>
  <c r="L305" i="15"/>
  <c r="L698" i="16" s="1"/>
  <c r="L307" i="15"/>
  <c r="L707" i="16" s="1"/>
  <c r="Q116" i="11"/>
  <c r="I427" i="16"/>
  <c r="I198" i="15"/>
  <c r="I51" i="11"/>
  <c r="I283" i="5"/>
  <c r="I102" i="12"/>
  <c r="I199" i="15"/>
  <c r="J251" i="16"/>
  <c r="J133" i="15"/>
  <c r="J278" i="5"/>
  <c r="O95" i="8"/>
  <c r="O322" i="15" s="1"/>
  <c r="O744" i="16" s="1"/>
  <c r="O737" i="16"/>
  <c r="N139" i="5"/>
  <c r="O41" i="5"/>
  <c r="P303" i="15"/>
  <c r="K226" i="7"/>
  <c r="K253" i="7" s="1"/>
  <c r="M154" i="11"/>
  <c r="H119" i="11"/>
  <c r="H117" i="11"/>
  <c r="J93" i="16"/>
  <c r="Q803" i="16"/>
  <c r="Q371" i="15"/>
  <c r="H99" i="8"/>
  <c r="H335" i="15" s="1"/>
  <c r="H779" i="16" s="1"/>
  <c r="H772" i="16"/>
  <c r="T334" i="16"/>
  <c r="T167" i="15"/>
  <c r="M40" i="6"/>
  <c r="N205" i="12"/>
  <c r="Q163" i="11"/>
  <c r="P298" i="16"/>
  <c r="M454" i="16"/>
  <c r="M139" i="4"/>
  <c r="M140" i="4" s="1"/>
  <c r="L97" i="4"/>
  <c r="M96" i="4"/>
  <c r="S226" i="7"/>
  <c r="S253" i="7" s="1"/>
  <c r="H899" i="17"/>
  <c r="H900" i="17" s="1"/>
  <c r="H323" i="16"/>
  <c r="H1052" i="17"/>
  <c r="H1053" i="17" s="1"/>
  <c r="H250" i="16"/>
  <c r="H251" i="5"/>
  <c r="I367" i="17"/>
  <c r="I368" i="17" s="1"/>
  <c r="I158" i="10"/>
  <c r="I295" i="12"/>
  <c r="I342" i="17" s="1"/>
  <c r="I343" i="17" s="1"/>
  <c r="I39" i="14"/>
  <c r="I274" i="12"/>
  <c r="I41" i="10"/>
  <c r="I322" i="7"/>
  <c r="I117" i="11"/>
  <c r="I119" i="11"/>
  <c r="R214" i="12"/>
  <c r="J65" i="6"/>
  <c r="J95" i="6" s="1"/>
  <c r="H394" i="16"/>
  <c r="H190" i="15"/>
  <c r="H188" i="15"/>
  <c r="H396" i="16" s="1"/>
  <c r="H189" i="15"/>
  <c r="H397" i="16" s="1"/>
  <c r="H106" i="12"/>
  <c r="H937" i="17" s="1"/>
  <c r="H938" i="17" s="1"/>
  <c r="T168" i="15"/>
  <c r="O154" i="11"/>
  <c r="N334" i="15"/>
  <c r="N778" i="16" s="1"/>
  <c r="N110" i="10"/>
  <c r="T226" i="7"/>
  <c r="T253" i="7" s="1"/>
  <c r="J84" i="11"/>
  <c r="J82" i="11"/>
  <c r="K89" i="16"/>
  <c r="K19" i="8"/>
  <c r="K75" i="15" s="1"/>
  <c r="K96" i="16" s="1"/>
  <c r="L493" i="16"/>
  <c r="L91" i="11"/>
  <c r="L142" i="12"/>
  <c r="L225" i="15"/>
  <c r="L224" i="15"/>
  <c r="L285" i="5"/>
  <c r="L46" i="11"/>
  <c r="M520" i="16"/>
  <c r="M145" i="4"/>
  <c r="M146" i="4" s="1"/>
  <c r="T324" i="16"/>
  <c r="T164" i="15"/>
  <c r="T335" i="16" s="1"/>
  <c r="T162" i="15"/>
  <c r="T326" i="16" s="1"/>
  <c r="J873" i="17"/>
  <c r="J874" i="17" s="1"/>
  <c r="J287" i="16"/>
  <c r="J147" i="15"/>
  <c r="J41" i="11"/>
  <c r="J92" i="12"/>
  <c r="J348" i="15"/>
  <c r="M95" i="8"/>
  <c r="M322" i="15" s="1"/>
  <c r="M744" i="16" s="1"/>
  <c r="M737" i="16"/>
  <c r="P98" i="12"/>
  <c r="P100" i="12"/>
  <c r="N70" i="4"/>
  <c r="O56" i="4"/>
  <c r="N83" i="4"/>
  <c r="M226" i="7"/>
  <c r="M253" i="7" s="1"/>
  <c r="I225" i="15"/>
  <c r="I493" i="16"/>
  <c r="I224" i="15"/>
  <c r="I91" i="11"/>
  <c r="I285" i="5"/>
  <c r="I142" i="12"/>
  <c r="N117" i="11"/>
  <c r="N119" i="11"/>
  <c r="M334" i="16"/>
  <c r="M167" i="15"/>
  <c r="Q737" i="16"/>
  <c r="Q95" i="8"/>
  <c r="Q322" i="15" s="1"/>
  <c r="Q744" i="16" s="1"/>
  <c r="H264" i="7"/>
  <c r="H210" i="7"/>
  <c r="R93" i="12"/>
  <c r="R95" i="12"/>
  <c r="J726" i="17"/>
  <c r="J727" i="17" s="1"/>
  <c r="J377" i="17"/>
  <c r="J378" i="17" s="1"/>
  <c r="K334" i="15"/>
  <c r="K778" i="16" s="1"/>
  <c r="K110" i="10"/>
  <c r="H46" i="11"/>
  <c r="O46" i="11"/>
  <c r="N53" i="4"/>
  <c r="N144" i="4"/>
  <c r="N79" i="6"/>
  <c r="N108" i="16"/>
  <c r="N78" i="6"/>
  <c r="N221" i="4"/>
  <c r="N80" i="6"/>
  <c r="P214" i="5"/>
  <c r="M729" i="16"/>
  <c r="M315" i="15"/>
  <c r="M292" i="5"/>
  <c r="J39" i="8"/>
  <c r="J259" i="16"/>
  <c r="K87" i="15"/>
  <c r="K128" i="16" s="1"/>
  <c r="K133" i="16"/>
  <c r="N226" i="7"/>
  <c r="N253" i="7" s="1"/>
  <c r="I1130" i="17"/>
  <c r="I1131" i="17" s="1"/>
  <c r="I492" i="16"/>
  <c r="I258" i="5"/>
  <c r="N696" i="16"/>
  <c r="N305" i="15"/>
  <c r="N698" i="16" s="1"/>
  <c r="N306" i="15"/>
  <c r="N699" i="16" s="1"/>
  <c r="N307" i="15"/>
  <c r="N707" i="16" s="1"/>
  <c r="R102" i="8"/>
  <c r="R103" i="8" s="1"/>
  <c r="R348" i="15" s="1"/>
  <c r="R811" i="16"/>
  <c r="Q729" i="16"/>
  <c r="Q315" i="15"/>
  <c r="Q217" i="12"/>
  <c r="Q316" i="15"/>
  <c r="Q292" i="5"/>
  <c r="L162" i="10"/>
  <c r="L153" i="10"/>
  <c r="K68" i="15"/>
  <c r="K81" i="16"/>
  <c r="K273" i="5"/>
  <c r="J968" i="17"/>
  <c r="J969" i="17" s="1"/>
  <c r="J136" i="5"/>
  <c r="J198" i="7"/>
  <c r="J193" i="4"/>
  <c r="J213" i="4" s="1"/>
  <c r="J214" i="4" s="1"/>
  <c r="J176" i="16"/>
  <c r="J137" i="5"/>
  <c r="J29" i="8"/>
  <c r="J896" i="16"/>
  <c r="H273" i="7"/>
  <c r="H81" i="7"/>
  <c r="I219" i="15"/>
  <c r="M170" i="12"/>
  <c r="M168" i="12"/>
  <c r="M764" i="16"/>
  <c r="M328" i="15"/>
  <c r="M293" i="5"/>
  <c r="L729" i="16"/>
  <c r="L121" i="11"/>
  <c r="L166" i="11"/>
  <c r="L217" i="12"/>
  <c r="L172" i="12"/>
  <c r="L315" i="15"/>
  <c r="L292" i="5"/>
  <c r="K772" i="16"/>
  <c r="K99" i="8"/>
  <c r="K335" i="15" s="1"/>
  <c r="K779" i="16" s="1"/>
  <c r="H97" i="12"/>
  <c r="J192" i="15"/>
  <c r="J407" i="16" s="1"/>
  <c r="K303" i="15"/>
  <c r="P772" i="16"/>
  <c r="P99" i="8"/>
  <c r="P335" i="15" s="1"/>
  <c r="P779" i="16" s="1"/>
  <c r="K147" i="15"/>
  <c r="P111" i="10"/>
  <c r="P347" i="15"/>
  <c r="M109" i="10"/>
  <c r="M321" i="15"/>
  <c r="M743" i="16" s="1"/>
  <c r="T116" i="11"/>
  <c r="H274" i="7"/>
  <c r="O328" i="15"/>
  <c r="O764" i="16"/>
  <c r="O177" i="12"/>
  <c r="O126" i="11"/>
  <c r="O329" i="15"/>
  <c r="O293" i="5"/>
  <c r="L154" i="11"/>
  <c r="L156" i="11" s="1"/>
  <c r="J74" i="15"/>
  <c r="J95" i="16" s="1"/>
  <c r="J100" i="16"/>
  <c r="T334" i="15"/>
  <c r="T778" i="16" s="1"/>
  <c r="T110" i="10"/>
  <c r="H222" i="7"/>
  <c r="H249" i="7" s="1"/>
  <c r="K706" i="16"/>
  <c r="L23" i="8"/>
  <c r="L122" i="16"/>
  <c r="T102" i="8"/>
  <c r="T103" i="8" s="1"/>
  <c r="T811" i="16"/>
  <c r="H402" i="16"/>
  <c r="H399" i="16"/>
  <c r="I295" i="7"/>
  <c r="I501" i="16"/>
  <c r="I67" i="8"/>
  <c r="S42" i="5"/>
  <c r="R61" i="5"/>
  <c r="K841" i="17"/>
  <c r="K842" i="17" s="1"/>
  <c r="K46" i="16"/>
  <c r="K218" i="5"/>
  <c r="K14" i="8"/>
  <c r="I245" i="15"/>
  <c r="K176" i="5"/>
  <c r="R149" i="15"/>
  <c r="R290" i="16" s="1"/>
  <c r="R151" i="15"/>
  <c r="R299" i="16" s="1"/>
  <c r="R150" i="15"/>
  <c r="R291" i="16" s="1"/>
  <c r="R288" i="16"/>
  <c r="I154" i="15"/>
  <c r="I298" i="16"/>
  <c r="N212" i="16"/>
  <c r="N994" i="17"/>
  <c r="N995" i="17" s="1"/>
  <c r="N33" i="8"/>
  <c r="N141" i="5"/>
  <c r="N199" i="7"/>
  <c r="N263" i="7" s="1"/>
  <c r="N194" i="4"/>
  <c r="N82" i="4"/>
  <c r="O68" i="4"/>
  <c r="J67" i="16"/>
  <c r="J61" i="15"/>
  <c r="J62" i="16" s="1"/>
  <c r="J1237" i="17"/>
  <c r="J1238" i="17" s="1"/>
  <c r="J660" i="16"/>
  <c r="I909" i="16"/>
  <c r="I283" i="7"/>
  <c r="I33" i="12"/>
  <c r="N324" i="16"/>
  <c r="N163" i="15"/>
  <c r="N327" i="16" s="1"/>
  <c r="N164" i="15"/>
  <c r="N335" i="16" s="1"/>
  <c r="N162" i="15"/>
  <c r="N326" i="16" s="1"/>
  <c r="I61" i="12"/>
  <c r="I11" i="11"/>
  <c r="I1052" i="17"/>
  <c r="I1053" i="17" s="1"/>
  <c r="I250" i="16"/>
  <c r="I251" i="5"/>
  <c r="O64" i="4"/>
  <c r="N78" i="4"/>
  <c r="T168" i="12"/>
  <c r="T170" i="12"/>
  <c r="N168" i="12"/>
  <c r="N170" i="12"/>
  <c r="S205" i="12"/>
  <c r="K228" i="16"/>
  <c r="L942" i="17"/>
  <c r="L943" i="17" s="1"/>
  <c r="L195" i="7"/>
  <c r="L78" i="16"/>
  <c r="L190" i="4"/>
  <c r="L66" i="5"/>
  <c r="L17" i="8"/>
  <c r="L156" i="5"/>
  <c r="L155" i="5"/>
  <c r="Q1237" i="17"/>
  <c r="Q1238" i="17" s="1"/>
  <c r="Q660" i="16"/>
  <c r="J493" i="16"/>
  <c r="J225" i="15"/>
  <c r="J91" i="11"/>
  <c r="J224" i="15"/>
  <c r="J285" i="5"/>
  <c r="J142" i="12"/>
  <c r="M159" i="5"/>
  <c r="M90" i="5"/>
  <c r="M1317" i="17"/>
  <c r="T737" i="16"/>
  <c r="T95" i="8"/>
  <c r="N899" i="17"/>
  <c r="N900" i="17" s="1"/>
  <c r="N323" i="16"/>
  <c r="Q162" i="15"/>
  <c r="Q326" i="16" s="1"/>
  <c r="Q164" i="15"/>
  <c r="Q335" i="16" s="1"/>
  <c r="Q324" i="16"/>
  <c r="S42" i="11"/>
  <c r="S44" i="11"/>
  <c r="P351" i="16"/>
  <c r="P129" i="4"/>
  <c r="P141" i="4"/>
  <c r="P222" i="4"/>
  <c r="I83" i="11"/>
  <c r="I85" i="11" s="1"/>
  <c r="L1303" i="17"/>
  <c r="L1311" i="17" s="1"/>
  <c r="I145" i="5"/>
  <c r="S117" i="11"/>
  <c r="S119" i="11"/>
  <c r="J117" i="11"/>
  <c r="J119" i="11"/>
  <c r="O288" i="16"/>
  <c r="O150" i="15"/>
  <c r="O291" i="16" s="1"/>
  <c r="O151" i="15"/>
  <c r="O149" i="15"/>
  <c r="O290" i="16" s="1"/>
  <c r="R737" i="16"/>
  <c r="R95" i="8"/>
  <c r="R322" i="15" s="1"/>
  <c r="R744" i="16" s="1"/>
  <c r="M1150" i="17"/>
  <c r="M1151" i="17" s="1"/>
  <c r="M191" i="4"/>
  <c r="M111" i="16"/>
  <c r="M21" i="8"/>
  <c r="M196" i="7"/>
  <c r="M91" i="5"/>
  <c r="H638" i="16"/>
  <c r="J772" i="16"/>
  <c r="J99" i="8"/>
  <c r="M75" i="16"/>
  <c r="M62" i="5"/>
  <c r="M64" i="5" s="1"/>
  <c r="M47" i="4"/>
  <c r="N772" i="16"/>
  <c r="N99" i="8"/>
  <c r="N335" i="15" s="1"/>
  <c r="N779" i="16" s="1"/>
  <c r="M899" i="17"/>
  <c r="M900" i="17" s="1"/>
  <c r="M323" i="16"/>
  <c r="I192" i="15"/>
  <c r="I407" i="16" s="1"/>
  <c r="H61" i="12"/>
  <c r="H11" i="11"/>
  <c r="H214" i="4"/>
  <c r="L127" i="15"/>
  <c r="L231" i="16" s="1"/>
  <c r="R163" i="11"/>
  <c r="J241" i="5"/>
  <c r="J10" i="11"/>
  <c r="J60" i="12"/>
  <c r="O1237" i="17"/>
  <c r="O1238" i="17" s="1"/>
  <c r="O660" i="16"/>
  <c r="T818" i="16"/>
  <c r="J1052" i="17"/>
  <c r="J1053" i="17" s="1"/>
  <c r="J250" i="16"/>
  <c r="J251" i="5"/>
  <c r="O729" i="16"/>
  <c r="O315" i="15"/>
  <c r="O292" i="5"/>
  <c r="M997" i="17"/>
  <c r="M998" i="17" s="1"/>
  <c r="M223" i="5"/>
  <c r="M34" i="8"/>
  <c r="M225" i="16" s="1"/>
  <c r="M213" i="16"/>
  <c r="P214" i="12"/>
  <c r="M87" i="4"/>
  <c r="H155" i="12"/>
  <c r="H153" i="12"/>
  <c r="K334" i="16"/>
  <c r="K167" i="15"/>
  <c r="K372" i="15"/>
  <c r="K804" i="16"/>
  <c r="K1046" i="17"/>
  <c r="K1047" i="17" s="1"/>
  <c r="K248" i="16"/>
  <c r="K37" i="8"/>
  <c r="K144" i="5"/>
  <c r="K200" i="7"/>
  <c r="K264" i="7" s="1"/>
  <c r="K143" i="5"/>
  <c r="K195" i="4"/>
  <c r="J638" i="16"/>
  <c r="I192" i="16"/>
  <c r="P1237" i="17"/>
  <c r="P1238" i="17" s="1"/>
  <c r="P660" i="16"/>
  <c r="K168" i="12"/>
  <c r="K170" i="12"/>
  <c r="P110" i="10"/>
  <c r="P334" i="15"/>
  <c r="P778" i="16" s="1"/>
  <c r="I435" i="16"/>
  <c r="I59" i="8"/>
  <c r="P151" i="15"/>
  <c r="P299" i="16" s="1"/>
  <c r="P150" i="15"/>
  <c r="P291" i="16" s="1"/>
  <c r="P288" i="16"/>
  <c r="P149" i="15"/>
  <c r="P290" i="16" s="1"/>
  <c r="O44" i="4"/>
  <c r="N138" i="4"/>
  <c r="N45" i="4"/>
  <c r="J536" i="16"/>
  <c r="J533" i="16"/>
  <c r="K299" i="7"/>
  <c r="K500" i="16"/>
  <c r="L298" i="7"/>
  <c r="K503" i="16"/>
  <c r="K173" i="16"/>
  <c r="K99" i="4"/>
  <c r="K135" i="5"/>
  <c r="K220" i="4"/>
  <c r="K227" i="4" s="1"/>
  <c r="K57" i="6"/>
  <c r="K58" i="6"/>
  <c r="K55" i="6"/>
  <c r="K56" i="6"/>
  <c r="P706" i="16"/>
  <c r="M1254" i="17"/>
  <c r="M1255" i="17" s="1"/>
  <c r="M128" i="5"/>
  <c r="M126" i="5"/>
  <c r="M129" i="5" s="1"/>
  <c r="M92" i="4"/>
  <c r="H528" i="16"/>
  <c r="H242" i="15"/>
  <c r="H539" i="16" s="1"/>
  <c r="H240" i="15"/>
  <c r="H530" i="16" s="1"/>
  <c r="H241" i="15"/>
  <c r="H531" i="16" s="1"/>
  <c r="I729" i="16"/>
  <c r="I315" i="15"/>
  <c r="I121" i="11"/>
  <c r="I172" i="12"/>
  <c r="I217" i="12"/>
  <c r="I166" i="11"/>
  <c r="I316" i="15"/>
  <c r="I292" i="5"/>
  <c r="L1254" i="17"/>
  <c r="L1255" i="17" s="1"/>
  <c r="L126" i="5"/>
  <c r="L129" i="5" s="1"/>
  <c r="L92" i="4"/>
  <c r="L128" i="5"/>
  <c r="K162" i="15"/>
  <c r="K326" i="16" s="1"/>
  <c r="K324" i="16"/>
  <c r="K164" i="15"/>
  <c r="K335" i="16" s="1"/>
  <c r="H145" i="5"/>
  <c r="J587" i="16"/>
  <c r="J59" i="6"/>
  <c r="J868" i="16" s="1"/>
  <c r="P371" i="15"/>
  <c r="S347" i="15"/>
  <c r="S111" i="10"/>
  <c r="I218" i="15"/>
  <c r="I475" i="16" s="1"/>
  <c r="T1237" i="17"/>
  <c r="T1238" i="17" s="1"/>
  <c r="T660" i="16"/>
  <c r="O51" i="4"/>
  <c r="P50" i="4"/>
  <c r="K119" i="11"/>
  <c r="K117" i="11"/>
  <c r="N154" i="11"/>
  <c r="O167" i="12"/>
  <c r="K298" i="16"/>
  <c r="K401" i="16"/>
  <c r="K55" i="8"/>
  <c r="K192" i="15" s="1"/>
  <c r="K407" i="16" s="1"/>
  <c r="J179" i="15"/>
  <c r="J372" i="16" s="1"/>
  <c r="T309" i="15"/>
  <c r="T709" i="16" s="1"/>
  <c r="F311" i="15"/>
  <c r="J1049" i="17"/>
  <c r="J1050" i="17" s="1"/>
  <c r="J249" i="16"/>
  <c r="J38" i="8"/>
  <c r="J260" i="16" s="1"/>
  <c r="J224" i="5"/>
  <c r="O109" i="10"/>
  <c r="O321" i="15"/>
  <c r="O743" i="16" s="1"/>
  <c r="K1182" i="17"/>
  <c r="K1183" i="17" s="1"/>
  <c r="K525" i="16"/>
  <c r="K259" i="5"/>
  <c r="K421" i="16"/>
  <c r="K136" i="4"/>
  <c r="K137" i="4" s="1"/>
  <c r="K259" i="7"/>
  <c r="I168" i="12"/>
  <c r="I170" i="12"/>
  <c r="J971" i="17"/>
  <c r="J972" i="17" s="1"/>
  <c r="J177" i="16"/>
  <c r="J222" i="5"/>
  <c r="J30" i="8"/>
  <c r="J189" i="16" s="1"/>
  <c r="N80" i="4"/>
  <c r="O66" i="4"/>
  <c r="N86" i="4"/>
  <c r="Q334" i="15"/>
  <c r="Q778" i="16" s="1"/>
  <c r="Q110" i="10"/>
  <c r="P108" i="8"/>
  <c r="H444" i="16"/>
  <c r="M706" i="16"/>
  <c r="O142" i="4"/>
  <c r="O143" i="4" s="1"/>
  <c r="O487" i="16"/>
  <c r="K1237" i="17"/>
  <c r="K1238" i="17" s="1"/>
  <c r="K660" i="16"/>
  <c r="L559" i="16"/>
  <c r="L260" i="5"/>
  <c r="L94" i="5"/>
  <c r="K534" i="16"/>
  <c r="K71" i="8"/>
  <c r="K244" i="15" s="1"/>
  <c r="K541" i="16" s="1"/>
  <c r="H104" i="11"/>
  <c r="H102" i="11"/>
  <c r="L287" i="16"/>
  <c r="L873" i="17"/>
  <c r="L874" i="17" s="1"/>
  <c r="L92" i="12"/>
  <c r="L147" i="15"/>
  <c r="L41" i="11"/>
  <c r="J899" i="17"/>
  <c r="J900" i="17" s="1"/>
  <c r="J323" i="16"/>
  <c r="J97" i="12"/>
  <c r="J154" i="11"/>
  <c r="J46" i="11"/>
  <c r="J160" i="15"/>
  <c r="J205" i="12"/>
  <c r="O772" i="16"/>
  <c r="O99" i="8"/>
  <c r="L1237" i="17"/>
  <c r="L1238" i="17" s="1"/>
  <c r="L660" i="16"/>
  <c r="R802" i="16"/>
  <c r="R371" i="15"/>
  <c r="R815" i="16"/>
  <c r="R211" i="5"/>
  <c r="O303" i="15"/>
  <c r="S321" i="15"/>
  <c r="S743" i="16" s="1"/>
  <c r="S109" i="10"/>
  <c r="S1302" i="17"/>
  <c r="O37" i="4"/>
  <c r="P35" i="4"/>
  <c r="O948" i="17"/>
  <c r="O949" i="17" s="1"/>
  <c r="O80" i="16"/>
  <c r="O246" i="5"/>
  <c r="M334" i="15"/>
  <c r="M778" i="16" s="1"/>
  <c r="M110" i="10"/>
  <c r="O1098" i="17"/>
  <c r="O1099" i="17" s="1"/>
  <c r="O203" i="7"/>
  <c r="O354" i="16"/>
  <c r="O198" i="4"/>
  <c r="O49" i="8"/>
  <c r="P873" i="17"/>
  <c r="P874" i="17" s="1"/>
  <c r="P287" i="16"/>
  <c r="L321" i="15"/>
  <c r="L743" i="16" s="1"/>
  <c r="L109" i="10"/>
  <c r="J309" i="15"/>
  <c r="J709" i="16" s="1"/>
  <c r="N107" i="4"/>
  <c r="O106" i="4"/>
  <c r="H160" i="15"/>
  <c r="O97" i="12"/>
  <c r="J27" i="8"/>
  <c r="T214" i="12"/>
  <c r="N1327" i="17"/>
  <c r="O1325" i="17"/>
  <c r="P46" i="11"/>
  <c r="J303" i="15"/>
  <c r="K8" i="9"/>
  <c r="J20" i="9"/>
  <c r="I659" i="16"/>
  <c r="I162" i="12"/>
  <c r="I211" i="12"/>
  <c r="I289" i="15"/>
  <c r="I290" i="5"/>
  <c r="P226" i="7"/>
  <c r="P253" i="7" s="1"/>
  <c r="S46" i="11"/>
  <c r="Q899" i="17"/>
  <c r="Q900" i="17" s="1"/>
  <c r="Q323" i="16"/>
  <c r="H275" i="7"/>
  <c r="O110" i="10"/>
  <c r="O334" i="15"/>
  <c r="O778" i="16" s="1"/>
  <c r="N32" i="6"/>
  <c r="N31" i="6"/>
  <c r="N33" i="6"/>
  <c r="L205" i="12"/>
  <c r="J393" i="16"/>
  <c r="J186" i="15"/>
  <c r="T772" i="16"/>
  <c r="T99" i="8"/>
  <c r="Q50" i="5"/>
  <c r="P65" i="5"/>
  <c r="H729" i="16"/>
  <c r="H315" i="15"/>
  <c r="H121" i="11"/>
  <c r="H217" i="12"/>
  <c r="H316" i="15"/>
  <c r="H166" i="11"/>
  <c r="H292" i="5"/>
  <c r="J528" i="16"/>
  <c r="J240" i="15"/>
  <c r="J530" i="16" s="1"/>
  <c r="J242" i="15"/>
  <c r="J539" i="16" s="1"/>
  <c r="J241" i="15"/>
  <c r="J531" i="16" s="1"/>
  <c r="J158" i="16"/>
  <c r="M245" i="16"/>
  <c r="M109" i="4"/>
  <c r="O108" i="8"/>
  <c r="O818" i="16" s="1"/>
  <c r="O160" i="15"/>
  <c r="I222" i="7"/>
  <c r="I249" i="7" s="1"/>
  <c r="L310" i="15"/>
  <c r="L706" i="16"/>
  <c r="N167" i="15"/>
  <c r="N334" i="16"/>
  <c r="L1302" i="17"/>
  <c r="O163" i="11"/>
  <c r="M287" i="16"/>
  <c r="M873" i="17"/>
  <c r="M874" i="17" s="1"/>
  <c r="I1049" i="17"/>
  <c r="I1050" i="17" s="1"/>
  <c r="I249" i="16"/>
  <c r="I38" i="8"/>
  <c r="I224" i="5"/>
  <c r="I241" i="5" s="1"/>
  <c r="K309" i="15"/>
  <c r="K709" i="16" s="1"/>
  <c r="H192" i="16"/>
  <c r="E362" i="15"/>
  <c r="E356" i="15"/>
  <c r="L37" i="6"/>
  <c r="J163" i="11"/>
  <c r="R166" i="15"/>
  <c r="R337" i="16" s="1"/>
  <c r="S315" i="15"/>
  <c r="S729" i="16"/>
  <c r="S316" i="15"/>
  <c r="S292" i="5"/>
  <c r="S121" i="11"/>
  <c r="S217" i="12"/>
  <c r="K23" i="8"/>
  <c r="K88" i="15" s="1"/>
  <c r="K129" i="16" s="1"/>
  <c r="I1234" i="17"/>
  <c r="I1235" i="17" s="1"/>
  <c r="I658" i="16"/>
  <c r="I263" i="5"/>
  <c r="N36" i="5"/>
  <c r="N177" i="7" s="1"/>
  <c r="O24" i="5"/>
  <c r="I27" i="8"/>
  <c r="T316" i="15"/>
  <c r="T166" i="11"/>
  <c r="E324" i="15"/>
  <c r="T315" i="15"/>
  <c r="T292" i="5"/>
  <c r="T121" i="11"/>
  <c r="T217" i="12"/>
  <c r="T729" i="16"/>
  <c r="T172" i="12"/>
  <c r="Q226" i="7"/>
  <c r="Q253" i="7" s="1"/>
  <c r="N214" i="12"/>
  <c r="S154" i="11"/>
  <c r="R899" i="17"/>
  <c r="R900" i="17" s="1"/>
  <c r="R323" i="16"/>
  <c r="R97" i="12"/>
  <c r="R205" i="12"/>
  <c r="R160" i="15"/>
  <c r="R46" i="11"/>
  <c r="R154" i="11"/>
  <c r="N73" i="4"/>
  <c r="O59" i="4"/>
  <c r="Q46" i="11"/>
  <c r="K15" i="8"/>
  <c r="K56" i="16"/>
  <c r="R42" i="11"/>
  <c r="R44" i="11"/>
  <c r="I41" i="11"/>
  <c r="Q309" i="15"/>
  <c r="Q709" i="16" s="1"/>
  <c r="J369" i="16"/>
  <c r="S149" i="15"/>
  <c r="S290" i="16" s="1"/>
  <c r="S151" i="15"/>
  <c r="S288" i="16"/>
  <c r="O223" i="12" l="1"/>
  <c r="R294" i="5"/>
  <c r="R131" i="11"/>
  <c r="R341" i="15"/>
  <c r="H307" i="7"/>
  <c r="I307" i="7" s="1"/>
  <c r="J307" i="7" s="1"/>
  <c r="I172" i="11"/>
  <c r="I182" i="12"/>
  <c r="I183" i="12" s="1"/>
  <c r="I223" i="12"/>
  <c r="H172" i="11"/>
  <c r="H173" i="11" s="1"/>
  <c r="I173" i="11" s="1"/>
  <c r="H182" i="12"/>
  <c r="H185" i="12" s="1"/>
  <c r="O342" i="15"/>
  <c r="O346" i="15" s="1"/>
  <c r="O349" i="15" s="1"/>
  <c r="O182" i="12"/>
  <c r="O185" i="12" s="1"/>
  <c r="R182" i="12"/>
  <c r="R185" i="12" s="1"/>
  <c r="R172" i="11"/>
  <c r="O131" i="11"/>
  <c r="N1307" i="17"/>
  <c r="N1308" i="17" s="1"/>
  <c r="J9" i="11"/>
  <c r="I134" i="11"/>
  <c r="I132" i="11"/>
  <c r="H132" i="11"/>
  <c r="H134" i="11"/>
  <c r="N557" i="16"/>
  <c r="N73" i="8"/>
  <c r="N36" i="6"/>
  <c r="N204" i="4"/>
  <c r="S348" i="15"/>
  <c r="I169" i="12"/>
  <c r="I171" i="12" s="1"/>
  <c r="Q320" i="15"/>
  <c r="Q742" i="16" s="1"/>
  <c r="Q731" i="16"/>
  <c r="Q318" i="15"/>
  <c r="Q733" i="16" s="1"/>
  <c r="Q319" i="15"/>
  <c r="Q734" i="16" s="1"/>
  <c r="N87" i="6"/>
  <c r="P905" i="17"/>
  <c r="P906" i="17" s="1"/>
  <c r="P99" i="12"/>
  <c r="P908" i="17" s="1"/>
  <c r="P909" i="17" s="1"/>
  <c r="Q351" i="16"/>
  <c r="Q141" i="4"/>
  <c r="Q222" i="4"/>
  <c r="Q129" i="4"/>
  <c r="P776" i="16"/>
  <c r="O100" i="12"/>
  <c r="O98" i="12"/>
  <c r="M1176" i="17"/>
  <c r="M1177" i="17" s="1"/>
  <c r="M523" i="16"/>
  <c r="M69" i="8"/>
  <c r="M203" i="4"/>
  <c r="M173" i="5"/>
  <c r="R216" i="12"/>
  <c r="P307" i="15"/>
  <c r="P696" i="16"/>
  <c r="P305" i="15"/>
  <c r="P698" i="16" s="1"/>
  <c r="H127" i="11"/>
  <c r="H129" i="11"/>
  <c r="H1087" i="17"/>
  <c r="H1088" i="17" s="1"/>
  <c r="H134" i="12"/>
  <c r="H1090" i="17" s="1"/>
  <c r="H1091" i="17" s="1"/>
  <c r="H136" i="12"/>
  <c r="H1093" i="17" s="1"/>
  <c r="H1094" i="17" s="1"/>
  <c r="Q766" i="16"/>
  <c r="Q333" i="15"/>
  <c r="Q777" i="16" s="1"/>
  <c r="Q331" i="15"/>
  <c r="Q768" i="16" s="1"/>
  <c r="I369" i="16"/>
  <c r="N1156" i="17"/>
  <c r="N1157" i="17" s="1"/>
  <c r="N247" i="5"/>
  <c r="N113" i="16"/>
  <c r="M156" i="15"/>
  <c r="M118" i="10"/>
  <c r="M307" i="16" s="1"/>
  <c r="M302" i="16"/>
  <c r="L1078" i="17"/>
  <c r="L1079" i="17" s="1"/>
  <c r="L459" i="16"/>
  <c r="L257" i="5"/>
  <c r="P879" i="17"/>
  <c r="P880" i="17" s="1"/>
  <c r="P96" i="12"/>
  <c r="P885" i="17" s="1"/>
  <c r="P886" i="17" s="1"/>
  <c r="P94" i="12"/>
  <c r="P882" i="17" s="1"/>
  <c r="P883" i="17" s="1"/>
  <c r="L169" i="12"/>
  <c r="L171" i="12" s="1"/>
  <c r="R175" i="12"/>
  <c r="R173" i="12"/>
  <c r="P124" i="11"/>
  <c r="P122" i="11"/>
  <c r="J112" i="11"/>
  <c r="J114" i="11"/>
  <c r="M1153" i="17"/>
  <c r="M1154" i="17" s="1"/>
  <c r="M112" i="16"/>
  <c r="M220" i="5"/>
  <c r="M22" i="8"/>
  <c r="M123" i="16" s="1"/>
  <c r="M92" i="11"/>
  <c r="M94" i="11"/>
  <c r="K240" i="15"/>
  <c r="K530" i="16" s="1"/>
  <c r="K241" i="15"/>
  <c r="K531" i="16" s="1"/>
  <c r="K242" i="15"/>
  <c r="K539" i="16" s="1"/>
  <c r="K528" i="16"/>
  <c r="T124" i="11"/>
  <c r="T122" i="11"/>
  <c r="S124" i="11"/>
  <c r="S122" i="11"/>
  <c r="I1237" i="17"/>
  <c r="I1238" i="17" s="1"/>
  <c r="I660" i="16"/>
  <c r="H731" i="16"/>
  <c r="H318" i="15"/>
  <c r="H733" i="16" s="1"/>
  <c r="H320" i="15"/>
  <c r="H742" i="16" s="1"/>
  <c r="N40" i="6"/>
  <c r="I111" i="11"/>
  <c r="H164" i="15"/>
  <c r="H162" i="15"/>
  <c r="H326" i="16" s="1"/>
  <c r="H324" i="16"/>
  <c r="H163" i="15"/>
  <c r="H327" i="16" s="1"/>
  <c r="J162" i="15"/>
  <c r="J326" i="16" s="1"/>
  <c r="J324" i="16"/>
  <c r="J164" i="15"/>
  <c r="P818" i="16"/>
  <c r="Q818" i="16"/>
  <c r="F362" i="15"/>
  <c r="F356" i="15"/>
  <c r="K163" i="15"/>
  <c r="K327" i="16" s="1"/>
  <c r="K971" i="17"/>
  <c r="K972" i="17" s="1"/>
  <c r="K177" i="16"/>
  <c r="K222" i="5"/>
  <c r="K241" i="5" s="1"/>
  <c r="K30" i="8"/>
  <c r="K189" i="16" s="1"/>
  <c r="N169" i="12"/>
  <c r="N171" i="12" s="1"/>
  <c r="N126" i="15"/>
  <c r="N230" i="16" s="1"/>
  <c r="N101" i="10"/>
  <c r="K1231" i="17"/>
  <c r="K1232" i="17" s="1"/>
  <c r="K86" i="8"/>
  <c r="K657" i="16"/>
  <c r="K236" i="5"/>
  <c r="K178" i="5"/>
  <c r="K149" i="15"/>
  <c r="K290" i="16" s="1"/>
  <c r="K151" i="15"/>
  <c r="K288" i="16"/>
  <c r="L122" i="11"/>
  <c r="L124" i="11"/>
  <c r="H367" i="17"/>
  <c r="H368" i="17" s="1"/>
  <c r="H295" i="12"/>
  <c r="H342" i="17" s="1"/>
  <c r="H343" i="17" s="1"/>
  <c r="H41" i="10"/>
  <c r="H158" i="10"/>
  <c r="H274" i="12"/>
  <c r="H322" i="7"/>
  <c r="H39" i="14"/>
  <c r="Q741" i="16"/>
  <c r="Q323" i="15"/>
  <c r="N620" i="16"/>
  <c r="N81" i="6"/>
  <c r="N118" i="11"/>
  <c r="N120" i="11" s="1"/>
  <c r="H766" i="16"/>
  <c r="H331" i="15"/>
  <c r="H768" i="16" s="1"/>
  <c r="H333" i="15"/>
  <c r="H777" i="16" s="1"/>
  <c r="N322" i="15"/>
  <c r="N744" i="16" s="1"/>
  <c r="P71" i="5"/>
  <c r="O89" i="5"/>
  <c r="H83" i="11"/>
  <c r="H85" i="11" s="1"/>
  <c r="L98" i="12"/>
  <c r="L100" i="12"/>
  <c r="I49" i="11"/>
  <c r="I47" i="11"/>
  <c r="H701" i="16"/>
  <c r="H704" i="16"/>
  <c r="I304" i="7"/>
  <c r="Q127" i="11"/>
  <c r="Q129" i="11"/>
  <c r="P43" i="11"/>
  <c r="P45" i="11"/>
  <c r="L227" i="4"/>
  <c r="J731" i="16"/>
  <c r="J320" i="15"/>
  <c r="J742" i="16" s="1"/>
  <c r="J318" i="15"/>
  <c r="J733" i="16" s="1"/>
  <c r="J319" i="15"/>
  <c r="J734" i="16" s="1"/>
  <c r="N1305" i="17"/>
  <c r="N1306" i="17" s="1"/>
  <c r="M231" i="15"/>
  <c r="M508" i="16" s="1"/>
  <c r="P79" i="5"/>
  <c r="O93" i="5"/>
  <c r="R134" i="11"/>
  <c r="Q72" i="4"/>
  <c r="R58" i="4"/>
  <c r="I180" i="12"/>
  <c r="I178" i="12"/>
  <c r="R215" i="12"/>
  <c r="K307" i="7"/>
  <c r="L307" i="7" s="1"/>
  <c r="M307" i="7" s="1"/>
  <c r="N307" i="7" s="1"/>
  <c r="O307" i="7" s="1"/>
  <c r="P307" i="7" s="1"/>
  <c r="Q307" i="7" s="1"/>
  <c r="R307" i="7" s="1"/>
  <c r="S307" i="7" s="1"/>
  <c r="T307" i="7" s="1"/>
  <c r="L258" i="7"/>
  <c r="O1309" i="17"/>
  <c r="O1310" i="17"/>
  <c r="M145" i="12"/>
  <c r="M143" i="12"/>
  <c r="R47" i="11"/>
  <c r="R49" i="11"/>
  <c r="S166" i="11"/>
  <c r="S168" i="11" s="1"/>
  <c r="O324" i="16"/>
  <c r="O164" i="15"/>
  <c r="O162" i="15"/>
  <c r="O326" i="16" s="1"/>
  <c r="H218" i="12"/>
  <c r="I218" i="12" s="1"/>
  <c r="J218" i="12" s="1"/>
  <c r="K218" i="12" s="1"/>
  <c r="L218" i="12" s="1"/>
  <c r="M218" i="12" s="1"/>
  <c r="N218" i="12" s="1"/>
  <c r="O218" i="12" s="1"/>
  <c r="P218" i="12" s="1"/>
  <c r="Q218" i="12" s="1"/>
  <c r="R218" i="12" s="1"/>
  <c r="S218" i="12" s="1"/>
  <c r="T218" i="12" s="1"/>
  <c r="H219" i="12"/>
  <c r="I160" i="11"/>
  <c r="O107" i="4"/>
  <c r="P106" i="4"/>
  <c r="O696" i="16"/>
  <c r="O305" i="15"/>
  <c r="O698" i="16" s="1"/>
  <c r="O307" i="15"/>
  <c r="J47" i="11"/>
  <c r="J49" i="11"/>
  <c r="L114" i="16"/>
  <c r="L81" i="15"/>
  <c r="L274" i="5"/>
  <c r="K74" i="15"/>
  <c r="K95" i="16" s="1"/>
  <c r="K100" i="16"/>
  <c r="K968" i="17"/>
  <c r="K969" i="17" s="1"/>
  <c r="K176" i="16"/>
  <c r="K29" i="8"/>
  <c r="K136" i="5"/>
  <c r="K137" i="5"/>
  <c r="K193" i="4"/>
  <c r="K198" i="7"/>
  <c r="K896" i="16"/>
  <c r="O172" i="12"/>
  <c r="M94" i="5"/>
  <c r="I881" i="16"/>
  <c r="I35" i="12"/>
  <c r="I36" i="12" s="1"/>
  <c r="I112" i="10"/>
  <c r="I113" i="10" s="1"/>
  <c r="N215" i="16"/>
  <c r="N120" i="15"/>
  <c r="N277" i="5"/>
  <c r="I247" i="15"/>
  <c r="I542" i="16"/>
  <c r="O169" i="11"/>
  <c r="I143" i="12"/>
  <c r="I145" i="12"/>
  <c r="L49" i="11"/>
  <c r="L47" i="11"/>
  <c r="I118" i="11"/>
  <c r="I120" i="11" s="1"/>
  <c r="M97" i="4"/>
  <c r="N96" i="4"/>
  <c r="O139" i="5"/>
  <c r="P41" i="5"/>
  <c r="I429" i="16"/>
  <c r="I203" i="15"/>
  <c r="I440" i="16" s="1"/>
  <c r="I201" i="15"/>
  <c r="I431" i="16" s="1"/>
  <c r="H221" i="12"/>
  <c r="I221" i="12" s="1"/>
  <c r="J221" i="12" s="1"/>
  <c r="K221" i="12" s="1"/>
  <c r="L221" i="12" s="1"/>
  <c r="H222" i="12"/>
  <c r="O134" i="11"/>
  <c r="O43" i="11"/>
  <c r="O45" i="11" s="1"/>
  <c r="H169" i="12"/>
  <c r="H171" i="12" s="1"/>
  <c r="Q67" i="5"/>
  <c r="Q181" i="7" s="1"/>
  <c r="Q182" i="7" s="1"/>
  <c r="R55" i="5"/>
  <c r="I100" i="12"/>
  <c r="I98" i="12"/>
  <c r="K776" i="16"/>
  <c r="K336" i="15"/>
  <c r="Q178" i="12"/>
  <c r="Q180" i="12"/>
  <c r="I164" i="11"/>
  <c r="J164" i="11" s="1"/>
  <c r="K164" i="11" s="1"/>
  <c r="I156" i="12"/>
  <c r="I1197" i="17" s="1"/>
  <c r="I1198" i="17" s="1"/>
  <c r="J323" i="15"/>
  <c r="J741" i="16"/>
  <c r="I335" i="15"/>
  <c r="I779" i="16" s="1"/>
  <c r="L816" i="16"/>
  <c r="L373" i="15"/>
  <c r="K175" i="12"/>
  <c r="K173" i="12"/>
  <c r="O76" i="4"/>
  <c r="P62" i="4"/>
  <c r="N121" i="11"/>
  <c r="L468" i="16"/>
  <c r="L63" i="8"/>
  <c r="L218" i="15" s="1"/>
  <c r="L475" i="16" s="1"/>
  <c r="I222" i="12"/>
  <c r="P183" i="7"/>
  <c r="P166" i="11"/>
  <c r="N816" i="16"/>
  <c r="N373" i="15"/>
  <c r="J297" i="15"/>
  <c r="J671" i="16"/>
  <c r="H224" i="15"/>
  <c r="H225" i="15"/>
  <c r="H493" i="16"/>
  <c r="H142" i="12"/>
  <c r="H285" i="5"/>
  <c r="H91" i="11"/>
  <c r="K153" i="12"/>
  <c r="K155" i="12"/>
  <c r="R162" i="15"/>
  <c r="R326" i="16" s="1"/>
  <c r="R163" i="15"/>
  <c r="R327" i="16" s="1"/>
  <c r="R164" i="15"/>
  <c r="R324" i="16"/>
  <c r="T741" i="16"/>
  <c r="S172" i="12"/>
  <c r="I243" i="5"/>
  <c r="I63" i="12" s="1"/>
  <c r="I142" i="17" s="1"/>
  <c r="I143" i="17" s="1"/>
  <c r="I12" i="11"/>
  <c r="I491" i="17" s="1"/>
  <c r="I492" i="17" s="1"/>
  <c r="H172" i="12"/>
  <c r="I290" i="15"/>
  <c r="N245" i="16"/>
  <c r="N109" i="4"/>
  <c r="O267" i="7"/>
  <c r="J156" i="11"/>
  <c r="K916" i="17"/>
  <c r="K917" i="17" s="1"/>
  <c r="K57" i="8"/>
  <c r="K424" i="16"/>
  <c r="K164" i="5"/>
  <c r="K200" i="4"/>
  <c r="L1202" i="17"/>
  <c r="L1203" i="17" s="1"/>
  <c r="L143" i="16"/>
  <c r="L197" i="7"/>
  <c r="L192" i="4"/>
  <c r="L212" i="4" s="1"/>
  <c r="L25" i="8"/>
  <c r="L131" i="5"/>
  <c r="O121" i="11"/>
  <c r="J118" i="11"/>
  <c r="J120" i="11"/>
  <c r="F324" i="15"/>
  <c r="T322" i="15"/>
  <c r="T744" i="16" s="1"/>
  <c r="L1101" i="17"/>
  <c r="L1102" i="17" s="1"/>
  <c r="L355" i="16"/>
  <c r="L227" i="5"/>
  <c r="L50" i="8"/>
  <c r="L157" i="5"/>
  <c r="T169" i="12"/>
  <c r="T171" i="12"/>
  <c r="N224" i="16"/>
  <c r="K57" i="16"/>
  <c r="M169" i="11"/>
  <c r="K93" i="16"/>
  <c r="J140" i="15"/>
  <c r="J266" i="16" s="1"/>
  <c r="L173" i="16"/>
  <c r="L99" i="4"/>
  <c r="L135" i="5"/>
  <c r="L58" i="6"/>
  <c r="L55" i="6"/>
  <c r="L56" i="6"/>
  <c r="L57" i="6"/>
  <c r="L220" i="4"/>
  <c r="Q804" i="16"/>
  <c r="Q372" i="15"/>
  <c r="N997" i="17"/>
  <c r="N998" i="17" s="1"/>
  <c r="N223" i="5"/>
  <c r="N213" i="16"/>
  <c r="N34" i="8"/>
  <c r="N225" i="16" s="1"/>
  <c r="I105" i="12"/>
  <c r="I103" i="12"/>
  <c r="H219" i="15"/>
  <c r="I310" i="15"/>
  <c r="M335" i="15"/>
  <c r="M779" i="16" s="1"/>
  <c r="H671" i="16"/>
  <c r="H297" i="15"/>
  <c r="I156" i="11"/>
  <c r="K222" i="12"/>
  <c r="K404" i="16"/>
  <c r="K133" i="12"/>
  <c r="K135" i="12"/>
  <c r="Q336" i="15"/>
  <c r="Q776" i="16"/>
  <c r="H804" i="16"/>
  <c r="H372" i="15"/>
  <c r="H377" i="15"/>
  <c r="H807" i="16" s="1"/>
  <c r="N90" i="4"/>
  <c r="N1260" i="17" s="1"/>
  <c r="N1261" i="17" s="1"/>
  <c r="J103" i="11"/>
  <c r="J105" i="11"/>
  <c r="J168" i="11"/>
  <c r="L776" i="16"/>
  <c r="K122" i="11"/>
  <c r="K124" i="11"/>
  <c r="K357" i="16"/>
  <c r="K281" i="5"/>
  <c r="K172" i="15"/>
  <c r="N143" i="12"/>
  <c r="N145" i="12"/>
  <c r="I136" i="12"/>
  <c r="I1093" i="17" s="1"/>
  <c r="I1094" i="17" s="1"/>
  <c r="N172" i="12"/>
  <c r="K48" i="11"/>
  <c r="K50" i="11" s="1"/>
  <c r="P217" i="12"/>
  <c r="J165" i="12"/>
  <c r="J163" i="12"/>
  <c r="S879" i="17"/>
  <c r="S880" i="17" s="1"/>
  <c r="S94" i="12"/>
  <c r="S882" i="17" s="1"/>
  <c r="S883" i="17" s="1"/>
  <c r="S96" i="12"/>
  <c r="S885" i="17" s="1"/>
  <c r="S886" i="17" s="1"/>
  <c r="S163" i="15"/>
  <c r="S327" i="16" s="1"/>
  <c r="M505" i="16"/>
  <c r="K104" i="11"/>
  <c r="K102" i="11"/>
  <c r="K172" i="11"/>
  <c r="K182" i="12"/>
  <c r="K131" i="11"/>
  <c r="K342" i="15"/>
  <c r="K223" i="12"/>
  <c r="K60" i="16"/>
  <c r="P99" i="5"/>
  <c r="O127" i="5"/>
  <c r="P348" i="15"/>
  <c r="Q348" i="15"/>
  <c r="M49" i="11"/>
  <c r="M47" i="11"/>
  <c r="P44" i="4"/>
  <c r="O138" i="4"/>
  <c r="O45" i="4"/>
  <c r="J100" i="12"/>
  <c r="J98" i="12"/>
  <c r="F350" i="15"/>
  <c r="T348" i="15"/>
  <c r="K696" i="16"/>
  <c r="K305" i="15"/>
  <c r="K698" i="16" s="1"/>
  <c r="K307" i="15"/>
  <c r="K306" i="15"/>
  <c r="K699" i="16" s="1"/>
  <c r="M329" i="15"/>
  <c r="J188" i="16"/>
  <c r="J31" i="8"/>
  <c r="J114" i="15" s="1"/>
  <c r="J195" i="16" s="1"/>
  <c r="J112" i="8"/>
  <c r="J118" i="8"/>
  <c r="N520" i="16"/>
  <c r="N145" i="4"/>
  <c r="N146" i="4" s="1"/>
  <c r="O156" i="11"/>
  <c r="H213" i="12"/>
  <c r="H212" i="12"/>
  <c r="I212" i="12" s="1"/>
  <c r="J212" i="12" s="1"/>
  <c r="I324" i="16"/>
  <c r="I164" i="15"/>
  <c r="I162" i="15"/>
  <c r="I326" i="16" s="1"/>
  <c r="I163" i="15"/>
  <c r="I327" i="16" s="1"/>
  <c r="K188" i="15"/>
  <c r="K396" i="16" s="1"/>
  <c r="K189" i="15"/>
  <c r="K397" i="16" s="1"/>
  <c r="K394" i="16"/>
  <c r="K190" i="15"/>
  <c r="K405" i="16" s="1"/>
  <c r="S710" i="16"/>
  <c r="S312" i="15"/>
  <c r="S356" i="15"/>
  <c r="S362" i="15"/>
  <c r="S123" i="10"/>
  <c r="S715" i="16" s="1"/>
  <c r="L625" i="16"/>
  <c r="L262" i="5"/>
  <c r="S335" i="15"/>
  <c r="S779" i="16" s="1"/>
  <c r="Q168" i="12"/>
  <c r="Q170" i="12"/>
  <c r="R98" i="12"/>
  <c r="R100" i="12"/>
  <c r="S731" i="16"/>
  <c r="S318" i="15"/>
  <c r="S733" i="16" s="1"/>
  <c r="S320" i="15"/>
  <c r="S742" i="16" s="1"/>
  <c r="H323" i="15"/>
  <c r="H741" i="16"/>
  <c r="P804" i="16"/>
  <c r="P372" i="15"/>
  <c r="L19" i="8"/>
  <c r="L75" i="15" s="1"/>
  <c r="L96" i="16" s="1"/>
  <c r="L89" i="16"/>
  <c r="O129" i="11"/>
  <c r="O127" i="11"/>
  <c r="L495" i="16"/>
  <c r="L227" i="15"/>
  <c r="L497" i="16" s="1"/>
  <c r="L229" i="15"/>
  <c r="L506" i="16" s="1"/>
  <c r="O71" i="4"/>
  <c r="P57" i="4"/>
  <c r="J816" i="16"/>
  <c r="J373" i="15"/>
  <c r="S342" i="15"/>
  <c r="S341" i="15"/>
  <c r="S294" i="5"/>
  <c r="S172" i="11"/>
  <c r="S182" i="12"/>
  <c r="S131" i="11"/>
  <c r="S223" i="12"/>
  <c r="K82" i="11"/>
  <c r="K84" i="11"/>
  <c r="H329" i="16"/>
  <c r="H332" i="16"/>
  <c r="I293" i="7"/>
  <c r="L120" i="11"/>
  <c r="L118" i="11"/>
  <c r="R220" i="12"/>
  <c r="P741" i="16"/>
  <c r="J162" i="11"/>
  <c r="N905" i="17"/>
  <c r="N906" i="17" s="1"/>
  <c r="N99" i="12"/>
  <c r="N908" i="17" s="1"/>
  <c r="N909" i="17" s="1"/>
  <c r="K10" i="9"/>
  <c r="K9" i="9"/>
  <c r="J590" i="16"/>
  <c r="J77" i="8"/>
  <c r="J205" i="4"/>
  <c r="J215" i="4" s="1"/>
  <c r="J216" i="4" s="1"/>
  <c r="J61" i="6"/>
  <c r="J98" i="6"/>
  <c r="J1020" i="17"/>
  <c r="J1021" i="17" s="1"/>
  <c r="L503" i="16"/>
  <c r="L500" i="16"/>
  <c r="M298" i="7"/>
  <c r="K338" i="16"/>
  <c r="K169" i="15"/>
  <c r="K119" i="10"/>
  <c r="K343" i="16" s="1"/>
  <c r="J44" i="11"/>
  <c r="J42" i="11"/>
  <c r="I439" i="16"/>
  <c r="L392" i="16"/>
  <c r="L282" i="5"/>
  <c r="L186" i="15"/>
  <c r="L185" i="15"/>
  <c r="S338" i="16"/>
  <c r="S169" i="15"/>
  <c r="S119" i="10"/>
  <c r="S343" i="16" s="1"/>
  <c r="H165" i="12"/>
  <c r="H163" i="12"/>
  <c r="J124" i="11"/>
  <c r="J122" i="11"/>
  <c r="L634" i="16"/>
  <c r="L83" i="8"/>
  <c r="L283" i="15" s="1"/>
  <c r="L641" i="16" s="1"/>
  <c r="J661" i="16"/>
  <c r="J292" i="15"/>
  <c r="J663" i="16" s="1"/>
  <c r="J294" i="15"/>
  <c r="J672" i="16" s="1"/>
  <c r="J293" i="15"/>
  <c r="J664" i="16" s="1"/>
  <c r="J305" i="15"/>
  <c r="J698" i="16" s="1"/>
  <c r="J696" i="16"/>
  <c r="J307" i="15"/>
  <c r="J306" i="15"/>
  <c r="J699" i="16" s="1"/>
  <c r="R804" i="16"/>
  <c r="R372" i="15"/>
  <c r="I318" i="15"/>
  <c r="I733" i="16" s="1"/>
  <c r="I320" i="15"/>
  <c r="I742" i="16" s="1"/>
  <c r="I731" i="16"/>
  <c r="O217" i="12"/>
  <c r="S118" i="11"/>
  <c r="S120" i="11"/>
  <c r="H49" i="11"/>
  <c r="H47" i="11"/>
  <c r="I495" i="16"/>
  <c r="I227" i="15"/>
  <c r="I497" i="16" s="1"/>
  <c r="I229" i="15"/>
  <c r="I506" i="16" s="1"/>
  <c r="P154" i="15"/>
  <c r="H666" i="16"/>
  <c r="H669" i="16"/>
  <c r="I303" i="7"/>
  <c r="K158" i="16"/>
  <c r="J168" i="12"/>
  <c r="J170" i="12"/>
  <c r="H112" i="11"/>
  <c r="H114" i="11"/>
  <c r="K766" i="16"/>
  <c r="K332" i="15"/>
  <c r="K769" i="16" s="1"/>
  <c r="K333" i="15"/>
  <c r="K777" i="16" s="1"/>
  <c r="K331" i="15"/>
  <c r="K768" i="16" s="1"/>
  <c r="N776" i="16"/>
  <c r="N336" i="15"/>
  <c r="K156" i="11"/>
  <c r="S776" i="16"/>
  <c r="Q151" i="15"/>
  <c r="Q149" i="15"/>
  <c r="Q290" i="16" s="1"/>
  <c r="Q150" i="15"/>
  <c r="Q291" i="16" s="1"/>
  <c r="Q288" i="16"/>
  <c r="L180" i="12"/>
  <c r="L178" i="12"/>
  <c r="Q310" i="15"/>
  <c r="J776" i="16"/>
  <c r="I566" i="17"/>
  <c r="I567" i="17" s="1"/>
  <c r="K143" i="12"/>
  <c r="K145" i="12"/>
  <c r="M945" i="17"/>
  <c r="M946" i="17" s="1"/>
  <c r="M79" i="16"/>
  <c r="M18" i="8"/>
  <c r="M90" i="16" s="1"/>
  <c r="M219" i="5"/>
  <c r="M220" i="12"/>
  <c r="M222" i="12" s="1"/>
  <c r="M316" i="15"/>
  <c r="H40" i="13"/>
  <c r="H331" i="7"/>
  <c r="H323" i="7"/>
  <c r="H40" i="14"/>
  <c r="H224" i="11"/>
  <c r="H74" i="10"/>
  <c r="H275" i="12"/>
  <c r="H42" i="10"/>
  <c r="H716" i="17"/>
  <c r="H717" i="17" s="1"/>
  <c r="H167" i="10"/>
  <c r="H244" i="11"/>
  <c r="H691" i="17" s="1"/>
  <c r="H692" i="17" s="1"/>
  <c r="O36" i="4"/>
  <c r="O34" i="6" s="1"/>
  <c r="P34" i="4"/>
  <c r="T905" i="17"/>
  <c r="T906" i="17" s="1"/>
  <c r="T99" i="12"/>
  <c r="T908" i="17" s="1"/>
  <c r="T909" i="17" s="1"/>
  <c r="T101" i="12"/>
  <c r="T911" i="17" s="1"/>
  <c r="T912" i="17" s="1"/>
  <c r="N216" i="12"/>
  <c r="L95" i="12"/>
  <c r="L93" i="12"/>
  <c r="M776" i="16"/>
  <c r="H579" i="16"/>
  <c r="H256" i="15"/>
  <c r="H574" i="16" s="1"/>
  <c r="H282" i="7"/>
  <c r="H34" i="12" s="1"/>
  <c r="J974" i="17"/>
  <c r="J975" i="17" s="1"/>
  <c r="J178" i="16"/>
  <c r="J249" i="5"/>
  <c r="Q121" i="11"/>
  <c r="M172" i="12"/>
  <c r="H139" i="15"/>
  <c r="H265" i="16" s="1"/>
  <c r="H102" i="10"/>
  <c r="H908" i="16"/>
  <c r="H281" i="7"/>
  <c r="H880" i="16"/>
  <c r="N87" i="4"/>
  <c r="H118" i="11"/>
  <c r="H120" i="11" s="1"/>
  <c r="H169" i="11"/>
  <c r="H231" i="15"/>
  <c r="H508" i="16" s="1"/>
  <c r="H503" i="16"/>
  <c r="S73" i="5"/>
  <c r="H245" i="15"/>
  <c r="Q905" i="17"/>
  <c r="Q906" i="17" s="1"/>
  <c r="Q99" i="12"/>
  <c r="Q908" i="17" s="1"/>
  <c r="Q909" i="17" s="1"/>
  <c r="M559" i="16"/>
  <c r="M260" i="5"/>
  <c r="T169" i="11"/>
  <c r="J476" i="16"/>
  <c r="J221" i="15"/>
  <c r="T804" i="16"/>
  <c r="T372" i="15"/>
  <c r="P220" i="12"/>
  <c r="L228" i="16"/>
  <c r="S220" i="12"/>
  <c r="H12" i="11"/>
  <c r="H491" i="17" s="1"/>
  <c r="H492" i="17" s="1"/>
  <c r="H243" i="5"/>
  <c r="H63" i="12" s="1"/>
  <c r="H142" i="17" s="1"/>
  <c r="H143" i="17" s="1"/>
  <c r="T17" i="5"/>
  <c r="T34" i="5" s="1"/>
  <c r="S34" i="5"/>
  <c r="H306" i="7"/>
  <c r="H334" i="15"/>
  <c r="H778" i="16" s="1"/>
  <c r="H110" i="10"/>
  <c r="Q102" i="4"/>
  <c r="R101" i="4"/>
  <c r="L182" i="12"/>
  <c r="L131" i="11"/>
  <c r="L223" i="12"/>
  <c r="L342" i="15"/>
  <c r="L172" i="11"/>
  <c r="J177" i="12"/>
  <c r="I201" i="11"/>
  <c r="I252" i="12"/>
  <c r="L1182" i="17"/>
  <c r="L1183" i="17" s="1"/>
  <c r="L525" i="16"/>
  <c r="L259" i="5"/>
  <c r="T306" i="15"/>
  <c r="T699" i="16" s="1"/>
  <c r="I243" i="12"/>
  <c r="I267" i="17" s="1"/>
  <c r="I268" i="17" s="1"/>
  <c r="R177" i="12"/>
  <c r="R105" i="5"/>
  <c r="Q130" i="5"/>
  <c r="I816" i="16"/>
  <c r="I373" i="15"/>
  <c r="K505" i="16"/>
  <c r="M228" i="16"/>
  <c r="I476" i="16"/>
  <c r="I221" i="15"/>
  <c r="H183" i="12"/>
  <c r="J427" i="16"/>
  <c r="J199" i="15"/>
  <c r="J198" i="15"/>
  <c r="J51" i="11"/>
  <c r="J283" i="5"/>
  <c r="J102" i="12"/>
  <c r="N93" i="12"/>
  <c r="N95" i="12"/>
  <c r="E364" i="15"/>
  <c r="E358" i="15"/>
  <c r="N766" i="16"/>
  <c r="N333" i="15"/>
  <c r="N777" i="16" s="1"/>
  <c r="N331" i="15"/>
  <c r="N768" i="16" s="1"/>
  <c r="S333" i="15"/>
  <c r="S777" i="16" s="1"/>
  <c r="S331" i="15"/>
  <c r="S768" i="16" s="1"/>
  <c r="S332" i="15"/>
  <c r="S769" i="16" s="1"/>
  <c r="S766" i="16"/>
  <c r="I14" i="11"/>
  <c r="I501" i="17" s="1"/>
  <c r="I502" i="17" s="1"/>
  <c r="I270" i="5"/>
  <c r="I65" i="12" s="1"/>
  <c r="I152" i="17" s="1"/>
  <c r="I153" i="17" s="1"/>
  <c r="K731" i="16"/>
  <c r="K318" i="15"/>
  <c r="K733" i="16" s="1"/>
  <c r="K319" i="15"/>
  <c r="K734" i="16" s="1"/>
  <c r="K320" i="15"/>
  <c r="K742" i="16" s="1"/>
  <c r="S150" i="15"/>
  <c r="S291" i="16" s="1"/>
  <c r="H168" i="11"/>
  <c r="H167" i="11"/>
  <c r="I167" i="11" s="1"/>
  <c r="J167" i="11" s="1"/>
  <c r="K167" i="11" s="1"/>
  <c r="L167" i="11" s="1"/>
  <c r="M167" i="11" s="1"/>
  <c r="N167" i="11" s="1"/>
  <c r="O167" i="11" s="1"/>
  <c r="P167" i="11" s="1"/>
  <c r="Q167" i="11" s="1"/>
  <c r="R167" i="11" s="1"/>
  <c r="L168" i="11"/>
  <c r="J435" i="16"/>
  <c r="J59" i="8"/>
  <c r="L841" i="17"/>
  <c r="L842" i="17" s="1"/>
  <c r="L46" i="16"/>
  <c r="L14" i="8"/>
  <c r="L218" i="5"/>
  <c r="O879" i="17"/>
  <c r="O880" i="17" s="1"/>
  <c r="O94" i="12"/>
  <c r="O882" i="17" s="1"/>
  <c r="O883" i="17" s="1"/>
  <c r="E357" i="15"/>
  <c r="E363" i="15"/>
  <c r="T324" i="15"/>
  <c r="I260" i="16"/>
  <c r="I114" i="8"/>
  <c r="I249" i="12" s="1"/>
  <c r="M110" i="4"/>
  <c r="M111" i="4"/>
  <c r="H122" i="11"/>
  <c r="H124" i="11"/>
  <c r="M260" i="7"/>
  <c r="O766" i="16"/>
  <c r="O333" i="15"/>
  <c r="O777" i="16" s="1"/>
  <c r="O331" i="15"/>
  <c r="O768" i="16" s="1"/>
  <c r="H44" i="11"/>
  <c r="H42" i="11"/>
  <c r="H243" i="12"/>
  <c r="H267" i="17" s="1"/>
  <c r="H268" i="17" s="1"/>
  <c r="K127" i="11"/>
  <c r="K129" i="11"/>
  <c r="R168" i="12"/>
  <c r="R170" i="12"/>
  <c r="K366" i="16"/>
  <c r="K51" i="8"/>
  <c r="K179" i="15" s="1"/>
  <c r="K372" i="16" s="1"/>
  <c r="I776" i="16"/>
  <c r="R741" i="16"/>
  <c r="I59" i="12"/>
  <c r="I217" i="4"/>
  <c r="P66" i="4"/>
  <c r="O80" i="4"/>
  <c r="O86" i="4"/>
  <c r="L88" i="15"/>
  <c r="L129" i="16" s="1"/>
  <c r="M179" i="7"/>
  <c r="I217" i="17"/>
  <c r="I218" i="17" s="1"/>
  <c r="I276" i="12"/>
  <c r="I222" i="17" s="1"/>
  <c r="I223" i="17" s="1"/>
  <c r="H293" i="16"/>
  <c r="H296" i="16"/>
  <c r="I292" i="7"/>
  <c r="H192" i="11"/>
  <c r="H616" i="17" s="1"/>
  <c r="H617" i="17" s="1"/>
  <c r="H162" i="11"/>
  <c r="H161" i="11"/>
  <c r="I161" i="11" s="1"/>
  <c r="J161" i="11" s="1"/>
  <c r="M35" i="8"/>
  <c r="M127" i="15" s="1"/>
  <c r="M231" i="16" s="1"/>
  <c r="J231" i="15"/>
  <c r="J508" i="16" s="1"/>
  <c r="J503" i="16"/>
  <c r="P119" i="11"/>
  <c r="P117" i="11"/>
  <c r="L1046" i="17"/>
  <c r="L1047" i="17" s="1"/>
  <c r="L248" i="16"/>
  <c r="L144" i="5"/>
  <c r="L200" i="7"/>
  <c r="L143" i="5"/>
  <c r="L37" i="8"/>
  <c r="L195" i="4"/>
  <c r="K165" i="16"/>
  <c r="K100" i="15"/>
  <c r="K160" i="16" s="1"/>
  <c r="L155" i="11"/>
  <c r="M155" i="11" s="1"/>
  <c r="N155" i="11" s="1"/>
  <c r="O155" i="11" s="1"/>
  <c r="I486" i="17"/>
  <c r="I487" i="17" s="1"/>
  <c r="I897" i="16"/>
  <c r="I9" i="12"/>
  <c r="I30" i="13"/>
  <c r="N91" i="4"/>
  <c r="N1263" i="17" s="1"/>
  <c r="N1264" i="17" s="1"/>
  <c r="I205" i="15"/>
  <c r="I442" i="16" s="1"/>
  <c r="I437" i="16"/>
  <c r="J243" i="5"/>
  <c r="J63" i="12" s="1"/>
  <c r="J142" i="17" s="1"/>
  <c r="J143" i="17" s="1"/>
  <c r="J12" i="11"/>
  <c r="J491" i="17" s="1"/>
  <c r="J492" i="17" s="1"/>
  <c r="P1098" i="17"/>
  <c r="P1099" i="17" s="1"/>
  <c r="P203" i="7"/>
  <c r="P267" i="7" s="1"/>
  <c r="P198" i="4"/>
  <c r="P354" i="16"/>
  <c r="P49" i="8"/>
  <c r="L68" i="15"/>
  <c r="L81" i="16"/>
  <c r="L273" i="5"/>
  <c r="H100" i="12"/>
  <c r="H98" i="12"/>
  <c r="M217" i="12"/>
  <c r="O49" i="11"/>
  <c r="O47" i="11"/>
  <c r="H95" i="12"/>
  <c r="H93" i="12"/>
  <c r="H140" i="15"/>
  <c r="H266" i="16" s="1"/>
  <c r="H912" i="16"/>
  <c r="H884" i="16"/>
  <c r="T129" i="11"/>
  <c r="T127" i="11"/>
  <c r="K180" i="12"/>
  <c r="K178" i="12"/>
  <c r="Q42" i="11"/>
  <c r="Q44" i="11"/>
  <c r="I165" i="11"/>
  <c r="L222" i="12"/>
  <c r="M81" i="8"/>
  <c r="M623" i="16"/>
  <c r="M206" i="4"/>
  <c r="M84" i="6"/>
  <c r="M83" i="6"/>
  <c r="T154" i="15"/>
  <c r="S741" i="16"/>
  <c r="S323" i="15"/>
  <c r="M228" i="5"/>
  <c r="M390" i="16"/>
  <c r="M54" i="8"/>
  <c r="M161" i="5"/>
  <c r="I302" i="16"/>
  <c r="I156" i="15"/>
  <c r="I118" i="10"/>
  <c r="I307" i="16" s="1"/>
  <c r="M126" i="11"/>
  <c r="J61" i="12"/>
  <c r="J11" i="11"/>
  <c r="M166" i="11"/>
  <c r="R879" i="17"/>
  <c r="R880" i="17" s="1"/>
  <c r="R94" i="12"/>
  <c r="R882" i="17" s="1"/>
  <c r="R883" i="17" s="1"/>
  <c r="J288" i="16"/>
  <c r="J151" i="15"/>
  <c r="J149" i="15"/>
  <c r="J290" i="16" s="1"/>
  <c r="J150" i="15"/>
  <c r="J291" i="16" s="1"/>
  <c r="K638" i="16"/>
  <c r="P74" i="5"/>
  <c r="O88" i="5"/>
  <c r="K216" i="12"/>
  <c r="N38" i="4"/>
  <c r="N41" i="4"/>
  <c r="N217" i="12"/>
  <c r="R126" i="11"/>
  <c r="H321" i="15"/>
  <c r="H743" i="16" s="1"/>
  <c r="H109" i="10"/>
  <c r="H305" i="7"/>
  <c r="I806" i="16"/>
  <c r="I378" i="15"/>
  <c r="I821" i="16" s="1"/>
  <c r="S306" i="15"/>
  <c r="S699" i="16" s="1"/>
  <c r="P24" i="5"/>
  <c r="O36" i="5"/>
  <c r="O177" i="7" s="1"/>
  <c r="R50" i="5"/>
  <c r="Q65" i="5"/>
  <c r="P49" i="11"/>
  <c r="P47" i="11"/>
  <c r="L149" i="15"/>
  <c r="L290" i="16" s="1"/>
  <c r="L151" i="15"/>
  <c r="L288" i="16"/>
  <c r="O168" i="12"/>
  <c r="O170" i="12"/>
  <c r="K533" i="16"/>
  <c r="L299" i="7"/>
  <c r="K536" i="16"/>
  <c r="K1049" i="17"/>
  <c r="K1050" i="17" s="1"/>
  <c r="K38" i="8"/>
  <c r="K260" i="16" s="1"/>
  <c r="K249" i="16"/>
  <c r="K224" i="5"/>
  <c r="H1191" i="17"/>
  <c r="H1192" i="17" s="1"/>
  <c r="H154" i="12"/>
  <c r="H1194" i="17" s="1"/>
  <c r="H1195" i="17" s="1"/>
  <c r="H156" i="12"/>
  <c r="H1197" i="17" s="1"/>
  <c r="H1198" i="17" s="1"/>
  <c r="I278" i="5"/>
  <c r="I295" i="5" s="1"/>
  <c r="I297" i="5" s="1"/>
  <c r="I133" i="15"/>
  <c r="I251" i="16"/>
  <c r="I870" i="16"/>
  <c r="I898" i="16"/>
  <c r="J143" i="12"/>
  <c r="J145" i="12"/>
  <c r="T42" i="5"/>
  <c r="T61" i="5" s="1"/>
  <c r="S61" i="5"/>
  <c r="O220" i="12"/>
  <c r="J262" i="7"/>
  <c r="J210" i="7"/>
  <c r="M182" i="12"/>
  <c r="M342" i="15"/>
  <c r="M172" i="11"/>
  <c r="M223" i="12"/>
  <c r="M131" i="11"/>
  <c r="Q119" i="11"/>
  <c r="Q117" i="11"/>
  <c r="O994" i="17"/>
  <c r="O995" i="17" s="1"/>
  <c r="O212" i="16"/>
  <c r="O194" i="4"/>
  <c r="O33" i="8"/>
  <c r="O199" i="7"/>
  <c r="H294" i="15"/>
  <c r="H672" i="16" s="1"/>
  <c r="H661" i="16"/>
  <c r="H292" i="15"/>
  <c r="H663" i="16" s="1"/>
  <c r="N169" i="11"/>
  <c r="K219" i="15"/>
  <c r="K472" i="16"/>
  <c r="S126" i="11"/>
  <c r="Q93" i="12"/>
  <c r="Q95" i="12"/>
  <c r="H260" i="16"/>
  <c r="H120" i="8"/>
  <c r="H198" i="11" s="1"/>
  <c r="H114" i="8"/>
  <c r="H249" i="12" s="1"/>
  <c r="L766" i="16"/>
  <c r="L333" i="15"/>
  <c r="L777" i="16" s="1"/>
  <c r="L331" i="15"/>
  <c r="L768" i="16" s="1"/>
  <c r="I150" i="15"/>
  <c r="I291" i="16" s="1"/>
  <c r="P1208" i="17"/>
  <c r="P1209" i="17" s="1"/>
  <c r="P145" i="16"/>
  <c r="P248" i="5"/>
  <c r="N178" i="7"/>
  <c r="J165" i="11"/>
  <c r="S47" i="11"/>
  <c r="S49" i="11"/>
  <c r="K145" i="5"/>
  <c r="H9" i="11"/>
  <c r="H216" i="4"/>
  <c r="S43" i="11"/>
  <c r="S45" i="11" s="1"/>
  <c r="L259" i="7"/>
  <c r="O776" i="16"/>
  <c r="O336" i="15"/>
  <c r="L560" i="16"/>
  <c r="L39" i="6"/>
  <c r="L287" i="5"/>
  <c r="L250" i="15"/>
  <c r="L38" i="6"/>
  <c r="L90" i="6" s="1"/>
  <c r="T335" i="15"/>
  <c r="T779" i="16" s="1"/>
  <c r="F337" i="15"/>
  <c r="O1124" i="17"/>
  <c r="O1125" i="17" s="1"/>
  <c r="O490" i="16"/>
  <c r="O65" i="8"/>
  <c r="O171" i="5"/>
  <c r="O170" i="5"/>
  <c r="O202" i="4"/>
  <c r="K118" i="11"/>
  <c r="K120" i="11"/>
  <c r="H278" i="5"/>
  <c r="H133" i="15"/>
  <c r="H251" i="16"/>
  <c r="H898" i="16"/>
  <c r="H870" i="16"/>
  <c r="I173" i="12"/>
  <c r="I175" i="12"/>
  <c r="K139" i="15"/>
  <c r="K265" i="16" s="1"/>
  <c r="K102" i="10"/>
  <c r="M141" i="16"/>
  <c r="M224" i="4"/>
  <c r="L1304" i="17"/>
  <c r="J505" i="16"/>
  <c r="H612" i="16"/>
  <c r="H269" i="15"/>
  <c r="H607" i="16" s="1"/>
  <c r="T119" i="11"/>
  <c r="T117" i="11"/>
  <c r="L741" i="16"/>
  <c r="Q172" i="12"/>
  <c r="M741" i="16"/>
  <c r="O83" i="4"/>
  <c r="O70" i="4"/>
  <c r="P56" i="4"/>
  <c r="H405" i="16"/>
  <c r="H193" i="15"/>
  <c r="H268" i="5"/>
  <c r="H177" i="12"/>
  <c r="H342" i="15"/>
  <c r="M101" i="10"/>
  <c r="M126" i="15"/>
  <c r="M230" i="16" s="1"/>
  <c r="K27" i="8"/>
  <c r="K101" i="15" s="1"/>
  <c r="K161" i="16" s="1"/>
  <c r="R154" i="15"/>
  <c r="Q167" i="15"/>
  <c r="P324" i="16"/>
  <c r="P162" i="15"/>
  <c r="P326" i="16" s="1"/>
  <c r="P164" i="15"/>
  <c r="P163" i="15"/>
  <c r="P327" i="16" s="1"/>
  <c r="M568" i="16"/>
  <c r="M75" i="8"/>
  <c r="T776" i="16"/>
  <c r="I322" i="15"/>
  <c r="I744" i="16" s="1"/>
  <c r="M100" i="12"/>
  <c r="M98" i="12"/>
  <c r="N177" i="12"/>
  <c r="K322" i="15"/>
  <c r="K744" i="16" s="1"/>
  <c r="S169" i="11"/>
  <c r="J1087" i="17"/>
  <c r="J1088" i="17" s="1"/>
  <c r="J134" i="12"/>
  <c r="J1090" i="17" s="1"/>
  <c r="J1091" i="17" s="1"/>
  <c r="T44" i="11"/>
  <c r="T42" i="11"/>
  <c r="P209" i="16"/>
  <c r="P104" i="4"/>
  <c r="J470" i="16"/>
  <c r="J467" i="16"/>
  <c r="K297" i="7"/>
  <c r="L534" i="16"/>
  <c r="L71" i="8"/>
  <c r="L244" i="15" s="1"/>
  <c r="L541" i="16" s="1"/>
  <c r="H369" i="16"/>
  <c r="T93" i="12"/>
  <c r="T95" i="12"/>
  <c r="I192" i="11"/>
  <c r="I616" i="17" s="1"/>
  <c r="I617" i="17" s="1"/>
  <c r="I343" i="15"/>
  <c r="I344" i="15" s="1"/>
  <c r="I79" i="10"/>
  <c r="I47" i="10"/>
  <c r="K67" i="16"/>
  <c r="K61" i="15"/>
  <c r="K62" i="16" s="1"/>
  <c r="R329" i="15"/>
  <c r="N231" i="15"/>
  <c r="N508" i="16" s="1"/>
  <c r="S100" i="12"/>
  <c r="S98" i="12"/>
  <c r="L176" i="5"/>
  <c r="K495" i="16"/>
  <c r="K227" i="15"/>
  <c r="K497" i="16" s="1"/>
  <c r="K229" i="15"/>
  <c r="K506" i="16" s="1"/>
  <c r="K228" i="15"/>
  <c r="K498" i="16" s="1"/>
  <c r="L421" i="16"/>
  <c r="L136" i="4"/>
  <c r="L137" i="4" s="1"/>
  <c r="M219" i="4"/>
  <c r="M31" i="5"/>
  <c r="M33" i="5" s="1"/>
  <c r="M135" i="4"/>
  <c r="M41" i="16"/>
  <c r="M30" i="6"/>
  <c r="M553" i="16" s="1"/>
  <c r="J126" i="11"/>
  <c r="J114" i="8"/>
  <c r="J249" i="12" s="1"/>
  <c r="O816" i="16"/>
  <c r="O373" i="15"/>
  <c r="J216" i="12"/>
  <c r="S169" i="12"/>
  <c r="S171" i="12"/>
  <c r="I39" i="8"/>
  <c r="I140" i="15" s="1"/>
  <c r="I266" i="16" s="1"/>
  <c r="R217" i="12"/>
  <c r="J809" i="16"/>
  <c r="J812" i="16"/>
  <c r="K172" i="7"/>
  <c r="R776" i="16"/>
  <c r="L15" i="8"/>
  <c r="L56" i="16"/>
  <c r="O216" i="12"/>
  <c r="K92" i="11"/>
  <c r="K94" i="11"/>
  <c r="O108" i="16"/>
  <c r="O78" i="6"/>
  <c r="O79" i="6"/>
  <c r="O144" i="4"/>
  <c r="O53" i="4"/>
  <c r="O221" i="4"/>
  <c r="O80" i="6"/>
  <c r="N454" i="16"/>
  <c r="N139" i="4"/>
  <c r="N140" i="4" s="1"/>
  <c r="I402" i="16"/>
  <c r="I399" i="16"/>
  <c r="J295" i="7"/>
  <c r="N342" i="15"/>
  <c r="N182" i="12"/>
  <c r="N172" i="11"/>
  <c r="N131" i="11"/>
  <c r="N223" i="12"/>
  <c r="T338" i="16"/>
  <c r="T169" i="15"/>
  <c r="T119" i="10"/>
  <c r="T343" i="16" s="1"/>
  <c r="J1191" i="17"/>
  <c r="J1192" i="17" s="1"/>
  <c r="J154" i="12"/>
  <c r="J1194" i="17" s="1"/>
  <c r="J1195" i="17" s="1"/>
  <c r="L133" i="16"/>
  <c r="L87" i="15"/>
  <c r="L128" i="16" s="1"/>
  <c r="I346" i="15"/>
  <c r="I349" i="15" s="1"/>
  <c r="J766" i="16"/>
  <c r="J331" i="15"/>
  <c r="J768" i="16" s="1"/>
  <c r="J333" i="15"/>
  <c r="J777" i="16" s="1"/>
  <c r="J62" i="15"/>
  <c r="J63" i="16" s="1"/>
  <c r="L460" i="16"/>
  <c r="L212" i="15"/>
  <c r="L81" i="11"/>
  <c r="L132" i="12"/>
  <c r="L284" i="5"/>
  <c r="L211" i="15"/>
  <c r="R124" i="11"/>
  <c r="R122" i="11"/>
  <c r="P175" i="12"/>
  <c r="P173" i="12"/>
  <c r="S81" i="4"/>
  <c r="T67" i="4"/>
  <c r="T81" i="4" s="1"/>
  <c r="L48" i="16"/>
  <c r="L272" i="5"/>
  <c r="L55" i="15"/>
  <c r="L710" i="16"/>
  <c r="L362" i="15"/>
  <c r="L312" i="15"/>
  <c r="L356" i="15"/>
  <c r="L123" i="10"/>
  <c r="L715" i="16" s="1"/>
  <c r="I165" i="12"/>
  <c r="I163" i="12"/>
  <c r="N92" i="5"/>
  <c r="I605" i="16"/>
  <c r="R335" i="15"/>
  <c r="R779" i="16" s="1"/>
  <c r="I44" i="11"/>
  <c r="I42" i="11"/>
  <c r="L1205" i="17"/>
  <c r="L1206" i="17" s="1"/>
  <c r="L221" i="5"/>
  <c r="L144" i="16"/>
  <c r="L26" i="8"/>
  <c r="L155" i="16" s="1"/>
  <c r="M1202" i="17"/>
  <c r="M1203" i="17" s="1"/>
  <c r="M25" i="8"/>
  <c r="M192" i="4"/>
  <c r="M143" i="16"/>
  <c r="M131" i="5"/>
  <c r="M197" i="7"/>
  <c r="M261" i="7" s="1"/>
  <c r="L1104" i="17"/>
  <c r="L1105" i="17" s="1"/>
  <c r="L356" i="16"/>
  <c r="L254" i="5"/>
  <c r="I94" i="11"/>
  <c r="I92" i="11"/>
  <c r="L505" i="16"/>
  <c r="L232" i="15"/>
  <c r="M1072" i="17"/>
  <c r="M1073" i="17" s="1"/>
  <c r="M61" i="8"/>
  <c r="M201" i="4"/>
  <c r="M167" i="5"/>
  <c r="M457" i="16"/>
  <c r="M168" i="5"/>
  <c r="M804" i="16"/>
  <c r="M372" i="15"/>
  <c r="P63" i="4"/>
  <c r="O85" i="4"/>
  <c r="O77" i="4"/>
  <c r="O90" i="4" s="1"/>
  <c r="O1260" i="17" s="1"/>
  <c r="O1261" i="17" s="1"/>
  <c r="J219" i="12"/>
  <c r="R65" i="4"/>
  <c r="Q79" i="4"/>
  <c r="N92" i="11"/>
  <c r="N94" i="11"/>
  <c r="P316" i="15"/>
  <c r="J199" i="11"/>
  <c r="K18" i="9"/>
  <c r="J250" i="12"/>
  <c r="M1205" i="17"/>
  <c r="M1206" i="17" s="1"/>
  <c r="M221" i="5"/>
  <c r="M144" i="16"/>
  <c r="M26" i="8"/>
  <c r="M155" i="16" s="1"/>
  <c r="K816" i="16"/>
  <c r="K373" i="15"/>
  <c r="O166" i="11"/>
  <c r="M942" i="17"/>
  <c r="M943" i="17" s="1"/>
  <c r="M195" i="7"/>
  <c r="M190" i="4"/>
  <c r="M78" i="16"/>
  <c r="M66" i="5"/>
  <c r="M17" i="8"/>
  <c r="M156" i="5"/>
  <c r="M155" i="5"/>
  <c r="M122" i="16"/>
  <c r="P487" i="16"/>
  <c r="P142" i="4"/>
  <c r="P143" i="4" s="1"/>
  <c r="P64" i="4"/>
  <c r="O78" i="4"/>
  <c r="M177" i="12"/>
  <c r="J107" i="15"/>
  <c r="J179" i="16"/>
  <c r="J276" i="5"/>
  <c r="J295" i="5" s="1"/>
  <c r="J898" i="16"/>
  <c r="M121" i="11"/>
  <c r="N1150" i="17"/>
  <c r="N1151" i="17" s="1"/>
  <c r="N21" i="8"/>
  <c r="N196" i="7"/>
  <c r="N191" i="4"/>
  <c r="N111" i="16"/>
  <c r="N91" i="5"/>
  <c r="I505" i="16"/>
  <c r="J95" i="12"/>
  <c r="J93" i="12"/>
  <c r="I54" i="11"/>
  <c r="I52" i="11"/>
  <c r="T342" i="15"/>
  <c r="T341" i="15"/>
  <c r="T294" i="5"/>
  <c r="T182" i="12"/>
  <c r="T131" i="11"/>
  <c r="E350" i="15"/>
  <c r="T172" i="11"/>
  <c r="T223" i="12"/>
  <c r="O117" i="11"/>
  <c r="O119" i="11"/>
  <c r="R710" i="16"/>
  <c r="R356" i="15"/>
  <c r="R362" i="15"/>
  <c r="R123" i="10"/>
  <c r="R715" i="16" s="1"/>
  <c r="R312" i="15"/>
  <c r="K93" i="12"/>
  <c r="K95" i="12"/>
  <c r="I206" i="12"/>
  <c r="J206" i="12" s="1"/>
  <c r="N310" i="15"/>
  <c r="J175" i="12"/>
  <c r="J173" i="12"/>
  <c r="L129" i="11"/>
  <c r="L127" i="11"/>
  <c r="L84" i="6"/>
  <c r="O1299" i="17"/>
  <c r="O1300" i="17" s="1"/>
  <c r="O84" i="4"/>
  <c r="O75" i="4"/>
  <c r="P61" i="4"/>
  <c r="N505" i="16"/>
  <c r="N232" i="15"/>
  <c r="R119" i="11"/>
  <c r="R117" i="11"/>
  <c r="I127" i="11"/>
  <c r="I129" i="11"/>
  <c r="I394" i="16"/>
  <c r="I190" i="15"/>
  <c r="I188" i="15"/>
  <c r="I396" i="16" s="1"/>
  <c r="I189" i="15"/>
  <c r="I397" i="16" s="1"/>
  <c r="K45" i="11"/>
  <c r="K43" i="11"/>
  <c r="K538" i="16"/>
  <c r="R43" i="11"/>
  <c r="R45" i="11"/>
  <c r="T731" i="16"/>
  <c r="T320" i="15"/>
  <c r="T742" i="16" s="1"/>
  <c r="T318" i="15"/>
  <c r="T733" i="16" s="1"/>
  <c r="T319" i="15"/>
  <c r="T734" i="16" s="1"/>
  <c r="I120" i="8"/>
  <c r="I198" i="11" s="1"/>
  <c r="O741" i="16"/>
  <c r="O178" i="12"/>
  <c r="O180" i="12"/>
  <c r="L143" i="12"/>
  <c r="L145" i="12"/>
  <c r="N90" i="5"/>
  <c r="N159" i="5"/>
  <c r="N1317" i="17"/>
  <c r="N47" i="11"/>
  <c r="N49" i="11"/>
  <c r="K462" i="16"/>
  <c r="K215" i="15"/>
  <c r="K465" i="16" s="1"/>
  <c r="K216" i="15"/>
  <c r="K473" i="16" s="1"/>
  <c r="K214" i="15"/>
  <c r="K464" i="16" s="1"/>
  <c r="R346" i="15"/>
  <c r="N741" i="16"/>
  <c r="I331" i="15"/>
  <c r="I768" i="16" s="1"/>
  <c r="I766" i="16"/>
  <c r="I332" i="15"/>
  <c r="I769" i="16" s="1"/>
  <c r="I333" i="15"/>
  <c r="I777" i="16" s="1"/>
  <c r="R169" i="11"/>
  <c r="I101" i="15"/>
  <c r="I161" i="16" s="1"/>
  <c r="I912" i="16"/>
  <c r="I884" i="16"/>
  <c r="P948" i="17"/>
  <c r="P949" i="17" s="1"/>
  <c r="P80" i="16"/>
  <c r="P246" i="5"/>
  <c r="L42" i="11"/>
  <c r="L44" i="11"/>
  <c r="L92" i="11"/>
  <c r="L94" i="11"/>
  <c r="H215" i="15"/>
  <c r="H465" i="16" s="1"/>
  <c r="L401" i="16"/>
  <c r="L55" i="8"/>
  <c r="L192" i="15" s="1"/>
  <c r="L407" i="16" s="1"/>
  <c r="H288" i="16"/>
  <c r="H151" i="15"/>
  <c r="H149" i="15"/>
  <c r="H290" i="16" s="1"/>
  <c r="T180" i="12"/>
  <c r="T178" i="12"/>
  <c r="P168" i="12"/>
  <c r="P170" i="12"/>
  <c r="T48" i="11"/>
  <c r="T50" i="11"/>
  <c r="N89" i="4"/>
  <c r="N1257" i="17" s="1"/>
  <c r="N1258" i="17" s="1"/>
  <c r="K905" i="17"/>
  <c r="K906" i="17" s="1"/>
  <c r="K99" i="12"/>
  <c r="K908" i="17" s="1"/>
  <c r="K909" i="17" s="1"/>
  <c r="T310" i="15"/>
  <c r="N495" i="16"/>
  <c r="N229" i="15"/>
  <c r="N506" i="16" s="1"/>
  <c r="N227" i="15"/>
  <c r="N497" i="16" s="1"/>
  <c r="L335" i="15"/>
  <c r="L779" i="16" s="1"/>
  <c r="O316" i="15"/>
  <c r="J263" i="16"/>
  <c r="L257" i="15"/>
  <c r="L575" i="16" s="1"/>
  <c r="K231" i="15"/>
  <c r="K508" i="16" s="1"/>
  <c r="P329" i="15"/>
  <c r="R844" i="17"/>
  <c r="R845" i="17" s="1"/>
  <c r="R47" i="16"/>
  <c r="R245" i="5"/>
  <c r="J50" i="9"/>
  <c r="J56" i="9" s="1"/>
  <c r="J51" i="9"/>
  <c r="N316" i="15"/>
  <c r="K126" i="16"/>
  <c r="K62" i="15"/>
  <c r="K63" i="16" s="1"/>
  <c r="O1327" i="17"/>
  <c r="P1325" i="17"/>
  <c r="I216" i="12"/>
  <c r="H1237" i="17"/>
  <c r="H1238" i="17" s="1"/>
  <c r="H660" i="16"/>
  <c r="Q47" i="11"/>
  <c r="Q49" i="11"/>
  <c r="Q131" i="11"/>
  <c r="Q342" i="15"/>
  <c r="Q182" i="12"/>
  <c r="Q172" i="11"/>
  <c r="Q223" i="12"/>
  <c r="T311" i="15"/>
  <c r="O365" i="16"/>
  <c r="P37" i="4"/>
  <c r="Q35" i="4"/>
  <c r="M310" i="15"/>
  <c r="I122" i="11"/>
  <c r="I124" i="11"/>
  <c r="K587" i="16"/>
  <c r="K59" i="6"/>
  <c r="K169" i="12"/>
  <c r="K171" i="12"/>
  <c r="K1052" i="17"/>
  <c r="K1053" i="17" s="1"/>
  <c r="K250" i="16"/>
  <c r="K251" i="5"/>
  <c r="P216" i="12"/>
  <c r="Q216" i="12"/>
  <c r="J92" i="11"/>
  <c r="J94" i="11"/>
  <c r="I231" i="15"/>
  <c r="I508" i="16" s="1"/>
  <c r="I503" i="16"/>
  <c r="L173" i="12"/>
  <c r="L175" i="12"/>
  <c r="M169" i="12"/>
  <c r="M171" i="12" s="1"/>
  <c r="N88" i="4"/>
  <c r="J83" i="11"/>
  <c r="J85" i="11"/>
  <c r="H225" i="12"/>
  <c r="H224" i="12"/>
  <c r="I879" i="17"/>
  <c r="I880" i="17" s="1"/>
  <c r="I96" i="12"/>
  <c r="I885" i="17" s="1"/>
  <c r="I886" i="17" s="1"/>
  <c r="I94" i="12"/>
  <c r="I882" i="17" s="1"/>
  <c r="I883" i="17" s="1"/>
  <c r="J245" i="15"/>
  <c r="N42" i="11"/>
  <c r="N44" i="11"/>
  <c r="M37" i="6"/>
  <c r="I14" i="12"/>
  <c r="N126" i="11"/>
  <c r="P177" i="12"/>
  <c r="S299" i="16"/>
  <c r="S154" i="15"/>
  <c r="P59" i="4"/>
  <c r="O73" i="4"/>
  <c r="T175" i="12"/>
  <c r="T173" i="12"/>
  <c r="N338" i="16"/>
  <c r="N169" i="15"/>
  <c r="N119" i="10"/>
  <c r="N343" i="16" s="1"/>
  <c r="J394" i="16"/>
  <c r="J190" i="15"/>
  <c r="J188" i="15"/>
  <c r="J396" i="16" s="1"/>
  <c r="H645" i="16"/>
  <c r="H282" i="15"/>
  <c r="H640" i="16" s="1"/>
  <c r="I671" i="16"/>
  <c r="J101" i="15"/>
  <c r="J161" i="16" s="1"/>
  <c r="O32" i="6"/>
  <c r="O31" i="6"/>
  <c r="O335" i="15"/>
  <c r="O779" i="16" s="1"/>
  <c r="H103" i="11"/>
  <c r="H105" i="11" s="1"/>
  <c r="P51" i="4"/>
  <c r="Q50" i="4"/>
  <c r="I741" i="16"/>
  <c r="I323" i="15"/>
  <c r="K65" i="6"/>
  <c r="K95" i="6" s="1"/>
  <c r="N75" i="16"/>
  <c r="N62" i="5"/>
  <c r="N64" i="5" s="1"/>
  <c r="N47" i="4"/>
  <c r="K259" i="16"/>
  <c r="K39" i="8"/>
  <c r="K140" i="15" s="1"/>
  <c r="K266" i="16" s="1"/>
  <c r="J335" i="15"/>
  <c r="J779" i="16" s="1"/>
  <c r="O299" i="16"/>
  <c r="O154" i="15"/>
  <c r="Q163" i="15"/>
  <c r="Q327" i="16" s="1"/>
  <c r="J495" i="16"/>
  <c r="J229" i="15"/>
  <c r="J506" i="16" s="1"/>
  <c r="J227" i="15"/>
  <c r="J497" i="16" s="1"/>
  <c r="J228" i="15"/>
  <c r="J498" i="16" s="1"/>
  <c r="P68" i="4"/>
  <c r="O82" i="4"/>
  <c r="J21" i="9"/>
  <c r="L316" i="15"/>
  <c r="Q166" i="11"/>
  <c r="P341" i="15"/>
  <c r="P172" i="11"/>
  <c r="P131" i="11"/>
  <c r="P223" i="12"/>
  <c r="P294" i="5"/>
  <c r="P182" i="12"/>
  <c r="P342" i="15"/>
  <c r="M169" i="15"/>
  <c r="M119" i="10"/>
  <c r="M343" i="16" s="1"/>
  <c r="M338" i="16"/>
  <c r="T163" i="15"/>
  <c r="T327" i="16" s="1"/>
  <c r="M156" i="11"/>
  <c r="H776" i="16"/>
  <c r="H336" i="15"/>
  <c r="M43" i="11"/>
  <c r="M45" i="11" s="1"/>
  <c r="R126" i="4"/>
  <c r="S125" i="4"/>
  <c r="J922" i="17"/>
  <c r="J923" i="17" s="1"/>
  <c r="J426" i="16"/>
  <c r="J256" i="5"/>
  <c r="N151" i="15"/>
  <c r="N149" i="15"/>
  <c r="N290" i="16" s="1"/>
  <c r="N288" i="16"/>
  <c r="L162" i="15"/>
  <c r="L326" i="16" s="1"/>
  <c r="L164" i="15"/>
  <c r="L324" i="16"/>
  <c r="T329" i="15"/>
  <c r="S9" i="5"/>
  <c r="R30" i="5"/>
  <c r="I96" i="6"/>
  <c r="N220" i="12"/>
  <c r="P126" i="11"/>
  <c r="O74" i="4"/>
  <c r="P60" i="4"/>
  <c r="S177" i="12"/>
  <c r="S816" i="16"/>
  <c r="S373" i="15"/>
  <c r="H696" i="16"/>
  <c r="H307" i="15"/>
  <c r="H305" i="15"/>
  <c r="H698" i="16" s="1"/>
  <c r="H306" i="15"/>
  <c r="H699" i="16" s="1"/>
  <c r="J342" i="15"/>
  <c r="J131" i="11"/>
  <c r="J223" i="12"/>
  <c r="J172" i="11"/>
  <c r="J182" i="12"/>
  <c r="L434" i="16"/>
  <c r="M296" i="7"/>
  <c r="M306" i="15"/>
  <c r="M699" i="16" s="1"/>
  <c r="M838" i="17"/>
  <c r="M839" i="17" s="1"/>
  <c r="M45" i="16"/>
  <c r="M13" i="8"/>
  <c r="M189" i="4"/>
  <c r="M212" i="4" s="1"/>
  <c r="M194" i="7"/>
  <c r="K741" i="16"/>
  <c r="J169" i="11"/>
  <c r="M118" i="11"/>
  <c r="M120" i="11"/>
  <c r="J120" i="8"/>
  <c r="J198" i="11" s="1"/>
  <c r="L174" i="5"/>
  <c r="R316" i="15"/>
  <c r="M879" i="17"/>
  <c r="M880" i="17" s="1"/>
  <c r="M94" i="12"/>
  <c r="M882" i="17" s="1"/>
  <c r="M883" i="17" s="1"/>
  <c r="M96" i="12"/>
  <c r="M885" i="17" s="1"/>
  <c r="M886" i="17" s="1"/>
  <c r="P322" i="15"/>
  <c r="P744" i="16" s="1"/>
  <c r="L216" i="12"/>
  <c r="M495" i="16"/>
  <c r="M227" i="15"/>
  <c r="M497" i="16" s="1"/>
  <c r="M228" i="15"/>
  <c r="M498" i="16" s="1"/>
  <c r="M229" i="15"/>
  <c r="M506" i="16" s="1"/>
  <c r="I121" i="8" l="1"/>
  <c r="R349" i="15"/>
  <c r="H115" i="8"/>
  <c r="J173" i="11"/>
  <c r="K173" i="11" s="1"/>
  <c r="L173" i="11" s="1"/>
  <c r="M173" i="11" s="1"/>
  <c r="N173" i="11" s="1"/>
  <c r="I185" i="12"/>
  <c r="H121" i="8"/>
  <c r="H711" i="17" s="1"/>
  <c r="H712" i="17" s="1"/>
  <c r="I13" i="11"/>
  <c r="I16" i="11" s="1"/>
  <c r="M174" i="11"/>
  <c r="H174" i="11"/>
  <c r="I224" i="12"/>
  <c r="J224" i="12" s="1"/>
  <c r="K224" i="12" s="1"/>
  <c r="I115" i="8"/>
  <c r="I362" i="17" s="1"/>
  <c r="I363" i="17" s="1"/>
  <c r="J225" i="12"/>
  <c r="O557" i="16"/>
  <c r="O73" i="8"/>
  <c r="O36" i="6"/>
  <c r="O37" i="6" s="1"/>
  <c r="O204" i="4"/>
  <c r="I365" i="15"/>
  <c r="I351" i="15"/>
  <c r="I359" i="15"/>
  <c r="I126" i="10"/>
  <c r="I385" i="15"/>
  <c r="O1305" i="17"/>
  <c r="O1306" i="17" s="1"/>
  <c r="R359" i="15"/>
  <c r="R365" i="15"/>
  <c r="R385" i="15"/>
  <c r="R351" i="15"/>
  <c r="R126" i="10"/>
  <c r="J59" i="12"/>
  <c r="J217" i="4"/>
  <c r="L10" i="11"/>
  <c r="L60" i="12"/>
  <c r="K243" i="5"/>
  <c r="K63" i="12" s="1"/>
  <c r="K142" i="17" s="1"/>
  <c r="K143" i="17" s="1"/>
  <c r="K12" i="11"/>
  <c r="K491" i="17" s="1"/>
  <c r="K492" i="17" s="1"/>
  <c r="O1307" i="17"/>
  <c r="O1308" i="17"/>
  <c r="M560" i="16"/>
  <c r="M39" i="6"/>
  <c r="M287" i="5"/>
  <c r="M250" i="15"/>
  <c r="M38" i="6"/>
  <c r="M90" i="6" s="1"/>
  <c r="P766" i="16"/>
  <c r="P331" i="15"/>
  <c r="P768" i="16" s="1"/>
  <c r="P333" i="15"/>
  <c r="K809" i="16"/>
  <c r="K812" i="16"/>
  <c r="L172" i="7"/>
  <c r="N180" i="12"/>
  <c r="N178" i="12"/>
  <c r="Q173" i="12"/>
  <c r="Q175" i="12"/>
  <c r="L249" i="16"/>
  <c r="L38" i="8"/>
  <c r="L260" i="16" s="1"/>
  <c r="L1049" i="17"/>
  <c r="L1050" i="17" s="1"/>
  <c r="L224" i="5"/>
  <c r="R67" i="5"/>
  <c r="R181" i="7" s="1"/>
  <c r="R182" i="7" s="1"/>
  <c r="S55" i="5"/>
  <c r="L61" i="15"/>
  <c r="L62" i="16" s="1"/>
  <c r="L67" i="16"/>
  <c r="M93" i="11"/>
  <c r="M95" i="11"/>
  <c r="M10" i="11"/>
  <c r="M60" i="12"/>
  <c r="J134" i="11"/>
  <c r="T710" i="16"/>
  <c r="T356" i="15"/>
  <c r="T312" i="15"/>
  <c r="T123" i="10"/>
  <c r="T715" i="16" s="1"/>
  <c r="T362" i="15"/>
  <c r="H150" i="15"/>
  <c r="H291" i="16" s="1"/>
  <c r="O179" i="12"/>
  <c r="O181" i="12" s="1"/>
  <c r="M1101" i="17"/>
  <c r="M1102" i="17" s="1"/>
  <c r="M355" i="16"/>
  <c r="M50" i="8"/>
  <c r="M227" i="5"/>
  <c r="M157" i="5"/>
  <c r="M468" i="16"/>
  <c r="M63" i="8"/>
  <c r="M218" i="15" s="1"/>
  <c r="M475" i="16" s="1"/>
  <c r="L472" i="16"/>
  <c r="O520" i="16"/>
  <c r="O145" i="4"/>
  <c r="O146" i="4" s="1"/>
  <c r="M841" i="17"/>
  <c r="M842" i="17" s="1"/>
  <c r="M46" i="16"/>
  <c r="M14" i="8"/>
  <c r="M218" i="5"/>
  <c r="M905" i="17"/>
  <c r="M906" i="17" s="1"/>
  <c r="M99" i="12"/>
  <c r="M908" i="17" s="1"/>
  <c r="M909" i="17" s="1"/>
  <c r="M346" i="15"/>
  <c r="M349" i="15" s="1"/>
  <c r="O169" i="12"/>
  <c r="O171" i="12" s="1"/>
  <c r="H879" i="17"/>
  <c r="H880" i="17" s="1"/>
  <c r="H94" i="12"/>
  <c r="H882" i="17" s="1"/>
  <c r="H883" i="17" s="1"/>
  <c r="L93" i="16"/>
  <c r="L264" i="7"/>
  <c r="H914" i="16"/>
  <c r="I300" i="5"/>
  <c r="H123" i="11"/>
  <c r="H125" i="11" s="1"/>
  <c r="J103" i="12"/>
  <c r="J105" i="12"/>
  <c r="I375" i="15"/>
  <c r="I819" i="16"/>
  <c r="S844" i="17"/>
  <c r="S845" i="17" s="1"/>
  <c r="S245" i="5"/>
  <c r="S47" i="16"/>
  <c r="M175" i="12"/>
  <c r="M173" i="12"/>
  <c r="I319" i="15"/>
  <c r="I734" i="16" s="1"/>
  <c r="I329" i="16"/>
  <c r="I332" i="16"/>
  <c r="J293" i="7"/>
  <c r="Q57" i="4"/>
  <c r="P71" i="4"/>
  <c r="F365" i="15"/>
  <c r="F359" i="15"/>
  <c r="K103" i="11"/>
  <c r="K105" i="11"/>
  <c r="N173" i="12"/>
  <c r="N175" i="12"/>
  <c r="K123" i="11"/>
  <c r="K125" i="11" s="1"/>
  <c r="L968" i="17"/>
  <c r="L969" i="17" s="1"/>
  <c r="L176" i="16"/>
  <c r="L29" i="8"/>
  <c r="L198" i="7"/>
  <c r="L193" i="4"/>
  <c r="L136" i="5"/>
  <c r="L137" i="5" s="1"/>
  <c r="L896" i="16"/>
  <c r="L154" i="16"/>
  <c r="L27" i="8"/>
  <c r="L101" i="15" s="1"/>
  <c r="L161" i="16" s="1"/>
  <c r="R168" i="11"/>
  <c r="K262" i="7"/>
  <c r="K210" i="7"/>
  <c r="I48" i="11"/>
  <c r="I50" i="11" s="1"/>
  <c r="J335" i="16"/>
  <c r="J167" i="15"/>
  <c r="Q1098" i="17"/>
  <c r="Q1099" i="17" s="1"/>
  <c r="Q354" i="16"/>
  <c r="Q49" i="8"/>
  <c r="Q198" i="4"/>
  <c r="Q203" i="7"/>
  <c r="H133" i="11"/>
  <c r="H135" i="11" s="1"/>
  <c r="M56" i="16"/>
  <c r="J346" i="15"/>
  <c r="J349" i="15" s="1"/>
  <c r="P346" i="15"/>
  <c r="P349" i="15" s="1"/>
  <c r="T174" i="12"/>
  <c r="T176" i="12" s="1"/>
  <c r="N43" i="11"/>
  <c r="N45" i="11"/>
  <c r="K590" i="16"/>
  <c r="K77" i="8"/>
  <c r="K205" i="4"/>
  <c r="K215" i="4" s="1"/>
  <c r="K61" i="6"/>
  <c r="K62" i="6" s="1"/>
  <c r="K1020" i="17"/>
  <c r="K1021" i="17" s="1"/>
  <c r="K98" i="6"/>
  <c r="K912" i="16"/>
  <c r="H299" i="16"/>
  <c r="H154" i="15"/>
  <c r="L626" i="16"/>
  <c r="L276" i="15"/>
  <c r="L86" i="6"/>
  <c r="L289" i="5"/>
  <c r="L85" i="6"/>
  <c r="L92" i="6" s="1"/>
  <c r="J879" i="17"/>
  <c r="J880" i="17" s="1"/>
  <c r="J94" i="12"/>
  <c r="J882" i="17" s="1"/>
  <c r="J883" i="17" s="1"/>
  <c r="M1104" i="17"/>
  <c r="M1105" i="17" s="1"/>
  <c r="M356" i="16"/>
  <c r="M254" i="5"/>
  <c r="M154" i="16"/>
  <c r="M27" i="8"/>
  <c r="I345" i="15"/>
  <c r="M227" i="4"/>
  <c r="K467" i="16"/>
  <c r="K470" i="16"/>
  <c r="L297" i="7"/>
  <c r="L572" i="16"/>
  <c r="Q879" i="17"/>
  <c r="Q880" i="17" s="1"/>
  <c r="Q94" i="12"/>
  <c r="Q882" i="17" s="1"/>
  <c r="Q883" i="17" s="1"/>
  <c r="O263" i="7"/>
  <c r="M185" i="12"/>
  <c r="L150" i="15"/>
  <c r="L291" i="16" s="1"/>
  <c r="H736" i="16"/>
  <c r="H739" i="16"/>
  <c r="I305" i="7"/>
  <c r="M634" i="16"/>
  <c r="M83" i="8"/>
  <c r="M283" i="15" s="1"/>
  <c r="M641" i="16" s="1"/>
  <c r="L1052" i="17"/>
  <c r="L1053" i="17" s="1"/>
  <c r="L250" i="16"/>
  <c r="L251" i="5"/>
  <c r="J292" i="7"/>
  <c r="I296" i="16"/>
  <c r="I293" i="16"/>
  <c r="I869" i="16"/>
  <c r="I64" i="12"/>
  <c r="I137" i="17"/>
  <c r="I138" i="17" s="1"/>
  <c r="I11" i="12"/>
  <c r="I12" i="12" s="1"/>
  <c r="I30" i="14"/>
  <c r="K128" i="11"/>
  <c r="K130" i="11"/>
  <c r="M1046" i="17"/>
  <c r="M1047" i="17" s="1"/>
  <c r="M248" i="16"/>
  <c r="M37" i="8"/>
  <c r="M200" i="7"/>
  <c r="M143" i="5"/>
  <c r="M144" i="5"/>
  <c r="M195" i="4"/>
  <c r="J205" i="15"/>
  <c r="J442" i="16" s="1"/>
  <c r="J437" i="16"/>
  <c r="L346" i="15"/>
  <c r="L349" i="15" s="1"/>
  <c r="T844" i="17"/>
  <c r="T845" i="17" s="1"/>
  <c r="T47" i="16"/>
  <c r="T245" i="5"/>
  <c r="Q122" i="11"/>
  <c r="Q124" i="11"/>
  <c r="H566" i="17"/>
  <c r="H567" i="17" s="1"/>
  <c r="H225" i="11"/>
  <c r="H571" i="17" s="1"/>
  <c r="H572" i="17" s="1"/>
  <c r="J336" i="15"/>
  <c r="I174" i="11"/>
  <c r="P302" i="16"/>
  <c r="P118" i="10"/>
  <c r="P307" i="16" s="1"/>
  <c r="P156" i="15"/>
  <c r="J601" i="16"/>
  <c r="J79" i="8"/>
  <c r="H745" i="16"/>
  <c r="H363" i="15"/>
  <c r="H357" i="15"/>
  <c r="H325" i="15"/>
  <c r="H124" i="10"/>
  <c r="H750" i="16" s="1"/>
  <c r="H326" i="15"/>
  <c r="J905" i="17"/>
  <c r="J906" i="17" s="1"/>
  <c r="J99" i="12"/>
  <c r="J908" i="17" s="1"/>
  <c r="J909" i="17" s="1"/>
  <c r="K1087" i="17"/>
  <c r="K1088" i="17" s="1"/>
  <c r="K134" i="12"/>
  <c r="K1090" i="17" s="1"/>
  <c r="K1091" i="17" s="1"/>
  <c r="I661" i="16"/>
  <c r="I294" i="15"/>
  <c r="I292" i="15"/>
  <c r="I663" i="16" s="1"/>
  <c r="H92" i="11"/>
  <c r="H94" i="11"/>
  <c r="Q41" i="5"/>
  <c r="P139" i="5"/>
  <c r="P141" i="5" s="1"/>
  <c r="K213" i="4"/>
  <c r="O163" i="15"/>
  <c r="O327" i="16" s="1"/>
  <c r="J213" i="12"/>
  <c r="M1182" i="17"/>
  <c r="M1183" i="17" s="1"/>
  <c r="M525" i="16"/>
  <c r="M259" i="5"/>
  <c r="I133" i="11"/>
  <c r="I135" i="11"/>
  <c r="M35" i="5"/>
  <c r="S30" i="5"/>
  <c r="T9" i="5"/>
  <c r="T30" i="5" s="1"/>
  <c r="S126" i="4"/>
  <c r="T125" i="4"/>
  <c r="T126" i="4" s="1"/>
  <c r="P185" i="12"/>
  <c r="J247" i="15"/>
  <c r="J542" i="16"/>
  <c r="L174" i="12"/>
  <c r="L176" i="12"/>
  <c r="Q185" i="12"/>
  <c r="K101" i="12"/>
  <c r="K911" i="17" s="1"/>
  <c r="K912" i="17" s="1"/>
  <c r="I405" i="16"/>
  <c r="I193" i="15"/>
  <c r="L128" i="11"/>
  <c r="L130" i="11"/>
  <c r="O120" i="11"/>
  <c r="O118" i="11"/>
  <c r="M19" i="8"/>
  <c r="M75" i="15" s="1"/>
  <c r="M96" i="16" s="1"/>
  <c r="M89" i="16"/>
  <c r="L509" i="16"/>
  <c r="L234" i="15"/>
  <c r="I1243" i="17"/>
  <c r="I1244" i="17" s="1"/>
  <c r="I164" i="12"/>
  <c r="I1246" i="17" s="1"/>
  <c r="I1247" i="17" s="1"/>
  <c r="L133" i="12"/>
  <c r="L135" i="12"/>
  <c r="N134" i="11"/>
  <c r="O620" i="16"/>
  <c r="O81" i="6"/>
  <c r="R219" i="12"/>
  <c r="L916" i="17"/>
  <c r="L917" i="17" s="1"/>
  <c r="L424" i="16"/>
  <c r="L57" i="8"/>
  <c r="L164" i="5"/>
  <c r="L165" i="5"/>
  <c r="L200" i="4"/>
  <c r="H344" i="15"/>
  <c r="H345" i="15" s="1"/>
  <c r="H346" i="15"/>
  <c r="H349" i="15" s="1"/>
  <c r="L74" i="15"/>
  <c r="L95" i="16" s="1"/>
  <c r="L100" i="16"/>
  <c r="S129" i="11"/>
  <c r="S127" i="11"/>
  <c r="O224" i="16"/>
  <c r="J40" i="13"/>
  <c r="J275" i="12"/>
  <c r="J224" i="11"/>
  <c r="J323" i="7"/>
  <c r="J331" i="7"/>
  <c r="J42" i="10"/>
  <c r="J40" i="14"/>
  <c r="J74" i="10"/>
  <c r="J167" i="10"/>
  <c r="J716" i="17"/>
  <c r="J717" i="17" s="1"/>
  <c r="J244" i="11"/>
  <c r="J691" i="17" s="1"/>
  <c r="J692" i="17" s="1"/>
  <c r="J113" i="15"/>
  <c r="J194" i="16" s="1"/>
  <c r="J100" i="10"/>
  <c r="J908" i="16"/>
  <c r="J281" i="7"/>
  <c r="M392" i="16"/>
  <c r="M186" i="15"/>
  <c r="M282" i="5"/>
  <c r="M185" i="15"/>
  <c r="P365" i="16"/>
  <c r="L145" i="5"/>
  <c r="J52" i="11"/>
  <c r="J54" i="11"/>
  <c r="Q1208" i="17"/>
  <c r="Q1209" i="17" s="1"/>
  <c r="Q145" i="16"/>
  <c r="Q248" i="5"/>
  <c r="J268" i="5"/>
  <c r="I228" i="15"/>
  <c r="I498" i="16" s="1"/>
  <c r="R816" i="16"/>
  <c r="R373" i="15"/>
  <c r="J123" i="11"/>
  <c r="J125" i="11" s="1"/>
  <c r="J43" i="11"/>
  <c r="J45" i="11"/>
  <c r="S319" i="15"/>
  <c r="S734" i="16" s="1"/>
  <c r="N1176" i="17"/>
  <c r="N1177" i="17" s="1"/>
  <c r="N523" i="16"/>
  <c r="N69" i="8"/>
  <c r="N174" i="5"/>
  <c r="N203" i="4"/>
  <c r="N173" i="5"/>
  <c r="M232" i="15"/>
  <c r="L336" i="15"/>
  <c r="K193" i="15"/>
  <c r="L172" i="15"/>
  <c r="L357" i="16"/>
  <c r="L281" i="5"/>
  <c r="L261" i="7"/>
  <c r="H175" i="12"/>
  <c r="H173" i="12"/>
  <c r="O997" i="17"/>
  <c r="O998" i="17" s="1"/>
  <c r="O213" i="16"/>
  <c r="O223" i="5"/>
  <c r="O34" i="8"/>
  <c r="O225" i="16" s="1"/>
  <c r="K179" i="16"/>
  <c r="K276" i="5"/>
  <c r="K107" i="15"/>
  <c r="K898" i="16"/>
  <c r="O335" i="16"/>
  <c r="O167" i="15"/>
  <c r="S215" i="12"/>
  <c r="S216" i="12"/>
  <c r="N623" i="16"/>
  <c r="N206" i="4"/>
  <c r="N83" i="6"/>
  <c r="N81" i="8"/>
  <c r="L123" i="11"/>
  <c r="L125" i="11" s="1"/>
  <c r="Q487" i="16"/>
  <c r="Q142" i="4"/>
  <c r="Q143" i="4" s="1"/>
  <c r="R731" i="16"/>
  <c r="R318" i="15"/>
  <c r="R733" i="16" s="1"/>
  <c r="R320" i="15"/>
  <c r="R319" i="15"/>
  <c r="R734" i="16" s="1"/>
  <c r="T766" i="16"/>
  <c r="T331" i="15"/>
  <c r="T768" i="16" s="1"/>
  <c r="T333" i="15"/>
  <c r="T332" i="15"/>
  <c r="T769" i="16" s="1"/>
  <c r="R351" i="16"/>
  <c r="R141" i="4"/>
  <c r="R222" i="4"/>
  <c r="R129" i="4"/>
  <c r="Q346" i="15"/>
  <c r="Q349" i="15" s="1"/>
  <c r="I636" i="17"/>
  <c r="I637" i="17" s="1"/>
  <c r="I232" i="15"/>
  <c r="M81" i="16"/>
  <c r="M273" i="5"/>
  <c r="M68" i="15"/>
  <c r="P85" i="4"/>
  <c r="P77" i="4"/>
  <c r="P90" i="4" s="1"/>
  <c r="P1260" i="17" s="1"/>
  <c r="P1261" i="17" s="1"/>
  <c r="Q63" i="4"/>
  <c r="L84" i="11"/>
  <c r="L82" i="11"/>
  <c r="H180" i="12"/>
  <c r="H178" i="12"/>
  <c r="O1130" i="17"/>
  <c r="O1131" i="17" s="1"/>
  <c r="O492" i="16"/>
  <c r="O258" i="5"/>
  <c r="O141" i="5"/>
  <c r="O222" i="12"/>
  <c r="L299" i="16"/>
  <c r="L154" i="15"/>
  <c r="J299" i="16"/>
  <c r="J154" i="15"/>
  <c r="M401" i="16"/>
  <c r="M55" i="8"/>
  <c r="M192" i="15" s="1"/>
  <c r="M407" i="16" s="1"/>
  <c r="O48" i="11"/>
  <c r="O50" i="11"/>
  <c r="H362" i="17"/>
  <c r="H363" i="17" s="1"/>
  <c r="H886" i="16"/>
  <c r="H116" i="8"/>
  <c r="I287" i="17"/>
  <c r="I288" i="17" s="1"/>
  <c r="Q219" i="12"/>
  <c r="J439" i="16"/>
  <c r="S105" i="5"/>
  <c r="R130" i="5"/>
  <c r="L134" i="11"/>
  <c r="H170" i="11"/>
  <c r="H171" i="11"/>
  <c r="Q710" i="16"/>
  <c r="Q356" i="15"/>
  <c r="Q312" i="15"/>
  <c r="Q123" i="10"/>
  <c r="Q715" i="16" s="1"/>
  <c r="Q362" i="15"/>
  <c r="K19" i="9"/>
  <c r="K76" i="10"/>
  <c r="K44" i="10"/>
  <c r="L228" i="15"/>
  <c r="L498" i="16" s="1"/>
  <c r="Q99" i="5"/>
  <c r="P127" i="5"/>
  <c r="L366" i="16"/>
  <c r="L51" i="8"/>
  <c r="L179" i="15" s="1"/>
  <c r="L372" i="16" s="1"/>
  <c r="H145" i="12"/>
  <c r="H143" i="12"/>
  <c r="J363" i="15"/>
  <c r="J745" i="16"/>
  <c r="J325" i="15"/>
  <c r="J124" i="10"/>
  <c r="J750" i="16" s="1"/>
  <c r="J357" i="15"/>
  <c r="N97" i="4"/>
  <c r="O96" i="4"/>
  <c r="N228" i="16"/>
  <c r="K974" i="17"/>
  <c r="K975" i="17" s="1"/>
  <c r="K178" i="16"/>
  <c r="K249" i="5"/>
  <c r="I179" i="12"/>
  <c r="I181" i="12" s="1"/>
  <c r="L905" i="17"/>
  <c r="L906" i="17" s="1"/>
  <c r="L99" i="12"/>
  <c r="L908" i="17" s="1"/>
  <c r="L909" i="17" s="1"/>
  <c r="K150" i="15"/>
  <c r="K291" i="16" s="1"/>
  <c r="J163" i="15"/>
  <c r="J327" i="16" s="1"/>
  <c r="S123" i="11"/>
  <c r="S125" i="11"/>
  <c r="Q332" i="15"/>
  <c r="Q769" i="16" s="1"/>
  <c r="M174" i="5"/>
  <c r="M136" i="4"/>
  <c r="M137" i="4" s="1"/>
  <c r="M421" i="16"/>
  <c r="L237" i="15"/>
  <c r="L526" i="16"/>
  <c r="L101" i="11"/>
  <c r="L152" i="12"/>
  <c r="L286" i="5"/>
  <c r="L238" i="15"/>
  <c r="J174" i="12"/>
  <c r="J176" i="12" s="1"/>
  <c r="J192" i="16"/>
  <c r="I93" i="11"/>
  <c r="I95" i="11" s="1"/>
  <c r="N185" i="12"/>
  <c r="P994" i="17"/>
  <c r="P995" i="17" s="1"/>
  <c r="P212" i="16"/>
  <c r="P33" i="8"/>
  <c r="P194" i="4"/>
  <c r="P199" i="7"/>
  <c r="J636" i="17"/>
  <c r="J637" i="17" s="1"/>
  <c r="P118" i="11"/>
  <c r="P120" i="11"/>
  <c r="J243" i="12"/>
  <c r="J267" i="17" s="1"/>
  <c r="J268" i="17" s="1"/>
  <c r="J115" i="8"/>
  <c r="K369" i="16"/>
  <c r="K299" i="16"/>
  <c r="K154" i="15"/>
  <c r="P101" i="12"/>
  <c r="P911" i="17" s="1"/>
  <c r="P912" i="17" s="1"/>
  <c r="S819" i="16"/>
  <c r="S375" i="15"/>
  <c r="N168" i="11"/>
  <c r="T134" i="11"/>
  <c r="O780" i="16"/>
  <c r="O358" i="15"/>
  <c r="O364" i="15"/>
  <c r="O125" i="10"/>
  <c r="O785" i="16" s="1"/>
  <c r="O338" i="15"/>
  <c r="N219" i="12"/>
  <c r="J707" i="16"/>
  <c r="J310" i="15"/>
  <c r="N559" i="16"/>
  <c r="N260" i="5"/>
  <c r="Q51" i="4"/>
  <c r="R50" i="4"/>
  <c r="T185" i="12"/>
  <c r="P320" i="15"/>
  <c r="P731" i="16"/>
  <c r="P318" i="15"/>
  <c r="P733" i="16" s="1"/>
  <c r="O819" i="16"/>
  <c r="O375" i="15"/>
  <c r="I184" i="12"/>
  <c r="I186" i="12" s="1"/>
  <c r="Q118" i="11"/>
  <c r="Q120" i="11"/>
  <c r="J1139" i="17"/>
  <c r="J1140" i="17" s="1"/>
  <c r="J146" i="12"/>
  <c r="J1145" i="17" s="1"/>
  <c r="J1146" i="17" s="1"/>
  <c r="J144" i="12"/>
  <c r="J1142" i="17" s="1"/>
  <c r="J1143" i="17" s="1"/>
  <c r="S178" i="12"/>
  <c r="S180" i="12"/>
  <c r="Q168" i="11"/>
  <c r="P108" i="16"/>
  <c r="P78" i="6"/>
  <c r="P79" i="6"/>
  <c r="P144" i="4"/>
  <c r="P221" i="4"/>
  <c r="P53" i="4"/>
  <c r="P80" i="6"/>
  <c r="P34" i="6"/>
  <c r="O168" i="11"/>
  <c r="I43" i="11"/>
  <c r="I45" i="11" s="1"/>
  <c r="L1231" i="17"/>
  <c r="L1232" i="17" s="1"/>
  <c r="L657" i="16"/>
  <c r="L86" i="8"/>
  <c r="L120" i="8" s="1"/>
  <c r="L198" i="11" s="1"/>
  <c r="L236" i="5"/>
  <c r="L178" i="5"/>
  <c r="L332" i="15"/>
  <c r="L769" i="16" s="1"/>
  <c r="M332" i="15"/>
  <c r="M769" i="16" s="1"/>
  <c r="M766" i="16"/>
  <c r="M333" i="15"/>
  <c r="M331" i="15"/>
  <c r="M768" i="16" s="1"/>
  <c r="F363" i="15"/>
  <c r="F357" i="15"/>
  <c r="M434" i="16"/>
  <c r="N296" i="7"/>
  <c r="Q64" i="4"/>
  <c r="P78" i="4"/>
  <c r="N93" i="11"/>
  <c r="N95" i="11"/>
  <c r="N1072" i="17"/>
  <c r="N1073" i="17" s="1"/>
  <c r="N457" i="16"/>
  <c r="N61" i="8"/>
  <c r="N201" i="4"/>
  <c r="N167" i="5"/>
  <c r="N168" i="5"/>
  <c r="L62" i="15"/>
  <c r="L63" i="16" s="1"/>
  <c r="O87" i="4"/>
  <c r="H263" i="16"/>
  <c r="F364" i="15"/>
  <c r="F358" i="15"/>
  <c r="O96" i="12"/>
  <c r="O885" i="17" s="1"/>
  <c r="O886" i="17" s="1"/>
  <c r="H542" i="16"/>
  <c r="H247" i="15"/>
  <c r="H248" i="15"/>
  <c r="J169" i="12"/>
  <c r="J171" i="12" s="1"/>
  <c r="K185" i="12"/>
  <c r="K120" i="8"/>
  <c r="K198" i="11" s="1"/>
  <c r="K59" i="8"/>
  <c r="K435" i="16"/>
  <c r="M221" i="12"/>
  <c r="N221" i="12" s="1"/>
  <c r="O221" i="12" s="1"/>
  <c r="P221" i="12" s="1"/>
  <c r="K245" i="15"/>
  <c r="N122" i="16"/>
  <c r="M460" i="16"/>
  <c r="M212" i="15"/>
  <c r="M81" i="11"/>
  <c r="M132" i="12"/>
  <c r="M284" i="5"/>
  <c r="M211" i="15"/>
  <c r="S48" i="11"/>
  <c r="S50" i="11"/>
  <c r="L533" i="16"/>
  <c r="L536" i="16"/>
  <c r="M299" i="7"/>
  <c r="Q24" i="5"/>
  <c r="P36" i="5"/>
  <c r="P177" i="7" s="1"/>
  <c r="T302" i="16"/>
  <c r="T118" i="10"/>
  <c r="T307" i="16" s="1"/>
  <c r="T156" i="15"/>
  <c r="H771" i="16"/>
  <c r="H774" i="16"/>
  <c r="I306" i="7"/>
  <c r="T816" i="16"/>
  <c r="T373" i="15"/>
  <c r="O219" i="12"/>
  <c r="L394" i="16"/>
  <c r="L188" i="15"/>
  <c r="L396" i="16" s="1"/>
  <c r="L189" i="15"/>
  <c r="L397" i="16" s="1"/>
  <c r="L190" i="15"/>
  <c r="L405" i="16" s="1"/>
  <c r="P816" i="16"/>
  <c r="P373" i="15"/>
  <c r="Q169" i="12"/>
  <c r="Q171" i="12"/>
  <c r="K707" i="16"/>
  <c r="K310" i="15"/>
  <c r="P138" i="4"/>
  <c r="P45" i="4"/>
  <c r="Q44" i="4"/>
  <c r="H816" i="16"/>
  <c r="H373" i="15"/>
  <c r="H476" i="16"/>
  <c r="H221" i="15"/>
  <c r="H222" i="15"/>
  <c r="K114" i="8"/>
  <c r="K249" i="12" s="1"/>
  <c r="M114" i="16"/>
  <c r="M81" i="15"/>
  <c r="M274" i="5"/>
  <c r="O245" i="16"/>
  <c r="O109" i="4"/>
  <c r="Q79" i="5"/>
  <c r="P93" i="5"/>
  <c r="I701" i="16"/>
  <c r="I704" i="16"/>
  <c r="J304" i="7"/>
  <c r="H217" i="17"/>
  <c r="H218" i="17" s="1"/>
  <c r="H276" i="12"/>
  <c r="H222" i="17" s="1"/>
  <c r="H223" i="17" s="1"/>
  <c r="J222" i="12"/>
  <c r="P306" i="15"/>
  <c r="P699" i="16" s="1"/>
  <c r="R169" i="12"/>
  <c r="R171" i="12"/>
  <c r="N879" i="17"/>
  <c r="N880" i="17" s="1"/>
  <c r="N94" i="12"/>
  <c r="N882" i="17" s="1"/>
  <c r="N883" i="17" s="1"/>
  <c r="J180" i="12"/>
  <c r="J178" i="12"/>
  <c r="N780" i="16"/>
  <c r="N358" i="15"/>
  <c r="N125" i="10"/>
  <c r="N785" i="16" s="1"/>
  <c r="N364" i="15"/>
  <c r="N338" i="15"/>
  <c r="I206" i="15"/>
  <c r="I213" i="12"/>
  <c r="L971" i="17"/>
  <c r="L972" i="17" s="1"/>
  <c r="L222" i="5"/>
  <c r="L177" i="16"/>
  <c r="L30" i="8"/>
  <c r="L189" i="16" s="1"/>
  <c r="L94" i="15"/>
  <c r="L146" i="16"/>
  <c r="L275" i="5"/>
  <c r="N111" i="4"/>
  <c r="N110" i="4"/>
  <c r="H707" i="16"/>
  <c r="H310" i="15"/>
  <c r="I123" i="11"/>
  <c r="I125" i="11"/>
  <c r="Q134" i="11"/>
  <c r="H270" i="5"/>
  <c r="H65" i="12" s="1"/>
  <c r="H152" i="17" s="1"/>
  <c r="H153" i="17" s="1"/>
  <c r="H14" i="11"/>
  <c r="H501" i="17" s="1"/>
  <c r="H502" i="17" s="1"/>
  <c r="R129" i="11"/>
  <c r="R127" i="11"/>
  <c r="H43" i="11"/>
  <c r="H45" i="11" s="1"/>
  <c r="R178" i="12"/>
  <c r="R180" i="12"/>
  <c r="L181" i="12"/>
  <c r="L179" i="12"/>
  <c r="H1243" i="17"/>
  <c r="H1244" i="17" s="1"/>
  <c r="H164" i="12"/>
  <c r="H1246" i="17" s="1"/>
  <c r="H1247" i="17" s="1"/>
  <c r="H166" i="12"/>
  <c r="H1249" i="17" s="1"/>
  <c r="H1250" i="17" s="1"/>
  <c r="L8" i="9"/>
  <c r="K20" i="9"/>
  <c r="N1139" i="17"/>
  <c r="N1140" i="17" s="1"/>
  <c r="N144" i="12"/>
  <c r="N1142" i="17" s="1"/>
  <c r="N1143" i="17" s="1"/>
  <c r="N146" i="12"/>
  <c r="N1145" i="17" s="1"/>
  <c r="N1146" i="17" s="1"/>
  <c r="N122" i="11"/>
  <c r="N124" i="11"/>
  <c r="M173" i="16"/>
  <c r="M99" i="4"/>
  <c r="M135" i="5"/>
  <c r="M56" i="6"/>
  <c r="M55" i="6"/>
  <c r="M57" i="6"/>
  <c r="M220" i="4"/>
  <c r="M58" i="6"/>
  <c r="K188" i="16"/>
  <c r="K31" i="8"/>
  <c r="K114" i="15" s="1"/>
  <c r="K195" i="16" s="1"/>
  <c r="K118" i="8"/>
  <c r="K112" i="8"/>
  <c r="J48" i="11"/>
  <c r="J50" i="11" s="1"/>
  <c r="Q745" i="16"/>
  <c r="Q357" i="15"/>
  <c r="Q363" i="15"/>
  <c r="Q325" i="15"/>
  <c r="Q124" i="10"/>
  <c r="Q750" i="16" s="1"/>
  <c r="L335" i="16"/>
  <c r="L167" i="15"/>
  <c r="I745" i="16"/>
  <c r="I363" i="15"/>
  <c r="I325" i="15"/>
  <c r="I357" i="15"/>
  <c r="I124" i="10"/>
  <c r="I750" i="16" s="1"/>
  <c r="S302" i="16"/>
  <c r="S156" i="15"/>
  <c r="S118" i="10"/>
  <c r="S307" i="16" s="1"/>
  <c r="M710" i="16"/>
  <c r="M312" i="15"/>
  <c r="M356" i="15"/>
  <c r="M123" i="10"/>
  <c r="M715" i="16" s="1"/>
  <c r="M362" i="15"/>
  <c r="N731" i="16"/>
  <c r="N318" i="15"/>
  <c r="N733" i="16" s="1"/>
  <c r="N320" i="15"/>
  <c r="E359" i="15"/>
  <c r="E365" i="15"/>
  <c r="T350" i="15"/>
  <c r="K93" i="11"/>
  <c r="K95" i="11" s="1"/>
  <c r="M257" i="15"/>
  <c r="M575" i="16" s="1"/>
  <c r="H195" i="15"/>
  <c r="H408" i="16"/>
  <c r="H121" i="10"/>
  <c r="H413" i="16" s="1"/>
  <c r="H196" i="15"/>
  <c r="O501" i="16"/>
  <c r="O67" i="8"/>
  <c r="O231" i="15" s="1"/>
  <c r="O508" i="16" s="1"/>
  <c r="H59" i="12"/>
  <c r="H217" i="4"/>
  <c r="M219" i="12"/>
  <c r="I336" i="15"/>
  <c r="R102" i="4"/>
  <c r="S101" i="4"/>
  <c r="O38" i="4"/>
  <c r="O41" i="4"/>
  <c r="S175" i="12"/>
  <c r="S173" i="12"/>
  <c r="H495" i="16"/>
  <c r="H227" i="15"/>
  <c r="H497" i="16" s="1"/>
  <c r="H228" i="15"/>
  <c r="H498" i="16" s="1"/>
  <c r="H229" i="15"/>
  <c r="H506" i="16" s="1"/>
  <c r="P76" i="4"/>
  <c r="Q62" i="4"/>
  <c r="O707" i="16"/>
  <c r="O310" i="15"/>
  <c r="R72" i="4"/>
  <c r="S58" i="4"/>
  <c r="J113" i="11"/>
  <c r="J115" i="11" s="1"/>
  <c r="J805" i="16"/>
  <c r="J54" i="9"/>
  <c r="J132" i="11" s="1"/>
  <c r="J377" i="15"/>
  <c r="R96" i="12"/>
  <c r="R885" i="17" s="1"/>
  <c r="R886" i="17" s="1"/>
  <c r="H905" i="17"/>
  <c r="H906" i="17" s="1"/>
  <c r="H99" i="12"/>
  <c r="H908" i="17" s="1"/>
  <c r="H909" i="17" s="1"/>
  <c r="H101" i="12"/>
  <c r="H911" i="17" s="1"/>
  <c r="H912" i="17" s="1"/>
  <c r="N332" i="15"/>
  <c r="N769" i="16" s="1"/>
  <c r="Q209" i="16"/>
  <c r="Q104" i="4"/>
  <c r="M731" i="16"/>
  <c r="M318" i="15"/>
  <c r="M733" i="16" s="1"/>
  <c r="M320" i="15"/>
  <c r="H48" i="11"/>
  <c r="H50" i="11" s="1"/>
  <c r="S134" i="11"/>
  <c r="H675" i="16"/>
  <c r="H122" i="10"/>
  <c r="H680" i="16" s="1"/>
  <c r="H299" i="15"/>
  <c r="H300" i="15"/>
  <c r="P178" i="12"/>
  <c r="P180" i="12"/>
  <c r="Q37" i="4"/>
  <c r="R35" i="4"/>
  <c r="K206" i="12"/>
  <c r="K207" i="12"/>
  <c r="M180" i="12"/>
  <c r="M178" i="12"/>
  <c r="I914" i="16"/>
  <c r="I711" i="17"/>
  <c r="I712" i="17" s="1"/>
  <c r="I122" i="8"/>
  <c r="P70" i="4"/>
  <c r="P88" i="4" s="1"/>
  <c r="Q56" i="4"/>
  <c r="P83" i="4"/>
  <c r="N838" i="17"/>
  <c r="N839" i="17" s="1"/>
  <c r="N45" i="16"/>
  <c r="N13" i="8"/>
  <c r="N194" i="7"/>
  <c r="N189" i="4"/>
  <c r="N35" i="5"/>
  <c r="N176" i="5"/>
  <c r="K179" i="12"/>
  <c r="K181" i="12" s="1"/>
  <c r="N179" i="7"/>
  <c r="O179" i="7" s="1"/>
  <c r="O332" i="15"/>
  <c r="O769" i="16" s="1"/>
  <c r="N141" i="16"/>
  <c r="N224" i="4"/>
  <c r="M503" i="16"/>
  <c r="M500" i="16"/>
  <c r="N298" i="7"/>
  <c r="S185" i="12"/>
  <c r="R905" i="17"/>
  <c r="R906" i="17" s="1"/>
  <c r="R99" i="12"/>
  <c r="R908" i="17" s="1"/>
  <c r="R909" i="17" s="1"/>
  <c r="K346" i="15"/>
  <c r="K349" i="15" s="1"/>
  <c r="Q179" i="12"/>
  <c r="Q181" i="12" s="1"/>
  <c r="O306" i="15"/>
  <c r="O699" i="16" s="1"/>
  <c r="M1139" i="17"/>
  <c r="M1140" i="17" s="1"/>
  <c r="M144" i="12"/>
  <c r="M1142" i="17" s="1"/>
  <c r="M1143" i="17" s="1"/>
  <c r="K659" i="16"/>
  <c r="K290" i="15"/>
  <c r="K160" i="11"/>
  <c r="K162" i="11" s="1"/>
  <c r="K111" i="11"/>
  <c r="K290" i="5"/>
  <c r="K162" i="12"/>
  <c r="K289" i="15"/>
  <c r="K211" i="12"/>
  <c r="K213" i="12" s="1"/>
  <c r="H335" i="16"/>
  <c r="H167" i="15"/>
  <c r="N568" i="16"/>
  <c r="N75" i="8"/>
  <c r="N129" i="11"/>
  <c r="N127" i="11"/>
  <c r="L93" i="11"/>
  <c r="L95" i="11" s="1"/>
  <c r="I219" i="12"/>
  <c r="M168" i="11"/>
  <c r="P155" i="11"/>
  <c r="P156" i="11"/>
  <c r="I225" i="12"/>
  <c r="K134" i="11"/>
  <c r="H806" i="16"/>
  <c r="H378" i="15"/>
  <c r="J675" i="16"/>
  <c r="J122" i="10"/>
  <c r="J680" i="16" s="1"/>
  <c r="J299" i="15"/>
  <c r="Q71" i="5"/>
  <c r="P89" i="5"/>
  <c r="I114" i="11"/>
  <c r="I112" i="11"/>
  <c r="R174" i="12"/>
  <c r="R176" i="12" s="1"/>
  <c r="H128" i="11"/>
  <c r="H130" i="11" s="1"/>
  <c r="O905" i="17"/>
  <c r="O906" i="17" s="1"/>
  <c r="O99" i="12"/>
  <c r="O908" i="17" s="1"/>
  <c r="O909" i="17" s="1"/>
  <c r="N37" i="6"/>
  <c r="P169" i="12"/>
  <c r="P171" i="12"/>
  <c r="N228" i="5"/>
  <c r="N390" i="16"/>
  <c r="N54" i="8"/>
  <c r="N161" i="5"/>
  <c r="N509" i="16"/>
  <c r="N234" i="15"/>
  <c r="K879" i="17"/>
  <c r="K880" i="17" s="1"/>
  <c r="K94" i="12"/>
  <c r="K882" i="17" s="1"/>
  <c r="K883" i="17" s="1"/>
  <c r="T349" i="15"/>
  <c r="N260" i="7"/>
  <c r="K819" i="16"/>
  <c r="K375" i="15"/>
  <c r="S219" i="12"/>
  <c r="J287" i="17"/>
  <c r="J288" i="17" s="1"/>
  <c r="S905" i="17"/>
  <c r="S906" i="17" s="1"/>
  <c r="S99" i="12"/>
  <c r="S908" i="17" s="1"/>
  <c r="S909" i="17" s="1"/>
  <c r="S101" i="12"/>
  <c r="S911" i="17" s="1"/>
  <c r="S912" i="17" s="1"/>
  <c r="J136" i="12"/>
  <c r="J1093" i="17" s="1"/>
  <c r="J1094" i="17" s="1"/>
  <c r="H293" i="15"/>
  <c r="H664" i="16" s="1"/>
  <c r="O178" i="7"/>
  <c r="T128" i="11"/>
  <c r="T130" i="11" s="1"/>
  <c r="T337" i="15"/>
  <c r="H33" i="12"/>
  <c r="H283" i="7"/>
  <c r="H909" i="16"/>
  <c r="Q299" i="16"/>
  <c r="Q154" i="15"/>
  <c r="L404" i="16"/>
  <c r="O454" i="16"/>
  <c r="O139" i="4"/>
  <c r="O140" i="4" s="1"/>
  <c r="J1243" i="17"/>
  <c r="J1244" i="17" s="1"/>
  <c r="J164" i="12"/>
  <c r="J1246" i="17" s="1"/>
  <c r="J1247" i="17" s="1"/>
  <c r="I362" i="15"/>
  <c r="I356" i="15"/>
  <c r="I710" i="16"/>
  <c r="I312" i="15"/>
  <c r="I123" i="10"/>
  <c r="I715" i="16" s="1"/>
  <c r="R335" i="16"/>
  <c r="R167" i="15"/>
  <c r="N375" i="15"/>
  <c r="N819" i="16"/>
  <c r="K174" i="12"/>
  <c r="K176" i="12"/>
  <c r="K780" i="16"/>
  <c r="K358" i="15"/>
  <c r="K364" i="15"/>
  <c r="K338" i="15"/>
  <c r="K125" i="10"/>
  <c r="K785" i="16" s="1"/>
  <c r="P107" i="4"/>
  <c r="Q106" i="4"/>
  <c r="P1309" i="17"/>
  <c r="P1310" i="17"/>
  <c r="O1156" i="17"/>
  <c r="O1157" i="17" s="1"/>
  <c r="O247" i="5"/>
  <c r="O113" i="16"/>
  <c r="Q128" i="11"/>
  <c r="Q130" i="11" s="1"/>
  <c r="K323" i="15"/>
  <c r="N299" i="16"/>
  <c r="N154" i="15"/>
  <c r="J189" i="15"/>
  <c r="J397" i="16" s="1"/>
  <c r="N156" i="11"/>
  <c r="L43" i="11"/>
  <c r="L45" i="11" s="1"/>
  <c r="T346" i="15"/>
  <c r="P1124" i="17"/>
  <c r="P1125" i="17" s="1"/>
  <c r="P490" i="16"/>
  <c r="P170" i="5"/>
  <c r="P65" i="8"/>
  <c r="P202" i="4"/>
  <c r="L60" i="16"/>
  <c r="P174" i="12"/>
  <c r="P176" i="12" s="1"/>
  <c r="J127" i="11"/>
  <c r="J129" i="11"/>
  <c r="T879" i="17"/>
  <c r="T880" i="17" s="1"/>
  <c r="T94" i="12"/>
  <c r="T882" i="17" s="1"/>
  <c r="T883" i="17" s="1"/>
  <c r="T96" i="12"/>
  <c r="T885" i="17" s="1"/>
  <c r="T886" i="17" s="1"/>
  <c r="K668" i="16"/>
  <c r="K87" i="8"/>
  <c r="K296" i="15" s="1"/>
  <c r="K674" i="16" s="1"/>
  <c r="J183" i="12"/>
  <c r="J185" i="12"/>
  <c r="N150" i="15"/>
  <c r="N291" i="16" s="1"/>
  <c r="N942" i="17"/>
  <c r="N943" i="17" s="1"/>
  <c r="N195" i="7"/>
  <c r="N190" i="4"/>
  <c r="N66" i="5"/>
  <c r="N78" i="16"/>
  <c r="N17" i="8"/>
  <c r="N156" i="5"/>
  <c r="N155" i="5"/>
  <c r="N1254" i="17"/>
  <c r="N1255" i="17" s="1"/>
  <c r="N128" i="5"/>
  <c r="N126" i="5"/>
  <c r="N129" i="5" s="1"/>
  <c r="N92" i="4"/>
  <c r="Q1325" i="17"/>
  <c r="P1327" i="17"/>
  <c r="T179" i="12"/>
  <c r="T181" i="12" s="1"/>
  <c r="P1299" i="17"/>
  <c r="P1300" i="17" s="1"/>
  <c r="P84" i="4"/>
  <c r="P75" i="4"/>
  <c r="P89" i="4" s="1"/>
  <c r="P1257" i="17" s="1"/>
  <c r="P1258" i="17" s="1"/>
  <c r="Q61" i="4"/>
  <c r="M165" i="16"/>
  <c r="M100" i="15"/>
  <c r="M160" i="16" s="1"/>
  <c r="J332" i="15"/>
  <c r="J769" i="16" s="1"/>
  <c r="O87" i="6"/>
  <c r="Q338" i="16"/>
  <c r="Q119" i="10"/>
  <c r="Q343" i="16" s="1"/>
  <c r="Q169" i="15"/>
  <c r="H287" i="17"/>
  <c r="H288" i="17" s="1"/>
  <c r="M134" i="11"/>
  <c r="O90" i="5"/>
  <c r="O159" i="5"/>
  <c r="O1317" i="17"/>
  <c r="M127" i="11"/>
  <c r="M129" i="11"/>
  <c r="M625" i="16"/>
  <c r="M262" i="5"/>
  <c r="O91" i="4"/>
  <c r="O1263" i="17" s="1"/>
  <c r="O1264" i="17" s="1"/>
  <c r="L241" i="5"/>
  <c r="L879" i="17"/>
  <c r="L880" i="17" s="1"/>
  <c r="L94" i="12"/>
  <c r="L882" i="17" s="1"/>
  <c r="L883" i="17" s="1"/>
  <c r="S336" i="15"/>
  <c r="J62" i="12"/>
  <c r="J10" i="12"/>
  <c r="C30" i="1"/>
  <c r="J77" i="7"/>
  <c r="J79" i="7"/>
  <c r="J78" i="7"/>
  <c r="S346" i="15"/>
  <c r="S349" i="15" s="1"/>
  <c r="I335" i="16"/>
  <c r="I167" i="15"/>
  <c r="M48" i="11"/>
  <c r="M50" i="11" s="1"/>
  <c r="L219" i="12"/>
  <c r="P219" i="12"/>
  <c r="L587" i="16"/>
  <c r="L59" i="6"/>
  <c r="O124" i="11"/>
  <c r="O122" i="11"/>
  <c r="P168" i="11"/>
  <c r="L819" i="16"/>
  <c r="L375" i="15"/>
  <c r="I905" i="17"/>
  <c r="I906" i="17" s="1"/>
  <c r="I99" i="12"/>
  <c r="I908" i="17" s="1"/>
  <c r="I909" i="17" s="1"/>
  <c r="I1139" i="17"/>
  <c r="I1140" i="17" s="1"/>
  <c r="I146" i="12"/>
  <c r="I1145" i="17" s="1"/>
  <c r="I1146" i="17" s="1"/>
  <c r="I144" i="12"/>
  <c r="I1142" i="17" s="1"/>
  <c r="I1143" i="17" s="1"/>
  <c r="O173" i="12"/>
  <c r="O175" i="12"/>
  <c r="L126" i="16"/>
  <c r="I162" i="11"/>
  <c r="K168" i="11"/>
  <c r="H332" i="15"/>
  <c r="H769" i="16" s="1"/>
  <c r="H319" i="15"/>
  <c r="H734" i="16" s="1"/>
  <c r="K219" i="12"/>
  <c r="T219" i="12"/>
  <c r="M258" i="7"/>
  <c r="I53" i="11"/>
  <c r="I55" i="11"/>
  <c r="N1153" i="17"/>
  <c r="N1154" i="17" s="1"/>
  <c r="N112" i="16"/>
  <c r="N22" i="8"/>
  <c r="N123" i="16" s="1"/>
  <c r="N220" i="5"/>
  <c r="O1150" i="17"/>
  <c r="O1151" i="17" s="1"/>
  <c r="O111" i="16"/>
  <c r="O21" i="8"/>
  <c r="O196" i="7"/>
  <c r="O260" i="7" s="1"/>
  <c r="O191" i="4"/>
  <c r="O91" i="5"/>
  <c r="O92" i="5" s="1"/>
  <c r="M1303" i="17"/>
  <c r="M1311" i="17" s="1"/>
  <c r="I263" i="16"/>
  <c r="K1139" i="17"/>
  <c r="K1140" i="17" s="1"/>
  <c r="K144" i="12"/>
  <c r="K1142" i="17" s="1"/>
  <c r="K1143" i="17" s="1"/>
  <c r="K146" i="12"/>
  <c r="K1145" i="17" s="1"/>
  <c r="K1146" i="17" s="1"/>
  <c r="J592" i="16"/>
  <c r="J261" i="5"/>
  <c r="J269" i="5" s="1"/>
  <c r="J1026" i="17"/>
  <c r="J1027" i="17" s="1"/>
  <c r="J99" i="6"/>
  <c r="K212" i="12"/>
  <c r="Q780" i="16"/>
  <c r="Q358" i="15"/>
  <c r="Q364" i="15"/>
  <c r="Q338" i="15"/>
  <c r="Q125" i="10"/>
  <c r="Q785" i="16" s="1"/>
  <c r="K1191" i="17"/>
  <c r="K1192" i="17" s="1"/>
  <c r="K154" i="12"/>
  <c r="K1194" i="17" s="1"/>
  <c r="K1195" i="17" s="1"/>
  <c r="K156" i="12"/>
  <c r="K1197" i="17" s="1"/>
  <c r="K1198" i="17" s="1"/>
  <c r="O302" i="16"/>
  <c r="O118" i="10"/>
  <c r="O307" i="16" s="1"/>
  <c r="O156" i="15"/>
  <c r="P73" i="4"/>
  <c r="Q59" i="4"/>
  <c r="K21" i="9"/>
  <c r="L216" i="15"/>
  <c r="L473" i="16" s="1"/>
  <c r="L462" i="16"/>
  <c r="L214" i="15"/>
  <c r="L464" i="16" s="1"/>
  <c r="T118" i="11"/>
  <c r="T120" i="11"/>
  <c r="O493" i="16"/>
  <c r="O224" i="15"/>
  <c r="O142" i="12"/>
  <c r="O285" i="5"/>
  <c r="O91" i="11"/>
  <c r="O225" i="15"/>
  <c r="K476" i="16"/>
  <c r="K221" i="15"/>
  <c r="J203" i="15"/>
  <c r="J440" i="16" s="1"/>
  <c r="J201" i="15"/>
  <c r="J431" i="16" s="1"/>
  <c r="J429" i="16"/>
  <c r="J202" i="15"/>
  <c r="J432" i="16" s="1"/>
  <c r="L185" i="12"/>
  <c r="Q34" i="4"/>
  <c r="P36" i="4"/>
  <c r="P32" i="6" s="1"/>
  <c r="K83" i="11"/>
  <c r="K85" i="11" s="1"/>
  <c r="J192" i="11"/>
  <c r="J616" i="17" s="1"/>
  <c r="J617" i="17" s="1"/>
  <c r="J121" i="8"/>
  <c r="Q816" i="16"/>
  <c r="Q373" i="15"/>
  <c r="M534" i="16"/>
  <c r="M71" i="8"/>
  <c r="M244" i="15" s="1"/>
  <c r="M541" i="16" s="1"/>
  <c r="P134" i="11"/>
  <c r="I128" i="11"/>
  <c r="I130" i="11" s="1"/>
  <c r="N94" i="5"/>
  <c r="N346" i="15"/>
  <c r="N349" i="15" s="1"/>
  <c r="I174" i="12"/>
  <c r="I176" i="12" s="1"/>
  <c r="P48" i="11"/>
  <c r="P50" i="11"/>
  <c r="S167" i="11"/>
  <c r="L164" i="11"/>
  <c r="L165" i="11"/>
  <c r="T123" i="11"/>
  <c r="T125" i="11" s="1"/>
  <c r="H780" i="16"/>
  <c r="H125" i="10"/>
  <c r="H785" i="16" s="1"/>
  <c r="H364" i="15"/>
  <c r="H339" i="15"/>
  <c r="H358" i="15"/>
  <c r="H338" i="15"/>
  <c r="J93" i="11"/>
  <c r="J95" i="11" s="1"/>
  <c r="Q48" i="11"/>
  <c r="Q50" i="11"/>
  <c r="N356" i="15"/>
  <c r="N710" i="16"/>
  <c r="N312" i="15"/>
  <c r="N362" i="15"/>
  <c r="N123" i="10"/>
  <c r="N715" i="16" s="1"/>
  <c r="M259" i="7"/>
  <c r="J402" i="16"/>
  <c r="K295" i="7"/>
  <c r="J399" i="16"/>
  <c r="T43" i="11"/>
  <c r="T45" i="11"/>
  <c r="H486" i="17"/>
  <c r="H487" i="17" s="1"/>
  <c r="H897" i="16"/>
  <c r="H13" i="11"/>
  <c r="H9" i="12"/>
  <c r="H30" i="13"/>
  <c r="Q43" i="11"/>
  <c r="Q45" i="11"/>
  <c r="N101" i="12"/>
  <c r="N911" i="17" s="1"/>
  <c r="N912" i="17" s="1"/>
  <c r="O128" i="11"/>
  <c r="O130" i="11"/>
  <c r="K922" i="17"/>
  <c r="K923" i="17" s="1"/>
  <c r="K426" i="16"/>
  <c r="K256" i="5"/>
  <c r="T323" i="15"/>
  <c r="H505" i="16"/>
  <c r="R48" i="11"/>
  <c r="R50" i="11" s="1"/>
  <c r="P123" i="11"/>
  <c r="P125" i="11" s="1"/>
  <c r="J486" i="17"/>
  <c r="J487" i="17" s="1"/>
  <c r="J897" i="16"/>
  <c r="J13" i="11"/>
  <c r="J30" i="13"/>
  <c r="J9" i="12"/>
  <c r="C29" i="1"/>
  <c r="L163" i="15"/>
  <c r="L327" i="16" s="1"/>
  <c r="J813" i="16"/>
  <c r="K47" i="9"/>
  <c r="J55" i="9"/>
  <c r="O320" i="15"/>
  <c r="O731" i="16"/>
  <c r="O318" i="15"/>
  <c r="O733" i="16" s="1"/>
  <c r="N48" i="11"/>
  <c r="N50" i="11"/>
  <c r="R118" i="11"/>
  <c r="R120" i="11" s="1"/>
  <c r="M816" i="16"/>
  <c r="M373" i="15"/>
  <c r="J912" i="16"/>
  <c r="J156" i="12"/>
  <c r="J1197" i="17" s="1"/>
  <c r="J1198" i="17" s="1"/>
  <c r="K251" i="16"/>
  <c r="K278" i="5"/>
  <c r="K133" i="15"/>
  <c r="Q948" i="17"/>
  <c r="Q949" i="17" s="1"/>
  <c r="Q80" i="16"/>
  <c r="Q246" i="5"/>
  <c r="H184" i="12"/>
  <c r="H186" i="12" s="1"/>
  <c r="Q101" i="12"/>
  <c r="Q911" i="17" s="1"/>
  <c r="Q912" i="17" s="1"/>
  <c r="H115" i="11"/>
  <c r="H113" i="11"/>
  <c r="L48" i="11"/>
  <c r="L50" i="11" s="1"/>
  <c r="J207" i="12"/>
  <c r="P335" i="16"/>
  <c r="P167" i="15"/>
  <c r="O88" i="4"/>
  <c r="S50" i="5"/>
  <c r="R65" i="5"/>
  <c r="N41" i="16"/>
  <c r="N135" i="4"/>
  <c r="N219" i="4"/>
  <c r="N31" i="5"/>
  <c r="N33" i="5" s="1"/>
  <c r="N30" i="6"/>
  <c r="N553" i="16" s="1"/>
  <c r="S745" i="16"/>
  <c r="S357" i="15"/>
  <c r="S363" i="15"/>
  <c r="S124" i="10"/>
  <c r="S750" i="16" s="1"/>
  <c r="S325" i="15"/>
  <c r="P105" i="10"/>
  <c r="P178" i="15"/>
  <c r="P371" i="16" s="1"/>
  <c r="O75" i="16"/>
  <c r="O62" i="5"/>
  <c r="O64" i="5" s="1"/>
  <c r="O47" i="4"/>
  <c r="K165" i="5"/>
  <c r="P74" i="4"/>
  <c r="Q60" i="4"/>
  <c r="L319" i="15"/>
  <c r="L734" i="16" s="1"/>
  <c r="L320" i="15"/>
  <c r="L731" i="16"/>
  <c r="L318" i="15"/>
  <c r="L733" i="16" s="1"/>
  <c r="J405" i="16"/>
  <c r="J193" i="15"/>
  <c r="M176" i="5"/>
  <c r="J174" i="11"/>
  <c r="P129" i="11"/>
  <c r="P127" i="11"/>
  <c r="P82" i="4"/>
  <c r="Q68" i="4"/>
  <c r="N945" i="17"/>
  <c r="N946" i="17" s="1"/>
  <c r="N18" i="8"/>
  <c r="N90" i="16" s="1"/>
  <c r="N219" i="5"/>
  <c r="N79" i="16"/>
  <c r="O33" i="6"/>
  <c r="N228" i="15"/>
  <c r="N498" i="16" s="1"/>
  <c r="L1139" i="17"/>
  <c r="L1140" i="17" s="1"/>
  <c r="L144" i="12"/>
  <c r="L1142" i="17" s="1"/>
  <c r="L1143" i="17" s="1"/>
  <c r="L146" i="12"/>
  <c r="L1145" i="17" s="1"/>
  <c r="L1146" i="17" s="1"/>
  <c r="O89" i="4"/>
  <c r="O1257" i="17" s="1"/>
  <c r="O1258" i="17" s="1"/>
  <c r="O351" i="15"/>
  <c r="O385" i="15"/>
  <c r="O359" i="15"/>
  <c r="O126" i="10"/>
  <c r="O365" i="15"/>
  <c r="M122" i="11"/>
  <c r="M124" i="11"/>
  <c r="M23" i="8"/>
  <c r="M88" i="15" s="1"/>
  <c r="M129" i="16" s="1"/>
  <c r="S65" i="4"/>
  <c r="R79" i="4"/>
  <c r="M1078" i="17"/>
  <c r="M1079" i="17" s="1"/>
  <c r="M459" i="16"/>
  <c r="M257" i="5"/>
  <c r="M94" i="15"/>
  <c r="M146" i="16"/>
  <c r="M275" i="5"/>
  <c r="R123" i="11"/>
  <c r="R125" i="11" s="1"/>
  <c r="R333" i="15"/>
  <c r="R331" i="15"/>
  <c r="R768" i="16" s="1"/>
  <c r="R766" i="16"/>
  <c r="R302" i="16"/>
  <c r="R156" i="15"/>
  <c r="R118" i="10"/>
  <c r="R307" i="16" s="1"/>
  <c r="J232" i="15"/>
  <c r="H295" i="5"/>
  <c r="H297" i="5" s="1"/>
  <c r="H636" i="17"/>
  <c r="H637" i="17" s="1"/>
  <c r="I168" i="11"/>
  <c r="Q74" i="5"/>
  <c r="P88" i="5"/>
  <c r="M86" i="6"/>
  <c r="M289" i="5"/>
  <c r="M276" i="15"/>
  <c r="M626" i="16"/>
  <c r="M85" i="6"/>
  <c r="M92" i="6" s="1"/>
  <c r="L259" i="16"/>
  <c r="L39" i="8"/>
  <c r="L140" i="15" s="1"/>
  <c r="L266" i="16" s="1"/>
  <c r="Q66" i="4"/>
  <c r="P80" i="4"/>
  <c r="P91" i="4" s="1"/>
  <c r="P1263" i="17" s="1"/>
  <c r="P1264" i="17" s="1"/>
  <c r="P86" i="4"/>
  <c r="M133" i="16"/>
  <c r="M87" i="15"/>
  <c r="M128" i="16" s="1"/>
  <c r="L57" i="16"/>
  <c r="K232" i="15"/>
  <c r="K165" i="11"/>
  <c r="T73" i="5"/>
  <c r="I666" i="16"/>
  <c r="I669" i="16"/>
  <c r="J303" i="7"/>
  <c r="J62" i="6"/>
  <c r="J375" i="15"/>
  <c r="J819" i="16"/>
  <c r="I931" i="17"/>
  <c r="I932" i="17" s="1"/>
  <c r="I104" i="12"/>
  <c r="I934" i="17" s="1"/>
  <c r="I935" i="17" s="1"/>
  <c r="L65" i="6"/>
  <c r="L95" i="6" s="1"/>
  <c r="N35" i="8"/>
  <c r="N127" i="15" s="1"/>
  <c r="N231" i="16" s="1"/>
  <c r="O178" i="15"/>
  <c r="O371" i="16" s="1"/>
  <c r="O105" i="10"/>
  <c r="Q183" i="7"/>
  <c r="I202" i="15"/>
  <c r="I432" i="16" s="1"/>
  <c r="K868" i="16"/>
  <c r="P707" i="16"/>
  <c r="P310" i="15"/>
  <c r="H122" i="8" l="1"/>
  <c r="K174" i="11"/>
  <c r="I496" i="17"/>
  <c r="I497" i="17" s="1"/>
  <c r="L224" i="12"/>
  <c r="M224" i="12" s="1"/>
  <c r="N224" i="12" s="1"/>
  <c r="L225" i="12"/>
  <c r="I116" i="8"/>
  <c r="L174" i="11"/>
  <c r="N225" i="12"/>
  <c r="H300" i="5"/>
  <c r="I886" i="16"/>
  <c r="N174" i="11"/>
  <c r="M225" i="12"/>
  <c r="K225" i="12"/>
  <c r="E29" i="15"/>
  <c r="P1305" i="17"/>
  <c r="P1306" i="17" s="1"/>
  <c r="J133" i="11"/>
  <c r="J135" i="11" s="1"/>
  <c r="L636" i="17"/>
  <c r="L637" i="17" s="1"/>
  <c r="P120" i="15"/>
  <c r="P215" i="16"/>
  <c r="P277" i="5"/>
  <c r="L179" i="16"/>
  <c r="L276" i="5"/>
  <c r="L107" i="15"/>
  <c r="L898" i="16"/>
  <c r="O250" i="15"/>
  <c r="O560" i="16"/>
  <c r="O287" i="5"/>
  <c r="O39" i="6"/>
  <c r="O1153" i="17"/>
  <c r="O1154" i="17" s="1"/>
  <c r="O112" i="16"/>
  <c r="O22" i="8"/>
  <c r="O123" i="16" s="1"/>
  <c r="O220" i="5"/>
  <c r="O94" i="5"/>
  <c r="K593" i="16"/>
  <c r="K64" i="6"/>
  <c r="K94" i="6" s="1"/>
  <c r="K96" i="6" s="1"/>
  <c r="K263" i="15"/>
  <c r="K288" i="5"/>
  <c r="K296" i="5" s="1"/>
  <c r="K100" i="6"/>
  <c r="K63" i="6"/>
  <c r="K91" i="6" s="1"/>
  <c r="K93" i="6" s="1"/>
  <c r="K870" i="16"/>
  <c r="N421" i="16"/>
  <c r="N136" i="4"/>
  <c r="N137" i="4" s="1"/>
  <c r="T359" i="15"/>
  <c r="T365" i="15"/>
  <c r="T385" i="15"/>
  <c r="T351" i="15"/>
  <c r="T126" i="10"/>
  <c r="T819" i="16"/>
  <c r="T375" i="15"/>
  <c r="N55" i="15"/>
  <c r="N48" i="16"/>
  <c r="N272" i="5"/>
  <c r="S102" i="4"/>
  <c r="T101" i="4"/>
  <c r="T102" i="4" s="1"/>
  <c r="J701" i="16"/>
  <c r="K304" i="7"/>
  <c r="J704" i="16"/>
  <c r="P31" i="6"/>
  <c r="Q108" i="16"/>
  <c r="Q78" i="6"/>
  <c r="Q79" i="6"/>
  <c r="Q144" i="4"/>
  <c r="Q221" i="4"/>
  <c r="Q53" i="4"/>
  <c r="Q80" i="6"/>
  <c r="L102" i="11"/>
  <c r="L104" i="11"/>
  <c r="Q1124" i="17"/>
  <c r="Q1125" i="17" s="1"/>
  <c r="Q490" i="16"/>
  <c r="Q65" i="8"/>
  <c r="Q170" i="5"/>
  <c r="Q171" i="5" s="1"/>
  <c r="Q202" i="4"/>
  <c r="N534" i="16"/>
  <c r="N71" i="8"/>
  <c r="N244" i="15" s="1"/>
  <c r="N541" i="16" s="1"/>
  <c r="T351" i="16"/>
  <c r="T129" i="4"/>
  <c r="T222" i="4"/>
  <c r="T141" i="4"/>
  <c r="H746" i="16"/>
  <c r="I326" i="15"/>
  <c r="M1052" i="17"/>
  <c r="M1053" i="17" s="1"/>
  <c r="M250" i="16"/>
  <c r="M251" i="5"/>
  <c r="I147" i="17"/>
  <c r="I148" i="17" s="1"/>
  <c r="I67" i="12"/>
  <c r="K40" i="14"/>
  <c r="K40" i="13"/>
  <c r="K275" i="12"/>
  <c r="K224" i="11"/>
  <c r="K323" i="7"/>
  <c r="K42" i="10"/>
  <c r="K331" i="7"/>
  <c r="K74" i="10"/>
  <c r="K716" i="17"/>
  <c r="K717" i="17" s="1"/>
  <c r="K244" i="11"/>
  <c r="K691" i="17" s="1"/>
  <c r="K692" i="17" s="1"/>
  <c r="K167" i="10"/>
  <c r="M174" i="12"/>
  <c r="M176" i="12"/>
  <c r="M57" i="16"/>
  <c r="R183" i="7"/>
  <c r="O40" i="6"/>
  <c r="O38" i="6"/>
  <c r="O90" i="6" s="1"/>
  <c r="R948" i="17"/>
  <c r="R949" i="17" s="1"/>
  <c r="R80" i="16"/>
  <c r="R246" i="5"/>
  <c r="M375" i="15"/>
  <c r="E381" i="15" s="1"/>
  <c r="M819" i="16"/>
  <c r="P351" i="15"/>
  <c r="P359" i="15"/>
  <c r="P385" i="15"/>
  <c r="P126" i="10"/>
  <c r="P365" i="15"/>
  <c r="L212" i="12"/>
  <c r="L590" i="16"/>
  <c r="L77" i="8"/>
  <c r="L112" i="8" s="1"/>
  <c r="L205" i="4"/>
  <c r="L215" i="4" s="1"/>
  <c r="L62" i="6"/>
  <c r="L870" i="16" s="1"/>
  <c r="L61" i="6"/>
  <c r="L98" i="6"/>
  <c r="L1020" i="17"/>
  <c r="L1021" i="17" s="1"/>
  <c r="J275" i="7"/>
  <c r="K96" i="12"/>
  <c r="K885" i="17" s="1"/>
  <c r="K886" i="17" s="1"/>
  <c r="O710" i="16"/>
  <c r="O362" i="15"/>
  <c r="O312" i="15"/>
  <c r="O123" i="10"/>
  <c r="O715" i="16" s="1"/>
  <c r="O356" i="15"/>
  <c r="R209" i="16"/>
  <c r="R104" i="4"/>
  <c r="L158" i="16"/>
  <c r="I774" i="16"/>
  <c r="I771" i="16"/>
  <c r="J306" i="7"/>
  <c r="Q221" i="12"/>
  <c r="Q222" i="12"/>
  <c r="J362" i="17"/>
  <c r="J363" i="17" s="1"/>
  <c r="J116" i="8"/>
  <c r="H1139" i="17"/>
  <c r="H1140" i="17" s="1"/>
  <c r="H144" i="12"/>
  <c r="H1142" i="17" s="1"/>
  <c r="H1143" i="17" s="1"/>
  <c r="Q126" i="10"/>
  <c r="Q359" i="15"/>
  <c r="Q365" i="15"/>
  <c r="Q385" i="15"/>
  <c r="Q351" i="15"/>
  <c r="K192" i="16"/>
  <c r="S351" i="16"/>
  <c r="S141" i="4"/>
  <c r="S222" i="4"/>
  <c r="S129" i="4"/>
  <c r="R41" i="5"/>
  <c r="Q139" i="5"/>
  <c r="M1049" i="17"/>
  <c r="M1050" i="17" s="1"/>
  <c r="M38" i="8"/>
  <c r="M260" i="16" s="1"/>
  <c r="M249" i="16"/>
  <c r="M224" i="5"/>
  <c r="K113" i="15"/>
  <c r="K194" i="16" s="1"/>
  <c r="K100" i="10"/>
  <c r="K908" i="16"/>
  <c r="K281" i="7"/>
  <c r="M123" i="11"/>
  <c r="M125" i="11"/>
  <c r="T50" i="5"/>
  <c r="T65" i="5" s="1"/>
  <c r="S65" i="5"/>
  <c r="H232" i="15"/>
  <c r="H496" i="17"/>
  <c r="H497" i="17" s="1"/>
  <c r="H16" i="11"/>
  <c r="O495" i="16"/>
  <c r="O229" i="15"/>
  <c r="O506" i="16" s="1"/>
  <c r="O227" i="15"/>
  <c r="O497" i="16" s="1"/>
  <c r="R59" i="4"/>
  <c r="Q73" i="4"/>
  <c r="O133" i="16"/>
  <c r="O87" i="15"/>
  <c r="O128" i="16" s="1"/>
  <c r="O174" i="12"/>
  <c r="O176" i="12"/>
  <c r="J273" i="7"/>
  <c r="J81" i="7"/>
  <c r="K161" i="11"/>
  <c r="N259" i="7"/>
  <c r="Q107" i="4"/>
  <c r="R106" i="4"/>
  <c r="H821" i="16"/>
  <c r="N128" i="11"/>
  <c r="N130" i="11" s="1"/>
  <c r="N258" i="7"/>
  <c r="G888" i="17"/>
  <c r="G1269" i="17" s="1"/>
  <c r="I780" i="16"/>
  <c r="I364" i="15"/>
  <c r="I125" i="10"/>
  <c r="I785" i="16" s="1"/>
  <c r="I358" i="15"/>
  <c r="I338" i="15"/>
  <c r="M971" i="17"/>
  <c r="M972" i="17" s="1"/>
  <c r="M30" i="8"/>
  <c r="M189" i="16" s="1"/>
  <c r="M177" i="16"/>
  <c r="M222" i="5"/>
  <c r="N96" i="12"/>
  <c r="N885" i="17" s="1"/>
  <c r="N886" i="17" s="1"/>
  <c r="K287" i="17"/>
  <c r="K288" i="17" s="1"/>
  <c r="P87" i="6"/>
  <c r="L538" i="16"/>
  <c r="O120" i="15"/>
  <c r="O215" i="16"/>
  <c r="O277" i="5"/>
  <c r="R1098" i="17"/>
  <c r="R1099" i="17" s="1"/>
  <c r="R354" i="16"/>
  <c r="R203" i="7"/>
  <c r="R198" i="4"/>
  <c r="R49" i="8"/>
  <c r="K295" i="5"/>
  <c r="K297" i="5" s="1"/>
  <c r="H385" i="15"/>
  <c r="H365" i="15"/>
  <c r="H351" i="15"/>
  <c r="H359" i="15"/>
  <c r="H126" i="10"/>
  <c r="H352" i="15"/>
  <c r="I195" i="15"/>
  <c r="I408" i="16"/>
  <c r="I121" i="10"/>
  <c r="I413" i="16" s="1"/>
  <c r="M264" i="7"/>
  <c r="L470" i="16"/>
  <c r="L467" i="16"/>
  <c r="M297" i="7"/>
  <c r="H96" i="12"/>
  <c r="H885" i="17" s="1"/>
  <c r="H886" i="17" s="1"/>
  <c r="G862" i="17" s="1"/>
  <c r="G1268" i="17" s="1"/>
  <c r="T745" i="16"/>
  <c r="T363" i="15"/>
  <c r="T124" i="10"/>
  <c r="T750" i="16" s="1"/>
  <c r="T325" i="15"/>
  <c r="T357" i="15"/>
  <c r="O94" i="11"/>
  <c r="O92" i="11"/>
  <c r="O122" i="16"/>
  <c r="O23" i="8"/>
  <c r="O88" i="15" s="1"/>
  <c r="O129" i="16" s="1"/>
  <c r="P245" i="16"/>
  <c r="P109" i="4"/>
  <c r="M146" i="12"/>
  <c r="M1145" i="17" s="1"/>
  <c r="M1146" i="17" s="1"/>
  <c r="N500" i="16"/>
  <c r="N503" i="16"/>
  <c r="O298" i="7"/>
  <c r="N56" i="16"/>
  <c r="Q76" i="4"/>
  <c r="R62" i="4"/>
  <c r="M968" i="17"/>
  <c r="M969" i="17" s="1"/>
  <c r="M176" i="16"/>
  <c r="M29" i="8"/>
  <c r="M137" i="5"/>
  <c r="M198" i="7"/>
  <c r="M136" i="5"/>
  <c r="M193" i="4"/>
  <c r="M213" i="4" s="1"/>
  <c r="M896" i="16"/>
  <c r="M868" i="16"/>
  <c r="P1156" i="17"/>
  <c r="P1157" i="17" s="1"/>
  <c r="P113" i="16"/>
  <c r="P247" i="5"/>
  <c r="P819" i="16"/>
  <c r="P375" i="15"/>
  <c r="K205" i="15"/>
  <c r="K442" i="16" s="1"/>
  <c r="K437" i="16"/>
  <c r="P1150" i="17"/>
  <c r="P1151" i="17" s="1"/>
  <c r="P21" i="8"/>
  <c r="P196" i="7"/>
  <c r="P260" i="7" s="1"/>
  <c r="P111" i="16"/>
  <c r="P91" i="5"/>
  <c r="P191" i="4"/>
  <c r="K268" i="5"/>
  <c r="H296" i="12"/>
  <c r="H347" i="17" s="1"/>
  <c r="H348" i="17" s="1"/>
  <c r="H39" i="10"/>
  <c r="H272" i="12"/>
  <c r="H202" i="17" s="1"/>
  <c r="H203" i="17" s="1"/>
  <c r="H41" i="14"/>
  <c r="H408" i="15" s="1"/>
  <c r="M93" i="16"/>
  <c r="M404" i="16"/>
  <c r="L1087" i="17"/>
  <c r="L1088" i="17" s="1"/>
  <c r="L134" i="12"/>
  <c r="L1090" i="17" s="1"/>
  <c r="L1091" i="17" s="1"/>
  <c r="H93" i="11"/>
  <c r="H95" i="11" s="1"/>
  <c r="Q123" i="11"/>
  <c r="Q125" i="11"/>
  <c r="M145" i="5"/>
  <c r="K62" i="12"/>
  <c r="K10" i="12"/>
  <c r="C182" i="1"/>
  <c r="K77" i="7"/>
  <c r="K79" i="7"/>
  <c r="K275" i="7" s="1"/>
  <c r="K78" i="7"/>
  <c r="K274" i="7" s="1"/>
  <c r="N174" i="12"/>
  <c r="N176" i="12"/>
  <c r="O1176" i="17"/>
  <c r="O1177" i="17" s="1"/>
  <c r="O523" i="16"/>
  <c r="O69" i="8"/>
  <c r="O174" i="5"/>
  <c r="O203" i="4"/>
  <c r="O173" i="5"/>
  <c r="S72" i="4"/>
  <c r="T58" i="4"/>
  <c r="T72" i="4" s="1"/>
  <c r="M777" i="16"/>
  <c r="M336" i="15"/>
  <c r="R51" i="4"/>
  <c r="S50" i="4"/>
  <c r="P224" i="16"/>
  <c r="P35" i="8"/>
  <c r="P127" i="15" s="1"/>
  <c r="P231" i="16" s="1"/>
  <c r="L165" i="16"/>
  <c r="L100" i="15"/>
  <c r="L160" i="16" s="1"/>
  <c r="Q267" i="7"/>
  <c r="P777" i="16"/>
  <c r="P336" i="15"/>
  <c r="J274" i="7"/>
  <c r="J128" i="11"/>
  <c r="J130" i="11"/>
  <c r="Q1309" i="17"/>
  <c r="Q1310" i="17" s="1"/>
  <c r="Q302" i="16"/>
  <c r="Q156" i="15"/>
  <c r="Q118" i="10"/>
  <c r="Q307" i="16" s="1"/>
  <c r="O101" i="12"/>
  <c r="O911" i="17" s="1"/>
  <c r="O912" i="17" s="1"/>
  <c r="I41" i="13"/>
  <c r="I419" i="15" s="1"/>
  <c r="I71" i="10"/>
  <c r="I245" i="11"/>
  <c r="I696" i="17" s="1"/>
  <c r="I697" i="17" s="1"/>
  <c r="I221" i="11"/>
  <c r="I551" i="17" s="1"/>
  <c r="I552" i="17" s="1"/>
  <c r="M179" i="12"/>
  <c r="M181" i="12" s="1"/>
  <c r="K636" i="17"/>
  <c r="K637" i="17" s="1"/>
  <c r="M55" i="15"/>
  <c r="M48" i="16"/>
  <c r="M272" i="5"/>
  <c r="K292" i="7"/>
  <c r="J296" i="16"/>
  <c r="J293" i="16"/>
  <c r="M638" i="16"/>
  <c r="O111" i="4"/>
  <c r="O110" i="4"/>
  <c r="S365" i="15"/>
  <c r="S359" i="15"/>
  <c r="S385" i="15"/>
  <c r="S351" i="15"/>
  <c r="S126" i="10"/>
  <c r="M916" i="17"/>
  <c r="M917" i="17" s="1"/>
  <c r="M424" i="16"/>
  <c r="M57" i="8"/>
  <c r="M164" i="5"/>
  <c r="M200" i="4"/>
  <c r="N625" i="16"/>
  <c r="N262" i="5"/>
  <c r="J96" i="12"/>
  <c r="J885" i="17" s="1"/>
  <c r="J886" i="17" s="1"/>
  <c r="Q74" i="4"/>
  <c r="R60" i="4"/>
  <c r="K263" i="16"/>
  <c r="J184" i="12"/>
  <c r="J186" i="12"/>
  <c r="H881" i="16"/>
  <c r="H112" i="10"/>
  <c r="H113" i="10" s="1"/>
  <c r="H35" i="12"/>
  <c r="H36" i="12" s="1"/>
  <c r="H338" i="16"/>
  <c r="H170" i="15"/>
  <c r="H119" i="10"/>
  <c r="H343" i="16" s="1"/>
  <c r="H169" i="15"/>
  <c r="E15" i="15"/>
  <c r="R179" i="12"/>
  <c r="R181" i="12" s="1"/>
  <c r="J270" i="15"/>
  <c r="J608" i="16" s="1"/>
  <c r="J103" i="6"/>
  <c r="J884" i="16"/>
  <c r="J886" i="16" s="1"/>
  <c r="J496" i="17"/>
  <c r="J497" i="17" s="1"/>
  <c r="I101" i="12"/>
  <c r="I911" i="17" s="1"/>
  <c r="I912" i="17" s="1"/>
  <c r="F888" i="17" s="1"/>
  <c r="N1205" i="17"/>
  <c r="N1206" i="17" s="1"/>
  <c r="N26" i="8"/>
  <c r="N155" i="16" s="1"/>
  <c r="N144" i="16"/>
  <c r="N221" i="5"/>
  <c r="P501" i="16"/>
  <c r="P67" i="8"/>
  <c r="P231" i="15" s="1"/>
  <c r="P508" i="16" s="1"/>
  <c r="L206" i="12"/>
  <c r="L207" i="12"/>
  <c r="N1046" i="17"/>
  <c r="N1047" i="17" s="1"/>
  <c r="N248" i="16"/>
  <c r="N37" i="8"/>
  <c r="N200" i="7"/>
  <c r="N143" i="5"/>
  <c r="N195" i="4"/>
  <c r="N144" i="5"/>
  <c r="H376" i="15"/>
  <c r="E379" i="15"/>
  <c r="H819" i="16"/>
  <c r="H375" i="15"/>
  <c r="P620" i="16"/>
  <c r="P81" i="6"/>
  <c r="N84" i="6"/>
  <c r="P1130" i="17"/>
  <c r="P1131" i="17" s="1"/>
  <c r="P492" i="16"/>
  <c r="P258" i="5"/>
  <c r="K408" i="16"/>
  <c r="K195" i="15"/>
  <c r="K121" i="10"/>
  <c r="K413" i="16" s="1"/>
  <c r="L435" i="16"/>
  <c r="L59" i="8"/>
  <c r="O126" i="15"/>
  <c r="O230" i="16" s="1"/>
  <c r="O101" i="10"/>
  <c r="M365" i="15"/>
  <c r="M351" i="15"/>
  <c r="M126" i="10"/>
  <c r="M359" i="15"/>
  <c r="M385" i="15"/>
  <c r="P710" i="16"/>
  <c r="P356" i="15"/>
  <c r="P123" i="10"/>
  <c r="P715" i="16" s="1"/>
  <c r="P362" i="15"/>
  <c r="P312" i="15"/>
  <c r="K359" i="15"/>
  <c r="K365" i="15"/>
  <c r="K351" i="15"/>
  <c r="K126" i="10"/>
  <c r="K385" i="15"/>
  <c r="Q32" i="6"/>
  <c r="Q34" i="6"/>
  <c r="Q31" i="6"/>
  <c r="S174" i="12"/>
  <c r="S176" i="12"/>
  <c r="N742" i="16"/>
  <c r="N323" i="15"/>
  <c r="R128" i="11"/>
  <c r="R130" i="11"/>
  <c r="M533" i="16"/>
  <c r="M536" i="16"/>
  <c r="N299" i="7"/>
  <c r="P319" i="15"/>
  <c r="P734" i="16" s="1"/>
  <c r="N1101" i="17"/>
  <c r="N1102" i="17" s="1"/>
  <c r="N355" i="16"/>
  <c r="N50" i="8"/>
  <c r="N227" i="5"/>
  <c r="N157" i="5"/>
  <c r="O1072" i="17"/>
  <c r="O1073" i="17" s="1"/>
  <c r="O167" i="5"/>
  <c r="O61" i="8"/>
  <c r="O457" i="16"/>
  <c r="O201" i="4"/>
  <c r="O168" i="5"/>
  <c r="P179" i="7"/>
  <c r="H543" i="16"/>
  <c r="I248" i="15"/>
  <c r="P742" i="16"/>
  <c r="P323" i="15"/>
  <c r="R1208" i="17"/>
  <c r="R1209" i="17" s="1"/>
  <c r="R145" i="16"/>
  <c r="R248" i="5"/>
  <c r="J156" i="15"/>
  <c r="J302" i="16"/>
  <c r="J118" i="10"/>
  <c r="J307" i="16" s="1"/>
  <c r="L83" i="11"/>
  <c r="L85" i="11" s="1"/>
  <c r="T215" i="12"/>
  <c r="T216" i="12"/>
  <c r="M234" i="15"/>
  <c r="M509" i="16"/>
  <c r="O35" i="8"/>
  <c r="O127" i="15" s="1"/>
  <c r="O231" i="16" s="1"/>
  <c r="Q96" i="12"/>
  <c r="Q885" i="17" s="1"/>
  <c r="Q886" i="17" s="1"/>
  <c r="F862" i="17" s="1"/>
  <c r="J329" i="16"/>
  <c r="J332" i="16"/>
  <c r="K293" i="7"/>
  <c r="J869" i="16"/>
  <c r="J137" i="17"/>
  <c r="J138" i="17" s="1"/>
  <c r="J64" i="12"/>
  <c r="C31" i="1"/>
  <c r="J30" i="14"/>
  <c r="J11" i="12"/>
  <c r="J12" i="12" s="1"/>
  <c r="O123" i="11"/>
  <c r="O125" i="11"/>
  <c r="L243" i="5"/>
  <c r="L63" i="12" s="1"/>
  <c r="L142" i="17" s="1"/>
  <c r="L143" i="17" s="1"/>
  <c r="L12" i="11"/>
  <c r="L491" i="17" s="1"/>
  <c r="L492" i="17" s="1"/>
  <c r="R169" i="15"/>
  <c r="R338" i="16"/>
  <c r="R119" i="10"/>
  <c r="R343" i="16" s="1"/>
  <c r="P1254" i="17"/>
  <c r="P1255" i="17" s="1"/>
  <c r="P128" i="5"/>
  <c r="P92" i="4"/>
  <c r="P126" i="5"/>
  <c r="P129" i="5" s="1"/>
  <c r="O41" i="16"/>
  <c r="O135" i="4"/>
  <c r="O31" i="5"/>
  <c r="O33" i="5" s="1"/>
  <c r="O30" i="6"/>
  <c r="O553" i="16" s="1"/>
  <c r="O219" i="4"/>
  <c r="M126" i="16"/>
  <c r="P557" i="16"/>
  <c r="P73" i="8"/>
  <c r="P204" i="4"/>
  <c r="P36" i="6"/>
  <c r="P997" i="17"/>
  <c r="P998" i="17" s="1"/>
  <c r="P213" i="16"/>
  <c r="P223" i="5"/>
  <c r="P34" i="8"/>
  <c r="P225" i="16" s="1"/>
  <c r="H302" i="16"/>
  <c r="H156" i="15"/>
  <c r="H118" i="10"/>
  <c r="H307" i="16" s="1"/>
  <c r="H157" i="15"/>
  <c r="E14" i="15"/>
  <c r="T55" i="5"/>
  <c r="T67" i="5" s="1"/>
  <c r="T181" i="7" s="1"/>
  <c r="T182" i="7" s="1"/>
  <c r="S67" i="5"/>
  <c r="S181" i="7" s="1"/>
  <c r="S182" i="7" s="1"/>
  <c r="N81" i="16"/>
  <c r="N273" i="5"/>
  <c r="N68" i="15"/>
  <c r="K661" i="16"/>
  <c r="K292" i="15"/>
  <c r="K663" i="16" s="1"/>
  <c r="K294" i="15"/>
  <c r="K672" i="16" s="1"/>
  <c r="K293" i="15"/>
  <c r="K664" i="16" s="1"/>
  <c r="O1254" i="17"/>
  <c r="O1255" i="17" s="1"/>
  <c r="O128" i="5"/>
  <c r="O92" i="4"/>
  <c r="O126" i="5"/>
  <c r="O129" i="5" s="1"/>
  <c r="P38" i="4"/>
  <c r="P41" i="4"/>
  <c r="M61" i="15"/>
  <c r="M62" i="16" s="1"/>
  <c r="M67" i="16"/>
  <c r="H362" i="15"/>
  <c r="H356" i="15"/>
  <c r="H710" i="16"/>
  <c r="H312" i="15"/>
  <c r="H123" i="10"/>
  <c r="H715" i="16" s="1"/>
  <c r="H313" i="15"/>
  <c r="I222" i="15"/>
  <c r="H477" i="16"/>
  <c r="Q78" i="4"/>
  <c r="R64" i="4"/>
  <c r="M164" i="11"/>
  <c r="M165" i="11"/>
  <c r="R34" i="4"/>
  <c r="Q36" i="4"/>
  <c r="Q33" i="6" s="1"/>
  <c r="R1325" i="17"/>
  <c r="Q1327" i="17"/>
  <c r="N185" i="15"/>
  <c r="N392" i="16"/>
  <c r="N282" i="5"/>
  <c r="N186" i="15"/>
  <c r="O141" i="16"/>
  <c r="O224" i="4"/>
  <c r="P520" i="16"/>
  <c r="P145" i="4"/>
  <c r="P146" i="4" s="1"/>
  <c r="M188" i="15"/>
  <c r="M396" i="16" s="1"/>
  <c r="M189" i="15"/>
  <c r="M397" i="16" s="1"/>
  <c r="M190" i="15"/>
  <c r="M405" i="16" s="1"/>
  <c r="M394" i="16"/>
  <c r="K509" i="16"/>
  <c r="K234" i="15"/>
  <c r="Q82" i="4"/>
  <c r="R68" i="4"/>
  <c r="O505" i="16"/>
  <c r="O232" i="15"/>
  <c r="J806" i="16"/>
  <c r="J378" i="15"/>
  <c r="J821" i="16" s="1"/>
  <c r="L668" i="16"/>
  <c r="L87" i="8"/>
  <c r="L296" i="15" s="1"/>
  <c r="L674" i="16" s="1"/>
  <c r="M237" i="15"/>
  <c r="M238" i="15"/>
  <c r="M526" i="16"/>
  <c r="M152" i="12"/>
  <c r="M101" i="11"/>
  <c r="M286" i="5"/>
  <c r="L219" i="15"/>
  <c r="Q176" i="12"/>
  <c r="Q174" i="12"/>
  <c r="M572" i="16"/>
  <c r="M82" i="11"/>
  <c r="M84" i="11"/>
  <c r="I296" i="12"/>
  <c r="I347" i="17" s="1"/>
  <c r="I348" i="17" s="1"/>
  <c r="I39" i="10"/>
  <c r="I272" i="12"/>
  <c r="I202" i="17" s="1"/>
  <c r="I203" i="17" s="1"/>
  <c r="I41" i="14"/>
  <c r="I408" i="15" s="1"/>
  <c r="R99" i="5"/>
  <c r="Q127" i="5"/>
  <c r="L369" i="16"/>
  <c r="L922" i="17"/>
  <c r="L923" i="17" s="1"/>
  <c r="L426" i="16"/>
  <c r="L256" i="5"/>
  <c r="J338" i="16"/>
  <c r="J119" i="10"/>
  <c r="J343" i="16" s="1"/>
  <c r="J169" i="15"/>
  <c r="L974" i="17"/>
  <c r="L975" i="17" s="1"/>
  <c r="L178" i="16"/>
  <c r="L249" i="5"/>
  <c r="K427" i="16"/>
  <c r="K199" i="15"/>
  <c r="K198" i="15"/>
  <c r="K283" i="5"/>
  <c r="K51" i="11"/>
  <c r="K102" i="12"/>
  <c r="K399" i="16"/>
  <c r="K402" i="16"/>
  <c r="L295" i="7"/>
  <c r="O390" i="16"/>
  <c r="O54" i="8"/>
  <c r="O228" i="5"/>
  <c r="O161" i="5"/>
  <c r="J166" i="12"/>
  <c r="J1249" i="17" s="1"/>
  <c r="J1250" i="17" s="1"/>
  <c r="K192" i="11"/>
  <c r="K616" i="17" s="1"/>
  <c r="K617" i="17" s="1"/>
  <c r="K121" i="8"/>
  <c r="R24" i="5"/>
  <c r="Q36" i="5"/>
  <c r="Q177" i="7" s="1"/>
  <c r="O97" i="4"/>
  <c r="P96" i="4"/>
  <c r="J909" i="16"/>
  <c r="J33" i="12"/>
  <c r="O568" i="16"/>
  <c r="O75" i="8"/>
  <c r="I106" i="12"/>
  <c r="I937" i="17" s="1"/>
  <c r="I938" i="17" s="1"/>
  <c r="O224" i="12"/>
  <c r="O225" i="12"/>
  <c r="P171" i="5"/>
  <c r="N460" i="16"/>
  <c r="N212" i="15"/>
  <c r="N132" i="12"/>
  <c r="N284" i="5"/>
  <c r="N211" i="15"/>
  <c r="N81" i="11"/>
  <c r="L385" i="15"/>
  <c r="L365" i="15"/>
  <c r="L359" i="15"/>
  <c r="L351" i="15"/>
  <c r="L126" i="10"/>
  <c r="L262" i="7"/>
  <c r="Q71" i="4"/>
  <c r="R57" i="4"/>
  <c r="J931" i="17"/>
  <c r="J932" i="17" s="1"/>
  <c r="J104" i="12"/>
  <c r="J934" i="17" s="1"/>
  <c r="J935" i="17" s="1"/>
  <c r="O173" i="11"/>
  <c r="O174" i="11"/>
  <c r="L809" i="16"/>
  <c r="L812" i="16"/>
  <c r="M172" i="7"/>
  <c r="R74" i="5"/>
  <c r="Q88" i="5"/>
  <c r="R332" i="15"/>
  <c r="R769" i="16" s="1"/>
  <c r="O942" i="17"/>
  <c r="O943" i="17" s="1"/>
  <c r="O78" i="16"/>
  <c r="O17" i="8"/>
  <c r="O195" i="7"/>
  <c r="O190" i="4"/>
  <c r="O66" i="5"/>
  <c r="O155" i="5"/>
  <c r="O156" i="5"/>
  <c r="Q155" i="11"/>
  <c r="Q156" i="11"/>
  <c r="Q138" i="4"/>
  <c r="Q45" i="4"/>
  <c r="R44" i="4"/>
  <c r="N23" i="8"/>
  <c r="N88" i="15" s="1"/>
  <c r="N129" i="16" s="1"/>
  <c r="N1078" i="17"/>
  <c r="N1079" i="17" s="1"/>
  <c r="N459" i="16"/>
  <c r="N257" i="5"/>
  <c r="L210" i="7"/>
  <c r="R777" i="16"/>
  <c r="R336" i="15"/>
  <c r="L96" i="12"/>
  <c r="L885" i="17" s="1"/>
  <c r="L886" i="17" s="1"/>
  <c r="N356" i="16"/>
  <c r="N1104" i="17"/>
  <c r="N1105" i="17" s="1"/>
  <c r="N254" i="5"/>
  <c r="Q994" i="17"/>
  <c r="Q995" i="17" s="1"/>
  <c r="Q212" i="16"/>
  <c r="Q33" i="8"/>
  <c r="Q141" i="5"/>
  <c r="Q199" i="7"/>
  <c r="Q194" i="4"/>
  <c r="N319" i="15"/>
  <c r="N734" i="16" s="1"/>
  <c r="M65" i="6"/>
  <c r="M95" i="6" s="1"/>
  <c r="P75" i="16"/>
  <c r="P62" i="5"/>
  <c r="P64" i="5" s="1"/>
  <c r="P47" i="4"/>
  <c r="L868" i="16"/>
  <c r="S179" i="12"/>
  <c r="S181" i="12" s="1"/>
  <c r="K302" i="16"/>
  <c r="K118" i="10"/>
  <c r="K307" i="16" s="1"/>
  <c r="K156" i="15"/>
  <c r="P263" i="7"/>
  <c r="L528" i="16"/>
  <c r="L241" i="15"/>
  <c r="L531" i="16" s="1"/>
  <c r="L240" i="15"/>
  <c r="L530" i="16" s="1"/>
  <c r="L242" i="15"/>
  <c r="L539" i="16" s="1"/>
  <c r="K377" i="17"/>
  <c r="K378" i="17" s="1"/>
  <c r="K726" i="17"/>
  <c r="K727" i="17" s="1"/>
  <c r="T105" i="5"/>
  <c r="T130" i="5" s="1"/>
  <c r="S130" i="5"/>
  <c r="R742" i="16"/>
  <c r="R323" i="15"/>
  <c r="O338" i="16"/>
  <c r="O119" i="10"/>
  <c r="O343" i="16" s="1"/>
  <c r="O169" i="15"/>
  <c r="H174" i="12"/>
  <c r="H176" i="12" s="1"/>
  <c r="N1182" i="17"/>
  <c r="N1183" i="17" s="1"/>
  <c r="N525" i="16"/>
  <c r="N259" i="5"/>
  <c r="J14" i="11"/>
  <c r="J501" i="17" s="1"/>
  <c r="J502" i="17" s="1"/>
  <c r="J270" i="5"/>
  <c r="L251" i="16"/>
  <c r="L133" i="15"/>
  <c r="L278" i="5"/>
  <c r="S128" i="11"/>
  <c r="S130" i="11"/>
  <c r="I739" i="16"/>
  <c r="I736" i="16"/>
  <c r="J305" i="7"/>
  <c r="L638" i="16"/>
  <c r="L188" i="16"/>
  <c r="L31" i="8"/>
  <c r="L114" i="15" s="1"/>
  <c r="L195" i="16" s="1"/>
  <c r="M101" i="12"/>
  <c r="M911" i="17" s="1"/>
  <c r="M912" i="17" s="1"/>
  <c r="M366" i="16"/>
  <c r="M51" i="8"/>
  <c r="M179" i="15" s="1"/>
  <c r="M372" i="16" s="1"/>
  <c r="L908" i="16"/>
  <c r="P1307" i="17"/>
  <c r="P1308" i="17" s="1"/>
  <c r="J263" i="15"/>
  <c r="J593" i="16"/>
  <c r="J64" i="6"/>
  <c r="J94" i="6" s="1"/>
  <c r="J288" i="5"/>
  <c r="J296" i="5" s="1"/>
  <c r="J297" i="5" s="1"/>
  <c r="J100" i="6"/>
  <c r="J63" i="6"/>
  <c r="J91" i="6" s="1"/>
  <c r="J93" i="6" s="1"/>
  <c r="J870" i="16"/>
  <c r="M100" i="16"/>
  <c r="M74" i="15"/>
  <c r="M95" i="16" s="1"/>
  <c r="N1231" i="17"/>
  <c r="N1232" i="17" s="1"/>
  <c r="N657" i="16"/>
  <c r="N236" i="5"/>
  <c r="N86" i="8"/>
  <c r="N178" i="5"/>
  <c r="L9" i="9"/>
  <c r="J179" i="12"/>
  <c r="J181" i="12" s="1"/>
  <c r="K356" i="15"/>
  <c r="K312" i="15"/>
  <c r="K710" i="16"/>
  <c r="K362" i="15"/>
  <c r="K123" i="10"/>
  <c r="K715" i="16" s="1"/>
  <c r="L155" i="12"/>
  <c r="L153" i="12"/>
  <c r="N238" i="15"/>
  <c r="N152" i="12"/>
  <c r="N526" i="16"/>
  <c r="N286" i="5"/>
  <c r="N101" i="11"/>
  <c r="N237" i="15"/>
  <c r="J780" i="16"/>
  <c r="J364" i="15"/>
  <c r="J358" i="15"/>
  <c r="J125" i="10"/>
  <c r="J785" i="16" s="1"/>
  <c r="J338" i="15"/>
  <c r="H41" i="13"/>
  <c r="H419" i="15" s="1"/>
  <c r="H245" i="11"/>
  <c r="H696" i="17" s="1"/>
  <c r="H697" i="17" s="1"/>
  <c r="H221" i="11"/>
  <c r="H551" i="17" s="1"/>
  <c r="H552" i="17" s="1"/>
  <c r="H71" i="10"/>
  <c r="J666" i="16"/>
  <c r="K303" i="7"/>
  <c r="J669" i="16"/>
  <c r="R66" i="4"/>
  <c r="Q80" i="4"/>
  <c r="Q86" i="4"/>
  <c r="J195" i="15"/>
  <c r="J408" i="16"/>
  <c r="J121" i="10"/>
  <c r="J413" i="16" s="1"/>
  <c r="J711" i="17"/>
  <c r="J712" i="17" s="1"/>
  <c r="J914" i="16"/>
  <c r="J122" i="8"/>
  <c r="M59" i="6"/>
  <c r="M587" i="16"/>
  <c r="J509" i="16"/>
  <c r="J234" i="15"/>
  <c r="L742" i="16"/>
  <c r="L323" i="15"/>
  <c r="N81" i="15"/>
  <c r="N114" i="16"/>
  <c r="N274" i="5"/>
  <c r="N257" i="15"/>
  <c r="N575" i="16" s="1"/>
  <c r="R79" i="5"/>
  <c r="Q93" i="5"/>
  <c r="M472" i="16"/>
  <c r="M219" i="15"/>
  <c r="L659" i="16"/>
  <c r="L290" i="15"/>
  <c r="L111" i="11"/>
  <c r="L162" i="12"/>
  <c r="L290" i="5"/>
  <c r="L289" i="15"/>
  <c r="L211" i="12"/>
  <c r="L213" i="12" s="1"/>
  <c r="L160" i="11"/>
  <c r="L162" i="11" s="1"/>
  <c r="I170" i="11"/>
  <c r="I171" i="11"/>
  <c r="R487" i="16"/>
  <c r="R142" i="4"/>
  <c r="R143" i="4" s="1"/>
  <c r="N634" i="16"/>
  <c r="N83" i="8"/>
  <c r="N283" i="15" s="1"/>
  <c r="N641" i="16" s="1"/>
  <c r="M39" i="8"/>
  <c r="M140" i="15" s="1"/>
  <c r="M266" i="16" s="1"/>
  <c r="M259" i="16"/>
  <c r="Q365" i="16"/>
  <c r="P119" i="10"/>
  <c r="P343" i="16" s="1"/>
  <c r="P338" i="16"/>
  <c r="P169" i="15"/>
  <c r="O145" i="12"/>
  <c r="O143" i="12"/>
  <c r="N156" i="15"/>
  <c r="N118" i="10"/>
  <c r="N307" i="16" s="1"/>
  <c r="N302" i="16"/>
  <c r="N434" i="16"/>
  <c r="O296" i="7"/>
  <c r="J362" i="15"/>
  <c r="J356" i="15"/>
  <c r="J710" i="16"/>
  <c r="J123" i="10"/>
  <c r="J715" i="16" s="1"/>
  <c r="J312" i="15"/>
  <c r="I672" i="16"/>
  <c r="I297" i="15"/>
  <c r="K592" i="16"/>
  <c r="K261" i="5"/>
  <c r="K269" i="5" s="1"/>
  <c r="K99" i="6"/>
  <c r="K1026" i="17"/>
  <c r="K1027" i="17" s="1"/>
  <c r="J351" i="15"/>
  <c r="J365" i="15"/>
  <c r="J126" i="10"/>
  <c r="J359" i="15"/>
  <c r="J385" i="15"/>
  <c r="T167" i="11"/>
  <c r="T168" i="11"/>
  <c r="S358" i="15"/>
  <c r="S364" i="15"/>
  <c r="S780" i="16"/>
  <c r="S338" i="15"/>
  <c r="S125" i="10"/>
  <c r="S785" i="16" s="1"/>
  <c r="M128" i="11"/>
  <c r="M130" i="11" s="1"/>
  <c r="N1202" i="17"/>
  <c r="N1203" i="17" s="1"/>
  <c r="N143" i="16"/>
  <c r="N25" i="8"/>
  <c r="N192" i="4"/>
  <c r="N212" i="4" s="1"/>
  <c r="N131" i="5"/>
  <c r="N197" i="7"/>
  <c r="N401" i="16"/>
  <c r="N55" i="8"/>
  <c r="N192" i="15" s="1"/>
  <c r="N407" i="16" s="1"/>
  <c r="N123" i="11"/>
  <c r="N125" i="11"/>
  <c r="M133" i="12"/>
  <c r="M135" i="12"/>
  <c r="J225" i="11"/>
  <c r="J571" i="17" s="1"/>
  <c r="J572" i="17" s="1"/>
  <c r="J566" i="17"/>
  <c r="J567" i="17" s="1"/>
  <c r="L427" i="16"/>
  <c r="L198" i="15"/>
  <c r="L199" i="15"/>
  <c r="L283" i="5"/>
  <c r="L102" i="12"/>
  <c r="L51" i="11"/>
  <c r="I166" i="12"/>
  <c r="I1249" i="17" s="1"/>
  <c r="I1250" i="17" s="1"/>
  <c r="I293" i="15"/>
  <c r="I664" i="16" s="1"/>
  <c r="O559" i="16"/>
  <c r="O260" i="5"/>
  <c r="M158" i="16"/>
  <c r="K357" i="15"/>
  <c r="K745" i="16"/>
  <c r="K325" i="15"/>
  <c r="K363" i="15"/>
  <c r="K124" i="10"/>
  <c r="K750" i="16" s="1"/>
  <c r="I113" i="11"/>
  <c r="I115" i="11" s="1"/>
  <c r="M742" i="16"/>
  <c r="M323" i="15"/>
  <c r="J807" i="16"/>
  <c r="K243" i="12"/>
  <c r="K267" i="17" s="1"/>
  <c r="K268" i="17" s="1"/>
  <c r="K115" i="8"/>
  <c r="I443" i="16"/>
  <c r="I208" i="15"/>
  <c r="I209" i="15"/>
  <c r="P178" i="7"/>
  <c r="H179" i="12"/>
  <c r="H181" i="12"/>
  <c r="T777" i="16"/>
  <c r="T336" i="15"/>
  <c r="J53" i="11"/>
  <c r="J55" i="11" s="1"/>
  <c r="N179" i="12"/>
  <c r="N181" i="12" s="1"/>
  <c r="L114" i="8"/>
  <c r="L249" i="12" s="1"/>
  <c r="I338" i="16"/>
  <c r="I119" i="10"/>
  <c r="I343" i="16" s="1"/>
  <c r="I169" i="15"/>
  <c r="P222" i="12"/>
  <c r="S35" i="4"/>
  <c r="R37" i="4"/>
  <c r="J343" i="15"/>
  <c r="J47" i="10"/>
  <c r="J79" i="10"/>
  <c r="H869" i="16"/>
  <c r="H137" i="17"/>
  <c r="H138" i="17" s="1"/>
  <c r="H30" i="14"/>
  <c r="H64" i="12"/>
  <c r="H11" i="12"/>
  <c r="H12" i="12" s="1"/>
  <c r="M216" i="15"/>
  <c r="M473" i="16" s="1"/>
  <c r="M462" i="16"/>
  <c r="M214" i="15"/>
  <c r="M464" i="16" s="1"/>
  <c r="R819" i="16"/>
  <c r="R375" i="15"/>
  <c r="M101" i="15"/>
  <c r="M161" i="16" s="1"/>
  <c r="K601" i="16"/>
  <c r="K79" i="8"/>
  <c r="M15" i="8"/>
  <c r="L213" i="4"/>
  <c r="L281" i="7"/>
  <c r="P90" i="5"/>
  <c r="P92" i="5" s="1"/>
  <c r="P159" i="5"/>
  <c r="P1317" i="17"/>
  <c r="P128" i="11"/>
  <c r="P130" i="11"/>
  <c r="O319" i="15"/>
  <c r="O734" i="16" s="1"/>
  <c r="K297" i="15"/>
  <c r="K671" i="16"/>
  <c r="M319" i="15"/>
  <c r="M734" i="16" s="1"/>
  <c r="N173" i="16"/>
  <c r="N99" i="4"/>
  <c r="N135" i="5"/>
  <c r="N56" i="6"/>
  <c r="N220" i="4"/>
  <c r="N58" i="6"/>
  <c r="N57" i="6"/>
  <c r="N55" i="6"/>
  <c r="I509" i="16"/>
  <c r="I234" i="15"/>
  <c r="L358" i="15"/>
  <c r="L364" i="15"/>
  <c r="L338" i="15"/>
  <c r="L780" i="16"/>
  <c r="L125" i="10"/>
  <c r="L785" i="16" s="1"/>
  <c r="K136" i="12"/>
  <c r="K1093" i="17" s="1"/>
  <c r="K1094" i="17" s="1"/>
  <c r="M172" i="15"/>
  <c r="M357" i="16"/>
  <c r="M281" i="5"/>
  <c r="O742" i="16"/>
  <c r="O323" i="15"/>
  <c r="R71" i="5"/>
  <c r="Q89" i="5"/>
  <c r="K165" i="12"/>
  <c r="K163" i="12"/>
  <c r="N841" i="17"/>
  <c r="N842" i="17" s="1"/>
  <c r="N46" i="16"/>
  <c r="N14" i="8"/>
  <c r="N218" i="5"/>
  <c r="J252" i="12"/>
  <c r="J201" i="11"/>
  <c r="N365" i="15"/>
  <c r="N351" i="15"/>
  <c r="N385" i="15"/>
  <c r="N126" i="10"/>
  <c r="N359" i="15"/>
  <c r="P87" i="4"/>
  <c r="P179" i="12"/>
  <c r="P181" i="12" s="1"/>
  <c r="T65" i="4"/>
  <c r="S79" i="4"/>
  <c r="M1231" i="17"/>
  <c r="M1232" i="17" s="1"/>
  <c r="M657" i="16"/>
  <c r="M86" i="8"/>
  <c r="M236" i="5"/>
  <c r="M241" i="5" s="1"/>
  <c r="M178" i="5"/>
  <c r="O945" i="17"/>
  <c r="O946" i="17" s="1"/>
  <c r="O18" i="8"/>
  <c r="O90" i="16" s="1"/>
  <c r="O219" i="5"/>
  <c r="O79" i="16"/>
  <c r="N227" i="4"/>
  <c r="L118" i="8"/>
  <c r="K50" i="9"/>
  <c r="K51" i="9"/>
  <c r="H781" i="16"/>
  <c r="I339" i="15"/>
  <c r="Q819" i="16"/>
  <c r="Q375" i="15"/>
  <c r="L215" i="15"/>
  <c r="L465" i="16" s="1"/>
  <c r="M1304" i="17"/>
  <c r="N222" i="12"/>
  <c r="Q1299" i="17"/>
  <c r="Q1300" i="17" s="1"/>
  <c r="Q75" i="4"/>
  <c r="Q84" i="4"/>
  <c r="R61" i="4"/>
  <c r="N19" i="8"/>
  <c r="N75" i="15" s="1"/>
  <c r="N96" i="16" s="1"/>
  <c r="N89" i="16"/>
  <c r="L193" i="15"/>
  <c r="N87" i="15"/>
  <c r="N128" i="16" s="1"/>
  <c r="N133" i="16"/>
  <c r="N560" i="16"/>
  <c r="N39" i="6"/>
  <c r="N287" i="5"/>
  <c r="N250" i="15"/>
  <c r="N38" i="6"/>
  <c r="N90" i="6" s="1"/>
  <c r="K114" i="11"/>
  <c r="K112" i="11"/>
  <c r="R101" i="12"/>
  <c r="R911" i="17" s="1"/>
  <c r="R912" i="17" s="1"/>
  <c r="R56" i="4"/>
  <c r="Q70" i="4"/>
  <c r="Q88" i="4" s="1"/>
  <c r="Q83" i="4"/>
  <c r="H676" i="16"/>
  <c r="I300" i="15"/>
  <c r="O838" i="17"/>
  <c r="O839" i="17" s="1"/>
  <c r="O45" i="16"/>
  <c r="O13" i="8"/>
  <c r="O194" i="7"/>
  <c r="O189" i="4"/>
  <c r="O35" i="5"/>
  <c r="O176" i="5"/>
  <c r="H409" i="16"/>
  <c r="I196" i="15"/>
  <c r="L169" i="15"/>
  <c r="I15" i="15" s="1"/>
  <c r="L338" i="16"/>
  <c r="L119" i="10"/>
  <c r="L343" i="16" s="1"/>
  <c r="K250" i="12"/>
  <c r="K199" i="11"/>
  <c r="L18" i="9"/>
  <c r="P454" i="16"/>
  <c r="P139" i="4"/>
  <c r="P140" i="4" s="1"/>
  <c r="K247" i="15"/>
  <c r="K542" i="16"/>
  <c r="N468" i="16"/>
  <c r="N63" i="8"/>
  <c r="N218" i="15" s="1"/>
  <c r="N475" i="16" s="1"/>
  <c r="P33" i="6"/>
  <c r="L101" i="12"/>
  <c r="L911" i="17" s="1"/>
  <c r="L912" i="17" s="1"/>
  <c r="J206" i="15"/>
  <c r="L118" i="10"/>
  <c r="L307" i="16" s="1"/>
  <c r="L302" i="16"/>
  <c r="L156" i="15"/>
  <c r="Q85" i="4"/>
  <c r="Q77" i="4"/>
  <c r="R63" i="4"/>
  <c r="I506" i="17"/>
  <c r="I507" i="17" s="1"/>
  <c r="I900" i="16"/>
  <c r="I31" i="13"/>
  <c r="I32" i="13" s="1"/>
  <c r="I13" i="12"/>
  <c r="I69" i="10"/>
  <c r="I32" i="11"/>
  <c r="I30" i="11"/>
  <c r="O84" i="6"/>
  <c r="O206" i="4"/>
  <c r="O83" i="6"/>
  <c r="O623" i="16"/>
  <c r="O81" i="8"/>
  <c r="K11" i="11"/>
  <c r="K61" i="12"/>
  <c r="K214" i="4"/>
  <c r="J101" i="12"/>
  <c r="J911" i="17" s="1"/>
  <c r="J912" i="17" s="1"/>
  <c r="L139" i="15"/>
  <c r="L265" i="16" s="1"/>
  <c r="L102" i="10"/>
  <c r="P332" i="15"/>
  <c r="P769" i="16" s="1"/>
  <c r="I352" i="15" l="1"/>
  <c r="J352" i="15" s="1"/>
  <c r="K352" i="15" s="1"/>
  <c r="L352" i="15" s="1"/>
  <c r="M352" i="15" s="1"/>
  <c r="N352" i="15" s="1"/>
  <c r="O352" i="15" s="1"/>
  <c r="P352" i="15" s="1"/>
  <c r="Q352" i="15" s="1"/>
  <c r="R352" i="15" s="1"/>
  <c r="S352" i="15" s="1"/>
  <c r="T352" i="15" s="1"/>
  <c r="K29" i="15"/>
  <c r="H29" i="15"/>
  <c r="J29" i="15"/>
  <c r="G29" i="15"/>
  <c r="E42" i="15"/>
  <c r="I29" i="15"/>
  <c r="M12" i="11"/>
  <c r="M491" i="17" s="1"/>
  <c r="M492" i="17" s="1"/>
  <c r="M243" i="5"/>
  <c r="M63" i="12" s="1"/>
  <c r="M142" i="17" s="1"/>
  <c r="M143" i="17" s="1"/>
  <c r="Q40" i="6"/>
  <c r="F1268" i="17"/>
  <c r="E862" i="17"/>
  <c r="E1268" i="17" s="1"/>
  <c r="R1309" i="17"/>
  <c r="R1310" i="17"/>
  <c r="Q1307" i="17"/>
  <c r="Q1308" i="17" s="1"/>
  <c r="Q829" i="16"/>
  <c r="G30" i="16"/>
  <c r="I31" i="15"/>
  <c r="F1269" i="17"/>
  <c r="E888" i="17"/>
  <c r="E1269" i="17" s="1"/>
  <c r="N10" i="11"/>
  <c r="N60" i="12"/>
  <c r="P1153" i="17"/>
  <c r="P1154" i="17" s="1"/>
  <c r="P112" i="16"/>
  <c r="P22" i="8"/>
  <c r="P123" i="16" s="1"/>
  <c r="P220" i="5"/>
  <c r="P94" i="5"/>
  <c r="L243" i="12"/>
  <c r="L267" i="17" s="1"/>
  <c r="L268" i="17" s="1"/>
  <c r="L115" i="8"/>
  <c r="Q493" i="16"/>
  <c r="Q91" i="11"/>
  <c r="Q224" i="15"/>
  <c r="Q285" i="5"/>
  <c r="Q225" i="15"/>
  <c r="Q142" i="12"/>
  <c r="Q1305" i="17"/>
  <c r="Q1306" i="17"/>
  <c r="J196" i="15"/>
  <c r="I409" i="16"/>
  <c r="Q92" i="5"/>
  <c r="N572" i="16"/>
  <c r="J344" i="15"/>
  <c r="J345" i="15" s="1"/>
  <c r="S79" i="5"/>
  <c r="R93" i="5"/>
  <c r="K666" i="16"/>
  <c r="K669" i="16"/>
  <c r="L303" i="7"/>
  <c r="L19" i="9"/>
  <c r="L76" i="10"/>
  <c r="L44" i="10"/>
  <c r="J739" i="16"/>
  <c r="J736" i="16"/>
  <c r="K305" i="7"/>
  <c r="I14" i="15"/>
  <c r="Q75" i="16"/>
  <c r="Q62" i="5"/>
  <c r="Q64" i="5" s="1"/>
  <c r="Q47" i="4"/>
  <c r="S74" i="5"/>
  <c r="R88" i="5"/>
  <c r="P224" i="15"/>
  <c r="P91" i="11"/>
  <c r="P493" i="16"/>
  <c r="P285" i="5"/>
  <c r="P225" i="15"/>
  <c r="P142" i="12"/>
  <c r="P1176" i="17"/>
  <c r="P1177" i="17" s="1"/>
  <c r="P523" i="16"/>
  <c r="P203" i="4"/>
  <c r="P173" i="5"/>
  <c r="P69" i="8"/>
  <c r="H14" i="15"/>
  <c r="N325" i="15"/>
  <c r="N363" i="15"/>
  <c r="N124" i="10"/>
  <c r="N750" i="16" s="1"/>
  <c r="N745" i="16"/>
  <c r="N357" i="15"/>
  <c r="N1052" i="17"/>
  <c r="N1053" i="17" s="1"/>
  <c r="N250" i="16"/>
  <c r="N251" i="5"/>
  <c r="J579" i="16"/>
  <c r="J282" i="7"/>
  <c r="J256" i="15"/>
  <c r="J574" i="16" s="1"/>
  <c r="J880" i="16"/>
  <c r="S948" i="17"/>
  <c r="S949" i="17" s="1"/>
  <c r="S80" i="16"/>
  <c r="S246" i="5"/>
  <c r="M120" i="8"/>
  <c r="M198" i="11" s="1"/>
  <c r="I746" i="16"/>
  <c r="J326" i="15"/>
  <c r="S209" i="16"/>
  <c r="S104" i="4"/>
  <c r="N587" i="16"/>
  <c r="N59" i="6"/>
  <c r="O1139" i="17"/>
  <c r="O1140" i="17" s="1"/>
  <c r="O144" i="12"/>
  <c r="O1142" i="17" s="1"/>
  <c r="O1143" i="17" s="1"/>
  <c r="O146" i="12"/>
  <c r="O1145" i="17" s="1"/>
  <c r="O1146" i="17" s="1"/>
  <c r="N659" i="16"/>
  <c r="N162" i="12"/>
  <c r="N289" i="15"/>
  <c r="N160" i="11"/>
  <c r="N290" i="15"/>
  <c r="N211" i="12"/>
  <c r="N111" i="11"/>
  <c r="N290" i="5"/>
  <c r="Q454" i="16"/>
  <c r="Q139" i="4"/>
  <c r="Q140" i="4" s="1"/>
  <c r="S99" i="5"/>
  <c r="R127" i="5"/>
  <c r="L476" i="16"/>
  <c r="L221" i="15"/>
  <c r="O509" i="16"/>
  <c r="O234" i="15"/>
  <c r="R78" i="4"/>
  <c r="S64" i="4"/>
  <c r="N172" i="15"/>
  <c r="N357" i="16"/>
  <c r="N281" i="5"/>
  <c r="I170" i="15"/>
  <c r="H339" i="16"/>
  <c r="L136" i="12"/>
  <c r="L1093" i="17" s="1"/>
  <c r="L1094" i="17" s="1"/>
  <c r="O500" i="16"/>
  <c r="O503" i="16"/>
  <c r="P298" i="7"/>
  <c r="R267" i="7"/>
  <c r="N61" i="15"/>
  <c r="N62" i="16" s="1"/>
  <c r="N67" i="16"/>
  <c r="T948" i="17"/>
  <c r="T949" i="17" s="1"/>
  <c r="T80" i="16"/>
  <c r="T246" i="5"/>
  <c r="S220" i="7"/>
  <c r="S240" i="7" s="1"/>
  <c r="P220" i="7"/>
  <c r="P240" i="7" s="1"/>
  <c r="J282" i="15"/>
  <c r="J640" i="16" s="1"/>
  <c r="J645" i="16"/>
  <c r="M114" i="8"/>
  <c r="M249" i="12" s="1"/>
  <c r="L103" i="11"/>
  <c r="L105" i="11" s="1"/>
  <c r="O83" i="8"/>
  <c r="O283" i="15" s="1"/>
  <c r="O641" i="16" s="1"/>
  <c r="O634" i="16"/>
  <c r="R85" i="4"/>
  <c r="R77" i="4"/>
  <c r="R90" i="4" s="1"/>
  <c r="R1260" i="17" s="1"/>
  <c r="R1261" i="17" s="1"/>
  <c r="S63" i="4"/>
  <c r="P1072" i="17"/>
  <c r="P1073" i="17" s="1"/>
  <c r="P457" i="16"/>
  <c r="P61" i="8"/>
  <c r="P167" i="5"/>
  <c r="P201" i="4"/>
  <c r="I676" i="16"/>
  <c r="J300" i="15"/>
  <c r="T35" i="4"/>
  <c r="T37" i="4" s="1"/>
  <c r="S37" i="4"/>
  <c r="L52" i="11"/>
  <c r="L54" i="11"/>
  <c r="I675" i="16"/>
  <c r="I122" i="10"/>
  <c r="I680" i="16" s="1"/>
  <c r="I299" i="15"/>
  <c r="J170" i="11"/>
  <c r="J171" i="11"/>
  <c r="N155" i="12"/>
  <c r="N153" i="12"/>
  <c r="N668" i="16"/>
  <c r="N87" i="8"/>
  <c r="N296" i="15" s="1"/>
  <c r="N674" i="16" s="1"/>
  <c r="J605" i="16"/>
  <c r="M812" i="16"/>
  <c r="M809" i="16"/>
  <c r="N172" i="7"/>
  <c r="L100" i="10"/>
  <c r="L113" i="15"/>
  <c r="L194" i="16" s="1"/>
  <c r="P224" i="12"/>
  <c r="P225" i="12"/>
  <c r="O186" i="15"/>
  <c r="O392" i="16"/>
  <c r="O185" i="15"/>
  <c r="O282" i="5"/>
  <c r="P838" i="17"/>
  <c r="P839" i="17" s="1"/>
  <c r="P13" i="8"/>
  <c r="P45" i="16"/>
  <c r="P194" i="7"/>
  <c r="P189" i="4"/>
  <c r="P35" i="5"/>
  <c r="P176" i="5"/>
  <c r="N93" i="16"/>
  <c r="N1049" i="17"/>
  <c r="N1050" i="17" s="1"/>
  <c r="N249" i="16"/>
  <c r="N38" i="8"/>
  <c r="N260" i="16" s="1"/>
  <c r="N224" i="5"/>
  <c r="O1046" i="17"/>
  <c r="O1047" i="17" s="1"/>
  <c r="O248" i="16"/>
  <c r="O37" i="8"/>
  <c r="O200" i="7"/>
  <c r="O195" i="4"/>
  <c r="O144" i="5"/>
  <c r="O143" i="5"/>
  <c r="K269" i="15"/>
  <c r="K607" i="16" s="1"/>
  <c r="K612" i="16"/>
  <c r="M61" i="12"/>
  <c r="M11" i="11"/>
  <c r="M214" i="4"/>
  <c r="K225" i="11"/>
  <c r="K571" i="17" s="1"/>
  <c r="K572" i="17" s="1"/>
  <c r="K566" i="17"/>
  <c r="K567" i="17" s="1"/>
  <c r="T487" i="16"/>
  <c r="T142" i="4"/>
  <c r="T143" i="4" s="1"/>
  <c r="Q87" i="6"/>
  <c r="K14" i="12"/>
  <c r="Q90" i="4"/>
  <c r="Q1260" i="17" s="1"/>
  <c r="Q1261" i="17" s="1"/>
  <c r="Q345" i="16"/>
  <c r="G16" i="16"/>
  <c r="N1304" i="17"/>
  <c r="N1303" i="17"/>
  <c r="N1311" i="17" s="1"/>
  <c r="P141" i="16"/>
  <c r="P224" i="4"/>
  <c r="K1243" i="17"/>
  <c r="K1244" i="17" s="1"/>
  <c r="K164" i="12"/>
  <c r="K1246" i="17" s="1"/>
  <c r="K1247" i="17" s="1"/>
  <c r="M369" i="16"/>
  <c r="N65" i="6"/>
  <c r="N95" i="6" s="1"/>
  <c r="M215" i="15"/>
  <c r="M465" i="16" s="1"/>
  <c r="L103" i="12"/>
  <c r="L105" i="12"/>
  <c r="M590" i="16"/>
  <c r="M77" i="8"/>
  <c r="M205" i="4"/>
  <c r="M215" i="4" s="1"/>
  <c r="M61" i="6"/>
  <c r="M62" i="6" s="1"/>
  <c r="M98" i="6"/>
  <c r="M1020" i="17"/>
  <c r="M1021" i="17" s="1"/>
  <c r="N528" i="16"/>
  <c r="N240" i="15"/>
  <c r="N530" i="16" s="1"/>
  <c r="N242" i="15"/>
  <c r="N539" i="16" s="1"/>
  <c r="N241" i="15"/>
  <c r="N531" i="16" s="1"/>
  <c r="R155" i="11"/>
  <c r="R156" i="11"/>
  <c r="L268" i="5"/>
  <c r="P41" i="16"/>
  <c r="P135" i="4"/>
  <c r="P30" i="6"/>
  <c r="P553" i="16" s="1"/>
  <c r="P219" i="4"/>
  <c r="P31" i="5"/>
  <c r="P33" i="5" s="1"/>
  <c r="O841" i="17"/>
  <c r="O842" i="17" s="1"/>
  <c r="O46" i="16"/>
  <c r="O14" i="8"/>
  <c r="O15" i="8" s="1"/>
  <c r="O218" i="5"/>
  <c r="N366" i="16"/>
  <c r="N51" i="8"/>
  <c r="N179" i="15" s="1"/>
  <c r="N372" i="16" s="1"/>
  <c r="N145" i="5"/>
  <c r="M60" i="16"/>
  <c r="K645" i="16"/>
  <c r="K282" i="15"/>
  <c r="K640" i="16" s="1"/>
  <c r="M193" i="15"/>
  <c r="P87" i="15"/>
  <c r="P128" i="16" s="1"/>
  <c r="P133" i="16"/>
  <c r="M974" i="17"/>
  <c r="M975" i="17" s="1"/>
  <c r="M249" i="5"/>
  <c r="M178" i="16"/>
  <c r="Q213" i="16"/>
  <c r="Q997" i="17"/>
  <c r="Q998" i="17" s="1"/>
  <c r="Q34" i="8"/>
  <c r="Q225" i="16" s="1"/>
  <c r="Q223" i="5"/>
  <c r="L62" i="12"/>
  <c r="L10" i="12"/>
  <c r="L77" i="7"/>
  <c r="L79" i="7"/>
  <c r="L78" i="7"/>
  <c r="Q1150" i="17"/>
  <c r="Q1151" i="17" s="1"/>
  <c r="Q21" i="8"/>
  <c r="Q91" i="5"/>
  <c r="Q196" i="7"/>
  <c r="Q260" i="7" s="1"/>
  <c r="Q111" i="16"/>
  <c r="Q191" i="4"/>
  <c r="Q94" i="5"/>
  <c r="O625" i="16"/>
  <c r="O262" i="5"/>
  <c r="Q87" i="4"/>
  <c r="P390" i="16"/>
  <c r="P54" i="8"/>
  <c r="P228" i="5"/>
  <c r="P161" i="5"/>
  <c r="J71" i="10"/>
  <c r="J41" i="13"/>
  <c r="J419" i="15" s="1"/>
  <c r="J245" i="11"/>
  <c r="J696" i="17" s="1"/>
  <c r="J697" i="17" s="1"/>
  <c r="J221" i="11"/>
  <c r="J551" i="17" s="1"/>
  <c r="J552" i="17" s="1"/>
  <c r="L1191" i="17"/>
  <c r="L1192" i="17" s="1"/>
  <c r="L154" i="12"/>
  <c r="L1194" i="17" s="1"/>
  <c r="L1195" i="17" s="1"/>
  <c r="O1104" i="17"/>
  <c r="O1105" i="17" s="1"/>
  <c r="O356" i="16"/>
  <c r="O254" i="5"/>
  <c r="O257" i="15"/>
  <c r="O575" i="16" s="1"/>
  <c r="O401" i="16"/>
  <c r="O55" i="8"/>
  <c r="O192" i="15" s="1"/>
  <c r="O407" i="16" s="1"/>
  <c r="M102" i="11"/>
  <c r="M104" i="11"/>
  <c r="R82" i="4"/>
  <c r="S68" i="4"/>
  <c r="N394" i="16"/>
  <c r="N188" i="15"/>
  <c r="N396" i="16" s="1"/>
  <c r="N190" i="15"/>
  <c r="N405" i="16" s="1"/>
  <c r="J222" i="15"/>
  <c r="I477" i="16"/>
  <c r="O421" i="16"/>
  <c r="O136" i="4"/>
  <c r="O137" i="4" s="1"/>
  <c r="P325" i="15"/>
  <c r="P124" i="10"/>
  <c r="P750" i="16" s="1"/>
  <c r="P745" i="16"/>
  <c r="P357" i="15"/>
  <c r="P363" i="15"/>
  <c r="N264" i="7"/>
  <c r="J16" i="11"/>
  <c r="Q105" i="10"/>
  <c r="Q178" i="15"/>
  <c r="Q371" i="16" s="1"/>
  <c r="O1182" i="17"/>
  <c r="O1183" i="17" s="1"/>
  <c r="O259" i="5"/>
  <c r="O525" i="16"/>
  <c r="K273" i="7"/>
  <c r="K81" i="7"/>
  <c r="P122" i="16"/>
  <c r="P23" i="8"/>
  <c r="P88" i="15" s="1"/>
  <c r="P129" i="16" s="1"/>
  <c r="M262" i="7"/>
  <c r="M210" i="7"/>
  <c r="K909" i="16"/>
  <c r="K33" i="12"/>
  <c r="H146" i="12"/>
  <c r="H1145" i="17" s="1"/>
  <c r="H1146" i="17" s="1"/>
  <c r="L592" i="16"/>
  <c r="L261" i="5"/>
  <c r="L269" i="5" s="1"/>
  <c r="L1026" i="17"/>
  <c r="L1027" i="17" s="1"/>
  <c r="L99" i="6"/>
  <c r="T1098" i="17"/>
  <c r="T1099" i="17" s="1"/>
  <c r="T354" i="16"/>
  <c r="T203" i="7"/>
  <c r="T198" i="4"/>
  <c r="T49" i="8"/>
  <c r="K605" i="16"/>
  <c r="I444" i="16"/>
  <c r="J209" i="15"/>
  <c r="L201" i="15"/>
  <c r="L431" i="16" s="1"/>
  <c r="L203" i="15"/>
  <c r="L440" i="16" s="1"/>
  <c r="L202" i="15"/>
  <c r="L432" i="16" s="1"/>
  <c r="L429" i="16"/>
  <c r="L297" i="15"/>
  <c r="L671" i="16"/>
  <c r="O1101" i="17"/>
  <c r="O1102" i="17" s="1"/>
  <c r="O355" i="16"/>
  <c r="O50" i="8"/>
  <c r="O227" i="5"/>
  <c r="O157" i="5"/>
  <c r="M922" i="17"/>
  <c r="M923" i="17" s="1"/>
  <c r="M426" i="16"/>
  <c r="M256" i="5"/>
  <c r="P111" i="4"/>
  <c r="P110" i="4"/>
  <c r="Q520" i="16"/>
  <c r="Q145" i="4"/>
  <c r="Q146" i="4" s="1"/>
  <c r="R83" i="4"/>
  <c r="R87" i="4" s="1"/>
  <c r="S56" i="4"/>
  <c r="R70" i="4"/>
  <c r="L909" i="16"/>
  <c r="L33" i="12"/>
  <c r="H147" i="17"/>
  <c r="H148" i="17" s="1"/>
  <c r="H67" i="12"/>
  <c r="L206" i="15"/>
  <c r="L439" i="16"/>
  <c r="L263" i="16"/>
  <c r="R358" i="15"/>
  <c r="R364" i="15"/>
  <c r="R780" i="16"/>
  <c r="R338" i="15"/>
  <c r="R125" i="10"/>
  <c r="R785" i="16" s="1"/>
  <c r="O238" i="15"/>
  <c r="O152" i="12"/>
  <c r="O526" i="16"/>
  <c r="O286" i="5"/>
  <c r="O237" i="15"/>
  <c r="O101" i="11"/>
  <c r="M188" i="16"/>
  <c r="M31" i="8"/>
  <c r="M114" i="15" s="1"/>
  <c r="M195" i="16" s="1"/>
  <c r="M112" i="8"/>
  <c r="M118" i="8"/>
  <c r="S59" i="4"/>
  <c r="R73" i="4"/>
  <c r="S1098" i="17"/>
  <c r="S1099" i="17" s="1"/>
  <c r="S198" i="4"/>
  <c r="S203" i="7"/>
  <c r="K220" i="7" s="1"/>
  <c r="K240" i="7" s="1"/>
  <c r="S354" i="16"/>
  <c r="S49" i="8"/>
  <c r="J296" i="12"/>
  <c r="J347" i="17" s="1"/>
  <c r="J348" i="17" s="1"/>
  <c r="J41" i="14"/>
  <c r="J408" i="15" s="1"/>
  <c r="J272" i="12"/>
  <c r="J202" i="17" s="1"/>
  <c r="J203" i="17" s="1"/>
  <c r="J39" i="10"/>
  <c r="R994" i="17"/>
  <c r="R995" i="17" s="1"/>
  <c r="R212" i="16"/>
  <c r="R33" i="8"/>
  <c r="R199" i="7"/>
  <c r="R194" i="4"/>
  <c r="I157" i="17"/>
  <c r="I158" i="17" s="1"/>
  <c r="I872" i="16"/>
  <c r="I37" i="10"/>
  <c r="I83" i="12"/>
  <c r="I31" i="14"/>
  <c r="I32" i="14" s="1"/>
  <c r="I15" i="12"/>
  <c r="I16" i="12" s="1"/>
  <c r="I81" i="12"/>
  <c r="L195" i="15"/>
  <c r="L408" i="16"/>
  <c r="L121" i="10"/>
  <c r="L413" i="16" s="1"/>
  <c r="I781" i="16"/>
  <c r="J339" i="15"/>
  <c r="M668" i="16"/>
  <c r="M87" i="8"/>
  <c r="M296" i="15" s="1"/>
  <c r="M674" i="16" s="1"/>
  <c r="L11" i="11"/>
  <c r="L61" i="12"/>
  <c r="L214" i="4"/>
  <c r="M83" i="11"/>
  <c r="M85" i="11" s="1"/>
  <c r="M242" i="15"/>
  <c r="M539" i="16" s="1"/>
  <c r="M240" i="15"/>
  <c r="M530" i="16" s="1"/>
  <c r="M528" i="16"/>
  <c r="N404" i="16"/>
  <c r="N626" i="16"/>
  <c r="N276" i="15"/>
  <c r="N289" i="5"/>
  <c r="N86" i="6"/>
  <c r="N85" i="6"/>
  <c r="N92" i="6" s="1"/>
  <c r="M165" i="5"/>
  <c r="K293" i="16"/>
  <c r="L292" i="7"/>
  <c r="K296" i="16"/>
  <c r="S106" i="4"/>
  <c r="R107" i="4"/>
  <c r="Q620" i="16"/>
  <c r="Q81" i="6"/>
  <c r="K113" i="11"/>
  <c r="K115" i="11" s="1"/>
  <c r="L40" i="14"/>
  <c r="L275" i="12"/>
  <c r="L42" i="10"/>
  <c r="L331" i="7"/>
  <c r="L323" i="7"/>
  <c r="L40" i="13"/>
  <c r="L224" i="11"/>
  <c r="L74" i="10"/>
  <c r="L244" i="11"/>
  <c r="L691" i="17" s="1"/>
  <c r="L692" i="17" s="1"/>
  <c r="L167" i="10"/>
  <c r="L716" i="17"/>
  <c r="L717" i="17" s="1"/>
  <c r="J106" i="12"/>
  <c r="J937" i="17" s="1"/>
  <c r="J938" i="17" s="1"/>
  <c r="M538" i="16"/>
  <c r="O1202" i="17"/>
  <c r="O1203" i="17" s="1"/>
  <c r="O25" i="8"/>
  <c r="O192" i="4"/>
  <c r="O212" i="4" s="1"/>
  <c r="O143" i="16"/>
  <c r="O131" i="5"/>
  <c r="O197" i="7"/>
  <c r="O261" i="7" s="1"/>
  <c r="P623" i="16"/>
  <c r="P206" i="4"/>
  <c r="P83" i="6"/>
  <c r="P81" i="8"/>
  <c r="E1431" i="17"/>
  <c r="D58" i="17" s="1"/>
  <c r="F58" i="17" s="1"/>
  <c r="Q245" i="16"/>
  <c r="Q109" i="4"/>
  <c r="S487" i="16"/>
  <c r="S142" i="4"/>
  <c r="S143" i="4" s="1"/>
  <c r="K270" i="15"/>
  <c r="K608" i="16" s="1"/>
  <c r="K103" i="6"/>
  <c r="K884" i="16"/>
  <c r="K886" i="16" s="1"/>
  <c r="O434" i="16"/>
  <c r="P296" i="7"/>
  <c r="L661" i="16"/>
  <c r="L292" i="15"/>
  <c r="L663" i="16" s="1"/>
  <c r="L294" i="15"/>
  <c r="L672" i="16" s="1"/>
  <c r="S1208" i="17"/>
  <c r="S1209" i="17" s="1"/>
  <c r="S145" i="16"/>
  <c r="S248" i="5"/>
  <c r="P942" i="17"/>
  <c r="P943" i="17" s="1"/>
  <c r="P17" i="8"/>
  <c r="P195" i="7"/>
  <c r="P259" i="7" s="1"/>
  <c r="P190" i="4"/>
  <c r="P78" i="16"/>
  <c r="P66" i="5"/>
  <c r="P156" i="5"/>
  <c r="P155" i="5"/>
  <c r="O89" i="16"/>
  <c r="O19" i="8"/>
  <c r="O75" i="15" s="1"/>
  <c r="O96" i="16" s="1"/>
  <c r="N472" i="16"/>
  <c r="S1325" i="17"/>
  <c r="R1327" i="17"/>
  <c r="O460" i="16"/>
  <c r="O212" i="15"/>
  <c r="O211" i="15"/>
  <c r="O284" i="5"/>
  <c r="O81" i="11"/>
  <c r="O132" i="12"/>
  <c r="S51" i="4"/>
  <c r="T50" i="4"/>
  <c r="T51" i="4" s="1"/>
  <c r="K805" i="16"/>
  <c r="K54" i="9"/>
  <c r="K377" i="15"/>
  <c r="O173" i="16"/>
  <c r="O99" i="4"/>
  <c r="O135" i="5"/>
  <c r="O57" i="6"/>
  <c r="O56" i="6"/>
  <c r="O58" i="6"/>
  <c r="O220" i="4"/>
  <c r="O227" i="4" s="1"/>
  <c r="O55" i="6"/>
  <c r="E380" i="15"/>
  <c r="K813" i="16"/>
  <c r="L47" i="9"/>
  <c r="K55" i="9"/>
  <c r="M476" i="16"/>
  <c r="M221" i="15"/>
  <c r="N126" i="16"/>
  <c r="J14" i="12"/>
  <c r="J65" i="12"/>
  <c r="J152" i="17" s="1"/>
  <c r="J153" i="17" s="1"/>
  <c r="J300" i="5"/>
  <c r="Q178" i="7"/>
  <c r="G14" i="15"/>
  <c r="D309" i="16"/>
  <c r="E15" i="16"/>
  <c r="L205" i="15"/>
  <c r="L442" i="16" s="1"/>
  <c r="L437" i="16"/>
  <c r="J220" i="7"/>
  <c r="J240" i="7" s="1"/>
  <c r="M338" i="15"/>
  <c r="M358" i="15"/>
  <c r="M780" i="16"/>
  <c r="M125" i="10"/>
  <c r="M785" i="16" s="1"/>
  <c r="M364" i="15"/>
  <c r="L245" i="15"/>
  <c r="H506" i="17"/>
  <c r="H507" i="17" s="1"/>
  <c r="H69" i="10"/>
  <c r="H13" i="12"/>
  <c r="H31" i="13"/>
  <c r="H32" i="13" s="1"/>
  <c r="H900" i="16"/>
  <c r="H32" i="11"/>
  <c r="H30" i="11"/>
  <c r="R221" i="12"/>
  <c r="R222" i="12"/>
  <c r="N916" i="17"/>
  <c r="N917" i="17" s="1"/>
  <c r="N424" i="16"/>
  <c r="N200" i="4"/>
  <c r="N164" i="5"/>
  <c r="N57" i="8"/>
  <c r="K56" i="9"/>
  <c r="N462" i="16"/>
  <c r="N216" i="15"/>
  <c r="N473" i="16" s="1"/>
  <c r="N214" i="15"/>
  <c r="N464" i="16" s="1"/>
  <c r="K14" i="11"/>
  <c r="K501" i="17" s="1"/>
  <c r="K502" i="17" s="1"/>
  <c r="K270" i="5"/>
  <c r="K65" i="12" s="1"/>
  <c r="K152" i="17" s="1"/>
  <c r="K153" i="17" s="1"/>
  <c r="M139" i="15"/>
  <c r="M265" i="16" s="1"/>
  <c r="M102" i="10"/>
  <c r="R365" i="16"/>
  <c r="J771" i="16"/>
  <c r="J774" i="16"/>
  <c r="K306" i="7"/>
  <c r="S183" i="7"/>
  <c r="T183" i="7" s="1"/>
  <c r="N60" i="16"/>
  <c r="L295" i="5"/>
  <c r="L297" i="5" s="1"/>
  <c r="Q1254" i="17"/>
  <c r="Q1255" i="17" s="1"/>
  <c r="M659" i="16"/>
  <c r="M111" i="11"/>
  <c r="M162" i="12"/>
  <c r="M160" i="11"/>
  <c r="M289" i="15"/>
  <c r="M211" i="12"/>
  <c r="M213" i="12" s="1"/>
  <c r="M290" i="15"/>
  <c r="M290" i="5"/>
  <c r="N261" i="7"/>
  <c r="M153" i="12"/>
  <c r="M155" i="12"/>
  <c r="H711" i="16"/>
  <c r="I313" i="15"/>
  <c r="N259" i="16"/>
  <c r="M107" i="15"/>
  <c r="M276" i="5"/>
  <c r="M179" i="16"/>
  <c r="S41" i="5"/>
  <c r="R139" i="5"/>
  <c r="R141" i="5" s="1"/>
  <c r="L263" i="15"/>
  <c r="L593" i="16"/>
  <c r="L64" i="6"/>
  <c r="L94" i="6" s="1"/>
  <c r="L288" i="5"/>
  <c r="L296" i="5" s="1"/>
  <c r="L100" i="6"/>
  <c r="L63" i="6"/>
  <c r="L91" i="6" s="1"/>
  <c r="L93" i="6" s="1"/>
  <c r="O626" i="16"/>
  <c r="O276" i="15"/>
  <c r="O289" i="5"/>
  <c r="O86" i="6"/>
  <c r="O85" i="6"/>
  <c r="O92" i="6" s="1"/>
  <c r="S71" i="5"/>
  <c r="R89" i="5"/>
  <c r="N971" i="17"/>
  <c r="N972" i="17" s="1"/>
  <c r="N30" i="8"/>
  <c r="N189" i="16" s="1"/>
  <c r="N222" i="5"/>
  <c r="N177" i="16"/>
  <c r="N94" i="15"/>
  <c r="N146" i="16"/>
  <c r="N275" i="5"/>
  <c r="O81" i="16"/>
  <c r="O273" i="5"/>
  <c r="O68" i="15"/>
  <c r="P173" i="11"/>
  <c r="P174" i="11"/>
  <c r="L402" i="16"/>
  <c r="M295" i="7"/>
  <c r="L399" i="16"/>
  <c r="P559" i="16"/>
  <c r="P260" i="5"/>
  <c r="P1205" i="17"/>
  <c r="P1206" i="17" s="1"/>
  <c r="P144" i="16"/>
  <c r="P26" i="8"/>
  <c r="P155" i="16" s="1"/>
  <c r="P221" i="5"/>
  <c r="I543" i="16"/>
  <c r="J248" i="15"/>
  <c r="Q557" i="16"/>
  <c r="Q37" i="6"/>
  <c r="Q38" i="6" s="1"/>
  <c r="Q90" i="6" s="1"/>
  <c r="Q73" i="8"/>
  <c r="Q204" i="4"/>
  <c r="Q36" i="6"/>
  <c r="M435" i="16"/>
  <c r="M59" i="8"/>
  <c r="O1231" i="17"/>
  <c r="O1232" i="17" s="1"/>
  <c r="O657" i="16"/>
  <c r="O236" i="5"/>
  <c r="O86" i="8"/>
  <c r="O178" i="5"/>
  <c r="N968" i="17"/>
  <c r="N969" i="17" s="1"/>
  <c r="N176" i="16"/>
  <c r="N193" i="4"/>
  <c r="N213" i="4" s="1"/>
  <c r="N198" i="7"/>
  <c r="N210" i="7" s="1"/>
  <c r="N29" i="8"/>
  <c r="N136" i="5"/>
  <c r="N137" i="5" s="1"/>
  <c r="N896" i="16"/>
  <c r="L165" i="12"/>
  <c r="L163" i="12"/>
  <c r="R745" i="16"/>
  <c r="R357" i="15"/>
  <c r="R363" i="15"/>
  <c r="R124" i="10"/>
  <c r="R750" i="16" s="1"/>
  <c r="R325" i="15"/>
  <c r="O1205" i="17"/>
  <c r="O1206" i="17" s="1"/>
  <c r="O144" i="16"/>
  <c r="O221" i="5"/>
  <c r="O26" i="8"/>
  <c r="O155" i="16" s="1"/>
  <c r="P1202" i="17"/>
  <c r="P1203" i="17" s="1"/>
  <c r="P197" i="7"/>
  <c r="P261" i="7" s="1"/>
  <c r="P25" i="8"/>
  <c r="P192" i="4"/>
  <c r="P143" i="16"/>
  <c r="P131" i="5"/>
  <c r="J147" i="17"/>
  <c r="J148" i="17" s="1"/>
  <c r="O534" i="16"/>
  <c r="O71" i="8"/>
  <c r="O244" i="15" s="1"/>
  <c r="O541" i="16" s="1"/>
  <c r="L601" i="16"/>
  <c r="L79" i="8"/>
  <c r="J443" i="16"/>
  <c r="J208" i="15"/>
  <c r="O55" i="15"/>
  <c r="O272" i="5"/>
  <c r="O48" i="16"/>
  <c r="O745" i="16"/>
  <c r="O325" i="15"/>
  <c r="O357" i="15"/>
  <c r="O124" i="10"/>
  <c r="O750" i="16" s="1"/>
  <c r="O363" i="15"/>
  <c r="M62" i="15"/>
  <c r="M63" i="16" s="1"/>
  <c r="M912" i="16"/>
  <c r="L287" i="17"/>
  <c r="L288" i="17" s="1"/>
  <c r="N154" i="16"/>
  <c r="N27" i="8"/>
  <c r="N101" i="15" s="1"/>
  <c r="N161" i="16" s="1"/>
  <c r="L114" i="11"/>
  <c r="L112" i="11"/>
  <c r="O259" i="7"/>
  <c r="N82" i="11"/>
  <c r="N84" i="11"/>
  <c r="J612" i="16"/>
  <c r="J269" i="15"/>
  <c r="J607" i="16" s="1"/>
  <c r="M251" i="16"/>
  <c r="M133" i="15"/>
  <c r="M278" i="5"/>
  <c r="M467" i="16"/>
  <c r="M470" i="16"/>
  <c r="N297" i="7"/>
  <c r="O572" i="16"/>
  <c r="K362" i="17"/>
  <c r="K363" i="17" s="1"/>
  <c r="K116" i="8"/>
  <c r="Q263" i="7"/>
  <c r="P97" i="4"/>
  <c r="Q96" i="4"/>
  <c r="K105" i="12"/>
  <c r="K103" i="12"/>
  <c r="P37" i="6"/>
  <c r="P38" i="6" s="1"/>
  <c r="P90" i="6" s="1"/>
  <c r="N533" i="16"/>
  <c r="N536" i="16"/>
  <c r="O299" i="7"/>
  <c r="P780" i="16"/>
  <c r="P125" i="10"/>
  <c r="P785" i="16" s="1"/>
  <c r="P358" i="15"/>
  <c r="P364" i="15"/>
  <c r="P338" i="15"/>
  <c r="R76" i="4"/>
  <c r="S62" i="4"/>
  <c r="O93" i="11"/>
  <c r="O95" i="11"/>
  <c r="O228" i="15"/>
  <c r="O498" i="16" s="1"/>
  <c r="M212" i="12"/>
  <c r="N212" i="12" s="1"/>
  <c r="Q1130" i="17"/>
  <c r="Q1131" i="17" s="1"/>
  <c r="Q492" i="16"/>
  <c r="Q258" i="5"/>
  <c r="O81" i="15"/>
  <c r="O114" i="16"/>
  <c r="O274" i="5"/>
  <c r="P228" i="16"/>
  <c r="P40" i="6"/>
  <c r="O258" i="7"/>
  <c r="T1208" i="17"/>
  <c r="T1209" i="17" s="1"/>
  <c r="T145" i="16"/>
  <c r="T248" i="5"/>
  <c r="Q215" i="16"/>
  <c r="Q120" i="15"/>
  <c r="Q277" i="5"/>
  <c r="S57" i="4"/>
  <c r="R71" i="4"/>
  <c r="K54" i="11"/>
  <c r="K52" i="11"/>
  <c r="Q38" i="4"/>
  <c r="Q41" i="4"/>
  <c r="P568" i="16"/>
  <c r="P75" i="8"/>
  <c r="M206" i="12"/>
  <c r="M207" i="12"/>
  <c r="R74" i="4"/>
  <c r="S60" i="4"/>
  <c r="R108" i="16"/>
  <c r="R79" i="6"/>
  <c r="R144" i="4"/>
  <c r="R53" i="4"/>
  <c r="R221" i="4"/>
  <c r="R78" i="6"/>
  <c r="R80" i="6"/>
  <c r="O228" i="16"/>
  <c r="O56" i="16"/>
  <c r="R1299" i="17"/>
  <c r="R1300" i="17" s="1"/>
  <c r="R75" i="4"/>
  <c r="R89" i="4" s="1"/>
  <c r="R1257" i="17" s="1"/>
  <c r="R1258" i="17" s="1"/>
  <c r="S61" i="4"/>
  <c r="R84" i="4"/>
  <c r="N241" i="5"/>
  <c r="K299" i="15"/>
  <c r="K675" i="16"/>
  <c r="K122" i="10"/>
  <c r="K680" i="16" s="1"/>
  <c r="L912" i="16"/>
  <c r="Q91" i="4"/>
  <c r="Q1263" i="17" s="1"/>
  <c r="Q1264" i="17" s="1"/>
  <c r="P945" i="17"/>
  <c r="P946" i="17" s="1"/>
  <c r="P79" i="16"/>
  <c r="P219" i="5"/>
  <c r="P18" i="8"/>
  <c r="P90" i="16" s="1"/>
  <c r="Q224" i="16"/>
  <c r="N135" i="12"/>
  <c r="N133" i="12"/>
  <c r="S34" i="4"/>
  <c r="R36" i="4"/>
  <c r="R32" i="6" s="1"/>
  <c r="Q501" i="16"/>
  <c r="Q67" i="8"/>
  <c r="Q231" i="15" s="1"/>
  <c r="Q508" i="16" s="1"/>
  <c r="K704" i="16"/>
  <c r="K701" i="16"/>
  <c r="L304" i="7"/>
  <c r="L192" i="16"/>
  <c r="T79" i="4"/>
  <c r="N57" i="16"/>
  <c r="M357" i="15"/>
  <c r="M325" i="15"/>
  <c r="M363" i="15"/>
  <c r="M124" i="10"/>
  <c r="M750" i="16" s="1"/>
  <c r="M745" i="16"/>
  <c r="L363" i="15"/>
  <c r="L325" i="15"/>
  <c r="L745" i="16"/>
  <c r="L357" i="15"/>
  <c r="L124" i="10"/>
  <c r="L750" i="16" s="1"/>
  <c r="S66" i="4"/>
  <c r="R80" i="4"/>
  <c r="R86" i="4"/>
  <c r="N538" i="16"/>
  <c r="S24" i="5"/>
  <c r="R36" i="5"/>
  <c r="R177" i="7" s="1"/>
  <c r="K439" i="16"/>
  <c r="K206" i="15"/>
  <c r="H303" i="16"/>
  <c r="I157" i="15"/>
  <c r="O468" i="16"/>
  <c r="O63" i="8"/>
  <c r="O218" i="15" s="1"/>
  <c r="O475" i="16" s="1"/>
  <c r="D829" i="16"/>
  <c r="E31" i="15"/>
  <c r="C27" i="1"/>
  <c r="E30" i="16"/>
  <c r="D345" i="16"/>
  <c r="E16" i="16"/>
  <c r="G15" i="15"/>
  <c r="I220" i="7"/>
  <c r="I240" i="7" s="1"/>
  <c r="N74" i="15"/>
  <c r="N95" i="16" s="1"/>
  <c r="N100" i="16"/>
  <c r="K9" i="11"/>
  <c r="K216" i="4"/>
  <c r="Q89" i="4"/>
  <c r="Q1257" i="17" s="1"/>
  <c r="Q1258" i="17" s="1"/>
  <c r="L192" i="11"/>
  <c r="L616" i="17" s="1"/>
  <c r="L617" i="17" s="1"/>
  <c r="L121" i="8"/>
  <c r="T364" i="15"/>
  <c r="T338" i="15"/>
  <c r="T780" i="16"/>
  <c r="T358" i="15"/>
  <c r="T125" i="10"/>
  <c r="T785" i="16" s="1"/>
  <c r="M1087" i="17"/>
  <c r="M1088" i="17" s="1"/>
  <c r="M134" i="12"/>
  <c r="M1090" i="17" s="1"/>
  <c r="M1091" i="17" s="1"/>
  <c r="M136" i="12"/>
  <c r="M1093" i="17" s="1"/>
  <c r="M1094" i="17" s="1"/>
  <c r="R1124" i="17"/>
  <c r="R1125" i="17" s="1"/>
  <c r="R490" i="16"/>
  <c r="R170" i="5"/>
  <c r="R65" i="8"/>
  <c r="R171" i="5"/>
  <c r="R202" i="4"/>
  <c r="Q1156" i="17"/>
  <c r="Q1157" i="17" s="1"/>
  <c r="Q113" i="16"/>
  <c r="Q247" i="5"/>
  <c r="N102" i="11"/>
  <c r="N104" i="11"/>
  <c r="L10" i="9"/>
  <c r="J96" i="6"/>
  <c r="P126" i="15"/>
  <c r="P230" i="16" s="1"/>
  <c r="P101" i="10"/>
  <c r="R138" i="4"/>
  <c r="S44" i="4"/>
  <c r="R45" i="4"/>
  <c r="Q90" i="5"/>
  <c r="Q159" i="5"/>
  <c r="Q1317" i="17"/>
  <c r="K711" i="17"/>
  <c r="K712" i="17" s="1"/>
  <c r="K122" i="8"/>
  <c r="K914" i="16"/>
  <c r="K201" i="15"/>
  <c r="K431" i="16" s="1"/>
  <c r="K202" i="15"/>
  <c r="K432" i="16" s="1"/>
  <c r="K429" i="16"/>
  <c r="K203" i="15"/>
  <c r="K440" i="16" s="1"/>
  <c r="N164" i="11"/>
  <c r="N165" i="11"/>
  <c r="K332" i="16"/>
  <c r="K329" i="16"/>
  <c r="L293" i="7"/>
  <c r="O1078" i="17"/>
  <c r="O1079" i="17" s="1"/>
  <c r="O459" i="16"/>
  <c r="O257" i="5"/>
  <c r="H820" i="16"/>
  <c r="I376" i="15"/>
  <c r="H15" i="15"/>
  <c r="H220" i="7"/>
  <c r="H240" i="7" s="1"/>
  <c r="N15" i="8"/>
  <c r="L161" i="11"/>
  <c r="M161" i="11" s="1"/>
  <c r="N161" i="11" s="1"/>
  <c r="J39" i="14"/>
  <c r="J274" i="12"/>
  <c r="J367" i="17"/>
  <c r="J368" i="17" s="1"/>
  <c r="J295" i="12"/>
  <c r="J342" i="17" s="1"/>
  <c r="J343" i="17" s="1"/>
  <c r="J322" i="7"/>
  <c r="J158" i="10"/>
  <c r="J41" i="10"/>
  <c r="H509" i="16"/>
  <c r="H234" i="15"/>
  <c r="H235" i="15"/>
  <c r="T209" i="16"/>
  <c r="T104" i="4"/>
  <c r="M220" i="7"/>
  <c r="M240" i="7" s="1"/>
  <c r="E103" i="13" l="1"/>
  <c r="E103" i="14"/>
  <c r="R215" i="16"/>
  <c r="R277" i="5"/>
  <c r="R120" i="15"/>
  <c r="O60" i="12"/>
  <c r="O10" i="11"/>
  <c r="O214" i="4"/>
  <c r="N224" i="11"/>
  <c r="N40" i="14"/>
  <c r="N275" i="12"/>
  <c r="N42" i="10"/>
  <c r="N331" i="7"/>
  <c r="N323" i="7"/>
  <c r="N40" i="13"/>
  <c r="N74" i="10"/>
  <c r="N167" i="10"/>
  <c r="N716" i="17"/>
  <c r="N717" i="17" s="1"/>
  <c r="N244" i="11"/>
  <c r="N691" i="17" s="1"/>
  <c r="N692" i="17" s="1"/>
  <c r="N179" i="16"/>
  <c r="N107" i="15"/>
  <c r="N276" i="5"/>
  <c r="N898" i="16"/>
  <c r="N112" i="8"/>
  <c r="M295" i="5"/>
  <c r="M297" i="5" s="1"/>
  <c r="R1307" i="17"/>
  <c r="R1308" i="17" s="1"/>
  <c r="K1107" i="17"/>
  <c r="K1108" i="17" s="1"/>
  <c r="K358" i="16"/>
  <c r="K208" i="12"/>
  <c r="K157" i="11"/>
  <c r="K173" i="15"/>
  <c r="K137" i="12"/>
  <c r="K86" i="11"/>
  <c r="O62" i="15"/>
  <c r="O63" i="16" s="1"/>
  <c r="M64" i="6"/>
  <c r="M94" i="6" s="1"/>
  <c r="M593" i="16"/>
  <c r="M288" i="5"/>
  <c r="M296" i="5" s="1"/>
  <c r="M263" i="15"/>
  <c r="M100" i="6"/>
  <c r="M63" i="6"/>
  <c r="M91" i="6" s="1"/>
  <c r="M93" i="6" s="1"/>
  <c r="M870" i="16"/>
  <c r="L675" i="16"/>
  <c r="L299" i="15"/>
  <c r="L122" i="10"/>
  <c r="L680" i="16" s="1"/>
  <c r="S73" i="4"/>
  <c r="T59" i="4"/>
  <c r="T73" i="4" s="1"/>
  <c r="N163" i="12"/>
  <c r="N165" i="12"/>
  <c r="R1156" i="17"/>
  <c r="R1157" i="17" s="1"/>
  <c r="R113" i="16"/>
  <c r="R247" i="5"/>
  <c r="T994" i="17"/>
  <c r="T995" i="17" s="1"/>
  <c r="T33" i="8"/>
  <c r="T199" i="7"/>
  <c r="T194" i="4"/>
  <c r="T212" i="16"/>
  <c r="R178" i="7"/>
  <c r="T34" i="4"/>
  <c r="T36" i="4" s="1"/>
  <c r="S36" i="4"/>
  <c r="N206" i="12"/>
  <c r="N207" i="12"/>
  <c r="Q228" i="16"/>
  <c r="O61" i="15"/>
  <c r="O62" i="16" s="1"/>
  <c r="O67" i="16"/>
  <c r="N83" i="11"/>
  <c r="N85" i="11" s="1"/>
  <c r="L1243" i="17"/>
  <c r="L1244" i="17" s="1"/>
  <c r="L164" i="12"/>
  <c r="L1246" i="17" s="1"/>
  <c r="L1247" i="17" s="1"/>
  <c r="L14" i="12"/>
  <c r="N215" i="15"/>
  <c r="N465" i="16" s="1"/>
  <c r="O59" i="6"/>
  <c r="O587" i="16"/>
  <c r="M427" i="16"/>
  <c r="M198" i="15"/>
  <c r="M199" i="15"/>
  <c r="M283" i="5"/>
  <c r="M102" i="12"/>
  <c r="M51" i="11"/>
  <c r="M898" i="16"/>
  <c r="M192" i="11"/>
  <c r="M616" i="17" s="1"/>
  <c r="M617" i="17" s="1"/>
  <c r="M121" i="8"/>
  <c r="M105" i="11"/>
  <c r="M103" i="11"/>
  <c r="N251" i="16"/>
  <c r="N133" i="15"/>
  <c r="N278" i="5"/>
  <c r="S155" i="11"/>
  <c r="S156" i="11"/>
  <c r="O404" i="16"/>
  <c r="T79" i="5"/>
  <c r="T93" i="5" s="1"/>
  <c r="S93" i="5"/>
  <c r="J217" i="17"/>
  <c r="J218" i="17" s="1"/>
  <c r="J276" i="12"/>
  <c r="J222" i="17" s="1"/>
  <c r="J223" i="17" s="1"/>
  <c r="T24" i="5"/>
  <c r="T36" i="5" s="1"/>
  <c r="T177" i="7" s="1"/>
  <c r="S36" i="5"/>
  <c r="S177" i="7" s="1"/>
  <c r="N1087" i="17"/>
  <c r="N1088" i="17" s="1"/>
  <c r="N136" i="12"/>
  <c r="N1093" i="17" s="1"/>
  <c r="N1094" i="17" s="1"/>
  <c r="N134" i="12"/>
  <c r="N1090" i="17" s="1"/>
  <c r="N1091" i="17" s="1"/>
  <c r="N12" i="11"/>
  <c r="N491" i="17" s="1"/>
  <c r="N492" i="17" s="1"/>
  <c r="N243" i="5"/>
  <c r="N63" i="12" s="1"/>
  <c r="N142" i="17" s="1"/>
  <c r="N143" i="17" s="1"/>
  <c r="O536" i="16"/>
  <c r="P299" i="7"/>
  <c r="O533" i="16"/>
  <c r="P154" i="16"/>
  <c r="P27" i="8"/>
  <c r="P101" i="15" s="1"/>
  <c r="P161" i="16" s="1"/>
  <c r="M205" i="15"/>
  <c r="M442" i="16" s="1"/>
  <c r="M437" i="16"/>
  <c r="N39" i="8"/>
  <c r="N140" i="15" s="1"/>
  <c r="N266" i="16" s="1"/>
  <c r="Q128" i="5"/>
  <c r="N219" i="15"/>
  <c r="Q111" i="4"/>
  <c r="Q110" i="4"/>
  <c r="M243" i="12"/>
  <c r="M267" i="17" s="1"/>
  <c r="M268" i="17" s="1"/>
  <c r="M115" i="8"/>
  <c r="Q87" i="15"/>
  <c r="Q128" i="16" s="1"/>
  <c r="Q133" i="16"/>
  <c r="M287" i="17"/>
  <c r="M288" i="17" s="1"/>
  <c r="M636" i="17"/>
  <c r="M637" i="17" s="1"/>
  <c r="P145" i="12"/>
  <c r="P143" i="12"/>
  <c r="K196" i="15"/>
  <c r="J409" i="16"/>
  <c r="L362" i="17"/>
  <c r="L363" i="17" s="1"/>
  <c r="L116" i="8"/>
  <c r="L329" i="16"/>
  <c r="M293" i="7"/>
  <c r="L332" i="16"/>
  <c r="Q390" i="16"/>
  <c r="Q54" i="8"/>
  <c r="Q228" i="5"/>
  <c r="Q161" i="5"/>
  <c r="L701" i="16"/>
  <c r="L704" i="16"/>
  <c r="M304" i="7"/>
  <c r="P257" i="15"/>
  <c r="P575" i="16" s="1"/>
  <c r="Q126" i="15"/>
  <c r="Q230" i="16" s="1"/>
  <c r="Q101" i="10"/>
  <c r="O60" i="16"/>
  <c r="P165" i="16"/>
  <c r="P100" i="15"/>
  <c r="P160" i="16" s="1"/>
  <c r="L96" i="6"/>
  <c r="Q126" i="5"/>
  <c r="O65" i="6"/>
  <c r="O95" i="6" s="1"/>
  <c r="L293" i="15"/>
  <c r="L664" i="16" s="1"/>
  <c r="O154" i="16"/>
  <c r="O27" i="8"/>
  <c r="O101" i="15" s="1"/>
  <c r="O161" i="16" s="1"/>
  <c r="P1046" i="17"/>
  <c r="P1047" i="17" s="1"/>
  <c r="P248" i="16"/>
  <c r="P195" i="4"/>
  <c r="P144" i="5"/>
  <c r="P37" i="8"/>
  <c r="P200" i="7"/>
  <c r="P143" i="5"/>
  <c r="M40" i="14"/>
  <c r="M74" i="10"/>
  <c r="M224" i="11"/>
  <c r="M42" i="10"/>
  <c r="M331" i="7"/>
  <c r="M275" i="12"/>
  <c r="M323" i="7"/>
  <c r="M40" i="13"/>
  <c r="M167" i="10"/>
  <c r="M716" i="17"/>
  <c r="M717" i="17" s="1"/>
  <c r="M244" i="11"/>
  <c r="M691" i="17" s="1"/>
  <c r="M692" i="17" s="1"/>
  <c r="J506" i="17"/>
  <c r="J507" i="17" s="1"/>
  <c r="J32" i="11"/>
  <c r="J31" i="13"/>
  <c r="J32" i="13" s="1"/>
  <c r="J13" i="12"/>
  <c r="J69" i="10"/>
  <c r="J900" i="16"/>
  <c r="J30" i="11"/>
  <c r="O220" i="7"/>
  <c r="O240" i="7" s="1"/>
  <c r="O173" i="15" s="1"/>
  <c r="O189" i="15"/>
  <c r="O397" i="16" s="1"/>
  <c r="O190" i="15"/>
  <c r="O405" i="16" s="1"/>
  <c r="O188" i="15"/>
  <c r="O396" i="16" s="1"/>
  <c r="O394" i="16"/>
  <c r="N1191" i="17"/>
  <c r="N1192" i="17" s="1"/>
  <c r="N154" i="12"/>
  <c r="N1194" i="17" s="1"/>
  <c r="N1195" i="17" s="1"/>
  <c r="N156" i="12"/>
  <c r="N1197" i="17" s="1"/>
  <c r="N1198" i="17" s="1"/>
  <c r="P1078" i="17"/>
  <c r="P1079" i="17" s="1"/>
  <c r="P459" i="16"/>
  <c r="P257" i="5"/>
  <c r="L220" i="7"/>
  <c r="L240" i="7" s="1"/>
  <c r="T99" i="5"/>
  <c r="T127" i="5" s="1"/>
  <c r="S127" i="5"/>
  <c r="P495" i="16"/>
  <c r="P227" i="15"/>
  <c r="P497" i="16" s="1"/>
  <c r="P229" i="15"/>
  <c r="P506" i="16" s="1"/>
  <c r="R1305" i="17"/>
  <c r="R1306" i="17"/>
  <c r="N245" i="15"/>
  <c r="Q35" i="8"/>
  <c r="Q127" i="15" s="1"/>
  <c r="Q231" i="16" s="1"/>
  <c r="R87" i="6"/>
  <c r="K296" i="12"/>
  <c r="K347" i="17" s="1"/>
  <c r="K348" i="17" s="1"/>
  <c r="K272" i="12"/>
  <c r="K202" i="17" s="1"/>
  <c r="K203" i="17" s="1"/>
  <c r="K41" i="14"/>
  <c r="K408" i="15" s="1"/>
  <c r="K39" i="10"/>
  <c r="Q559" i="16"/>
  <c r="Q260" i="5"/>
  <c r="I711" i="16"/>
  <c r="J313" i="15"/>
  <c r="Q92" i="4"/>
  <c r="K252" i="12"/>
  <c r="K201" i="11"/>
  <c r="L9" i="11"/>
  <c r="L216" i="4"/>
  <c r="J444" i="16"/>
  <c r="K209" i="15"/>
  <c r="O916" i="17"/>
  <c r="O917" i="17" s="1"/>
  <c r="O424" i="16"/>
  <c r="O200" i="4"/>
  <c r="O57" i="8"/>
  <c r="O164" i="5"/>
  <c r="Q122" i="16"/>
  <c r="Q23" i="8"/>
  <c r="Q88" i="15" s="1"/>
  <c r="Q129" i="16" s="1"/>
  <c r="M268" i="5"/>
  <c r="O241" i="5"/>
  <c r="O1049" i="17"/>
  <c r="O1050" i="17" s="1"/>
  <c r="O38" i="8"/>
  <c r="O260" i="16" s="1"/>
  <c r="O249" i="16"/>
  <c r="O224" i="5"/>
  <c r="P168" i="5"/>
  <c r="R105" i="10"/>
  <c r="R178" i="15"/>
  <c r="R371" i="16" s="1"/>
  <c r="Q1072" i="17"/>
  <c r="Q1073" i="17" s="1"/>
  <c r="Q457" i="16"/>
  <c r="Q61" i="8"/>
  <c r="Q201" i="4"/>
  <c r="Q167" i="5"/>
  <c r="Q168" i="5"/>
  <c r="G15" i="16"/>
  <c r="Q309" i="16"/>
  <c r="I1107" i="17"/>
  <c r="I1108" i="17" s="1"/>
  <c r="I358" i="16"/>
  <c r="I157" i="11"/>
  <c r="I86" i="11"/>
  <c r="I137" i="12"/>
  <c r="I173" i="15"/>
  <c r="I208" i="12"/>
  <c r="K443" i="16"/>
  <c r="K208" i="15"/>
  <c r="P146" i="16"/>
  <c r="P94" i="15"/>
  <c r="P275" i="5"/>
  <c r="O165" i="16"/>
  <c r="O100" i="15"/>
  <c r="O160" i="16" s="1"/>
  <c r="L296" i="16"/>
  <c r="M292" i="7"/>
  <c r="L293" i="16"/>
  <c r="R141" i="16"/>
  <c r="R224" i="4"/>
  <c r="N103" i="11"/>
  <c r="N105" i="11"/>
  <c r="N470" i="16"/>
  <c r="N467" i="16"/>
  <c r="O297" i="7"/>
  <c r="J1107" i="17"/>
  <c r="J1108" i="17" s="1"/>
  <c r="J358" i="16"/>
  <c r="J157" i="11"/>
  <c r="J137" i="12"/>
  <c r="J208" i="12"/>
  <c r="J86" i="11"/>
  <c r="J173" i="15"/>
  <c r="S1124" i="17"/>
  <c r="S1125" i="17" s="1"/>
  <c r="S490" i="16"/>
  <c r="S202" i="4"/>
  <c r="S65" i="8"/>
  <c r="S170" i="5"/>
  <c r="S171" i="5" s="1"/>
  <c r="Q1176" i="17"/>
  <c r="Q1177" i="17" s="1"/>
  <c r="Q523" i="16"/>
  <c r="Q173" i="5"/>
  <c r="Q203" i="4"/>
  <c r="Q69" i="8"/>
  <c r="Q174" i="5"/>
  <c r="L931" i="17"/>
  <c r="L932" i="17" s="1"/>
  <c r="L104" i="12"/>
  <c r="L934" i="17" s="1"/>
  <c r="L935" i="17" s="1"/>
  <c r="J676" i="16"/>
  <c r="K300" i="15"/>
  <c r="Q945" i="17"/>
  <c r="Q946" i="17" s="1"/>
  <c r="Q79" i="16"/>
  <c r="Q219" i="5"/>
  <c r="Q18" i="8"/>
  <c r="Q90" i="16" s="1"/>
  <c r="N62" i="15"/>
  <c r="N63" i="16" s="1"/>
  <c r="R493" i="16"/>
  <c r="R224" i="15"/>
  <c r="R142" i="12"/>
  <c r="R91" i="11"/>
  <c r="R285" i="5"/>
  <c r="R225" i="15"/>
  <c r="S1299" i="17"/>
  <c r="S1300" i="17" s="1"/>
  <c r="S75" i="4"/>
  <c r="S89" i="4" s="1"/>
  <c r="S1257" i="17" s="1"/>
  <c r="S1258" i="17" s="1"/>
  <c r="S84" i="4"/>
  <c r="T61" i="4"/>
  <c r="N59" i="8"/>
  <c r="N435" i="16"/>
  <c r="S138" i="4"/>
  <c r="S45" i="4"/>
  <c r="T44" i="4"/>
  <c r="P1101" i="17"/>
  <c r="P1102" i="17" s="1"/>
  <c r="P50" i="8"/>
  <c r="P355" i="16"/>
  <c r="P227" i="5"/>
  <c r="P157" i="5"/>
  <c r="O538" i="16"/>
  <c r="M113" i="15"/>
  <c r="M194" i="16" s="1"/>
  <c r="M100" i="10"/>
  <c r="M908" i="16"/>
  <c r="M281" i="7"/>
  <c r="P272" i="5"/>
  <c r="P55" i="15"/>
  <c r="P48" i="16"/>
  <c r="K170" i="11"/>
  <c r="K171" i="11"/>
  <c r="P92" i="11"/>
  <c r="P94" i="11"/>
  <c r="O164" i="11"/>
  <c r="O165" i="11"/>
  <c r="K309" i="16"/>
  <c r="F15" i="16"/>
  <c r="T74" i="5"/>
  <c r="T88" i="5" s="1"/>
  <c r="S88" i="5"/>
  <c r="K806" i="16"/>
  <c r="K378" i="15"/>
  <c r="O472" i="16"/>
  <c r="O219" i="15"/>
  <c r="R245" i="16"/>
  <c r="R109" i="4"/>
  <c r="R263" i="7"/>
  <c r="J216" i="7"/>
  <c r="J236" i="7" s="1"/>
  <c r="O242" i="15"/>
  <c r="O539" i="16" s="1"/>
  <c r="O240" i="15"/>
  <c r="O530" i="16" s="1"/>
  <c r="O528" i="16"/>
  <c r="K579" i="16"/>
  <c r="K282" i="7"/>
  <c r="K256" i="15"/>
  <c r="K574" i="16" s="1"/>
  <c r="K880" i="16"/>
  <c r="N189" i="15"/>
  <c r="N397" i="16" s="1"/>
  <c r="L156" i="12"/>
  <c r="L1197" i="17" s="1"/>
  <c r="L1198" i="17" s="1"/>
  <c r="P56" i="16"/>
  <c r="N213" i="12"/>
  <c r="P534" i="16"/>
  <c r="P71" i="8"/>
  <c r="P244" i="15" s="1"/>
  <c r="P541" i="16" s="1"/>
  <c r="L726" i="17"/>
  <c r="L727" i="17" s="1"/>
  <c r="L377" i="17"/>
  <c r="L378" i="17" s="1"/>
  <c r="M1107" i="17"/>
  <c r="M1108" i="17" s="1"/>
  <c r="M358" i="16"/>
  <c r="M173" i="15"/>
  <c r="M157" i="11"/>
  <c r="M208" i="12"/>
  <c r="M86" i="11"/>
  <c r="M137" i="12"/>
  <c r="R38" i="4"/>
  <c r="R41" i="4"/>
  <c r="O126" i="16"/>
  <c r="S1327" i="17"/>
  <c r="T1325" i="17"/>
  <c r="T1327" i="17" s="1"/>
  <c r="Q1153" i="17"/>
  <c r="Q1154" i="17" s="1"/>
  <c r="Q22" i="8"/>
  <c r="Q123" i="16" s="1"/>
  <c r="Q220" i="5"/>
  <c r="Q112" i="16"/>
  <c r="L50" i="9"/>
  <c r="L56" i="9"/>
  <c r="L51" i="9"/>
  <c r="T144" i="4"/>
  <c r="T53" i="4"/>
  <c r="T221" i="4"/>
  <c r="T79" i="6"/>
  <c r="T78" i="6"/>
  <c r="T108" i="16"/>
  <c r="T80" i="6"/>
  <c r="M245" i="15"/>
  <c r="N638" i="16"/>
  <c r="S365" i="16"/>
  <c r="O102" i="11"/>
  <c r="O104" i="11"/>
  <c r="L443" i="16"/>
  <c r="L208" i="15"/>
  <c r="P392" i="16"/>
  <c r="P185" i="15"/>
  <c r="P282" i="5"/>
  <c r="P186" i="15"/>
  <c r="P1107" i="17"/>
  <c r="P1108" i="17" s="1"/>
  <c r="P358" i="16"/>
  <c r="P274" i="5"/>
  <c r="P81" i="15"/>
  <c r="P114" i="16"/>
  <c r="H1107" i="17"/>
  <c r="H1108" i="17" s="1"/>
  <c r="H358" i="16"/>
  <c r="H137" i="12"/>
  <c r="H86" i="11"/>
  <c r="H294" i="7"/>
  <c r="H157" i="11"/>
  <c r="H173" i="15"/>
  <c r="H208" i="12"/>
  <c r="N114" i="8"/>
  <c r="N249" i="12" s="1"/>
  <c r="Q41" i="16"/>
  <c r="Q30" i="6"/>
  <c r="Q553" i="16" s="1"/>
  <c r="Q135" i="4"/>
  <c r="Q31" i="5"/>
  <c r="Q33" i="5" s="1"/>
  <c r="Q35" i="5" s="1"/>
  <c r="Q219" i="4"/>
  <c r="O100" i="16"/>
  <c r="O74" i="15"/>
  <c r="O95" i="16" s="1"/>
  <c r="N188" i="16"/>
  <c r="N31" i="8"/>
  <c r="N114" i="15" s="1"/>
  <c r="N195" i="16" s="1"/>
  <c r="T71" i="5"/>
  <c r="T89" i="5" s="1"/>
  <c r="S89" i="5"/>
  <c r="L605" i="16"/>
  <c r="N922" i="17"/>
  <c r="N923" i="17" s="1"/>
  <c r="N426" i="16"/>
  <c r="N256" i="5"/>
  <c r="H510" i="16"/>
  <c r="I235" i="15"/>
  <c r="R139" i="4"/>
  <c r="R140" i="4" s="1"/>
  <c r="R454" i="16"/>
  <c r="R91" i="4"/>
  <c r="R1263" i="17" s="1"/>
  <c r="R1264" i="17" s="1"/>
  <c r="R1150" i="17"/>
  <c r="R1151" i="17" s="1"/>
  <c r="R21" i="8"/>
  <c r="R91" i="5"/>
  <c r="R191" i="4"/>
  <c r="R111" i="16"/>
  <c r="R196" i="7"/>
  <c r="R260" i="7" s="1"/>
  <c r="K931" i="17"/>
  <c r="K932" i="17" s="1"/>
  <c r="K104" i="12"/>
  <c r="K934" i="17" s="1"/>
  <c r="K935" i="17" s="1"/>
  <c r="L113" i="11"/>
  <c r="L115" i="11"/>
  <c r="L270" i="15"/>
  <c r="L608" i="16" s="1"/>
  <c r="L103" i="6"/>
  <c r="L884" i="16"/>
  <c r="L886" i="16" s="1"/>
  <c r="Q568" i="16"/>
  <c r="Q75" i="8"/>
  <c r="N165" i="16"/>
  <c r="N100" i="15"/>
  <c r="N160" i="16" s="1"/>
  <c r="O133" i="12"/>
  <c r="O135" i="12"/>
  <c r="P1104" i="17"/>
  <c r="P1105" i="17" s="1"/>
  <c r="P356" i="16"/>
  <c r="P254" i="5"/>
  <c r="P434" i="16"/>
  <c r="Q296" i="7"/>
  <c r="Q623" i="16"/>
  <c r="Q81" i="8"/>
  <c r="Q206" i="4"/>
  <c r="Q83" i="6"/>
  <c r="Q84" i="6" s="1"/>
  <c r="O357" i="16"/>
  <c r="O172" i="15"/>
  <c r="O137" i="12"/>
  <c r="O86" i="11"/>
  <c r="O281" i="5"/>
  <c r="J477" i="16"/>
  <c r="K222" i="15"/>
  <c r="P401" i="16"/>
  <c r="P55" i="8"/>
  <c r="P192" i="15" s="1"/>
  <c r="P407" i="16" s="1"/>
  <c r="M10" i="12"/>
  <c r="M62" i="12"/>
  <c r="M78" i="7"/>
  <c r="M79" i="7"/>
  <c r="M77" i="7"/>
  <c r="K345" i="16"/>
  <c r="F16" i="16"/>
  <c r="K300" i="5"/>
  <c r="K59" i="12"/>
  <c r="K217" i="4"/>
  <c r="Q97" i="4"/>
  <c r="R96" i="4"/>
  <c r="P625" i="16"/>
  <c r="P262" i="5"/>
  <c r="J781" i="16"/>
  <c r="K339" i="15"/>
  <c r="Q224" i="4"/>
  <c r="Q141" i="16"/>
  <c r="L273" i="7"/>
  <c r="L81" i="7"/>
  <c r="P227" i="4"/>
  <c r="O259" i="16"/>
  <c r="S78" i="4"/>
  <c r="T64" i="4"/>
  <c r="T78" i="4" s="1"/>
  <c r="N114" i="11"/>
  <c r="N112" i="11"/>
  <c r="N590" i="16"/>
  <c r="N205" i="4"/>
  <c r="N215" i="4" s="1"/>
  <c r="N62" i="6"/>
  <c r="N870" i="16" s="1"/>
  <c r="N77" i="8"/>
  <c r="N61" i="6"/>
  <c r="N1020" i="17"/>
  <c r="N1021" i="17" s="1"/>
  <c r="N98" i="6"/>
  <c r="N868" i="16"/>
  <c r="K486" i="17"/>
  <c r="K487" i="17" s="1"/>
  <c r="K897" i="16"/>
  <c r="K30" i="13"/>
  <c r="K9" i="12"/>
  <c r="K13" i="11"/>
  <c r="I303" i="16"/>
  <c r="J157" i="15"/>
  <c r="N118" i="8"/>
  <c r="T57" i="4"/>
  <c r="T71" i="4" s="1"/>
  <c r="S71" i="4"/>
  <c r="P173" i="16"/>
  <c r="P99" i="4"/>
  <c r="P135" i="5"/>
  <c r="P220" i="4"/>
  <c r="P55" i="6"/>
  <c r="P57" i="6"/>
  <c r="P56" i="6"/>
  <c r="P58" i="6"/>
  <c r="I820" i="16"/>
  <c r="J376" i="15"/>
  <c r="Q179" i="7"/>
  <c r="J67" i="12"/>
  <c r="O659" i="16"/>
  <c r="O160" i="11"/>
  <c r="O162" i="11" s="1"/>
  <c r="O289" i="15"/>
  <c r="O211" i="12"/>
  <c r="O213" i="12" s="1"/>
  <c r="O290" i="15"/>
  <c r="O162" i="12"/>
  <c r="O111" i="11"/>
  <c r="O290" i="5"/>
  <c r="J543" i="16"/>
  <c r="K248" i="15"/>
  <c r="Q173" i="11"/>
  <c r="Q174" i="11"/>
  <c r="O638" i="16"/>
  <c r="M671" i="16"/>
  <c r="M297" i="15"/>
  <c r="K807" i="16"/>
  <c r="O462" i="16"/>
  <c r="O216" i="15"/>
  <c r="O473" i="16" s="1"/>
  <c r="O214" i="15"/>
  <c r="O464" i="16" s="1"/>
  <c r="P74" i="15"/>
  <c r="P95" i="16" s="1"/>
  <c r="P100" i="16"/>
  <c r="P84" i="6"/>
  <c r="S107" i="4"/>
  <c r="T106" i="4"/>
  <c r="T107" i="4" s="1"/>
  <c r="R88" i="4"/>
  <c r="N139" i="15"/>
  <c r="N265" i="16" s="1"/>
  <c r="N102" i="10"/>
  <c r="P421" i="16"/>
  <c r="P136" i="4"/>
  <c r="P137" i="4" s="1"/>
  <c r="M601" i="16"/>
  <c r="M79" i="8"/>
  <c r="L53" i="11"/>
  <c r="L55" i="11" s="1"/>
  <c r="N293" i="15"/>
  <c r="N664" i="16" s="1"/>
  <c r="N661" i="16"/>
  <c r="N294" i="15"/>
  <c r="N672" i="16" s="1"/>
  <c r="N292" i="15"/>
  <c r="N663" i="16" s="1"/>
  <c r="P1182" i="17"/>
  <c r="P1183" i="17" s="1"/>
  <c r="P525" i="16"/>
  <c r="P259" i="5"/>
  <c r="Q942" i="17"/>
  <c r="Q943" i="17" s="1"/>
  <c r="Q78" i="16"/>
  <c r="Q66" i="5"/>
  <c r="Q17" i="8"/>
  <c r="Q195" i="7"/>
  <c r="Q259" i="7" s="1"/>
  <c r="Q190" i="4"/>
  <c r="Q156" i="5"/>
  <c r="Q155" i="5"/>
  <c r="L666" i="16"/>
  <c r="L669" i="16"/>
  <c r="M303" i="7"/>
  <c r="Q505" i="16"/>
  <c r="Q232" i="15"/>
  <c r="K71" i="10"/>
  <c r="K245" i="11"/>
  <c r="K696" i="17" s="1"/>
  <c r="K697" i="17" s="1"/>
  <c r="K41" i="13"/>
  <c r="K419" i="15" s="1"/>
  <c r="K221" i="11"/>
  <c r="K551" i="17" s="1"/>
  <c r="K552" i="17" s="1"/>
  <c r="O93" i="16"/>
  <c r="M163" i="12"/>
  <c r="M165" i="12"/>
  <c r="Q81" i="15"/>
  <c r="Q274" i="5"/>
  <c r="Q114" i="16"/>
  <c r="N158" i="16"/>
  <c r="M192" i="16"/>
  <c r="M112" i="11"/>
  <c r="M114" i="11"/>
  <c r="O146" i="16"/>
  <c r="O94" i="15"/>
  <c r="O275" i="5"/>
  <c r="J746" i="16"/>
  <c r="K326" i="15"/>
  <c r="R75" i="16"/>
  <c r="R47" i="4"/>
  <c r="R62" i="5"/>
  <c r="R64" i="5" s="1"/>
  <c r="L711" i="17"/>
  <c r="L712" i="17" s="1"/>
  <c r="L914" i="16"/>
  <c r="L122" i="8"/>
  <c r="N120" i="8"/>
  <c r="N198" i="11" s="1"/>
  <c r="R620" i="16"/>
  <c r="R81" i="6"/>
  <c r="Q838" i="17"/>
  <c r="Q839" i="17" s="1"/>
  <c r="Q194" i="7"/>
  <c r="Q13" i="8"/>
  <c r="Q189" i="4"/>
  <c r="Q45" i="16"/>
  <c r="Q176" i="5"/>
  <c r="O212" i="12"/>
  <c r="P560" i="16"/>
  <c r="P250" i="15"/>
  <c r="P287" i="5"/>
  <c r="P39" i="6"/>
  <c r="M263" i="16"/>
  <c r="N974" i="17"/>
  <c r="N975" i="17" s="1"/>
  <c r="N178" i="16"/>
  <c r="N249" i="5"/>
  <c r="N268" i="5" s="1"/>
  <c r="O57" i="16"/>
  <c r="O1052" i="17"/>
  <c r="O1053" i="17" s="1"/>
  <c r="O250" i="16"/>
  <c r="O251" i="5"/>
  <c r="P1231" i="17"/>
  <c r="P1232" i="17" s="1"/>
  <c r="P657" i="16"/>
  <c r="P236" i="5"/>
  <c r="P86" i="8"/>
  <c r="P178" i="5"/>
  <c r="Q224" i="12"/>
  <c r="Q225" i="12"/>
  <c r="P468" i="16"/>
  <c r="P63" i="8"/>
  <c r="P218" i="15" s="1"/>
  <c r="P475" i="16" s="1"/>
  <c r="P500" i="16"/>
  <c r="P503" i="16"/>
  <c r="Q298" i="7"/>
  <c r="R33" i="6"/>
  <c r="K736" i="16"/>
  <c r="K739" i="16"/>
  <c r="L305" i="7"/>
  <c r="S1309" i="17"/>
  <c r="S1310" i="17" s="1"/>
  <c r="R501" i="16"/>
  <c r="R67" i="8"/>
  <c r="R231" i="15" s="1"/>
  <c r="R508" i="16" s="1"/>
  <c r="O971" i="17"/>
  <c r="O972" i="17" s="1"/>
  <c r="O177" i="16"/>
  <c r="O30" i="8"/>
  <c r="O189" i="16" s="1"/>
  <c r="O222" i="5"/>
  <c r="S144" i="4"/>
  <c r="S53" i="4"/>
  <c r="S79" i="6"/>
  <c r="S78" i="6"/>
  <c r="S221" i="4"/>
  <c r="S108" i="16"/>
  <c r="S80" i="6"/>
  <c r="H157" i="17"/>
  <c r="H158" i="17" s="1"/>
  <c r="H31" i="14"/>
  <c r="H32" i="14" s="1"/>
  <c r="H15" i="12"/>
  <c r="H16" i="12" s="1"/>
  <c r="H872" i="16"/>
  <c r="H37" i="10"/>
  <c r="H83" i="12"/>
  <c r="H81" i="12"/>
  <c r="S1107" i="17"/>
  <c r="S1108" i="17" s="1"/>
  <c r="S358" i="16"/>
  <c r="N369" i="16"/>
  <c r="R1130" i="17"/>
  <c r="R1131" i="17" s="1"/>
  <c r="R492" i="16"/>
  <c r="R258" i="5"/>
  <c r="K53" i="11"/>
  <c r="K55" i="11" s="1"/>
  <c r="N262" i="7"/>
  <c r="N908" i="16" s="1"/>
  <c r="R213" i="16"/>
  <c r="R997" i="17"/>
  <c r="R998" i="17" s="1"/>
  <c r="R34" i="8"/>
  <c r="R225" i="16" s="1"/>
  <c r="R223" i="5"/>
  <c r="M1191" i="17"/>
  <c r="M1192" i="17" s="1"/>
  <c r="M156" i="12"/>
  <c r="M1197" i="17" s="1"/>
  <c r="M1198" i="17" s="1"/>
  <c r="M154" i="12"/>
  <c r="M1194" i="17" s="1"/>
  <c r="M1195" i="17" s="1"/>
  <c r="N165" i="5"/>
  <c r="O968" i="17"/>
  <c r="O969" i="17" s="1"/>
  <c r="O198" i="7"/>
  <c r="O210" i="7" s="1"/>
  <c r="O29" i="8"/>
  <c r="O193" i="4"/>
  <c r="O213" i="4" s="1"/>
  <c r="O136" i="5"/>
  <c r="O137" i="5" s="1"/>
  <c r="O176" i="16"/>
  <c r="L274" i="7"/>
  <c r="O145" i="5"/>
  <c r="P212" i="4"/>
  <c r="R34" i="6"/>
  <c r="P505" i="16"/>
  <c r="P232" i="15"/>
  <c r="O896" i="16"/>
  <c r="T66" i="4"/>
  <c r="S80" i="4"/>
  <c r="S91" i="4" s="1"/>
  <c r="S1263" i="17" s="1"/>
  <c r="S1264" i="17" s="1"/>
  <c r="S86" i="4"/>
  <c r="R520" i="16"/>
  <c r="R145" i="4"/>
  <c r="R146" i="4" s="1"/>
  <c r="N61" i="12"/>
  <c r="N11" i="11"/>
  <c r="Q560" i="16"/>
  <c r="Q250" i="15"/>
  <c r="Q287" i="5"/>
  <c r="Q39" i="6"/>
  <c r="M402" i="16"/>
  <c r="M399" i="16"/>
  <c r="N295" i="7"/>
  <c r="T41" i="5"/>
  <c r="S139" i="5"/>
  <c r="S141" i="5" s="1"/>
  <c r="L542" i="16"/>
  <c r="L247" i="15"/>
  <c r="O82" i="11"/>
  <c r="O84" i="11"/>
  <c r="P68" i="15"/>
  <c r="P273" i="5"/>
  <c r="P81" i="16"/>
  <c r="P634" i="16"/>
  <c r="P83" i="8"/>
  <c r="P283" i="15" s="1"/>
  <c r="P641" i="16" s="1"/>
  <c r="S267" i="7"/>
  <c r="R220" i="7"/>
  <c r="R240" i="7" s="1"/>
  <c r="T220" i="7"/>
  <c r="T240" i="7" s="1"/>
  <c r="Q220" i="7"/>
  <c r="Q240" i="7" s="1"/>
  <c r="L275" i="7"/>
  <c r="M408" i="16"/>
  <c r="M195" i="15"/>
  <c r="M121" i="10"/>
  <c r="M413" i="16" s="1"/>
  <c r="P841" i="17"/>
  <c r="P842" i="17" s="1"/>
  <c r="P14" i="8"/>
  <c r="P46" i="16"/>
  <c r="P218" i="5"/>
  <c r="M592" i="16"/>
  <c r="M261" i="5"/>
  <c r="M269" i="5" s="1"/>
  <c r="M1026" i="17"/>
  <c r="M1027" i="17" s="1"/>
  <c r="M99" i="6"/>
  <c r="K166" i="12"/>
  <c r="K1249" i="17" s="1"/>
  <c r="K1250" i="17" s="1"/>
  <c r="T1124" i="17"/>
  <c r="T1125" i="17" s="1"/>
  <c r="T490" i="16"/>
  <c r="T202" i="4"/>
  <c r="T65" i="8"/>
  <c r="T170" i="5"/>
  <c r="O264" i="7"/>
  <c r="P258" i="7"/>
  <c r="N812" i="16"/>
  <c r="N809" i="16"/>
  <c r="O172" i="7"/>
  <c r="S85" i="4"/>
  <c r="S77" i="4"/>
  <c r="S90" i="4" s="1"/>
  <c r="S1260" i="17" s="1"/>
  <c r="S1261" i="17" s="1"/>
  <c r="T63" i="4"/>
  <c r="R31" i="6"/>
  <c r="J34" i="12"/>
  <c r="J283" i="7"/>
  <c r="R90" i="5"/>
  <c r="R92" i="5" s="1"/>
  <c r="R159" i="5"/>
  <c r="R1317" i="17"/>
  <c r="Q143" i="12"/>
  <c r="Q145" i="12"/>
  <c r="O118" i="8"/>
  <c r="S76" i="4"/>
  <c r="T62" i="4"/>
  <c r="T76" i="4" s="1"/>
  <c r="M661" i="16"/>
  <c r="M293" i="15"/>
  <c r="M664" i="16" s="1"/>
  <c r="M292" i="15"/>
  <c r="M663" i="16" s="1"/>
  <c r="M294" i="15"/>
  <c r="M672" i="16" s="1"/>
  <c r="N193" i="15"/>
  <c r="O153" i="12"/>
  <c r="O155" i="12"/>
  <c r="O366" i="16"/>
  <c r="O51" i="8"/>
  <c r="O179" i="15" s="1"/>
  <c r="O372" i="16" s="1"/>
  <c r="T365" i="16"/>
  <c r="K39" i="14"/>
  <c r="K274" i="12"/>
  <c r="K367" i="17"/>
  <c r="K368" i="17" s="1"/>
  <c r="K295" i="12"/>
  <c r="K342" i="17" s="1"/>
  <c r="K343" i="17" s="1"/>
  <c r="K322" i="7"/>
  <c r="K158" i="10"/>
  <c r="K41" i="10"/>
  <c r="Q495" i="16"/>
  <c r="Q229" i="15"/>
  <c r="Q506" i="16" s="1"/>
  <c r="Q227" i="15"/>
  <c r="Q497" i="16" s="1"/>
  <c r="L20" i="9"/>
  <c r="M8" i="9"/>
  <c r="S74" i="4"/>
  <c r="T60" i="4"/>
  <c r="T74" i="4" s="1"/>
  <c r="O668" i="16"/>
  <c r="O87" i="8"/>
  <c r="O296" i="15" s="1"/>
  <c r="O674" i="16" s="1"/>
  <c r="M162" i="11"/>
  <c r="K771" i="16"/>
  <c r="K774" i="16"/>
  <c r="L306" i="7"/>
  <c r="S221" i="12"/>
  <c r="S222" i="12"/>
  <c r="K829" i="16"/>
  <c r="F30" i="16"/>
  <c r="H31" i="15"/>
  <c r="C192" i="1"/>
  <c r="K343" i="15"/>
  <c r="K79" i="10"/>
  <c r="K47" i="10"/>
  <c r="K183" i="12"/>
  <c r="K132" i="11"/>
  <c r="P89" i="16"/>
  <c r="P19" i="8"/>
  <c r="P75" i="15" s="1"/>
  <c r="P96" i="16" s="1"/>
  <c r="L566" i="17"/>
  <c r="L567" i="17" s="1"/>
  <c r="L225" i="11"/>
  <c r="L571" i="17" s="1"/>
  <c r="L572" i="17" s="1"/>
  <c r="M241" i="15"/>
  <c r="M531" i="16" s="1"/>
  <c r="R224" i="16"/>
  <c r="R35" i="8"/>
  <c r="R127" i="15" s="1"/>
  <c r="R231" i="16" s="1"/>
  <c r="S83" i="4"/>
  <c r="T56" i="4"/>
  <c r="S70" i="4"/>
  <c r="T267" i="7"/>
  <c r="N220" i="7"/>
  <c r="N240" i="7" s="1"/>
  <c r="T68" i="4"/>
  <c r="T82" i="4" s="1"/>
  <c r="S82" i="4"/>
  <c r="M9" i="11"/>
  <c r="M216" i="4"/>
  <c r="S31" i="6"/>
  <c r="S32" i="6"/>
  <c r="N162" i="11"/>
  <c r="S994" i="17"/>
  <c r="S995" i="17" s="1"/>
  <c r="S212" i="16"/>
  <c r="S33" i="8"/>
  <c r="S199" i="7"/>
  <c r="S216" i="7" s="1"/>
  <c r="S236" i="7" s="1"/>
  <c r="S194" i="4"/>
  <c r="P174" i="5"/>
  <c r="Q92" i="11"/>
  <c r="Q94" i="11"/>
  <c r="N214" i="4"/>
  <c r="L14" i="11"/>
  <c r="L501" i="17" s="1"/>
  <c r="L502" i="17" s="1"/>
  <c r="L270" i="5"/>
  <c r="L65" i="12" s="1"/>
  <c r="L152" i="17" s="1"/>
  <c r="L153" i="17" s="1"/>
  <c r="O1303" i="17"/>
  <c r="O1311" i="17" s="1"/>
  <c r="O1304" i="17"/>
  <c r="T31" i="6"/>
  <c r="T32" i="6"/>
  <c r="T34" i="6"/>
  <c r="T33" i="6"/>
  <c r="I339" i="16"/>
  <c r="J170" i="15"/>
  <c r="N671" i="16"/>
  <c r="N297" i="15"/>
  <c r="S120" i="15" l="1"/>
  <c r="S121" i="15"/>
  <c r="S277" i="5"/>
  <c r="S215" i="16"/>
  <c r="S117" i="12"/>
  <c r="S66" i="11"/>
  <c r="S1307" i="17"/>
  <c r="S1308" i="17"/>
  <c r="S493" i="16"/>
  <c r="S225" i="15"/>
  <c r="S224" i="15"/>
  <c r="S142" i="12"/>
  <c r="S91" i="11"/>
  <c r="S285" i="5"/>
  <c r="T1310" i="17"/>
  <c r="T1309" i="17"/>
  <c r="Q626" i="16"/>
  <c r="Q276" i="15"/>
  <c r="Q289" i="5"/>
  <c r="Q86" i="6"/>
  <c r="Q85" i="6"/>
  <c r="Q92" i="6" s="1"/>
  <c r="O179" i="16"/>
  <c r="O107" i="15"/>
  <c r="O276" i="5"/>
  <c r="O898" i="16"/>
  <c r="Q48" i="16"/>
  <c r="Q55" i="15"/>
  <c r="Q272" i="5"/>
  <c r="S1003" i="17"/>
  <c r="S1004" i="17" s="1"/>
  <c r="S216" i="16"/>
  <c r="O359" i="16"/>
  <c r="O176" i="15"/>
  <c r="O362" i="16" s="1"/>
  <c r="O177" i="15"/>
  <c r="O370" i="16" s="1"/>
  <c r="O175" i="15"/>
  <c r="O361" i="16" s="1"/>
  <c r="R1153" i="17"/>
  <c r="R1154" i="17" s="1"/>
  <c r="R112" i="16"/>
  <c r="R22" i="8"/>
  <c r="R123" i="16" s="1"/>
  <c r="R220" i="5"/>
  <c r="R94" i="5"/>
  <c r="O224" i="11"/>
  <c r="O40" i="14"/>
  <c r="O275" i="12"/>
  <c r="O42" i="10"/>
  <c r="O323" i="7"/>
  <c r="O40" i="13"/>
  <c r="O331" i="7"/>
  <c r="O74" i="10"/>
  <c r="O716" i="17"/>
  <c r="O717" i="17" s="1"/>
  <c r="O167" i="10"/>
  <c r="O244" i="11"/>
  <c r="O691" i="17" s="1"/>
  <c r="O692" i="17" s="1"/>
  <c r="N299" i="15"/>
  <c r="N675" i="16"/>
  <c r="N122" i="10"/>
  <c r="N680" i="16" s="1"/>
  <c r="M675" i="16"/>
  <c r="M299" i="15"/>
  <c r="M122" i="10"/>
  <c r="M680" i="16" s="1"/>
  <c r="T1299" i="17"/>
  <c r="T1300" i="17" s="1"/>
  <c r="T84" i="4"/>
  <c r="T75" i="4"/>
  <c r="T89" i="4" s="1"/>
  <c r="T1257" i="17" s="1"/>
  <c r="T1258" i="17" s="1"/>
  <c r="P460" i="16"/>
  <c r="P211" i="15"/>
  <c r="P81" i="11"/>
  <c r="P212" i="15"/>
  <c r="P132" i="12"/>
  <c r="P284" i="5"/>
  <c r="P1049" i="17"/>
  <c r="P1050" i="17" s="1"/>
  <c r="P249" i="16"/>
  <c r="P224" i="5"/>
  <c r="P38" i="8"/>
  <c r="P260" i="16" s="1"/>
  <c r="Q1107" i="17"/>
  <c r="Q1108" i="17" s="1"/>
  <c r="Q358" i="16"/>
  <c r="L612" i="16"/>
  <c r="L269" i="15"/>
  <c r="L607" i="16" s="1"/>
  <c r="S87" i="6"/>
  <c r="Q1231" i="17"/>
  <c r="Q1232" i="17" s="1"/>
  <c r="Q657" i="16"/>
  <c r="Q86" i="8"/>
  <c r="Q236" i="5"/>
  <c r="Q178" i="5"/>
  <c r="N62" i="12"/>
  <c r="N10" i="12"/>
  <c r="N78" i="7"/>
  <c r="N77" i="7"/>
  <c r="N79" i="7"/>
  <c r="O138" i="12"/>
  <c r="O140" i="12"/>
  <c r="H87" i="11"/>
  <c r="H89" i="11"/>
  <c r="P394" i="16"/>
  <c r="P190" i="15"/>
  <c r="P405" i="16" s="1"/>
  <c r="P188" i="15"/>
  <c r="P396" i="16" s="1"/>
  <c r="P189" i="15"/>
  <c r="P397" i="16" s="1"/>
  <c r="J1003" i="17"/>
  <c r="J1004" i="17" s="1"/>
  <c r="J216" i="16"/>
  <c r="J66" i="11"/>
  <c r="J121" i="15"/>
  <c r="J117" i="12"/>
  <c r="P357" i="16"/>
  <c r="P172" i="15"/>
  <c r="P208" i="12"/>
  <c r="P86" i="11"/>
  <c r="P157" i="11"/>
  <c r="P137" i="12"/>
  <c r="P281" i="5"/>
  <c r="P173" i="15"/>
  <c r="S501" i="16"/>
  <c r="S67" i="8"/>
  <c r="S231" i="15" s="1"/>
  <c r="S508" i="16" s="1"/>
  <c r="I159" i="11"/>
  <c r="S1305" i="17"/>
  <c r="S1306" i="17" s="1"/>
  <c r="P264" i="7"/>
  <c r="J339" i="16"/>
  <c r="K170" i="15"/>
  <c r="M59" i="12"/>
  <c r="M217" i="4"/>
  <c r="T77" i="4"/>
  <c r="T90" i="4" s="1"/>
  <c r="T1260" i="17" s="1"/>
  <c r="T1261" i="17" s="1"/>
  <c r="T85" i="4"/>
  <c r="T1130" i="17"/>
  <c r="T1131" i="17" s="1"/>
  <c r="T492" i="16"/>
  <c r="T258" i="5"/>
  <c r="T1107" i="17"/>
  <c r="T1108" i="17" s="1"/>
  <c r="T358" i="16"/>
  <c r="P93" i="16"/>
  <c r="P211" i="12"/>
  <c r="P213" i="12" s="1"/>
  <c r="P289" i="15"/>
  <c r="P290" i="15"/>
  <c r="P160" i="11"/>
  <c r="P162" i="11" s="1"/>
  <c r="P659" i="16"/>
  <c r="P111" i="11"/>
  <c r="P290" i="5"/>
  <c r="P162" i="12"/>
  <c r="O158" i="16"/>
  <c r="R1254" i="17"/>
  <c r="R1255" i="17" s="1"/>
  <c r="R92" i="4"/>
  <c r="R126" i="5"/>
  <c r="R128" i="5"/>
  <c r="J872" i="16"/>
  <c r="J157" i="17"/>
  <c r="J158" i="17" s="1"/>
  <c r="J83" i="12"/>
  <c r="J15" i="12"/>
  <c r="J16" i="12" s="1"/>
  <c r="J31" i="14"/>
  <c r="J32" i="14" s="1"/>
  <c r="J37" i="10"/>
  <c r="J81" i="12"/>
  <c r="M273" i="7"/>
  <c r="M81" i="7"/>
  <c r="O208" i="12"/>
  <c r="H140" i="12"/>
  <c r="H138" i="12"/>
  <c r="T81" i="6"/>
  <c r="T620" i="16"/>
  <c r="P259" i="16"/>
  <c r="P39" i="8"/>
  <c r="P140" i="15" s="1"/>
  <c r="P266" i="16" s="1"/>
  <c r="Q401" i="16"/>
  <c r="Q55" i="8"/>
  <c r="Q192" i="15" s="1"/>
  <c r="Q407" i="16" s="1"/>
  <c r="S178" i="7"/>
  <c r="O590" i="16"/>
  <c r="O205" i="4"/>
  <c r="O215" i="4" s="1"/>
  <c r="O77" i="8"/>
  <c r="O61" i="6"/>
  <c r="O98" i="6"/>
  <c r="O1020" i="17"/>
  <c r="O1021" i="17" s="1"/>
  <c r="P526" i="16"/>
  <c r="P286" i="5"/>
  <c r="P237" i="15"/>
  <c r="P152" i="12"/>
  <c r="P101" i="11"/>
  <c r="P238" i="15"/>
  <c r="M486" i="17"/>
  <c r="M487" i="17" s="1"/>
  <c r="M897" i="16"/>
  <c r="M30" i="13"/>
  <c r="M9" i="12"/>
  <c r="M13" i="11"/>
  <c r="T221" i="12"/>
  <c r="T222" i="12"/>
  <c r="M9" i="9"/>
  <c r="M10" i="9"/>
  <c r="T171" i="5"/>
  <c r="R1107" i="17"/>
  <c r="R1108" i="17" s="1"/>
  <c r="R358" i="16"/>
  <c r="P509" i="16"/>
  <c r="P234" i="15"/>
  <c r="O868" i="16"/>
  <c r="P668" i="16"/>
  <c r="P87" i="8"/>
  <c r="P296" i="15" s="1"/>
  <c r="P674" i="16" s="1"/>
  <c r="R945" i="17"/>
  <c r="R946" i="17" s="1"/>
  <c r="R18" i="8"/>
  <c r="R90" i="16" s="1"/>
  <c r="R219" i="5"/>
  <c r="R79" i="16"/>
  <c r="M669" i="16"/>
  <c r="M666" i="16"/>
  <c r="N303" i="7"/>
  <c r="T245" i="16"/>
  <c r="T109" i="4"/>
  <c r="R179" i="7"/>
  <c r="N192" i="11"/>
  <c r="N616" i="17" s="1"/>
  <c r="N617" i="17" s="1"/>
  <c r="N121" i="8"/>
  <c r="N592" i="16"/>
  <c r="N261" i="5"/>
  <c r="N269" i="5" s="1"/>
  <c r="N1026" i="17"/>
  <c r="N1027" i="17" s="1"/>
  <c r="N99" i="6"/>
  <c r="M275" i="7"/>
  <c r="O369" i="16"/>
  <c r="O180" i="15"/>
  <c r="R1072" i="17"/>
  <c r="R1073" i="17" s="1"/>
  <c r="R457" i="16"/>
  <c r="R61" i="8"/>
  <c r="R201" i="4"/>
  <c r="R167" i="5"/>
  <c r="P404" i="16"/>
  <c r="R126" i="15"/>
  <c r="R230" i="16" s="1"/>
  <c r="R101" i="10"/>
  <c r="K676" i="16"/>
  <c r="L300" i="15"/>
  <c r="K444" i="16"/>
  <c r="L209" i="15"/>
  <c r="P228" i="15"/>
  <c r="P498" i="16" s="1"/>
  <c r="P1052" i="17"/>
  <c r="P1053" i="17" s="1"/>
  <c r="P250" i="16"/>
  <c r="P251" i="5"/>
  <c r="T178" i="7"/>
  <c r="L199" i="11"/>
  <c r="M18" i="9"/>
  <c r="L250" i="12"/>
  <c r="L21" i="9"/>
  <c r="T501" i="16"/>
  <c r="T67" i="8"/>
  <c r="S105" i="10"/>
  <c r="S178" i="15"/>
  <c r="S371" i="16" s="1"/>
  <c r="O83" i="11"/>
  <c r="O85" i="11" s="1"/>
  <c r="S620" i="16"/>
  <c r="S81" i="6"/>
  <c r="R942" i="17"/>
  <c r="R943" i="17" s="1"/>
  <c r="R195" i="7"/>
  <c r="R259" i="7" s="1"/>
  <c r="R66" i="5"/>
  <c r="R78" i="16"/>
  <c r="R190" i="4"/>
  <c r="R17" i="8"/>
  <c r="R155" i="5"/>
  <c r="R156" i="5"/>
  <c r="S245" i="16"/>
  <c r="S109" i="4"/>
  <c r="J303" i="16"/>
  <c r="K157" i="15"/>
  <c r="N601" i="16"/>
  <c r="N79" i="8"/>
  <c r="K781" i="16"/>
  <c r="L339" i="15"/>
  <c r="M274" i="7"/>
  <c r="I510" i="16"/>
  <c r="J235" i="15"/>
  <c r="R110" i="4"/>
  <c r="R111" i="4"/>
  <c r="P164" i="11"/>
  <c r="P165" i="11"/>
  <c r="P366" i="16"/>
  <c r="P51" i="8"/>
  <c r="P179" i="15" s="1"/>
  <c r="P372" i="16" s="1"/>
  <c r="R229" i="15"/>
  <c r="R506" i="16" s="1"/>
  <c r="R227" i="15"/>
  <c r="R497" i="16" s="1"/>
  <c r="R495" i="16"/>
  <c r="P145" i="5"/>
  <c r="T263" i="7"/>
  <c r="P216" i="7"/>
  <c r="P236" i="7" s="1"/>
  <c r="M216" i="7"/>
  <c r="M236" i="7" s="1"/>
  <c r="Q216" i="7"/>
  <c r="Q236" i="7" s="1"/>
  <c r="H216" i="7"/>
  <c r="H236" i="7" s="1"/>
  <c r="T216" i="7"/>
  <c r="T236" i="7" s="1"/>
  <c r="K216" i="7"/>
  <c r="K236" i="7" s="1"/>
  <c r="I216" i="7"/>
  <c r="I236" i="7" s="1"/>
  <c r="N216" i="7"/>
  <c r="N236" i="7" s="1"/>
  <c r="L216" i="7"/>
  <c r="L236" i="7" s="1"/>
  <c r="O216" i="7"/>
  <c r="O236" i="7" s="1"/>
  <c r="K217" i="17"/>
  <c r="K218" i="17" s="1"/>
  <c r="K276" i="12"/>
  <c r="K222" i="17" s="1"/>
  <c r="K223" i="17" s="1"/>
  <c r="L645" i="16"/>
  <c r="L282" i="15"/>
  <c r="L640" i="16" s="1"/>
  <c r="O87" i="11"/>
  <c r="O89" i="11"/>
  <c r="Q434" i="16"/>
  <c r="R296" i="7"/>
  <c r="Q392" i="16"/>
  <c r="Q185" i="15"/>
  <c r="Q282" i="5"/>
  <c r="Q186" i="15"/>
  <c r="N476" i="16"/>
  <c r="N221" i="15"/>
  <c r="N263" i="16"/>
  <c r="O139" i="15"/>
  <c r="O265" i="16" s="1"/>
  <c r="O102" i="10"/>
  <c r="T80" i="4"/>
  <c r="T91" i="4" s="1"/>
  <c r="T1263" i="17" s="1"/>
  <c r="T1264" i="17" s="1"/>
  <c r="T86" i="4"/>
  <c r="R224" i="12"/>
  <c r="R225" i="12"/>
  <c r="T40" i="6"/>
  <c r="L771" i="16"/>
  <c r="L774" i="16"/>
  <c r="M306" i="7"/>
  <c r="O192" i="11"/>
  <c r="O616" i="17" s="1"/>
  <c r="O617" i="17" s="1"/>
  <c r="R73" i="8"/>
  <c r="R557" i="16"/>
  <c r="R204" i="4"/>
  <c r="R36" i="6"/>
  <c r="P626" i="16"/>
  <c r="P276" i="15"/>
  <c r="P289" i="5"/>
  <c r="P86" i="6"/>
  <c r="P85" i="6"/>
  <c r="P92" i="6" s="1"/>
  <c r="T1150" i="17"/>
  <c r="T1151" i="17" s="1"/>
  <c r="T111" i="16"/>
  <c r="T191" i="4"/>
  <c r="T196" i="7"/>
  <c r="T91" i="5"/>
  <c r="T21" i="8"/>
  <c r="K87" i="11"/>
  <c r="K89" i="11"/>
  <c r="P10" i="11"/>
  <c r="P60" i="12"/>
  <c r="S1156" i="17"/>
  <c r="S1157" i="17" s="1"/>
  <c r="S113" i="16"/>
  <c r="S247" i="5"/>
  <c r="N115" i="8"/>
  <c r="N243" i="12"/>
  <c r="N267" i="17" s="1"/>
  <c r="N268" i="17" s="1"/>
  <c r="O11" i="11"/>
  <c r="O61" i="12"/>
  <c r="L805" i="16"/>
  <c r="L54" i="9"/>
  <c r="L377" i="15"/>
  <c r="L807" i="16"/>
  <c r="T138" i="4"/>
  <c r="T45" i="4"/>
  <c r="Q1078" i="17"/>
  <c r="Q1079" i="17" s="1"/>
  <c r="Q257" i="5"/>
  <c r="Q459" i="16"/>
  <c r="N1107" i="17"/>
  <c r="N1108" i="17" s="1"/>
  <c r="N358" i="16"/>
  <c r="N208" i="12"/>
  <c r="N210" i="12" s="1"/>
  <c r="N137" i="12"/>
  <c r="N173" i="15"/>
  <c r="N86" i="11"/>
  <c r="N157" i="11"/>
  <c r="O103" i="11"/>
  <c r="O105" i="11" s="1"/>
  <c r="M909" i="16"/>
  <c r="M33" i="12"/>
  <c r="R505" i="16"/>
  <c r="R232" i="15"/>
  <c r="J210" i="12"/>
  <c r="L166" i="12"/>
  <c r="L1249" i="17" s="1"/>
  <c r="L1250" i="17" s="1"/>
  <c r="M605" i="16"/>
  <c r="K159" i="11"/>
  <c r="P1303" i="17"/>
  <c r="P1311" i="17" s="1"/>
  <c r="P1304" i="17"/>
  <c r="O112" i="11"/>
  <c r="O114" i="11"/>
  <c r="Q99" i="4"/>
  <c r="Q173" i="16"/>
  <c r="Q135" i="5"/>
  <c r="Q55" i="6"/>
  <c r="Q57" i="6"/>
  <c r="Q58" i="6"/>
  <c r="Q56" i="6"/>
  <c r="Q220" i="4"/>
  <c r="L813" i="16"/>
  <c r="L55" i="9"/>
  <c r="M47" i="9"/>
  <c r="S454" i="16"/>
  <c r="S139" i="4"/>
  <c r="S140" i="4" s="1"/>
  <c r="Q534" i="16"/>
  <c r="Q71" i="8"/>
  <c r="Q244" i="15" s="1"/>
  <c r="Q541" i="16" s="1"/>
  <c r="Q468" i="16"/>
  <c r="Q63" i="8"/>
  <c r="Q218" i="15" s="1"/>
  <c r="Q475" i="16" s="1"/>
  <c r="Q1202" i="17"/>
  <c r="Q1203" i="17" s="1"/>
  <c r="Q143" i="16"/>
  <c r="Q197" i="7"/>
  <c r="Q25" i="8"/>
  <c r="Q192" i="4"/>
  <c r="Q212" i="4" s="1"/>
  <c r="R390" i="16"/>
  <c r="R54" i="8"/>
  <c r="R228" i="5"/>
  <c r="R161" i="5"/>
  <c r="O120" i="8"/>
  <c r="O198" i="11" s="1"/>
  <c r="K746" i="16"/>
  <c r="L326" i="15"/>
  <c r="Q89" i="16"/>
  <c r="Q19" i="8"/>
  <c r="Q75" i="15" s="1"/>
  <c r="Q96" i="16" s="1"/>
  <c r="O163" i="12"/>
  <c r="O165" i="12"/>
  <c r="N287" i="17"/>
  <c r="N288" i="17" s="1"/>
  <c r="J159" i="11"/>
  <c r="O435" i="16"/>
  <c r="O59" i="8"/>
  <c r="J711" i="16"/>
  <c r="K313" i="15"/>
  <c r="T139" i="5"/>
  <c r="R1176" i="17"/>
  <c r="R1177" i="17" s="1"/>
  <c r="R523" i="16"/>
  <c r="R69" i="8"/>
  <c r="R173" i="5"/>
  <c r="R203" i="4"/>
  <c r="R174" i="5"/>
  <c r="N198" i="15"/>
  <c r="N427" i="16"/>
  <c r="N199" i="15"/>
  <c r="N51" i="11"/>
  <c r="N102" i="12"/>
  <c r="N283" i="5"/>
  <c r="N295" i="5" s="1"/>
  <c r="N297" i="5" s="1"/>
  <c r="O114" i="8"/>
  <c r="O249" i="12" s="1"/>
  <c r="Q68" i="15"/>
  <c r="Q273" i="5"/>
  <c r="Q81" i="16"/>
  <c r="O241" i="15"/>
  <c r="O531" i="16" s="1"/>
  <c r="N192" i="16"/>
  <c r="Q93" i="11"/>
  <c r="Q95" i="11" s="1"/>
  <c r="P114" i="8"/>
  <c r="P249" i="12" s="1"/>
  <c r="P57" i="16"/>
  <c r="N270" i="5"/>
  <c r="N65" i="12" s="1"/>
  <c r="N152" i="17" s="1"/>
  <c r="N153" i="17" s="1"/>
  <c r="N14" i="11"/>
  <c r="N501" i="17" s="1"/>
  <c r="N502" i="17" s="1"/>
  <c r="L736" i="16"/>
  <c r="L739" i="16"/>
  <c r="M305" i="7"/>
  <c r="Q227" i="4"/>
  <c r="R838" i="17"/>
  <c r="R839" i="17" s="1"/>
  <c r="R45" i="16"/>
  <c r="R13" i="8"/>
  <c r="R194" i="7"/>
  <c r="R189" i="4"/>
  <c r="P158" i="16"/>
  <c r="M329" i="16"/>
  <c r="N293" i="7"/>
  <c r="M332" i="16"/>
  <c r="T224" i="16"/>
  <c r="T557" i="16"/>
  <c r="T73" i="8"/>
  <c r="T204" i="4"/>
  <c r="T36" i="6"/>
  <c r="T37" i="6"/>
  <c r="O974" i="17"/>
  <c r="O975" i="17" s="1"/>
  <c r="O178" i="16"/>
  <c r="O249" i="5"/>
  <c r="O1087" i="17"/>
  <c r="O1088" i="17" s="1"/>
  <c r="O136" i="12"/>
  <c r="O1093" i="17" s="1"/>
  <c r="O1094" i="17" s="1"/>
  <c r="O134" i="12"/>
  <c r="O1090" i="17" s="1"/>
  <c r="O1091" i="17" s="1"/>
  <c r="Q841" i="17"/>
  <c r="Q842" i="17" s="1"/>
  <c r="Q46" i="16"/>
  <c r="Q14" i="8"/>
  <c r="Q218" i="5"/>
  <c r="T520" i="16"/>
  <c r="T145" i="4"/>
  <c r="T146" i="4" s="1"/>
  <c r="R30" i="6"/>
  <c r="R553" i="16" s="1"/>
  <c r="R31" i="5"/>
  <c r="R33" i="5" s="1"/>
  <c r="R135" i="4"/>
  <c r="R41" i="16"/>
  <c r="R219" i="4"/>
  <c r="O476" i="16"/>
  <c r="O221" i="15"/>
  <c r="P95" i="11"/>
  <c r="P93" i="11"/>
  <c r="L106" i="12"/>
  <c r="L937" i="17" s="1"/>
  <c r="L938" i="17" s="1"/>
  <c r="M270" i="5"/>
  <c r="M65" i="12" s="1"/>
  <c r="M152" i="17" s="1"/>
  <c r="M153" i="17" s="1"/>
  <c r="M14" i="11"/>
  <c r="M501" i="17" s="1"/>
  <c r="M502" i="17" s="1"/>
  <c r="M711" i="17"/>
  <c r="M712" i="17" s="1"/>
  <c r="M914" i="16"/>
  <c r="M122" i="8"/>
  <c r="K140" i="12"/>
  <c r="K138" i="12"/>
  <c r="S224" i="16"/>
  <c r="K133" i="11"/>
  <c r="K135" i="11" s="1"/>
  <c r="Q228" i="15"/>
  <c r="Q498" i="16" s="1"/>
  <c r="O1191" i="17"/>
  <c r="O1192" i="17" s="1"/>
  <c r="O154" i="12"/>
  <c r="O1194" i="17" s="1"/>
  <c r="O1195" i="17" s="1"/>
  <c r="Q572" i="16"/>
  <c r="O251" i="16"/>
  <c r="O133" i="15"/>
  <c r="O278" i="5"/>
  <c r="S145" i="4"/>
  <c r="S146" i="4" s="1"/>
  <c r="S520" i="16"/>
  <c r="M113" i="11"/>
  <c r="M115" i="11"/>
  <c r="M1243" i="17"/>
  <c r="M1244" i="17" s="1"/>
  <c r="M166" i="12"/>
  <c r="M1249" i="17" s="1"/>
  <c r="M1250" i="17" s="1"/>
  <c r="M164" i="12"/>
  <c r="M1246" i="17" s="1"/>
  <c r="M1247" i="17" s="1"/>
  <c r="Q421" i="16"/>
  <c r="Q136" i="4"/>
  <c r="Q137" i="4" s="1"/>
  <c r="R143" i="12"/>
  <c r="R145" i="12"/>
  <c r="J89" i="11"/>
  <c r="J87" i="11"/>
  <c r="T1156" i="17"/>
  <c r="T1157" i="17" s="1"/>
  <c r="T113" i="16"/>
  <c r="T247" i="5"/>
  <c r="S38" i="4"/>
  <c r="S41" i="4"/>
  <c r="M14" i="12"/>
  <c r="K359" i="16"/>
  <c r="K176" i="15"/>
  <c r="K362" i="16" s="1"/>
  <c r="K177" i="15"/>
  <c r="K175" i="15"/>
  <c r="K361" i="16" s="1"/>
  <c r="N195" i="15"/>
  <c r="N121" i="10"/>
  <c r="N413" i="16" s="1"/>
  <c r="N408" i="16"/>
  <c r="Q1139" i="17"/>
  <c r="Q1140" i="17" s="1"/>
  <c r="Q144" i="12"/>
  <c r="Q1142" i="17" s="1"/>
  <c r="Q1143" i="17" s="1"/>
  <c r="R97" i="4"/>
  <c r="S96" i="4"/>
  <c r="Q625" i="16"/>
  <c r="Q262" i="5"/>
  <c r="M140" i="12"/>
  <c r="M138" i="12"/>
  <c r="K821" i="16"/>
  <c r="S75" i="16"/>
  <c r="S47" i="4"/>
  <c r="S62" i="5"/>
  <c r="S64" i="5" s="1"/>
  <c r="Q299" i="7"/>
  <c r="P533" i="16"/>
  <c r="P536" i="16"/>
  <c r="T41" i="4"/>
  <c r="T38" i="4"/>
  <c r="P61" i="15"/>
  <c r="P62" i="16" s="1"/>
  <c r="P67" i="16"/>
  <c r="Q74" i="15"/>
  <c r="Q95" i="16" s="1"/>
  <c r="Q100" i="16"/>
  <c r="L222" i="15"/>
  <c r="K477" i="16"/>
  <c r="M89" i="11"/>
  <c r="M87" i="11"/>
  <c r="K34" i="12"/>
  <c r="K283" i="7"/>
  <c r="J138" i="12"/>
  <c r="J140" i="12"/>
  <c r="O922" i="17"/>
  <c r="O923" i="17" s="1"/>
  <c r="O256" i="5"/>
  <c r="O426" i="16"/>
  <c r="M52" i="11"/>
  <c r="M54" i="11"/>
  <c r="K210" i="12"/>
  <c r="S88" i="4"/>
  <c r="N113" i="15"/>
  <c r="N194" i="16" s="1"/>
  <c r="N100" i="10"/>
  <c r="R81" i="8"/>
  <c r="R623" i="16"/>
  <c r="R206" i="4"/>
  <c r="R83" i="6"/>
  <c r="O215" i="15"/>
  <c r="O465" i="16" s="1"/>
  <c r="P59" i="6"/>
  <c r="P587" i="16"/>
  <c r="M296" i="16"/>
  <c r="M293" i="16"/>
  <c r="N292" i="7"/>
  <c r="L1107" i="17"/>
  <c r="L1108" i="17" s="1"/>
  <c r="L358" i="16"/>
  <c r="L157" i="11"/>
  <c r="L159" i="11" s="1"/>
  <c r="L86" i="11"/>
  <c r="L137" i="12"/>
  <c r="L173" i="15"/>
  <c r="L208" i="12"/>
  <c r="M362" i="17"/>
  <c r="M363" i="17" s="1"/>
  <c r="M116" i="8"/>
  <c r="M103" i="12"/>
  <c r="M105" i="12"/>
  <c r="N281" i="7"/>
  <c r="T83" i="4"/>
  <c r="T70" i="4"/>
  <c r="T88" i="4" s="1"/>
  <c r="K344" i="15"/>
  <c r="K345" i="15" s="1"/>
  <c r="P916" i="17"/>
  <c r="P917" i="17" s="1"/>
  <c r="P424" i="16"/>
  <c r="P200" i="4"/>
  <c r="P57" i="8"/>
  <c r="P164" i="5"/>
  <c r="P165" i="5" s="1"/>
  <c r="O661" i="16"/>
  <c r="O294" i="15"/>
  <c r="O672" i="16" s="1"/>
  <c r="O292" i="15"/>
  <c r="O663" i="16" s="1"/>
  <c r="Q634" i="16"/>
  <c r="Q83" i="8"/>
  <c r="Q283" i="15" s="1"/>
  <c r="Q641" i="16" s="1"/>
  <c r="H210" i="12"/>
  <c r="H209" i="12"/>
  <c r="I209" i="12" s="1"/>
  <c r="J209" i="12" s="1"/>
  <c r="K209" i="12" s="1"/>
  <c r="L209" i="12" s="1"/>
  <c r="M209" i="12" s="1"/>
  <c r="P126" i="16"/>
  <c r="N912" i="16"/>
  <c r="Q1182" i="17"/>
  <c r="Q1183" i="17" s="1"/>
  <c r="Q525" i="16"/>
  <c r="Q259" i="5"/>
  <c r="O165" i="5"/>
  <c r="N247" i="15"/>
  <c r="N542" i="16"/>
  <c r="M566" i="17"/>
  <c r="M567" i="17" s="1"/>
  <c r="M225" i="11"/>
  <c r="M571" i="17" s="1"/>
  <c r="M572" i="17" s="1"/>
  <c r="M701" i="16"/>
  <c r="M704" i="16"/>
  <c r="N304" i="7"/>
  <c r="T155" i="11"/>
  <c r="T156" i="11"/>
  <c r="N1243" i="17"/>
  <c r="N1244" i="17" s="1"/>
  <c r="N164" i="12"/>
  <c r="N1246" i="17" s="1"/>
  <c r="N1247" i="17" s="1"/>
  <c r="M96" i="6"/>
  <c r="S33" i="6"/>
  <c r="S87" i="4"/>
  <c r="J881" i="16"/>
  <c r="J35" i="12"/>
  <c r="J36" i="12" s="1"/>
  <c r="J112" i="10"/>
  <c r="J113" i="10" s="1"/>
  <c r="N402" i="16"/>
  <c r="N399" i="16"/>
  <c r="O295" i="7"/>
  <c r="P572" i="16"/>
  <c r="N636" i="17"/>
  <c r="N637" i="17" s="1"/>
  <c r="P971" i="17"/>
  <c r="P972" i="17" s="1"/>
  <c r="P222" i="5"/>
  <c r="P177" i="16"/>
  <c r="P30" i="8"/>
  <c r="P189" i="16" s="1"/>
  <c r="O39" i="8"/>
  <c r="O140" i="15" s="1"/>
  <c r="O266" i="16" s="1"/>
  <c r="L39" i="14"/>
  <c r="L158" i="10"/>
  <c r="L295" i="12"/>
  <c r="L342" i="17" s="1"/>
  <c r="L343" i="17" s="1"/>
  <c r="L322" i="7"/>
  <c r="L274" i="12"/>
  <c r="L41" i="10"/>
  <c r="L367" i="17"/>
  <c r="L368" i="17" s="1"/>
  <c r="K137" i="17"/>
  <c r="K138" i="17" s="1"/>
  <c r="K869" i="16"/>
  <c r="K11" i="12"/>
  <c r="K12" i="12" s="1"/>
  <c r="K64" i="12"/>
  <c r="K30" i="14"/>
  <c r="Q257" i="15"/>
  <c r="Q575" i="16" s="1"/>
  <c r="H359" i="16"/>
  <c r="H175" i="15"/>
  <c r="H361" i="16" s="1"/>
  <c r="H176" i="15"/>
  <c r="H362" i="16" s="1"/>
  <c r="H177" i="15"/>
  <c r="M177" i="15"/>
  <c r="M175" i="15"/>
  <c r="M361" i="16" s="1"/>
  <c r="M359" i="16"/>
  <c r="M176" i="15"/>
  <c r="M362" i="16" s="1"/>
  <c r="P60" i="16"/>
  <c r="O245" i="15"/>
  <c r="N205" i="15"/>
  <c r="N442" i="16" s="1"/>
  <c r="N437" i="16"/>
  <c r="N884" i="16"/>
  <c r="I359" i="16"/>
  <c r="I175" i="15"/>
  <c r="I361" i="16" s="1"/>
  <c r="I177" i="15"/>
  <c r="O161" i="11"/>
  <c r="K409" i="16"/>
  <c r="L196" i="15"/>
  <c r="M202" i="15"/>
  <c r="M432" i="16" s="1"/>
  <c r="M203" i="15"/>
  <c r="M440" i="16" s="1"/>
  <c r="M429" i="16"/>
  <c r="M201" i="15"/>
  <c r="M431" i="16" s="1"/>
  <c r="Q509" i="16"/>
  <c r="Q234" i="15"/>
  <c r="H367" i="16"/>
  <c r="I294" i="7"/>
  <c r="H364" i="16"/>
  <c r="T87" i="6"/>
  <c r="T90" i="5"/>
  <c r="T92" i="5" s="1"/>
  <c r="T159" i="5"/>
  <c r="T1317" i="17"/>
  <c r="S1130" i="17"/>
  <c r="S1131" i="17" s="1"/>
  <c r="S492" i="16"/>
  <c r="S258" i="5"/>
  <c r="I87" i="11"/>
  <c r="I89" i="11"/>
  <c r="O812" i="16"/>
  <c r="O809" i="16"/>
  <c r="P172" i="7"/>
  <c r="Q56" i="16"/>
  <c r="Q15" i="8"/>
  <c r="Q126" i="16"/>
  <c r="R173" i="11"/>
  <c r="R174" i="11"/>
  <c r="K376" i="15"/>
  <c r="J820" i="16"/>
  <c r="N593" i="16"/>
  <c r="N64" i="6"/>
  <c r="N94" i="6" s="1"/>
  <c r="N96" i="6" s="1"/>
  <c r="N288" i="5"/>
  <c r="N296" i="5" s="1"/>
  <c r="N263" i="15"/>
  <c r="N100" i="6"/>
  <c r="N63" i="6"/>
  <c r="N91" i="6" s="1"/>
  <c r="N93" i="6" s="1"/>
  <c r="O12" i="11"/>
  <c r="O491" i="17" s="1"/>
  <c r="O492" i="17" s="1"/>
  <c r="O243" i="5"/>
  <c r="O63" i="12" s="1"/>
  <c r="O142" i="17" s="1"/>
  <c r="O143" i="17" s="1"/>
  <c r="L300" i="5"/>
  <c r="L59" i="12"/>
  <c r="L217" i="4"/>
  <c r="O216" i="4"/>
  <c r="O9" i="11"/>
  <c r="S263" i="7"/>
  <c r="R216" i="7"/>
  <c r="R236" i="7" s="1"/>
  <c r="S1150" i="17"/>
  <c r="S1151" i="17" s="1"/>
  <c r="S196" i="7"/>
  <c r="S260" i="7" s="1"/>
  <c r="S191" i="4"/>
  <c r="S111" i="16"/>
  <c r="S91" i="5"/>
  <c r="S21" i="8"/>
  <c r="Q258" i="7"/>
  <c r="Q1101" i="17"/>
  <c r="Q1102" i="17" s="1"/>
  <c r="Q50" i="8"/>
  <c r="Q227" i="5"/>
  <c r="Q355" i="16"/>
  <c r="Q157" i="5"/>
  <c r="L248" i="15"/>
  <c r="K543" i="16"/>
  <c r="K496" i="17"/>
  <c r="K497" i="17" s="1"/>
  <c r="K16" i="11"/>
  <c r="K106" i="12"/>
  <c r="K937" i="17" s="1"/>
  <c r="K938" i="17" s="1"/>
  <c r="R94" i="11"/>
  <c r="R92" i="11"/>
  <c r="J359" i="16"/>
  <c r="J177" i="15"/>
  <c r="J176" i="15"/>
  <c r="J362" i="16" s="1"/>
  <c r="J175" i="15"/>
  <c r="J361" i="16" s="1"/>
  <c r="Q460" i="16"/>
  <c r="Q211" i="15"/>
  <c r="Q132" i="12"/>
  <c r="Q284" i="5"/>
  <c r="Q212" i="15"/>
  <c r="Q81" i="11"/>
  <c r="L486" i="17"/>
  <c r="L487" i="17" s="1"/>
  <c r="L30" i="13"/>
  <c r="L9" i="12"/>
  <c r="L897" i="16"/>
  <c r="L13" i="11"/>
  <c r="O206" i="12"/>
  <c r="O207" i="12"/>
  <c r="Q1104" i="17"/>
  <c r="Q1105" i="17" s="1"/>
  <c r="Q356" i="16"/>
  <c r="Q254" i="5"/>
  <c r="P65" i="6"/>
  <c r="P95" i="6" s="1"/>
  <c r="O1107" i="17"/>
  <c r="O1108" i="17" s="1"/>
  <c r="O358" i="16"/>
  <c r="K184" i="12"/>
  <c r="K186" i="12" s="1"/>
  <c r="O188" i="16"/>
  <c r="O31" i="8"/>
  <c r="O114" i="15" s="1"/>
  <c r="O195" i="16" s="1"/>
  <c r="R40" i="6"/>
  <c r="N113" i="11"/>
  <c r="N115" i="11" s="1"/>
  <c r="L170" i="11"/>
  <c r="L171" i="11"/>
  <c r="Q101" i="11"/>
  <c r="Q526" i="16"/>
  <c r="Q237" i="15"/>
  <c r="Q238" i="15"/>
  <c r="Q152" i="12"/>
  <c r="Q286" i="5"/>
  <c r="L41" i="14"/>
  <c r="L408" i="15" s="1"/>
  <c r="L272" i="12"/>
  <c r="L202" i="17" s="1"/>
  <c r="L203" i="17" s="1"/>
  <c r="L296" i="12"/>
  <c r="L347" i="17" s="1"/>
  <c r="L348" i="17" s="1"/>
  <c r="L39" i="10"/>
  <c r="O193" i="15"/>
  <c r="T105" i="10"/>
  <c r="T178" i="15"/>
  <c r="T371" i="16" s="1"/>
  <c r="S997" i="17"/>
  <c r="S998" i="17" s="1"/>
  <c r="S34" i="8"/>
  <c r="S225" i="16" s="1"/>
  <c r="S223" i="5"/>
  <c r="S213" i="16"/>
  <c r="O262" i="7"/>
  <c r="Q500" i="16"/>
  <c r="Q503" i="16"/>
  <c r="R298" i="7"/>
  <c r="M270" i="15"/>
  <c r="M608" i="16" s="1"/>
  <c r="M103" i="6"/>
  <c r="M884" i="16"/>
  <c r="M886" i="16" s="1"/>
  <c r="R133" i="16"/>
  <c r="R87" i="15"/>
  <c r="R128" i="16" s="1"/>
  <c r="R228" i="16"/>
  <c r="N216" i="4"/>
  <c r="N9" i="11"/>
  <c r="S34" i="6"/>
  <c r="P241" i="5"/>
  <c r="L245" i="11"/>
  <c r="L696" i="17" s="1"/>
  <c r="L697" i="17" s="1"/>
  <c r="L71" i="10"/>
  <c r="L41" i="13"/>
  <c r="L419" i="15" s="1"/>
  <c r="L221" i="11"/>
  <c r="L551" i="17" s="1"/>
  <c r="L552" i="17" s="1"/>
  <c r="O671" i="16"/>
  <c r="O297" i="15"/>
  <c r="P968" i="17"/>
  <c r="P969" i="17" s="1"/>
  <c r="P29" i="8"/>
  <c r="P193" i="4"/>
  <c r="P213" i="4" s="1"/>
  <c r="P198" i="7"/>
  <c r="P136" i="5"/>
  <c r="P176" i="16"/>
  <c r="P137" i="5"/>
  <c r="P896" i="16"/>
  <c r="L256" i="15"/>
  <c r="L574" i="16" s="1"/>
  <c r="L579" i="16"/>
  <c r="L282" i="7"/>
  <c r="L880" i="16"/>
  <c r="O157" i="11"/>
  <c r="R122" i="16"/>
  <c r="R23" i="8"/>
  <c r="R88" i="15" s="1"/>
  <c r="R129" i="16" s="1"/>
  <c r="S92" i="5"/>
  <c r="H159" i="11"/>
  <c r="H158" i="11"/>
  <c r="I158" i="11" s="1"/>
  <c r="J158" i="11" s="1"/>
  <c r="K158" i="11" s="1"/>
  <c r="M247" i="15"/>
  <c r="M542" i="16"/>
  <c r="P15" i="8"/>
  <c r="S90" i="5"/>
  <c r="S159" i="5"/>
  <c r="S1317" i="17"/>
  <c r="O470" i="16"/>
  <c r="P297" i="7"/>
  <c r="O467" i="16"/>
  <c r="I138" i="12"/>
  <c r="I140" i="12"/>
  <c r="Q129" i="5"/>
  <c r="P1139" i="17"/>
  <c r="P1140" i="17" s="1"/>
  <c r="P144" i="12"/>
  <c r="P1142" i="17" s="1"/>
  <c r="P1143" i="17" s="1"/>
  <c r="P146" i="12"/>
  <c r="P1145" i="17" s="1"/>
  <c r="P1146" i="17" s="1"/>
  <c r="Q1046" i="17"/>
  <c r="Q1047" i="17" s="1"/>
  <c r="Q143" i="5"/>
  <c r="Q248" i="16"/>
  <c r="Q144" i="5"/>
  <c r="Q195" i="4"/>
  <c r="Q37" i="8"/>
  <c r="Q200" i="7"/>
  <c r="M439" i="16"/>
  <c r="N225" i="11"/>
  <c r="N571" i="17" s="1"/>
  <c r="N572" i="17" s="1"/>
  <c r="N566" i="17"/>
  <c r="N567" i="17" s="1"/>
  <c r="O121" i="8" l="1"/>
  <c r="M300" i="5"/>
  <c r="Q60" i="12"/>
  <c r="Q10" i="11"/>
  <c r="T1305" i="17"/>
  <c r="T1306" i="17" s="1"/>
  <c r="O295" i="5"/>
  <c r="P427" i="16"/>
  <c r="P199" i="15"/>
  <c r="P102" i="12"/>
  <c r="P51" i="11"/>
  <c r="P283" i="5"/>
  <c r="P198" i="15"/>
  <c r="T1153" i="17"/>
  <c r="T1154" i="17" s="1"/>
  <c r="T112" i="16"/>
  <c r="T220" i="5"/>
  <c r="T22" i="8"/>
  <c r="T123" i="16" s="1"/>
  <c r="T94" i="5"/>
  <c r="M1113" i="17"/>
  <c r="M1114" i="17" s="1"/>
  <c r="M139" i="12"/>
  <c r="M1116" i="17" s="1"/>
  <c r="M1117" i="17" s="1"/>
  <c r="P12" i="11"/>
  <c r="P491" i="17" s="1"/>
  <c r="P492" i="17" s="1"/>
  <c r="P243" i="5"/>
  <c r="P63" i="12" s="1"/>
  <c r="P142" i="17" s="1"/>
  <c r="P143" i="17" s="1"/>
  <c r="N605" i="16"/>
  <c r="O263" i="16"/>
  <c r="R258" i="7"/>
  <c r="R559" i="16"/>
  <c r="R260" i="5"/>
  <c r="P251" i="16"/>
  <c r="P133" i="15"/>
  <c r="P278" i="5"/>
  <c r="R1078" i="17"/>
  <c r="R1079" i="17" s="1"/>
  <c r="R257" i="5"/>
  <c r="R459" i="16"/>
  <c r="O1113" i="17"/>
  <c r="O1114" i="17" s="1"/>
  <c r="O139" i="12"/>
  <c r="O1116" i="17" s="1"/>
  <c r="O1117" i="17" s="1"/>
  <c r="O141" i="12"/>
  <c r="O1119" i="17" s="1"/>
  <c r="O1120" i="17" s="1"/>
  <c r="O408" i="16"/>
  <c r="O121" i="10"/>
  <c r="O413" i="16" s="1"/>
  <c r="O195" i="15"/>
  <c r="L409" i="16"/>
  <c r="M196" i="15"/>
  <c r="M41" i="14"/>
  <c r="M408" i="15" s="1"/>
  <c r="M272" i="12"/>
  <c r="M202" i="17" s="1"/>
  <c r="M203" i="17" s="1"/>
  <c r="M39" i="10"/>
  <c r="M296" i="12"/>
  <c r="M347" i="17" s="1"/>
  <c r="M348" i="17" s="1"/>
  <c r="R56" i="16"/>
  <c r="I1003" i="17"/>
  <c r="I1004" i="17" s="1"/>
  <c r="I216" i="16"/>
  <c r="I117" i="12"/>
  <c r="I66" i="11"/>
  <c r="I121" i="15"/>
  <c r="L781" i="16"/>
  <c r="M339" i="15"/>
  <c r="N711" i="17"/>
  <c r="N712" i="17" s="1"/>
  <c r="N914" i="16"/>
  <c r="N122" i="8"/>
  <c r="M496" i="17"/>
  <c r="M497" i="17" s="1"/>
  <c r="M16" i="11"/>
  <c r="O62" i="12"/>
  <c r="O10" i="12"/>
  <c r="O78" i="7"/>
  <c r="O274" i="7" s="1"/>
  <c r="O77" i="7"/>
  <c r="O79" i="7"/>
  <c r="P139" i="15"/>
  <c r="P265" i="16" s="1"/>
  <c r="P102" i="10"/>
  <c r="N275" i="7"/>
  <c r="S495" i="16"/>
  <c r="S229" i="15"/>
  <c r="S506" i="16" s="1"/>
  <c r="S227" i="15"/>
  <c r="S497" i="16" s="1"/>
  <c r="S228" i="15"/>
  <c r="S498" i="16" s="1"/>
  <c r="Q264" i="7"/>
  <c r="I1113" i="17"/>
  <c r="I1114" i="17" s="1"/>
  <c r="I139" i="12"/>
  <c r="I1116" i="17" s="1"/>
  <c r="I1117" i="17" s="1"/>
  <c r="Q472" i="16"/>
  <c r="Q357" i="16"/>
  <c r="Q172" i="15"/>
  <c r="Q173" i="15"/>
  <c r="Q157" i="11"/>
  <c r="Q137" i="12"/>
  <c r="Q281" i="5"/>
  <c r="Q86" i="11"/>
  <c r="Q208" i="12"/>
  <c r="Q210" i="12" s="1"/>
  <c r="R1003" i="17"/>
  <c r="R1004" i="17" s="1"/>
  <c r="R216" i="16"/>
  <c r="R121" i="15"/>
  <c r="R66" i="11"/>
  <c r="R117" i="12"/>
  <c r="P590" i="16"/>
  <c r="P61" i="6"/>
  <c r="P62" i="6"/>
  <c r="P205" i="4"/>
  <c r="P215" i="4" s="1"/>
  <c r="P77" i="8"/>
  <c r="P1020" i="17"/>
  <c r="P1021" i="17" s="1"/>
  <c r="P98" i="6"/>
  <c r="L477" i="16"/>
  <c r="M222" i="15"/>
  <c r="Q533" i="16"/>
  <c r="R299" i="7"/>
  <c r="Q536" i="16"/>
  <c r="Q916" i="17"/>
  <c r="Q917" i="17" s="1"/>
  <c r="Q424" i="16"/>
  <c r="Q200" i="4"/>
  <c r="Q164" i="5"/>
  <c r="Q165" i="5"/>
  <c r="Q57" i="8"/>
  <c r="N332" i="16"/>
  <c r="N329" i="16"/>
  <c r="O293" i="7"/>
  <c r="M326" i="15"/>
  <c r="L746" i="16"/>
  <c r="Q971" i="17"/>
  <c r="Q972" i="17" s="1"/>
  <c r="Q30" i="8"/>
  <c r="Q189" i="16" s="1"/>
  <c r="Q222" i="5"/>
  <c r="Q177" i="16"/>
  <c r="K1003" i="17"/>
  <c r="K1004" i="17" s="1"/>
  <c r="K216" i="16"/>
  <c r="K121" i="15"/>
  <c r="K66" i="11"/>
  <c r="K117" i="12"/>
  <c r="R468" i="16"/>
  <c r="R63" i="8"/>
  <c r="R218" i="15" s="1"/>
  <c r="R475" i="16" s="1"/>
  <c r="O592" i="16"/>
  <c r="O261" i="5"/>
  <c r="O269" i="5" s="1"/>
  <c r="O99" i="6"/>
  <c r="O1026" i="17"/>
  <c r="O1027" i="17" s="1"/>
  <c r="J118" i="12"/>
  <c r="J120" i="12"/>
  <c r="N273" i="7"/>
  <c r="N81" i="7"/>
  <c r="Q259" i="16"/>
  <c r="O675" i="16"/>
  <c r="O299" i="15"/>
  <c r="O122" i="10"/>
  <c r="O680" i="16" s="1"/>
  <c r="S557" i="16"/>
  <c r="S73" i="8"/>
  <c r="S36" i="6"/>
  <c r="S37" i="6"/>
  <c r="S204" i="4"/>
  <c r="S126" i="15"/>
  <c r="S230" i="16" s="1"/>
  <c r="S101" i="10"/>
  <c r="N209" i="12"/>
  <c r="O209" i="12" s="1"/>
  <c r="P209" i="12" s="1"/>
  <c r="S97" i="4"/>
  <c r="T96" i="4"/>
  <c r="T97" i="4" s="1"/>
  <c r="M41" i="13"/>
  <c r="M419" i="15" s="1"/>
  <c r="M245" i="11"/>
  <c r="M696" i="17" s="1"/>
  <c r="M697" i="17" s="1"/>
  <c r="M71" i="10"/>
  <c r="M221" i="11"/>
  <c r="M551" i="17" s="1"/>
  <c r="M552" i="17" s="1"/>
  <c r="O268" i="5"/>
  <c r="N103" i="12"/>
  <c r="N105" i="12"/>
  <c r="N886" i="16"/>
  <c r="N362" i="17"/>
  <c r="N363" i="17" s="1"/>
  <c r="N116" i="8"/>
  <c r="T260" i="7"/>
  <c r="L213" i="7"/>
  <c r="L233" i="7" s="1"/>
  <c r="J213" i="7"/>
  <c r="J233" i="7" s="1"/>
  <c r="I213" i="7"/>
  <c r="I233" i="7" s="1"/>
  <c r="N213" i="7"/>
  <c r="N233" i="7" s="1"/>
  <c r="Q213" i="7"/>
  <c r="Q233" i="7" s="1"/>
  <c r="O213" i="7"/>
  <c r="O233" i="7" s="1"/>
  <c r="T213" i="7"/>
  <c r="T233" i="7" s="1"/>
  <c r="P213" i="7"/>
  <c r="P233" i="7" s="1"/>
  <c r="S213" i="7"/>
  <c r="S233" i="7" s="1"/>
  <c r="M213" i="7"/>
  <c r="M233" i="7" s="1"/>
  <c r="K213" i="7"/>
  <c r="K233" i="7" s="1"/>
  <c r="H213" i="7"/>
  <c r="H233" i="7" s="1"/>
  <c r="R213" i="7"/>
  <c r="R233" i="7" s="1"/>
  <c r="R148" i="11" s="1"/>
  <c r="R568" i="16"/>
  <c r="R75" i="8"/>
  <c r="T1003" i="17"/>
  <c r="T1004" i="17" s="1"/>
  <c r="T216" i="16"/>
  <c r="R228" i="15"/>
  <c r="R498" i="16" s="1"/>
  <c r="R81" i="16"/>
  <c r="R68" i="15"/>
  <c r="R273" i="5"/>
  <c r="S179" i="7"/>
  <c r="T179" i="7" s="1"/>
  <c r="O79" i="8"/>
  <c r="O601" i="16"/>
  <c r="T83" i="6"/>
  <c r="T623" i="16"/>
  <c r="T206" i="4"/>
  <c r="T81" i="8"/>
  <c r="P661" i="16"/>
  <c r="P292" i="15"/>
  <c r="P663" i="16" s="1"/>
  <c r="P294" i="15"/>
  <c r="P672" i="16" s="1"/>
  <c r="J217" i="16"/>
  <c r="J125" i="15"/>
  <c r="J123" i="15"/>
  <c r="J219" i="16" s="1"/>
  <c r="N274" i="7"/>
  <c r="P467" i="16"/>
  <c r="P470" i="16"/>
  <c r="Q297" i="7"/>
  <c r="N486" i="17"/>
  <c r="N487" i="17" s="1"/>
  <c r="N897" i="16"/>
  <c r="N9" i="12"/>
  <c r="N30" i="13"/>
  <c r="N13" i="11"/>
  <c r="O112" i="8"/>
  <c r="P206" i="12"/>
  <c r="P207" i="12"/>
  <c r="O486" i="17"/>
  <c r="O487" i="17" s="1"/>
  <c r="O897" i="16"/>
  <c r="O30" i="13"/>
  <c r="O13" i="11"/>
  <c r="O9" i="12"/>
  <c r="P812" i="16"/>
  <c r="P809" i="16"/>
  <c r="Q172" i="7"/>
  <c r="I364" i="16"/>
  <c r="I367" i="16"/>
  <c r="J294" i="7"/>
  <c r="P161" i="11"/>
  <c r="Q161" i="11" s="1"/>
  <c r="M370" i="16"/>
  <c r="M180" i="15"/>
  <c r="S141" i="16"/>
  <c r="S224" i="4"/>
  <c r="L210" i="12"/>
  <c r="S945" i="17"/>
  <c r="S946" i="17" s="1"/>
  <c r="S79" i="16"/>
  <c r="S219" i="5"/>
  <c r="S18" i="8"/>
  <c r="S90" i="16" s="1"/>
  <c r="R99" i="4"/>
  <c r="R173" i="16"/>
  <c r="R135" i="5"/>
  <c r="R56" i="6"/>
  <c r="R220" i="4"/>
  <c r="R227" i="4" s="1"/>
  <c r="R57" i="6"/>
  <c r="R55" i="6"/>
  <c r="R58" i="6"/>
  <c r="R421" i="16"/>
  <c r="R136" i="4"/>
  <c r="R137" i="4" s="1"/>
  <c r="N54" i="11"/>
  <c r="N52" i="11"/>
  <c r="L313" i="15"/>
  <c r="K711" i="16"/>
  <c r="O636" i="17"/>
  <c r="O637" i="17" s="1"/>
  <c r="Q968" i="17"/>
  <c r="Q969" i="17" s="1"/>
  <c r="Q176" i="16"/>
  <c r="Q29" i="8"/>
  <c r="Q193" i="4"/>
  <c r="Q136" i="5"/>
  <c r="Q198" i="7"/>
  <c r="Q137" i="5"/>
  <c r="Q896" i="16"/>
  <c r="R37" i="6"/>
  <c r="H1003" i="17"/>
  <c r="H1004" i="17" s="1"/>
  <c r="H216" i="16"/>
  <c r="H117" i="12"/>
  <c r="H66" i="11"/>
  <c r="H121" i="15"/>
  <c r="H290" i="7"/>
  <c r="N270" i="15"/>
  <c r="N608" i="16" s="1"/>
  <c r="N103" i="6"/>
  <c r="R74" i="15"/>
  <c r="R95" i="16" s="1"/>
  <c r="R100" i="16"/>
  <c r="L444" i="16"/>
  <c r="T110" i="4"/>
  <c r="T111" i="4"/>
  <c r="O62" i="6"/>
  <c r="H1113" i="17"/>
  <c r="H1114" i="17" s="1"/>
  <c r="H139" i="12"/>
  <c r="H1116" i="17" s="1"/>
  <c r="H1117" i="17" s="1"/>
  <c r="P671" i="16"/>
  <c r="J67" i="11"/>
  <c r="J69" i="11"/>
  <c r="L543" i="16"/>
  <c r="M248" i="15"/>
  <c r="S1254" i="17"/>
  <c r="S1255" i="17" s="1"/>
  <c r="S92" i="4"/>
  <c r="S126" i="5"/>
  <c r="S128" i="5"/>
  <c r="O287" i="17"/>
  <c r="O288" i="17" s="1"/>
  <c r="S224" i="12"/>
  <c r="S225" i="12"/>
  <c r="I370" i="16"/>
  <c r="I180" i="15"/>
  <c r="H370" i="16"/>
  <c r="H180" i="15"/>
  <c r="S40" i="6"/>
  <c r="M53" i="11"/>
  <c r="M55" i="11" s="1"/>
  <c r="L138" i="12"/>
  <c r="L140" i="12"/>
  <c r="S30" i="6"/>
  <c r="S553" i="16" s="1"/>
  <c r="S31" i="5"/>
  <c r="S33" i="5" s="1"/>
  <c r="S41" i="16"/>
  <c r="S219" i="4"/>
  <c r="S135" i="4"/>
  <c r="T560" i="16"/>
  <c r="T287" i="5"/>
  <c r="T250" i="15"/>
  <c r="T39" i="6"/>
  <c r="E259" i="15"/>
  <c r="O205" i="15"/>
  <c r="O442" i="16" s="1"/>
  <c r="O437" i="16"/>
  <c r="O113" i="11"/>
  <c r="O115" i="11" s="1"/>
  <c r="T62" i="5"/>
  <c r="T64" i="5" s="1"/>
  <c r="T57" i="6"/>
  <c r="T47" i="4"/>
  <c r="T75" i="16"/>
  <c r="S623" i="16"/>
  <c r="S81" i="8"/>
  <c r="S206" i="4"/>
  <c r="S83" i="6"/>
  <c r="S84" i="6"/>
  <c r="P1003" i="17"/>
  <c r="P1004" i="17" s="1"/>
  <c r="P216" i="16"/>
  <c r="P66" i="11"/>
  <c r="P121" i="15"/>
  <c r="P117" i="12"/>
  <c r="O113" i="15"/>
  <c r="O194" i="16" s="1"/>
  <c r="O100" i="10"/>
  <c r="O281" i="7"/>
  <c r="O908" i="16"/>
  <c r="R93" i="11"/>
  <c r="R95" i="11"/>
  <c r="Q67" i="16"/>
  <c r="Q61" i="15"/>
  <c r="Q62" i="16" s="1"/>
  <c r="I88" i="11"/>
  <c r="I90" i="11"/>
  <c r="R526" i="16"/>
  <c r="R237" i="15"/>
  <c r="R101" i="11"/>
  <c r="R238" i="15"/>
  <c r="R152" i="12"/>
  <c r="R286" i="5"/>
  <c r="O711" i="17"/>
  <c r="O712" i="17" s="1"/>
  <c r="O122" i="8"/>
  <c r="Q164" i="11"/>
  <c r="Q165" i="11"/>
  <c r="K303" i="16"/>
  <c r="L157" i="15"/>
  <c r="O912" i="16"/>
  <c r="O914" i="16" s="1"/>
  <c r="T493" i="16"/>
  <c r="E233" i="15"/>
  <c r="T233" i="15" s="1"/>
  <c r="T225" i="15"/>
  <c r="T224" i="15"/>
  <c r="T142" i="12"/>
  <c r="T91" i="11"/>
  <c r="T285" i="5"/>
  <c r="P912" i="16"/>
  <c r="P62" i="15"/>
  <c r="P63" i="16" s="1"/>
  <c r="Q538" i="16"/>
  <c r="M210" i="12"/>
  <c r="L201" i="11"/>
  <c r="L252" i="12"/>
  <c r="M645" i="16"/>
  <c r="M282" i="15"/>
  <c r="M640" i="16" s="1"/>
  <c r="P153" i="12"/>
  <c r="P155" i="12"/>
  <c r="N14" i="12"/>
  <c r="Q62" i="15"/>
  <c r="Q63" i="16" s="1"/>
  <c r="K370" i="16"/>
  <c r="K180" i="15"/>
  <c r="P11" i="11"/>
  <c r="P61" i="12"/>
  <c r="S133" i="16"/>
  <c r="S87" i="15"/>
  <c r="S128" i="16" s="1"/>
  <c r="P287" i="17"/>
  <c r="P288" i="17" s="1"/>
  <c r="N1003" i="17"/>
  <c r="N1004" i="17" s="1"/>
  <c r="N216" i="16"/>
  <c r="N117" i="12"/>
  <c r="N66" i="11"/>
  <c r="N121" i="15"/>
  <c r="M612" i="16"/>
  <c r="M269" i="15"/>
  <c r="M607" i="16" s="1"/>
  <c r="R89" i="16"/>
  <c r="R19" i="8"/>
  <c r="R75" i="15" s="1"/>
  <c r="R96" i="16" s="1"/>
  <c r="P112" i="11"/>
  <c r="P114" i="11"/>
  <c r="S505" i="16"/>
  <c r="M206" i="15"/>
  <c r="P188" i="16"/>
  <c r="P31" i="8"/>
  <c r="P114" i="15" s="1"/>
  <c r="P195" i="16" s="1"/>
  <c r="P118" i="8"/>
  <c r="P112" i="8"/>
  <c r="R503" i="16"/>
  <c r="R500" i="16"/>
  <c r="S298" i="7"/>
  <c r="Q133" i="12"/>
  <c r="Q135" i="12"/>
  <c r="N704" i="16"/>
  <c r="O304" i="7"/>
  <c r="N701" i="16"/>
  <c r="P59" i="8"/>
  <c r="P435" i="16"/>
  <c r="T997" i="17"/>
  <c r="T998" i="17" s="1"/>
  <c r="T34" i="8"/>
  <c r="T223" i="5"/>
  <c r="T213" i="16"/>
  <c r="T141" i="5"/>
  <c r="Q587" i="16"/>
  <c r="Q59" i="6"/>
  <c r="R509" i="16"/>
  <c r="R234" i="15"/>
  <c r="T122" i="16"/>
  <c r="R434" i="16"/>
  <c r="S296" i="7"/>
  <c r="Q638" i="16"/>
  <c r="Q1052" i="17"/>
  <c r="Q1053" i="17" s="1"/>
  <c r="Q250" i="16"/>
  <c r="Q251" i="5"/>
  <c r="L34" i="12"/>
  <c r="L283" i="7"/>
  <c r="N300" i="5"/>
  <c r="N59" i="12"/>
  <c r="N217" i="4"/>
  <c r="L496" i="17"/>
  <c r="L497" i="17" s="1"/>
  <c r="L16" i="11"/>
  <c r="Q366" i="16"/>
  <c r="Q51" i="8"/>
  <c r="Q179" i="15" s="1"/>
  <c r="Q372" i="16" s="1"/>
  <c r="O59" i="12"/>
  <c r="O217" i="4"/>
  <c r="R841" i="17"/>
  <c r="R842" i="17" s="1"/>
  <c r="R46" i="16"/>
  <c r="R14" i="8"/>
  <c r="R218" i="5"/>
  <c r="N203" i="15"/>
  <c r="N440" i="16" s="1"/>
  <c r="N429" i="16"/>
  <c r="N201" i="15"/>
  <c r="N431" i="16" s="1"/>
  <c r="O90" i="11"/>
  <c r="O88" i="11"/>
  <c r="S942" i="17"/>
  <c r="S943" i="17" s="1"/>
  <c r="S66" i="5"/>
  <c r="S78" i="16"/>
  <c r="S195" i="7"/>
  <c r="S259" i="7" s="1"/>
  <c r="S17" i="8"/>
  <c r="S190" i="4"/>
  <c r="S156" i="5"/>
  <c r="S155" i="5"/>
  <c r="S1072" i="17"/>
  <c r="S1073" i="17" s="1"/>
  <c r="S457" i="16"/>
  <c r="S201" i="4"/>
  <c r="S167" i="5"/>
  <c r="S168" i="5"/>
  <c r="S61" i="8"/>
  <c r="N669" i="16"/>
  <c r="N666" i="16"/>
  <c r="O303" i="7"/>
  <c r="O210" i="12"/>
  <c r="O225" i="11"/>
  <c r="O571" i="17" s="1"/>
  <c r="O572" i="17" s="1"/>
  <c r="O566" i="17"/>
  <c r="O567" i="17" s="1"/>
  <c r="O192" i="16"/>
  <c r="I176" i="15"/>
  <c r="I362" i="16" s="1"/>
  <c r="Q146" i="12"/>
  <c r="Q1145" i="17" s="1"/>
  <c r="Q1146" i="17" s="1"/>
  <c r="R129" i="5"/>
  <c r="R81" i="15"/>
  <c r="R274" i="5"/>
  <c r="R96" i="11"/>
  <c r="R114" i="16"/>
  <c r="K820" i="16"/>
  <c r="L376" i="15"/>
  <c r="M50" i="9"/>
  <c r="M51" i="9"/>
  <c r="Q1303" i="17"/>
  <c r="Q1311" i="17" s="1"/>
  <c r="Q1304" i="17"/>
  <c r="T126" i="15"/>
  <c r="T230" i="16" s="1"/>
  <c r="T101" i="10"/>
  <c r="P528" i="16"/>
  <c r="P240" i="15"/>
  <c r="P530" i="16" s="1"/>
  <c r="P242" i="15"/>
  <c r="P539" i="16" s="1"/>
  <c r="P241" i="15"/>
  <c r="P531" i="16" s="1"/>
  <c r="S67" i="11"/>
  <c r="S69" i="11"/>
  <c r="P868" i="16"/>
  <c r="P212" i="12"/>
  <c r="P102" i="11"/>
  <c r="P104" i="11"/>
  <c r="M579" i="16"/>
  <c r="M256" i="15"/>
  <c r="M574" i="16" s="1"/>
  <c r="M282" i="7"/>
  <c r="M880" i="16"/>
  <c r="K339" i="16"/>
  <c r="L170" i="15"/>
  <c r="P133" i="12"/>
  <c r="P135" i="12"/>
  <c r="S173" i="11"/>
  <c r="S174" i="11"/>
  <c r="J1113" i="17"/>
  <c r="J1114" i="17" s="1"/>
  <c r="J139" i="12"/>
  <c r="J1116" i="17" s="1"/>
  <c r="J1117" i="17" s="1"/>
  <c r="J141" i="12"/>
  <c r="J1119" i="17" s="1"/>
  <c r="J1120" i="17" s="1"/>
  <c r="J90" i="11"/>
  <c r="J88" i="11"/>
  <c r="M44" i="10"/>
  <c r="M76" i="10"/>
  <c r="M19" i="9"/>
  <c r="P462" i="16"/>
  <c r="P216" i="15"/>
  <c r="P473" i="16" s="1"/>
  <c r="P214" i="15"/>
  <c r="P464" i="16" s="1"/>
  <c r="R534" i="16"/>
  <c r="R71" i="8"/>
  <c r="R244" i="15" s="1"/>
  <c r="R541" i="16" s="1"/>
  <c r="K235" i="15"/>
  <c r="J510" i="16"/>
  <c r="P538" i="16"/>
  <c r="P245" i="15"/>
  <c r="P87" i="11"/>
  <c r="P89" i="11"/>
  <c r="P82" i="11"/>
  <c r="P84" i="11"/>
  <c r="Q1205" i="17"/>
  <c r="Q1206" i="17" s="1"/>
  <c r="Q144" i="16"/>
  <c r="Q26" i="8"/>
  <c r="Q155" i="16" s="1"/>
  <c r="Q221" i="5"/>
  <c r="Q241" i="5" s="1"/>
  <c r="P262" i="7"/>
  <c r="P210" i="7"/>
  <c r="M170" i="11"/>
  <c r="M171" i="11"/>
  <c r="Q462" i="16"/>
  <c r="Q216" i="15"/>
  <c r="Q473" i="16" s="1"/>
  <c r="Q214" i="15"/>
  <c r="Q464" i="16" s="1"/>
  <c r="T390" i="16"/>
  <c r="T54" i="8"/>
  <c r="T228" i="5"/>
  <c r="T161" i="5"/>
  <c r="K147" i="17"/>
  <c r="K148" i="17" s="1"/>
  <c r="K67" i="12"/>
  <c r="M88" i="11"/>
  <c r="M90" i="11" s="1"/>
  <c r="T838" i="17"/>
  <c r="T839" i="17" s="1"/>
  <c r="T45" i="16"/>
  <c r="T13" i="8"/>
  <c r="T189" i="4"/>
  <c r="T194" i="7"/>
  <c r="R1139" i="17"/>
  <c r="R1140" i="17" s="1"/>
  <c r="R144" i="12"/>
  <c r="R1142" i="17" s="1"/>
  <c r="R1143" i="17" s="1"/>
  <c r="S1153" i="17"/>
  <c r="S1154" i="17" s="1"/>
  <c r="S22" i="8"/>
  <c r="S123" i="16" s="1"/>
  <c r="S220" i="5"/>
  <c r="S112" i="16"/>
  <c r="P426" i="16"/>
  <c r="P922" i="17"/>
  <c r="P923" i="17" s="1"/>
  <c r="P256" i="5"/>
  <c r="M931" i="17"/>
  <c r="M932" i="17" s="1"/>
  <c r="M104" i="12"/>
  <c r="M934" i="17" s="1"/>
  <c r="M935" i="17" s="1"/>
  <c r="Q93" i="16"/>
  <c r="L359" i="16"/>
  <c r="L177" i="15"/>
  <c r="L175" i="15"/>
  <c r="L361" i="16" s="1"/>
  <c r="L176" i="15"/>
  <c r="L362" i="16" s="1"/>
  <c r="S838" i="17"/>
  <c r="S839" i="17" s="1"/>
  <c r="S13" i="8"/>
  <c r="S194" i="7"/>
  <c r="S35" i="5"/>
  <c r="S189" i="4"/>
  <c r="S45" i="16"/>
  <c r="S176" i="5"/>
  <c r="Q1003" i="17"/>
  <c r="Q1004" i="17" s="1"/>
  <c r="Q216" i="16"/>
  <c r="Q66" i="11"/>
  <c r="Q121" i="15"/>
  <c r="Q117" i="12"/>
  <c r="O182" i="15"/>
  <c r="O373" i="16"/>
  <c r="O120" i="10"/>
  <c r="O378" i="16" s="1"/>
  <c r="T1307" i="17"/>
  <c r="T1308" i="17"/>
  <c r="J370" i="16"/>
  <c r="J180" i="15"/>
  <c r="L217" i="17"/>
  <c r="L218" i="17" s="1"/>
  <c r="L276" i="12"/>
  <c r="L222" i="17" s="1"/>
  <c r="L223" i="17" s="1"/>
  <c r="R262" i="5"/>
  <c r="R625" i="16"/>
  <c r="O156" i="12"/>
  <c r="O1197" i="17" s="1"/>
  <c r="O1198" i="17" s="1"/>
  <c r="R392" i="16"/>
  <c r="R185" i="15"/>
  <c r="R282" i="5"/>
  <c r="R186" i="15"/>
  <c r="M1003" i="17"/>
  <c r="M1004" i="17" s="1"/>
  <c r="M216" i="16"/>
  <c r="M117" i="12"/>
  <c r="M66" i="11"/>
  <c r="M121" i="15"/>
  <c r="L676" i="16"/>
  <c r="M300" i="15"/>
  <c r="M137" i="17"/>
  <c r="M138" i="17" s="1"/>
  <c r="M869" i="16"/>
  <c r="M30" i="14"/>
  <c r="M11" i="12"/>
  <c r="M12" i="12" s="1"/>
  <c r="M64" i="12"/>
  <c r="Q289" i="15"/>
  <c r="Q211" i="12"/>
  <c r="Q213" i="12" s="1"/>
  <c r="Q659" i="16"/>
  <c r="Q160" i="11"/>
  <c r="Q111" i="11"/>
  <c r="Q290" i="15"/>
  <c r="Q290" i="5"/>
  <c r="Q162" i="12"/>
  <c r="Q1049" i="17"/>
  <c r="Q1050" i="17" s="1"/>
  <c r="Q249" i="16"/>
  <c r="Q38" i="8"/>
  <c r="Q260" i="16" s="1"/>
  <c r="Q224" i="5"/>
  <c r="S390" i="16"/>
  <c r="S54" i="8"/>
  <c r="S228" i="5"/>
  <c r="S161" i="5"/>
  <c r="Q153" i="12"/>
  <c r="Q155" i="12"/>
  <c r="L869" i="16"/>
  <c r="L30" i="14"/>
  <c r="L137" i="17"/>
  <c r="L138" i="17" s="1"/>
  <c r="L64" i="12"/>
  <c r="L11" i="12"/>
  <c r="L12" i="12" s="1"/>
  <c r="L87" i="11"/>
  <c r="L89" i="11"/>
  <c r="R84" i="6"/>
  <c r="T1176" i="17"/>
  <c r="T1177" i="17" s="1"/>
  <c r="T203" i="4"/>
  <c r="T69" i="8"/>
  <c r="T173" i="5"/>
  <c r="T523" i="16"/>
  <c r="T559" i="16"/>
  <c r="T260" i="5"/>
  <c r="M736" i="16"/>
  <c r="M739" i="16"/>
  <c r="N305" i="7"/>
  <c r="N439" i="16"/>
  <c r="N206" i="15"/>
  <c r="T454" i="16"/>
  <c r="T139" i="4"/>
  <c r="T140" i="4" s="1"/>
  <c r="P214" i="4"/>
  <c r="P176" i="15"/>
  <c r="P362" i="16" s="1"/>
  <c r="P359" i="16"/>
  <c r="P177" i="15"/>
  <c r="P370" i="16" s="1"/>
  <c r="P175" i="15"/>
  <c r="P361" i="16" s="1"/>
  <c r="Q145" i="5"/>
  <c r="Q240" i="15"/>
  <c r="Q530" i="16" s="1"/>
  <c r="Q528" i="16"/>
  <c r="Q242" i="15"/>
  <c r="Q539" i="16" s="1"/>
  <c r="N166" i="12"/>
  <c r="N1249" i="17" s="1"/>
  <c r="N1250" i="17" s="1"/>
  <c r="O427" i="16"/>
  <c r="O199" i="15"/>
  <c r="O102" i="12"/>
  <c r="O198" i="15"/>
  <c r="O51" i="11"/>
  <c r="O283" i="5"/>
  <c r="R401" i="16"/>
  <c r="R55" i="8"/>
  <c r="R192" i="15" s="1"/>
  <c r="R407" i="16" s="1"/>
  <c r="M39" i="14"/>
  <c r="M41" i="10"/>
  <c r="M274" i="12"/>
  <c r="M158" i="10"/>
  <c r="M367" i="17"/>
  <c r="M368" i="17" s="1"/>
  <c r="M322" i="7"/>
  <c r="M295" i="12"/>
  <c r="M342" i="17" s="1"/>
  <c r="M343" i="17" s="1"/>
  <c r="R1202" i="17"/>
  <c r="R1203" i="17" s="1"/>
  <c r="R143" i="16"/>
  <c r="R197" i="7"/>
  <c r="R261" i="7" s="1"/>
  <c r="R25" i="8"/>
  <c r="R131" i="5"/>
  <c r="R192" i="4"/>
  <c r="Q668" i="16"/>
  <c r="Q87" i="8"/>
  <c r="Q296" i="15" s="1"/>
  <c r="Q674" i="16" s="1"/>
  <c r="S122" i="16"/>
  <c r="S23" i="8"/>
  <c r="S88" i="15" s="1"/>
  <c r="S129" i="16" s="1"/>
  <c r="I210" i="12"/>
  <c r="T568" i="16"/>
  <c r="T75" i="8"/>
  <c r="M774" i="16"/>
  <c r="M771" i="16"/>
  <c r="N306" i="7"/>
  <c r="R1046" i="17"/>
  <c r="R1047" i="17" s="1"/>
  <c r="R143" i="5"/>
  <c r="R195" i="4"/>
  <c r="R145" i="5"/>
  <c r="R248" i="16"/>
  <c r="R144" i="5"/>
  <c r="R37" i="8"/>
  <c r="R200" i="7"/>
  <c r="M20" i="9"/>
  <c r="N8" i="9"/>
  <c r="P138" i="12"/>
  <c r="P140" i="12"/>
  <c r="Q60" i="16"/>
  <c r="S120" i="12"/>
  <c r="S118" i="12"/>
  <c r="P179" i="16"/>
  <c r="P107" i="15"/>
  <c r="P276" i="5"/>
  <c r="P295" i="5" s="1"/>
  <c r="P898" i="16"/>
  <c r="O399" i="16"/>
  <c r="O402" i="16"/>
  <c r="P295" i="7"/>
  <c r="T1254" i="17"/>
  <c r="T1255" i="17" s="1"/>
  <c r="T128" i="5"/>
  <c r="T92" i="4"/>
  <c r="T126" i="5"/>
  <c r="T129" i="5" s="1"/>
  <c r="R634" i="16"/>
  <c r="R83" i="8"/>
  <c r="R283" i="15" s="1"/>
  <c r="R641" i="16" s="1"/>
  <c r="S1176" i="17"/>
  <c r="S1177" i="17" s="1"/>
  <c r="S523" i="16"/>
  <c r="S173" i="5"/>
  <c r="S174" i="5" s="1"/>
  <c r="S203" i="4"/>
  <c r="S69" i="8"/>
  <c r="Q57" i="16"/>
  <c r="R1182" i="17"/>
  <c r="R1183" i="17" s="1"/>
  <c r="R525" i="16"/>
  <c r="R259" i="5"/>
  <c r="L806" i="16"/>
  <c r="L378" i="15"/>
  <c r="S110" i="4"/>
  <c r="S111" i="4"/>
  <c r="Q104" i="11"/>
  <c r="Q102" i="11"/>
  <c r="S94" i="5"/>
  <c r="O293" i="15"/>
  <c r="O664" i="16" s="1"/>
  <c r="T87" i="4"/>
  <c r="N296" i="16"/>
  <c r="N293" i="16"/>
  <c r="O292" i="7"/>
  <c r="K881" i="16"/>
  <c r="K35" i="12"/>
  <c r="K36" i="12" s="1"/>
  <c r="K112" i="10"/>
  <c r="K113" i="10" s="1"/>
  <c r="R176" i="5"/>
  <c r="Q154" i="16"/>
  <c r="Q27" i="8"/>
  <c r="Q101" i="15" s="1"/>
  <c r="Q161" i="16" s="1"/>
  <c r="N87" i="11"/>
  <c r="N89" i="11"/>
  <c r="L343" i="15"/>
  <c r="L47" i="10"/>
  <c r="L79" i="10"/>
  <c r="L132" i="11"/>
  <c r="L183" i="12"/>
  <c r="K88" i="11"/>
  <c r="K90" i="11" s="1"/>
  <c r="Q188" i="15"/>
  <c r="Q396" i="16" s="1"/>
  <c r="Q190" i="15"/>
  <c r="Q405" i="16" s="1"/>
  <c r="Q394" i="16"/>
  <c r="Q189" i="15"/>
  <c r="Q397" i="16" s="1"/>
  <c r="O884" i="16"/>
  <c r="P193" i="15"/>
  <c r="L158" i="11"/>
  <c r="P974" i="17"/>
  <c r="P975" i="17" s="1"/>
  <c r="P178" i="16"/>
  <c r="P249" i="5"/>
  <c r="P268" i="5" s="1"/>
  <c r="Q82" i="11"/>
  <c r="Q84" i="11"/>
  <c r="K506" i="17"/>
  <c r="K507" i="17" s="1"/>
  <c r="K32" i="11"/>
  <c r="K31" i="13"/>
  <c r="K32" i="13" s="1"/>
  <c r="K13" i="12"/>
  <c r="K69" i="10"/>
  <c r="K900" i="16"/>
  <c r="E110" i="13"/>
  <c r="K30" i="11"/>
  <c r="O247" i="15"/>
  <c r="O542" i="16"/>
  <c r="N909" i="16"/>
  <c r="N33" i="12"/>
  <c r="T31" i="5"/>
  <c r="T33" i="5" s="1"/>
  <c r="T41" i="16"/>
  <c r="T30" i="6"/>
  <c r="T553" i="16" s="1"/>
  <c r="T219" i="4"/>
  <c r="T135" i="4"/>
  <c r="S35" i="8"/>
  <c r="S127" i="15" s="1"/>
  <c r="S231" i="16" s="1"/>
  <c r="R212" i="4"/>
  <c r="Q131" i="5"/>
  <c r="N359" i="16"/>
  <c r="N176" i="15"/>
  <c r="N362" i="16" s="1"/>
  <c r="N177" i="15"/>
  <c r="N175" i="15"/>
  <c r="N361" i="16" s="1"/>
  <c r="P638" i="16"/>
  <c r="T38" i="6"/>
  <c r="T90" i="6" s="1"/>
  <c r="O1003" i="17"/>
  <c r="O1004" i="17" s="1"/>
  <c r="O216" i="16"/>
  <c r="O66" i="11"/>
  <c r="O117" i="12"/>
  <c r="O121" i="15"/>
  <c r="R1104" i="17"/>
  <c r="R1105" i="17" s="1"/>
  <c r="R356" i="16"/>
  <c r="R254" i="5"/>
  <c r="T231" i="15"/>
  <c r="T508" i="16" s="1"/>
  <c r="F233" i="15"/>
  <c r="P163" i="12"/>
  <c r="P165" i="12"/>
  <c r="P210" i="12"/>
  <c r="H88" i="11"/>
  <c r="H90" i="11" s="1"/>
  <c r="P472" i="16"/>
  <c r="S94" i="11"/>
  <c r="S92" i="11"/>
  <c r="S217" i="16"/>
  <c r="S123" i="15"/>
  <c r="S219" i="16" s="1"/>
  <c r="S124" i="15"/>
  <c r="S220" i="16" s="1"/>
  <c r="S125" i="15"/>
  <c r="S229" i="16" s="1"/>
  <c r="K1113" i="17"/>
  <c r="K1114" i="17" s="1"/>
  <c r="K139" i="12"/>
  <c r="K1116" i="17" s="1"/>
  <c r="K1117" i="17" s="1"/>
  <c r="R35" i="5"/>
  <c r="P120" i="8"/>
  <c r="P198" i="11" s="1"/>
  <c r="O1243" i="17"/>
  <c r="O1244" i="17" s="1"/>
  <c r="O164" i="12"/>
  <c r="O1246" i="17" s="1"/>
  <c r="O1247" i="17" s="1"/>
  <c r="Q261" i="7"/>
  <c r="Q65" i="6"/>
  <c r="Q95" i="6" s="1"/>
  <c r="N138" i="12"/>
  <c r="N140" i="12"/>
  <c r="Q404" i="16"/>
  <c r="L1003" i="17"/>
  <c r="L1004" i="17" s="1"/>
  <c r="L216" i="16"/>
  <c r="L117" i="12"/>
  <c r="L66" i="11"/>
  <c r="L121" i="15"/>
  <c r="R1101" i="17"/>
  <c r="R1102" i="17" s="1"/>
  <c r="R50" i="8"/>
  <c r="R355" i="16"/>
  <c r="R227" i="5"/>
  <c r="R157" i="5"/>
  <c r="R168" i="5"/>
  <c r="P369" i="16"/>
  <c r="P180" i="15"/>
  <c r="S145" i="12"/>
  <c r="S143" i="12"/>
  <c r="S228" i="16"/>
  <c r="S237" i="15" l="1"/>
  <c r="S101" i="11"/>
  <c r="S526" i="16"/>
  <c r="S238" i="15"/>
  <c r="S152" i="12"/>
  <c r="S286" i="5"/>
  <c r="Q12" i="11"/>
  <c r="Q491" i="17" s="1"/>
  <c r="Q492" i="17" s="1"/>
  <c r="Q243" i="5"/>
  <c r="Q63" i="12" s="1"/>
  <c r="Q142" i="17" s="1"/>
  <c r="Q143" i="17" s="1"/>
  <c r="R357" i="16"/>
  <c r="R173" i="15"/>
  <c r="R157" i="11"/>
  <c r="R137" i="12"/>
  <c r="R172" i="15"/>
  <c r="R281" i="5"/>
  <c r="R86" i="11"/>
  <c r="R208" i="12"/>
  <c r="Q295" i="7"/>
  <c r="P399" i="16"/>
  <c r="P402" i="16"/>
  <c r="R133" i="15"/>
  <c r="R278" i="5"/>
  <c r="R251" i="16"/>
  <c r="M217" i="17"/>
  <c r="M218" i="17" s="1"/>
  <c r="M276" i="12"/>
  <c r="M222" i="17" s="1"/>
  <c r="M223" i="17" s="1"/>
  <c r="R404" i="16"/>
  <c r="R193" i="15"/>
  <c r="P247" i="15"/>
  <c r="P542" i="16"/>
  <c r="S68" i="11"/>
  <c r="S70" i="11" s="1"/>
  <c r="L820" i="16"/>
  <c r="M376" i="15"/>
  <c r="S1101" i="17"/>
  <c r="S1102" i="17" s="1"/>
  <c r="S355" i="16"/>
  <c r="S227" i="5"/>
  <c r="S50" i="8"/>
  <c r="S157" i="5"/>
  <c r="L506" i="17"/>
  <c r="L507" i="17" s="1"/>
  <c r="L32" i="11"/>
  <c r="L13" i="12"/>
  <c r="L69" i="10"/>
  <c r="L31" i="13"/>
  <c r="L32" i="13" s="1"/>
  <c r="L900" i="16"/>
  <c r="L30" i="11"/>
  <c r="M208" i="15"/>
  <c r="M443" i="16"/>
  <c r="J68" i="11"/>
  <c r="J70" i="11"/>
  <c r="Q107" i="15"/>
  <c r="Q179" i="16"/>
  <c r="Q276" i="5"/>
  <c r="O496" i="17"/>
  <c r="O497" i="17" s="1"/>
  <c r="T262" i="5"/>
  <c r="T625" i="16"/>
  <c r="N1159" i="17"/>
  <c r="N1160" i="17" s="1"/>
  <c r="N115" i="16"/>
  <c r="N147" i="12"/>
  <c r="N82" i="15"/>
  <c r="N148" i="11"/>
  <c r="N96" i="11"/>
  <c r="N367" i="17"/>
  <c r="N368" i="17" s="1"/>
  <c r="N39" i="14"/>
  <c r="N41" i="10"/>
  <c r="N274" i="12"/>
  <c r="N158" i="10"/>
  <c r="N322" i="7"/>
  <c r="N295" i="12"/>
  <c r="N342" i="17" s="1"/>
  <c r="N343" i="17" s="1"/>
  <c r="Q427" i="16"/>
  <c r="Q199" i="15"/>
  <c r="Q198" i="15"/>
  <c r="Q102" i="12"/>
  <c r="Q51" i="11"/>
  <c r="Q283" i="5"/>
  <c r="P593" i="16"/>
  <c r="P288" i="5"/>
  <c r="P296" i="5" s="1"/>
  <c r="P64" i="6"/>
  <c r="P94" i="6" s="1"/>
  <c r="P263" i="15"/>
  <c r="P100" i="6"/>
  <c r="P63" i="6"/>
  <c r="P91" i="6" s="1"/>
  <c r="P93" i="6" s="1"/>
  <c r="Q359" i="16"/>
  <c r="Q175" i="15"/>
  <c r="Q361" i="16" s="1"/>
  <c r="Q177" i="15"/>
  <c r="Q370" i="16" s="1"/>
  <c r="I125" i="15"/>
  <c r="I217" i="16"/>
  <c r="I123" i="15"/>
  <c r="I219" i="16" s="1"/>
  <c r="N1113" i="17"/>
  <c r="N1114" i="17" s="1"/>
  <c r="N139" i="12"/>
  <c r="N1116" i="17" s="1"/>
  <c r="N1117" i="17" s="1"/>
  <c r="P1243" i="17"/>
  <c r="P1244" i="17" s="1"/>
  <c r="P164" i="12"/>
  <c r="P1246" i="17" s="1"/>
  <c r="P1247" i="17" s="1"/>
  <c r="T841" i="17"/>
  <c r="T842" i="17" s="1"/>
  <c r="T46" i="16"/>
  <c r="T14" i="8"/>
  <c r="T218" i="5"/>
  <c r="S81" i="15"/>
  <c r="S82" i="15"/>
  <c r="S114" i="16"/>
  <c r="S147" i="12"/>
  <c r="S96" i="11"/>
  <c r="S148" i="11"/>
  <c r="S274" i="5"/>
  <c r="Q120" i="8"/>
  <c r="Q198" i="11" s="1"/>
  <c r="S1009" i="17"/>
  <c r="S1010" i="17" s="1"/>
  <c r="S119" i="12"/>
  <c r="S1012" i="17" s="1"/>
  <c r="S1013" i="17" s="1"/>
  <c r="S121" i="12"/>
  <c r="S1015" i="17" s="1"/>
  <c r="S1016" i="17" s="1"/>
  <c r="L147" i="17"/>
  <c r="L148" i="17" s="1"/>
  <c r="L67" i="12"/>
  <c r="N170" i="11"/>
  <c r="N171" i="11"/>
  <c r="S1104" i="17"/>
  <c r="S1105" i="17" s="1"/>
  <c r="S356" i="16"/>
  <c r="S254" i="5"/>
  <c r="P205" i="15"/>
  <c r="P442" i="16" s="1"/>
  <c r="P437" i="16"/>
  <c r="S232" i="15"/>
  <c r="T945" i="17"/>
  <c r="T946" i="17" s="1"/>
  <c r="T79" i="16"/>
  <c r="T18" i="8"/>
  <c r="T90" i="16" s="1"/>
  <c r="T219" i="5"/>
  <c r="S421" i="16"/>
  <c r="S136" i="4"/>
  <c r="S137" i="4" s="1"/>
  <c r="I373" i="16"/>
  <c r="I182" i="15"/>
  <c r="I120" i="10"/>
  <c r="I378" i="16" s="1"/>
  <c r="Q262" i="7"/>
  <c r="Q210" i="7"/>
  <c r="R65" i="6"/>
  <c r="R95" i="6" s="1"/>
  <c r="N612" i="16"/>
  <c r="N269" i="15"/>
  <c r="N607" i="16" s="1"/>
  <c r="I1159" i="17"/>
  <c r="I1160" i="17" s="1"/>
  <c r="I115" i="16"/>
  <c r="I148" i="11"/>
  <c r="I147" i="12"/>
  <c r="I82" i="15"/>
  <c r="I96" i="11"/>
  <c r="T173" i="16"/>
  <c r="T99" i="4"/>
  <c r="T135" i="5"/>
  <c r="N579" i="16"/>
  <c r="N256" i="15"/>
  <c r="N574" i="16" s="1"/>
  <c r="N282" i="7"/>
  <c r="N880" i="16"/>
  <c r="Q922" i="17"/>
  <c r="Q923" i="17" s="1"/>
  <c r="Q426" i="16"/>
  <c r="Q256" i="5"/>
  <c r="P592" i="16"/>
  <c r="P261" i="5"/>
  <c r="P269" i="5" s="1"/>
  <c r="P1026" i="17"/>
  <c r="P1027" i="17" s="1"/>
  <c r="P99" i="6"/>
  <c r="Q369" i="16"/>
  <c r="I69" i="11"/>
  <c r="I67" i="11"/>
  <c r="Q103" i="11"/>
  <c r="Q105" i="11"/>
  <c r="S534" i="16"/>
  <c r="S71" i="8"/>
  <c r="S244" i="15" s="1"/>
  <c r="S541" i="16" s="1"/>
  <c r="R1049" i="17"/>
  <c r="R1050" i="17" s="1"/>
  <c r="R249" i="16"/>
  <c r="R38" i="8"/>
  <c r="R260" i="16" s="1"/>
  <c r="R224" i="5"/>
  <c r="Q118" i="12"/>
  <c r="Q120" i="12"/>
  <c r="P40" i="14"/>
  <c r="P323" i="7"/>
  <c r="P275" i="12"/>
  <c r="P42" i="10"/>
  <c r="P331" i="7"/>
  <c r="P40" i="13"/>
  <c r="P224" i="11"/>
  <c r="P74" i="10"/>
  <c r="P244" i="11"/>
  <c r="P691" i="17" s="1"/>
  <c r="P692" i="17" s="1"/>
  <c r="P716" i="17"/>
  <c r="P717" i="17" s="1"/>
  <c r="P167" i="10"/>
  <c r="M34" i="12"/>
  <c r="M283" i="7"/>
  <c r="N202" i="15"/>
  <c r="N432" i="16" s="1"/>
  <c r="T94" i="11"/>
  <c r="T92" i="11"/>
  <c r="S227" i="4"/>
  <c r="P297" i="15"/>
  <c r="Q974" i="17"/>
  <c r="Q975" i="17" s="1"/>
  <c r="Q178" i="16"/>
  <c r="Q249" i="5"/>
  <c r="R587" i="16"/>
  <c r="R59" i="6"/>
  <c r="Q470" i="16"/>
  <c r="R297" i="7"/>
  <c r="Q467" i="16"/>
  <c r="O270" i="15"/>
  <c r="O608" i="16" s="1"/>
  <c r="O103" i="6"/>
  <c r="J1159" i="17"/>
  <c r="J1160" i="17" s="1"/>
  <c r="J115" i="16"/>
  <c r="J148" i="11"/>
  <c r="J82" i="15"/>
  <c r="J147" i="12"/>
  <c r="J96" i="11"/>
  <c r="S173" i="16"/>
  <c r="S99" i="4"/>
  <c r="S135" i="5"/>
  <c r="S220" i="4"/>
  <c r="S57" i="6"/>
  <c r="S56" i="6"/>
  <c r="S55" i="6"/>
  <c r="S58" i="6"/>
  <c r="M506" i="17"/>
  <c r="M507" i="17" s="1"/>
  <c r="M900" i="16"/>
  <c r="M31" i="13"/>
  <c r="M32" i="13" s="1"/>
  <c r="M32" i="11"/>
  <c r="M13" i="12"/>
  <c r="M69" i="10"/>
  <c r="M30" i="11"/>
  <c r="I120" i="12"/>
  <c r="I118" i="12"/>
  <c r="N196" i="15"/>
  <c r="M409" i="16"/>
  <c r="R366" i="16"/>
  <c r="R51" i="8"/>
  <c r="R179" i="15" s="1"/>
  <c r="R372" i="16" s="1"/>
  <c r="R1231" i="17"/>
  <c r="R1232" i="17" s="1"/>
  <c r="R657" i="16"/>
  <c r="R236" i="5"/>
  <c r="R86" i="8"/>
  <c r="R178" i="5"/>
  <c r="Q163" i="12"/>
  <c r="Q165" i="12"/>
  <c r="Q125" i="15"/>
  <c r="Q217" i="16"/>
  <c r="Q123" i="15"/>
  <c r="Q219" i="16" s="1"/>
  <c r="K510" i="16"/>
  <c r="L235" i="15"/>
  <c r="S89" i="16"/>
  <c r="S19" i="8"/>
  <c r="S75" i="15" s="1"/>
  <c r="S96" i="16" s="1"/>
  <c r="N137" i="17"/>
  <c r="N138" i="17" s="1"/>
  <c r="N11" i="12"/>
  <c r="N12" i="12" s="1"/>
  <c r="N30" i="14"/>
  <c r="N64" i="12"/>
  <c r="N869" i="16"/>
  <c r="T23" i="8"/>
  <c r="O704" i="16"/>
  <c r="P304" i="7"/>
  <c r="O701" i="16"/>
  <c r="P1191" i="17"/>
  <c r="P1192" i="17" s="1"/>
  <c r="P154" i="12"/>
  <c r="P1194" i="17" s="1"/>
  <c r="P1195" i="17" s="1"/>
  <c r="T145" i="12"/>
  <c r="T143" i="12"/>
  <c r="R153" i="12"/>
  <c r="R155" i="12"/>
  <c r="S276" i="15"/>
  <c r="S289" i="5"/>
  <c r="S626" i="16"/>
  <c r="S86" i="6"/>
  <c r="S85" i="6"/>
  <c r="S92" i="6" s="1"/>
  <c r="H222" i="16"/>
  <c r="H226" i="16"/>
  <c r="I290" i="7"/>
  <c r="Q213" i="4"/>
  <c r="J229" i="16"/>
  <c r="J128" i="15"/>
  <c r="R257" i="15"/>
  <c r="R575" i="16" s="1"/>
  <c r="L1159" i="17"/>
  <c r="L1160" i="17" s="1"/>
  <c r="L115" i="16"/>
  <c r="L148" i="11"/>
  <c r="L96" i="11"/>
  <c r="L82" i="15"/>
  <c r="L147" i="12"/>
  <c r="J1009" i="17"/>
  <c r="J1010" i="17" s="1"/>
  <c r="J119" i="12"/>
  <c r="J1012" i="17" s="1"/>
  <c r="J1013" i="17" s="1"/>
  <c r="P263" i="16"/>
  <c r="S93" i="11"/>
  <c r="S95" i="11"/>
  <c r="N774" i="16"/>
  <c r="N771" i="16"/>
  <c r="O306" i="7"/>
  <c r="Q241" i="15"/>
  <c r="Q531" i="16" s="1"/>
  <c r="M676" i="16"/>
  <c r="N300" i="15"/>
  <c r="Q67" i="11"/>
  <c r="Q69" i="11"/>
  <c r="L370" i="16"/>
  <c r="L180" i="15"/>
  <c r="R146" i="12"/>
  <c r="R1145" i="17" s="1"/>
  <c r="R1146" i="17" s="1"/>
  <c r="K872" i="16"/>
  <c r="K157" i="17"/>
  <c r="K158" i="17" s="1"/>
  <c r="K83" i="12"/>
  <c r="K15" i="12"/>
  <c r="K16" i="12" s="1"/>
  <c r="K31" i="14"/>
  <c r="K32" i="14" s="1"/>
  <c r="K37" i="10"/>
  <c r="E110" i="14"/>
  <c r="K81" i="12"/>
  <c r="S100" i="16"/>
  <c r="S74" i="15"/>
  <c r="S95" i="16" s="1"/>
  <c r="P115" i="11"/>
  <c r="P113" i="11"/>
  <c r="T505" i="16"/>
  <c r="T232" i="15"/>
  <c r="R528" i="16"/>
  <c r="R240" i="15"/>
  <c r="R530" i="16" s="1"/>
  <c r="R241" i="15"/>
  <c r="R531" i="16" s="1"/>
  <c r="R242" i="15"/>
  <c r="R539" i="16" s="1"/>
  <c r="S625" i="16"/>
  <c r="S262" i="5"/>
  <c r="S841" i="17"/>
  <c r="S842" i="17" s="1"/>
  <c r="S46" i="16"/>
  <c r="S14" i="8"/>
  <c r="S218" i="5"/>
  <c r="T224" i="12"/>
  <c r="T225" i="12"/>
  <c r="H141" i="12"/>
  <c r="H1119" i="17" s="1"/>
  <c r="H1120" i="17" s="1"/>
  <c r="H125" i="15"/>
  <c r="H123" i="15"/>
  <c r="H219" i="16" s="1"/>
  <c r="H124" i="15"/>
  <c r="H220" i="16" s="1"/>
  <c r="H217" i="16"/>
  <c r="Q31" i="8"/>
  <c r="Q114" i="15" s="1"/>
  <c r="Q195" i="16" s="1"/>
  <c r="Q188" i="16"/>
  <c r="Q112" i="8"/>
  <c r="Q118" i="8"/>
  <c r="M373" i="16"/>
  <c r="M182" i="15"/>
  <c r="M120" i="10"/>
  <c r="M378" i="16" s="1"/>
  <c r="J124" i="15"/>
  <c r="T133" i="16"/>
  <c r="T87" i="15"/>
  <c r="T128" i="16" s="1"/>
  <c r="Q209" i="12"/>
  <c r="R209" i="12" s="1"/>
  <c r="R118" i="12"/>
  <c r="R120" i="12"/>
  <c r="Q219" i="15"/>
  <c r="N41" i="13"/>
  <c r="N419" i="15" s="1"/>
  <c r="N221" i="11"/>
  <c r="N551" i="17" s="1"/>
  <c r="N552" i="17" s="1"/>
  <c r="N71" i="10"/>
  <c r="N245" i="11"/>
  <c r="N696" i="17" s="1"/>
  <c r="N697" i="17" s="1"/>
  <c r="M141" i="12"/>
  <c r="M1119" i="17" s="1"/>
  <c r="M1120" i="17" s="1"/>
  <c r="Q100" i="15"/>
  <c r="Q160" i="16" s="1"/>
  <c r="Q165" i="16"/>
  <c r="N370" i="16"/>
  <c r="N180" i="15"/>
  <c r="S1046" i="17"/>
  <c r="S1047" i="17" s="1"/>
  <c r="S143" i="5"/>
  <c r="S248" i="16"/>
  <c r="S195" i="4"/>
  <c r="S37" i="8"/>
  <c r="S144" i="5"/>
  <c r="S145" i="5" s="1"/>
  <c r="S200" i="7"/>
  <c r="S264" i="7" s="1"/>
  <c r="S1182" i="17"/>
  <c r="S1183" i="17" s="1"/>
  <c r="S525" i="16"/>
  <c r="S259" i="5"/>
  <c r="R275" i="5"/>
  <c r="R146" i="16"/>
  <c r="R94" i="15"/>
  <c r="T1182" i="17"/>
  <c r="T1183" i="17" s="1"/>
  <c r="T525" i="16"/>
  <c r="T259" i="5"/>
  <c r="Q661" i="16"/>
  <c r="Q294" i="15"/>
  <c r="Q672" i="16" s="1"/>
  <c r="Q292" i="15"/>
  <c r="Q663" i="16" s="1"/>
  <c r="Q293" i="15"/>
  <c r="Q664" i="16" s="1"/>
  <c r="P113" i="15"/>
  <c r="P194" i="16" s="1"/>
  <c r="P100" i="10"/>
  <c r="P908" i="16"/>
  <c r="P281" i="7"/>
  <c r="R97" i="11"/>
  <c r="R99" i="11"/>
  <c r="O669" i="16"/>
  <c r="O666" i="16"/>
  <c r="P303" i="7"/>
  <c r="R241" i="5"/>
  <c r="T229" i="15"/>
  <c r="T506" i="16" s="1"/>
  <c r="T227" i="15"/>
  <c r="T497" i="16" s="1"/>
  <c r="T495" i="16"/>
  <c r="T228" i="15"/>
  <c r="T498" i="16" s="1"/>
  <c r="R102" i="11"/>
  <c r="R104" i="11"/>
  <c r="H67" i="11"/>
  <c r="H69" i="11"/>
  <c r="R1159" i="17"/>
  <c r="R1160" i="17" s="1"/>
  <c r="R115" i="16"/>
  <c r="R69" i="11"/>
  <c r="R67" i="11"/>
  <c r="O297" i="5"/>
  <c r="L123" i="15"/>
  <c r="L219" i="16" s="1"/>
  <c r="L124" i="15"/>
  <c r="L220" i="16" s="1"/>
  <c r="L125" i="15"/>
  <c r="L217" i="16"/>
  <c r="T534" i="16"/>
  <c r="T71" i="8"/>
  <c r="S273" i="5"/>
  <c r="S81" i="16"/>
  <c r="S68" i="15"/>
  <c r="L881" i="16"/>
  <c r="L35" i="12"/>
  <c r="L36" i="12" s="1"/>
  <c r="L112" i="10"/>
  <c r="L113" i="10" s="1"/>
  <c r="Q1087" i="17"/>
  <c r="Q1088" i="17" s="1"/>
  <c r="Q134" i="12"/>
  <c r="Q1090" i="17" s="1"/>
  <c r="Q1091" i="17" s="1"/>
  <c r="Q136" i="12"/>
  <c r="Q1093" i="17" s="1"/>
  <c r="Q1094" i="17" s="1"/>
  <c r="K120" i="10"/>
  <c r="K378" i="16" s="1"/>
  <c r="K373" i="16"/>
  <c r="K182" i="15"/>
  <c r="R538" i="16"/>
  <c r="R245" i="15"/>
  <c r="S634" i="16"/>
  <c r="S83" i="8"/>
  <c r="S283" i="15" s="1"/>
  <c r="S641" i="16" s="1"/>
  <c r="O593" i="16"/>
  <c r="O64" i="6"/>
  <c r="O94" i="6" s="1"/>
  <c r="O288" i="5"/>
  <c r="O296" i="5" s="1"/>
  <c r="O263" i="15"/>
  <c r="O100" i="6"/>
  <c r="O63" i="6"/>
  <c r="O91" i="6" s="1"/>
  <c r="O93" i="6" s="1"/>
  <c r="R536" i="16"/>
  <c r="R533" i="16"/>
  <c r="S299" i="7"/>
  <c r="R123" i="15"/>
  <c r="R219" i="16" s="1"/>
  <c r="R124" i="15"/>
  <c r="R220" i="16" s="1"/>
  <c r="R217" i="16"/>
  <c r="R125" i="15"/>
  <c r="F259" i="15"/>
  <c r="T259" i="15" s="1"/>
  <c r="T1072" i="17"/>
  <c r="T1073" i="17" s="1"/>
  <c r="T457" i="16"/>
  <c r="T167" i="5"/>
  <c r="T61" i="8"/>
  <c r="T168" i="5"/>
  <c r="T201" i="4"/>
  <c r="J373" i="16"/>
  <c r="J182" i="15"/>
  <c r="J120" i="10"/>
  <c r="J378" i="16" s="1"/>
  <c r="T176" i="5"/>
  <c r="P103" i="11"/>
  <c r="P105" i="11"/>
  <c r="R147" i="12"/>
  <c r="Q61" i="6"/>
  <c r="Q62" i="6"/>
  <c r="Q590" i="16"/>
  <c r="Q77" i="8"/>
  <c r="Q205" i="4"/>
  <c r="Q215" i="4" s="1"/>
  <c r="Q1020" i="17"/>
  <c r="Q1021" i="17" s="1"/>
  <c r="Q98" i="6"/>
  <c r="S500" i="16"/>
  <c r="T298" i="7"/>
  <c r="S503" i="16"/>
  <c r="L1113" i="17"/>
  <c r="L1114" i="17" s="1"/>
  <c r="L139" i="12"/>
  <c r="L1116" i="17" s="1"/>
  <c r="L1117" i="17" s="1"/>
  <c r="Q39" i="8"/>
  <c r="Q140" i="15" s="1"/>
  <c r="Q266" i="16" s="1"/>
  <c r="L118" i="12"/>
  <c r="L120" i="12"/>
  <c r="P219" i="15"/>
  <c r="P14" i="11"/>
  <c r="P501" i="17" s="1"/>
  <c r="P502" i="17" s="1"/>
  <c r="P270" i="5"/>
  <c r="P65" i="12" s="1"/>
  <c r="P152" i="17" s="1"/>
  <c r="P153" i="17" s="1"/>
  <c r="N18" i="9"/>
  <c r="M250" i="12"/>
  <c r="M199" i="11"/>
  <c r="Q1191" i="17"/>
  <c r="Q1192" i="17" s="1"/>
  <c r="Q154" i="12"/>
  <c r="Q1194" i="17" s="1"/>
  <c r="Q1195" i="17" s="1"/>
  <c r="Q156" i="12"/>
  <c r="Q1197" i="17" s="1"/>
  <c r="Q1198" i="17" s="1"/>
  <c r="T258" i="7"/>
  <c r="M211" i="7"/>
  <c r="H211" i="7"/>
  <c r="L211" i="7"/>
  <c r="N211" i="7"/>
  <c r="K211" i="7"/>
  <c r="O211" i="7"/>
  <c r="S211" i="7"/>
  <c r="P211" i="7"/>
  <c r="I211" i="7"/>
  <c r="T211" i="7"/>
  <c r="R211" i="7"/>
  <c r="Q211" i="7"/>
  <c r="J211" i="7"/>
  <c r="S468" i="16"/>
  <c r="S63" i="8"/>
  <c r="S218" i="15" s="1"/>
  <c r="S475" i="16" s="1"/>
  <c r="T58" i="6"/>
  <c r="T1046" i="17"/>
  <c r="T1047" i="17" s="1"/>
  <c r="T143" i="5"/>
  <c r="T144" i="5"/>
  <c r="T195" i="4"/>
  <c r="T37" i="8"/>
  <c r="T248" i="16"/>
  <c r="T145" i="5"/>
  <c r="T200" i="7"/>
  <c r="O115" i="8"/>
  <c r="O243" i="12"/>
  <c r="O267" i="17" s="1"/>
  <c r="O268" i="17" s="1"/>
  <c r="M1159" i="17"/>
  <c r="M1160" i="17" s="1"/>
  <c r="M115" i="16"/>
  <c r="M147" i="12"/>
  <c r="M96" i="11"/>
  <c r="M82" i="15"/>
  <c r="M148" i="11"/>
  <c r="M477" i="16"/>
  <c r="N222" i="15"/>
  <c r="P636" i="17"/>
  <c r="P637" i="17" s="1"/>
  <c r="R10" i="11"/>
  <c r="R60" i="12"/>
  <c r="S1202" i="17"/>
  <c r="S1203" i="17" s="1"/>
  <c r="S143" i="16"/>
  <c r="S25" i="8"/>
  <c r="S131" i="5"/>
  <c r="S192" i="4"/>
  <c r="S212" i="4" s="1"/>
  <c r="S197" i="7"/>
  <c r="S261" i="7" s="1"/>
  <c r="R250" i="15"/>
  <c r="R287" i="5"/>
  <c r="R560" i="16"/>
  <c r="R39" i="6"/>
  <c r="R38" i="6"/>
  <c r="R90" i="6" s="1"/>
  <c r="N496" i="17"/>
  <c r="N497" i="17" s="1"/>
  <c r="N16" i="11"/>
  <c r="P439" i="16"/>
  <c r="P373" i="16"/>
  <c r="P120" i="10"/>
  <c r="P378" i="16" s="1"/>
  <c r="P182" i="15"/>
  <c r="M813" i="16"/>
  <c r="M55" i="9"/>
  <c r="N47" i="9"/>
  <c r="T84" i="6"/>
  <c r="O69" i="11"/>
  <c r="O67" i="11"/>
  <c r="R259" i="16"/>
  <c r="R39" i="8"/>
  <c r="R140" i="15" s="1"/>
  <c r="R266" i="16" s="1"/>
  <c r="R276" i="15"/>
  <c r="R289" i="5"/>
  <c r="R626" i="16"/>
  <c r="R86" i="6"/>
  <c r="R85" i="6"/>
  <c r="R92" i="6" s="1"/>
  <c r="M147" i="17"/>
  <c r="M148" i="17" s="1"/>
  <c r="M67" i="12"/>
  <c r="T35" i="5"/>
  <c r="M726" i="17"/>
  <c r="M727" i="17" s="1"/>
  <c r="M377" i="17"/>
  <c r="M378" i="17" s="1"/>
  <c r="N120" i="12"/>
  <c r="N118" i="12"/>
  <c r="T1159" i="17"/>
  <c r="T1160" i="17" s="1"/>
  <c r="T115" i="16"/>
  <c r="S560" i="16"/>
  <c r="S287" i="5"/>
  <c r="S250" i="15"/>
  <c r="S39" i="6"/>
  <c r="K118" i="12"/>
  <c r="K120" i="12"/>
  <c r="P54" i="11"/>
  <c r="P52" i="11"/>
  <c r="P1087" i="17"/>
  <c r="P1088" i="17" s="1"/>
  <c r="P134" i="12"/>
  <c r="P1090" i="17" s="1"/>
  <c r="P1091" i="17" s="1"/>
  <c r="T225" i="16"/>
  <c r="T35" i="8"/>
  <c r="S559" i="16"/>
  <c r="S260" i="5"/>
  <c r="N41" i="14"/>
  <c r="N408" i="15" s="1"/>
  <c r="N39" i="10"/>
  <c r="N296" i="12"/>
  <c r="N347" i="17" s="1"/>
  <c r="N348" i="17" s="1"/>
  <c r="N272" i="12"/>
  <c r="N202" i="17" s="1"/>
  <c r="N203" i="17" s="1"/>
  <c r="Q83" i="11"/>
  <c r="Q85" i="11"/>
  <c r="P1113" i="17"/>
  <c r="P1114" i="17" s="1"/>
  <c r="P139" i="12"/>
  <c r="P1116" i="17" s="1"/>
  <c r="P1117" i="17" s="1"/>
  <c r="R154" i="16"/>
  <c r="R27" i="8"/>
  <c r="R101" i="15" s="1"/>
  <c r="R161" i="16" s="1"/>
  <c r="P9" i="11"/>
  <c r="P216" i="4"/>
  <c r="Q112" i="11"/>
  <c r="Q114" i="11"/>
  <c r="T392" i="16"/>
  <c r="E194" i="15"/>
  <c r="T185" i="15"/>
  <c r="T186" i="15"/>
  <c r="T282" i="5"/>
  <c r="R57" i="16"/>
  <c r="O909" i="16"/>
  <c r="O33" i="12"/>
  <c r="H120" i="12"/>
  <c r="H118" i="12"/>
  <c r="R971" i="17"/>
  <c r="R972" i="17" s="1"/>
  <c r="R177" i="16"/>
  <c r="R30" i="8"/>
  <c r="R189" i="16" s="1"/>
  <c r="R222" i="5"/>
  <c r="H1159" i="17"/>
  <c r="H1160" i="17" s="1"/>
  <c r="H115" i="16"/>
  <c r="H287" i="7"/>
  <c r="H82" i="15"/>
  <c r="H147" i="12"/>
  <c r="H96" i="11"/>
  <c r="H148" i="11"/>
  <c r="T82" i="15"/>
  <c r="T114" i="16"/>
  <c r="T147" i="12"/>
  <c r="T81" i="15"/>
  <c r="E90" i="15"/>
  <c r="T274" i="5"/>
  <c r="T96" i="11"/>
  <c r="S128" i="15"/>
  <c r="L69" i="11"/>
  <c r="L67" i="11"/>
  <c r="O166" i="12"/>
  <c r="O1249" i="17" s="1"/>
  <c r="O1250" i="17" s="1"/>
  <c r="L184" i="12"/>
  <c r="L186" i="12" s="1"/>
  <c r="N9" i="9"/>
  <c r="N10" i="9"/>
  <c r="R100" i="15"/>
  <c r="R160" i="16" s="1"/>
  <c r="R165" i="16"/>
  <c r="O52" i="11"/>
  <c r="O54" i="11"/>
  <c r="Q162" i="11"/>
  <c r="M123" i="15"/>
  <c r="M219" i="16" s="1"/>
  <c r="M124" i="15"/>
  <c r="M220" i="16" s="1"/>
  <c r="M125" i="15"/>
  <c r="M217" i="16"/>
  <c r="S1231" i="17"/>
  <c r="S1232" i="17" s="1"/>
  <c r="S657" i="16"/>
  <c r="S236" i="5"/>
  <c r="S86" i="8"/>
  <c r="S178" i="5"/>
  <c r="R1303" i="17"/>
  <c r="R1311" i="17" s="1"/>
  <c r="J367" i="16"/>
  <c r="K294" i="7"/>
  <c r="J364" i="16"/>
  <c r="Q206" i="12"/>
  <c r="Q207" i="12"/>
  <c r="K1159" i="17"/>
  <c r="K1160" i="17" s="1"/>
  <c r="K115" i="16"/>
  <c r="K82" i="15"/>
  <c r="K148" i="11"/>
  <c r="K96" i="11"/>
  <c r="K147" i="12"/>
  <c r="R15" i="8"/>
  <c r="O870" i="16"/>
  <c r="S1139" i="17"/>
  <c r="S1140" i="17" s="1"/>
  <c r="S144" i="12"/>
  <c r="S1142" i="17" s="1"/>
  <c r="S1143" i="17" s="1"/>
  <c r="S146" i="12"/>
  <c r="S1145" i="17" s="1"/>
  <c r="S1146" i="17" s="1"/>
  <c r="Q146" i="16"/>
  <c r="Q275" i="5"/>
  <c r="Q94" i="15"/>
  <c r="Q898" i="16"/>
  <c r="L133" i="11"/>
  <c r="L135" i="11" s="1"/>
  <c r="L821" i="16"/>
  <c r="P870" i="16"/>
  <c r="O206" i="15"/>
  <c r="O439" i="16"/>
  <c r="T174" i="5"/>
  <c r="T148" i="11" s="1"/>
  <c r="M67" i="11"/>
  <c r="M69" i="11"/>
  <c r="T401" i="16"/>
  <c r="T55" i="8"/>
  <c r="P215" i="15"/>
  <c r="P465" i="16" s="1"/>
  <c r="R82" i="15"/>
  <c r="S129" i="5"/>
  <c r="R968" i="17"/>
  <c r="R969" i="17" s="1"/>
  <c r="R176" i="16"/>
  <c r="R198" i="7"/>
  <c r="R262" i="7" s="1"/>
  <c r="R193" i="4"/>
  <c r="R29" i="8"/>
  <c r="R136" i="5"/>
  <c r="R137" i="5" s="1"/>
  <c r="R896" i="16"/>
  <c r="P293" i="15"/>
  <c r="P664" i="16" s="1"/>
  <c r="M746" i="16"/>
  <c r="N326" i="15"/>
  <c r="I141" i="12"/>
  <c r="I1119" i="17" s="1"/>
  <c r="I1120" i="17" s="1"/>
  <c r="N645" i="16"/>
  <c r="N282" i="15"/>
  <c r="N640" i="16" s="1"/>
  <c r="O123" i="15"/>
  <c r="O219" i="16" s="1"/>
  <c r="O125" i="15"/>
  <c r="O217" i="16"/>
  <c r="O293" i="16"/>
  <c r="O296" i="16"/>
  <c r="P292" i="7"/>
  <c r="P297" i="5"/>
  <c r="O103" i="12"/>
  <c r="O105" i="12"/>
  <c r="N208" i="15"/>
  <c r="N443" i="16"/>
  <c r="S392" i="16"/>
  <c r="S185" i="15"/>
  <c r="S186" i="15"/>
  <c r="S282" i="5"/>
  <c r="M118" i="12"/>
  <c r="M120" i="12"/>
  <c r="M106" i="12"/>
  <c r="M937" i="17" s="1"/>
  <c r="M938" i="17" s="1"/>
  <c r="T212" i="4"/>
  <c r="M805" i="16"/>
  <c r="M54" i="9"/>
  <c r="M377" i="15"/>
  <c r="M807" i="16" s="1"/>
  <c r="R126" i="16"/>
  <c r="S212" i="15"/>
  <c r="S460" i="16"/>
  <c r="S211" i="15"/>
  <c r="S284" i="5"/>
  <c r="S81" i="11"/>
  <c r="S132" i="12"/>
  <c r="T120" i="15"/>
  <c r="T121" i="15"/>
  <c r="T277" i="5"/>
  <c r="T117" i="12"/>
  <c r="T215" i="16"/>
  <c r="T66" i="11"/>
  <c r="E129" i="15"/>
  <c r="N125" i="15"/>
  <c r="N123" i="15"/>
  <c r="N219" i="16" s="1"/>
  <c r="N217" i="16"/>
  <c r="L303" i="16"/>
  <c r="M157" i="15"/>
  <c r="T220" i="4"/>
  <c r="T227" i="4" s="1"/>
  <c r="S1159" i="17"/>
  <c r="S1160" i="17" s="1"/>
  <c r="S115" i="16"/>
  <c r="N931" i="17"/>
  <c r="N932" i="17" s="1"/>
  <c r="N104" i="12"/>
  <c r="N934" i="17" s="1"/>
  <c r="N935" i="17" s="1"/>
  <c r="O332" i="16"/>
  <c r="O329" i="16"/>
  <c r="P293" i="7"/>
  <c r="R210" i="7"/>
  <c r="R48" i="16"/>
  <c r="R55" i="15"/>
  <c r="R272" i="5"/>
  <c r="O118" i="12"/>
  <c r="O120" i="12"/>
  <c r="T1205" i="17"/>
  <c r="T1206" i="17" s="1"/>
  <c r="T26" i="8"/>
  <c r="T155" i="16" s="1"/>
  <c r="T221" i="5"/>
  <c r="T144" i="16"/>
  <c r="R264" i="7"/>
  <c r="R281" i="7" s="1"/>
  <c r="O429" i="16"/>
  <c r="O203" i="15"/>
  <c r="O440" i="16" s="1"/>
  <c r="O201" i="15"/>
  <c r="O431" i="16" s="1"/>
  <c r="Q133" i="15"/>
  <c r="Q278" i="5"/>
  <c r="Q251" i="16"/>
  <c r="Q297" i="15"/>
  <c r="Q671" i="16"/>
  <c r="S48" i="16"/>
  <c r="S272" i="5"/>
  <c r="S55" i="15"/>
  <c r="T173" i="11"/>
  <c r="T174" i="11"/>
  <c r="Q212" i="12"/>
  <c r="R1205" i="17"/>
  <c r="R1206" i="17" s="1"/>
  <c r="R144" i="16"/>
  <c r="R221" i="5"/>
  <c r="R26" i="8"/>
  <c r="R155" i="16" s="1"/>
  <c r="S1078" i="17"/>
  <c r="S1079" i="17" s="1"/>
  <c r="S257" i="5"/>
  <c r="S459" i="16"/>
  <c r="O137" i="17"/>
  <c r="O138" i="17" s="1"/>
  <c r="O11" i="12"/>
  <c r="O12" i="12" s="1"/>
  <c r="O30" i="14"/>
  <c r="O64" i="12"/>
  <c r="O869" i="16"/>
  <c r="P115" i="8"/>
  <c r="P243" i="12"/>
  <c r="P267" i="17" s="1"/>
  <c r="P268" i="17" s="1"/>
  <c r="N67" i="11"/>
  <c r="N69" i="11"/>
  <c r="Q245" i="15"/>
  <c r="P118" i="12"/>
  <c r="P120" i="12"/>
  <c r="T55" i="6"/>
  <c r="T572" i="16"/>
  <c r="M209" i="15"/>
  <c r="L711" i="16"/>
  <c r="M313" i="15"/>
  <c r="Q809" i="16"/>
  <c r="Q812" i="16"/>
  <c r="R172" i="7"/>
  <c r="P1159" i="17"/>
  <c r="P1160" i="17" s="1"/>
  <c r="P115" i="16"/>
  <c r="P147" i="12"/>
  <c r="P96" i="11"/>
  <c r="P148" i="11"/>
  <c r="P82" i="15"/>
  <c r="O270" i="5"/>
  <c r="O14" i="11"/>
  <c r="O501" i="17" s="1"/>
  <c r="O502" i="17" s="1"/>
  <c r="P62" i="12"/>
  <c r="P10" i="12"/>
  <c r="P77" i="7"/>
  <c r="P78" i="7"/>
  <c r="P79" i="7"/>
  <c r="Q89" i="11"/>
  <c r="Q87" i="11"/>
  <c r="R67" i="16"/>
  <c r="R61" i="15"/>
  <c r="R62" i="16" s="1"/>
  <c r="Q193" i="15"/>
  <c r="T421" i="16"/>
  <c r="T136" i="4"/>
  <c r="T137" i="4" s="1"/>
  <c r="M158" i="11"/>
  <c r="M159" i="11"/>
  <c r="L344" i="15"/>
  <c r="L345" i="15" s="1"/>
  <c r="T1202" i="17"/>
  <c r="T1203" i="17" s="1"/>
  <c r="T143" i="16"/>
  <c r="T197" i="7"/>
  <c r="T25" i="8"/>
  <c r="T131" i="5"/>
  <c r="T192" i="4"/>
  <c r="N736" i="16"/>
  <c r="N739" i="16"/>
  <c r="O305" i="7"/>
  <c r="S401" i="16"/>
  <c r="S55" i="8"/>
  <c r="S192" i="15" s="1"/>
  <c r="S407" i="16" s="1"/>
  <c r="S258" i="7"/>
  <c r="Q215" i="15"/>
  <c r="Q465" i="16" s="1"/>
  <c r="P83" i="11"/>
  <c r="P85" i="11" s="1"/>
  <c r="M56" i="9"/>
  <c r="P121" i="8"/>
  <c r="P192" i="11"/>
  <c r="P616" i="17" s="1"/>
  <c r="P617" i="17" s="1"/>
  <c r="P217" i="16"/>
  <c r="P123" i="15"/>
  <c r="P219" i="16" s="1"/>
  <c r="P125" i="15"/>
  <c r="M543" i="16"/>
  <c r="N248" i="15"/>
  <c r="N53" i="11"/>
  <c r="N55" i="11" s="1"/>
  <c r="T634" i="16"/>
  <c r="T83" i="8"/>
  <c r="R93" i="16"/>
  <c r="Q139" i="15"/>
  <c r="Q265" i="16" s="1"/>
  <c r="Q102" i="10"/>
  <c r="O275" i="7"/>
  <c r="K141" i="12"/>
  <c r="K1119" i="17" s="1"/>
  <c r="K1120" i="17" s="1"/>
  <c r="T141" i="16"/>
  <c r="T224" i="4"/>
  <c r="P192" i="16"/>
  <c r="R1052" i="17"/>
  <c r="R1053" i="17" s="1"/>
  <c r="R250" i="16"/>
  <c r="R251" i="5"/>
  <c r="R394" i="16"/>
  <c r="R190" i="15"/>
  <c r="R405" i="16" s="1"/>
  <c r="R188" i="15"/>
  <c r="R396" i="16" s="1"/>
  <c r="S56" i="16"/>
  <c r="S15" i="8"/>
  <c r="T15" i="8"/>
  <c r="T56" i="16"/>
  <c r="P884" i="16"/>
  <c r="R164" i="11"/>
  <c r="R165" i="11"/>
  <c r="P67" i="11"/>
  <c r="P69" i="11"/>
  <c r="T56" i="6"/>
  <c r="S38" i="6"/>
  <c r="S90" i="6" s="1"/>
  <c r="M21" i="9"/>
  <c r="O1159" i="17"/>
  <c r="O1160" i="17" s="1"/>
  <c r="O115" i="16"/>
  <c r="O147" i="12"/>
  <c r="O148" i="11"/>
  <c r="O82" i="15"/>
  <c r="O96" i="11"/>
  <c r="K67" i="11"/>
  <c r="K69" i="11"/>
  <c r="P79" i="8"/>
  <c r="P601" i="16"/>
  <c r="Q138" i="12"/>
  <c r="Q140" i="12"/>
  <c r="O273" i="7"/>
  <c r="O81" i="7"/>
  <c r="M781" i="16"/>
  <c r="N339" i="15"/>
  <c r="P103" i="12"/>
  <c r="P105" i="12"/>
  <c r="R211" i="15"/>
  <c r="R460" i="16"/>
  <c r="R212" i="15"/>
  <c r="R284" i="5"/>
  <c r="R81" i="11"/>
  <c r="R132" i="12"/>
  <c r="P195" i="15"/>
  <c r="P121" i="10"/>
  <c r="P413" i="16" s="1"/>
  <c r="P408" i="16"/>
  <c r="N88" i="11"/>
  <c r="N90" i="11" s="1"/>
  <c r="Q114" i="8"/>
  <c r="Q249" i="12" s="1"/>
  <c r="F1265" i="17"/>
  <c r="L90" i="11"/>
  <c r="L88" i="11"/>
  <c r="P88" i="11"/>
  <c r="P90" i="11"/>
  <c r="L339" i="16"/>
  <c r="M170" i="15"/>
  <c r="S434" i="16"/>
  <c r="T296" i="7"/>
  <c r="O41" i="13"/>
  <c r="O419" i="15" s="1"/>
  <c r="O221" i="11"/>
  <c r="O551" i="17" s="1"/>
  <c r="O552" i="17" s="1"/>
  <c r="O71" i="10"/>
  <c r="O245" i="11"/>
  <c r="O696" i="17" s="1"/>
  <c r="O697" i="17" s="1"/>
  <c r="T942" i="17"/>
  <c r="T943" i="17" s="1"/>
  <c r="T78" i="16"/>
  <c r="T66" i="5"/>
  <c r="T17" i="8"/>
  <c r="T195" i="7"/>
  <c r="T190" i="4"/>
  <c r="T156" i="5"/>
  <c r="T155" i="5"/>
  <c r="H182" i="15"/>
  <c r="H120" i="10"/>
  <c r="H378" i="16" s="1"/>
  <c r="H373" i="16"/>
  <c r="H183" i="15"/>
  <c r="Q868" i="16"/>
  <c r="R916" i="17"/>
  <c r="R917" i="17" s="1"/>
  <c r="R424" i="16"/>
  <c r="R164" i="5"/>
  <c r="R165" i="5" s="1"/>
  <c r="R200" i="4"/>
  <c r="R57" i="8"/>
  <c r="Q1159" i="17"/>
  <c r="Q1160" i="17" s="1"/>
  <c r="Q115" i="16"/>
  <c r="Q96" i="11"/>
  <c r="Q82" i="15"/>
  <c r="Q147" i="12"/>
  <c r="Q148" i="11"/>
  <c r="S75" i="8"/>
  <c r="T257" i="15" s="1"/>
  <c r="T575" i="16" s="1"/>
  <c r="S568" i="16"/>
  <c r="K123" i="15"/>
  <c r="K219" i="16" s="1"/>
  <c r="K217" i="16"/>
  <c r="K124" i="15"/>
  <c r="K220" i="16" s="1"/>
  <c r="K125" i="15"/>
  <c r="Q435" i="16"/>
  <c r="Q59" i="8"/>
  <c r="O612" i="16"/>
  <c r="O269" i="15"/>
  <c r="O607" i="16" s="1"/>
  <c r="P429" i="16"/>
  <c r="P203" i="15"/>
  <c r="P440" i="16" s="1"/>
  <c r="P202" i="15"/>
  <c r="P432" i="16" s="1"/>
  <c r="P201" i="15"/>
  <c r="P431" i="16" s="1"/>
  <c r="R909" i="16" l="1"/>
  <c r="R33" i="12"/>
  <c r="R112" i="8"/>
  <c r="S134" i="15"/>
  <c r="S251" i="16"/>
  <c r="S133" i="15"/>
  <c r="S127" i="12"/>
  <c r="S278" i="5"/>
  <c r="R107" i="15"/>
  <c r="R276" i="5"/>
  <c r="R179" i="16"/>
  <c r="R898" i="16"/>
  <c r="R427" i="16"/>
  <c r="R198" i="15"/>
  <c r="R199" i="15"/>
  <c r="R102" i="12"/>
  <c r="R283" i="5"/>
  <c r="R51" i="11"/>
  <c r="S60" i="12"/>
  <c r="S10" i="11"/>
  <c r="S93" i="16"/>
  <c r="O931" i="17"/>
  <c r="O932" i="17" s="1"/>
  <c r="O104" i="12"/>
  <c r="O934" i="17" s="1"/>
  <c r="O935" i="17" s="1"/>
  <c r="Q158" i="16"/>
  <c r="R1304" i="17"/>
  <c r="T404" i="16"/>
  <c r="T193" i="15"/>
  <c r="T251" i="16"/>
  <c r="T133" i="15"/>
  <c r="T134" i="15"/>
  <c r="T278" i="5"/>
  <c r="T127" i="12"/>
  <c r="E142" i="15"/>
  <c r="I97" i="11"/>
  <c r="I99" i="11"/>
  <c r="Q113" i="15"/>
  <c r="Q194" i="16" s="1"/>
  <c r="Q100" i="10"/>
  <c r="P166" i="12"/>
  <c r="P1249" i="17" s="1"/>
  <c r="P1250" i="17" s="1"/>
  <c r="P14" i="12"/>
  <c r="T1101" i="17"/>
  <c r="T1102" i="17" s="1"/>
  <c r="T355" i="16"/>
  <c r="T50" i="8"/>
  <c r="T227" i="5"/>
  <c r="T241" i="5" s="1"/>
  <c r="T157" i="5"/>
  <c r="Q287" i="17"/>
  <c r="Q288" i="17" s="1"/>
  <c r="N781" i="16"/>
  <c r="O339" i="15"/>
  <c r="O150" i="11"/>
  <c r="P124" i="15"/>
  <c r="P220" i="16" s="1"/>
  <c r="Q408" i="16"/>
  <c r="Q195" i="15"/>
  <c r="Q121" i="10"/>
  <c r="Q413" i="16" s="1"/>
  <c r="M444" i="16"/>
  <c r="N209" i="15"/>
  <c r="O147" i="17"/>
  <c r="O148" i="17" s="1"/>
  <c r="Q675" i="16"/>
  <c r="Q122" i="10"/>
  <c r="Q680" i="16" s="1"/>
  <c r="Q299" i="15"/>
  <c r="T228" i="16"/>
  <c r="K99" i="11"/>
  <c r="K97" i="11"/>
  <c r="S289" i="15"/>
  <c r="S162" i="12"/>
  <c r="S211" i="12"/>
  <c r="S290" i="5"/>
  <c r="S659" i="16"/>
  <c r="S160" i="11"/>
  <c r="S111" i="11"/>
  <c r="S290" i="15"/>
  <c r="O8" i="9"/>
  <c r="N20" i="9"/>
  <c r="T148" i="12"/>
  <c r="T150" i="12"/>
  <c r="T194" i="15"/>
  <c r="P231" i="7"/>
  <c r="T503" i="16"/>
  <c r="T500" i="16"/>
  <c r="R542" i="16"/>
  <c r="R247" i="15"/>
  <c r="R68" i="11"/>
  <c r="R70" i="11"/>
  <c r="S57" i="16"/>
  <c r="S114" i="8"/>
  <c r="S249" i="12" s="1"/>
  <c r="S120" i="8"/>
  <c r="S198" i="11" s="1"/>
  <c r="Q1243" i="17"/>
  <c r="Q1244" i="17" s="1"/>
  <c r="Q164" i="12"/>
  <c r="Q1246" i="17" s="1"/>
  <c r="Q1247" i="17" s="1"/>
  <c r="R61" i="6"/>
  <c r="R77" i="8"/>
  <c r="R205" i="4"/>
  <c r="R215" i="4" s="1"/>
  <c r="R590" i="16"/>
  <c r="R98" i="6"/>
  <c r="R1020" i="17"/>
  <c r="R1021" i="17" s="1"/>
  <c r="P605" i="16"/>
  <c r="N217" i="17"/>
  <c r="N218" i="17" s="1"/>
  <c r="N276" i="12"/>
  <c r="N222" i="17" s="1"/>
  <c r="N223" i="17" s="1"/>
  <c r="O16" i="11"/>
  <c r="R140" i="12"/>
  <c r="R138" i="12"/>
  <c r="T1104" i="17"/>
  <c r="T1105" i="17" s="1"/>
  <c r="T356" i="16"/>
  <c r="T254" i="5"/>
  <c r="T434" i="16"/>
  <c r="O148" i="12"/>
  <c r="O150" i="12"/>
  <c r="O65" i="12"/>
  <c r="O152" i="17" s="1"/>
  <c r="O153" i="17" s="1"/>
  <c r="O300" i="5"/>
  <c r="S60" i="16"/>
  <c r="M303" i="16"/>
  <c r="N157" i="15"/>
  <c r="S133" i="12"/>
  <c r="S135" i="12"/>
  <c r="P293" i="16"/>
  <c r="P296" i="16"/>
  <c r="Q292" i="7"/>
  <c r="R868" i="16"/>
  <c r="K150" i="11"/>
  <c r="S668" i="16"/>
  <c r="S87" i="8"/>
  <c r="N44" i="10"/>
  <c r="N76" i="10"/>
  <c r="N19" i="9"/>
  <c r="P53" i="11"/>
  <c r="P55" i="11" s="1"/>
  <c r="N1009" i="17"/>
  <c r="N1010" i="17" s="1"/>
  <c r="N119" i="12"/>
  <c r="N1012" i="17" s="1"/>
  <c r="N1013" i="17" s="1"/>
  <c r="R572" i="16"/>
  <c r="N477" i="16"/>
  <c r="O222" i="15"/>
  <c r="T259" i="16"/>
  <c r="T39" i="8"/>
  <c r="S231" i="7"/>
  <c r="N21" i="9"/>
  <c r="Q68" i="11"/>
  <c r="Q70" i="11" s="1"/>
  <c r="N67" i="12"/>
  <c r="N147" i="17"/>
  <c r="N148" i="17" s="1"/>
  <c r="R290" i="15"/>
  <c r="R659" i="16"/>
  <c r="R111" i="11"/>
  <c r="R162" i="12"/>
  <c r="R211" i="12"/>
  <c r="R213" i="12" s="1"/>
  <c r="R290" i="5"/>
  <c r="R295" i="5" s="1"/>
  <c r="R289" i="15"/>
  <c r="R160" i="11"/>
  <c r="J99" i="11"/>
  <c r="J97" i="11"/>
  <c r="I86" i="15"/>
  <c r="I84" i="15"/>
  <c r="I118" i="16" s="1"/>
  <c r="I116" i="16"/>
  <c r="P96" i="6"/>
  <c r="M820" i="16"/>
  <c r="N376" i="15"/>
  <c r="P85" i="15"/>
  <c r="P119" i="16" s="1"/>
  <c r="P84" i="15"/>
  <c r="P118" i="16" s="1"/>
  <c r="P86" i="15"/>
  <c r="P116" i="16"/>
  <c r="S84" i="11"/>
  <c r="S82" i="11"/>
  <c r="M68" i="11"/>
  <c r="M70" i="11" s="1"/>
  <c r="K116" i="16"/>
  <c r="K84" i="15"/>
  <c r="K118" i="16" s="1"/>
  <c r="K85" i="15"/>
  <c r="K119" i="16" s="1"/>
  <c r="K86" i="15"/>
  <c r="O231" i="7"/>
  <c r="Q62" i="12"/>
  <c r="Q10" i="12"/>
  <c r="Q79" i="7"/>
  <c r="Q275" i="7" s="1"/>
  <c r="Q78" i="7"/>
  <c r="Q274" i="7" s="1"/>
  <c r="Q77" i="7"/>
  <c r="S533" i="16"/>
  <c r="S536" i="16"/>
  <c r="T299" i="7"/>
  <c r="S102" i="10"/>
  <c r="S139" i="15"/>
  <c r="S265" i="16" s="1"/>
  <c r="Q121" i="8"/>
  <c r="Q192" i="11"/>
  <c r="Q616" i="17" s="1"/>
  <c r="Q617" i="17" s="1"/>
  <c r="N676" i="16"/>
  <c r="O300" i="15"/>
  <c r="R1191" i="17"/>
  <c r="R1192" i="17" s="1"/>
  <c r="R154" i="12"/>
  <c r="R1194" i="17" s="1"/>
  <c r="R1195" i="17" s="1"/>
  <c r="R668" i="16"/>
  <c r="R87" i="8"/>
  <c r="R296" i="15" s="1"/>
  <c r="R674" i="16" s="1"/>
  <c r="J148" i="12"/>
  <c r="J150" i="12"/>
  <c r="Q268" i="5"/>
  <c r="I150" i="12"/>
  <c r="I148" i="12"/>
  <c r="S99" i="11"/>
  <c r="S97" i="11"/>
  <c r="N141" i="12"/>
  <c r="N1119" i="17" s="1"/>
  <c r="N1120" i="17" s="1"/>
  <c r="R175" i="15"/>
  <c r="R361" i="16" s="1"/>
  <c r="R359" i="16"/>
  <c r="R177" i="15"/>
  <c r="R370" i="16" s="1"/>
  <c r="O97" i="11"/>
  <c r="O99" i="11"/>
  <c r="P229" i="16"/>
  <c r="P128" i="15"/>
  <c r="N313" i="15"/>
  <c r="M711" i="16"/>
  <c r="R102" i="10"/>
  <c r="R139" i="15"/>
  <c r="R265" i="16" s="1"/>
  <c r="M252" i="12"/>
  <c r="M201" i="11"/>
  <c r="T264" i="7"/>
  <c r="Q217" i="7"/>
  <c r="Q237" i="7" s="1"/>
  <c r="K217" i="7"/>
  <c r="K237" i="7" s="1"/>
  <c r="M217" i="7"/>
  <c r="M237" i="7" s="1"/>
  <c r="T217" i="7"/>
  <c r="T237" i="7" s="1"/>
  <c r="T76" i="11" s="1"/>
  <c r="P217" i="7"/>
  <c r="P237" i="7" s="1"/>
  <c r="H217" i="7"/>
  <c r="H237" i="7" s="1"/>
  <c r="N217" i="7"/>
  <c r="N237" i="7" s="1"/>
  <c r="L217" i="7"/>
  <c r="L237" i="7" s="1"/>
  <c r="J217" i="7"/>
  <c r="J237" i="7" s="1"/>
  <c r="R217" i="7"/>
  <c r="R237" i="7" s="1"/>
  <c r="I217" i="7"/>
  <c r="I237" i="7" s="1"/>
  <c r="O217" i="7"/>
  <c r="O237" i="7" s="1"/>
  <c r="T1231" i="17"/>
  <c r="T1232" i="17" s="1"/>
  <c r="T657" i="16"/>
  <c r="T86" i="8"/>
  <c r="T236" i="5"/>
  <c r="T178" i="5"/>
  <c r="R229" i="16"/>
  <c r="R128" i="15"/>
  <c r="S971" i="17"/>
  <c r="S972" i="17" s="1"/>
  <c r="S177" i="16"/>
  <c r="S30" i="8"/>
  <c r="S189" i="16" s="1"/>
  <c r="S222" i="5"/>
  <c r="Q40" i="14"/>
  <c r="Q275" i="12"/>
  <c r="Q42" i="10"/>
  <c r="Q323" i="7"/>
  <c r="Q331" i="7"/>
  <c r="Q224" i="11"/>
  <c r="Q40" i="13"/>
  <c r="Q74" i="10"/>
  <c r="Q716" i="17"/>
  <c r="Q717" i="17" s="1"/>
  <c r="Q167" i="10"/>
  <c r="Q244" i="11"/>
  <c r="Q691" i="17" s="1"/>
  <c r="Q692" i="17" s="1"/>
  <c r="T259" i="7"/>
  <c r="S212" i="7"/>
  <c r="S232" i="7" s="1"/>
  <c r="K212" i="7"/>
  <c r="K232" i="7" s="1"/>
  <c r="L212" i="7"/>
  <c r="L232" i="7" s="1"/>
  <c r="T212" i="7"/>
  <c r="T232" i="7" s="1"/>
  <c r="I212" i="7"/>
  <c r="I232" i="7" s="1"/>
  <c r="P212" i="7"/>
  <c r="P232" i="7" s="1"/>
  <c r="R212" i="7"/>
  <c r="R232" i="7" s="1"/>
  <c r="N212" i="7"/>
  <c r="N232" i="7" s="1"/>
  <c r="H212" i="7"/>
  <c r="H232" i="7" s="1"/>
  <c r="J212" i="7"/>
  <c r="J232" i="7" s="1"/>
  <c r="O212" i="7"/>
  <c r="O232" i="7" s="1"/>
  <c r="M212" i="7"/>
  <c r="M232" i="7" s="1"/>
  <c r="Q212" i="7"/>
  <c r="Q232" i="7" s="1"/>
  <c r="O367" i="17"/>
  <c r="O368" i="17" s="1"/>
  <c r="O274" i="12"/>
  <c r="O322" i="7"/>
  <c r="O41" i="10"/>
  <c r="O158" i="10"/>
  <c r="O39" i="14"/>
  <c r="O295" i="12"/>
  <c r="O342" i="17" s="1"/>
  <c r="O343" i="17" s="1"/>
  <c r="F64" i="15"/>
  <c r="T62" i="15"/>
  <c r="T63" i="16" s="1"/>
  <c r="F285" i="15"/>
  <c r="T283" i="15"/>
  <c r="T641" i="16" s="1"/>
  <c r="E103" i="15"/>
  <c r="T202" i="12"/>
  <c r="T146" i="16"/>
  <c r="T275" i="5"/>
  <c r="T94" i="15"/>
  <c r="T151" i="11"/>
  <c r="T95" i="15"/>
  <c r="T106" i="11"/>
  <c r="T587" i="16"/>
  <c r="T59" i="6"/>
  <c r="T868" i="16" s="1"/>
  <c r="R40" i="14"/>
  <c r="R275" i="12"/>
  <c r="R42" i="10"/>
  <c r="R323" i="7"/>
  <c r="R331" i="7"/>
  <c r="R40" i="13"/>
  <c r="R74" i="10"/>
  <c r="R224" i="11"/>
  <c r="R244" i="11"/>
  <c r="R691" i="17" s="1"/>
  <c r="R692" i="17" s="1"/>
  <c r="R167" i="10"/>
  <c r="R716" i="17"/>
  <c r="R717" i="17" s="1"/>
  <c r="Q295" i="5"/>
  <c r="H1009" i="17"/>
  <c r="H1010" i="17" s="1"/>
  <c r="H119" i="12"/>
  <c r="H1012" i="17" s="1"/>
  <c r="H1013" i="17" s="1"/>
  <c r="H121" i="12"/>
  <c r="H1015" i="17" s="1"/>
  <c r="H1016" i="17" s="1"/>
  <c r="S100" i="15"/>
  <c r="S160" i="16" s="1"/>
  <c r="S165" i="16"/>
  <c r="T1139" i="17"/>
  <c r="T1140" i="17" s="1"/>
  <c r="T144" i="12"/>
  <c r="T1142" i="17" s="1"/>
  <c r="T1143" i="17" s="1"/>
  <c r="T146" i="12"/>
  <c r="T1145" i="17" s="1"/>
  <c r="T1146" i="17" s="1"/>
  <c r="J86" i="15"/>
  <c r="J84" i="15"/>
  <c r="J118" i="16" s="1"/>
  <c r="J85" i="15"/>
  <c r="J119" i="16" s="1"/>
  <c r="J116" i="16"/>
  <c r="S916" i="17"/>
  <c r="S917" i="17" s="1"/>
  <c r="S164" i="5"/>
  <c r="S165" i="5"/>
  <c r="S200" i="4"/>
  <c r="S424" i="16"/>
  <c r="S57" i="8"/>
  <c r="O170" i="11"/>
  <c r="O171" i="11"/>
  <c r="S155" i="12"/>
  <c r="S153" i="12"/>
  <c r="T89" i="16"/>
  <c r="T19" i="8"/>
  <c r="P914" i="16"/>
  <c r="P711" i="17"/>
  <c r="P712" i="17" s="1"/>
  <c r="P122" i="8"/>
  <c r="R908" i="16"/>
  <c r="O1009" i="17"/>
  <c r="O1010" i="17" s="1"/>
  <c r="O119" i="12"/>
  <c r="O1012" i="17" s="1"/>
  <c r="O1013" i="17" s="1"/>
  <c r="O121" i="12"/>
  <c r="O1015" i="17" s="1"/>
  <c r="O1016" i="17" s="1"/>
  <c r="S472" i="16"/>
  <c r="H150" i="11"/>
  <c r="H149" i="11"/>
  <c r="I149" i="11" s="1"/>
  <c r="J149" i="11" s="1"/>
  <c r="K149" i="11" s="1"/>
  <c r="L149" i="11" s="1"/>
  <c r="M149" i="11" s="1"/>
  <c r="N149" i="11" s="1"/>
  <c r="O149" i="11" s="1"/>
  <c r="P149" i="11" s="1"/>
  <c r="Q149" i="11" s="1"/>
  <c r="K1009" i="17"/>
  <c r="K1010" i="17" s="1"/>
  <c r="K119" i="12"/>
  <c r="K1012" i="17" s="1"/>
  <c r="K1013" i="17" s="1"/>
  <c r="P206" i="15"/>
  <c r="M116" i="16"/>
  <c r="M86" i="15"/>
  <c r="M84" i="15"/>
  <c r="M118" i="16" s="1"/>
  <c r="P909" i="16"/>
  <c r="P33" i="12"/>
  <c r="T107" i="12"/>
  <c r="E77" i="15"/>
  <c r="T69" i="15"/>
  <c r="T81" i="16"/>
  <c r="T273" i="5"/>
  <c r="T56" i="11"/>
  <c r="T68" i="15"/>
  <c r="P148" i="12"/>
  <c r="P150" i="12"/>
  <c r="S190" i="15"/>
  <c r="S405" i="16" s="1"/>
  <c r="S394" i="16"/>
  <c r="S188" i="15"/>
  <c r="S396" i="16" s="1"/>
  <c r="O229" i="16"/>
  <c r="O128" i="15"/>
  <c r="O443" i="16"/>
  <c r="O208" i="15"/>
  <c r="H99" i="11"/>
  <c r="H97" i="11"/>
  <c r="S202" i="12"/>
  <c r="S275" i="5"/>
  <c r="S95" i="15"/>
  <c r="S146" i="16"/>
  <c r="S94" i="15"/>
  <c r="M99" i="11"/>
  <c r="M97" i="11"/>
  <c r="T1078" i="17"/>
  <c r="T1079" i="17" s="1"/>
  <c r="T459" i="16"/>
  <c r="T257" i="5"/>
  <c r="S39" i="8"/>
  <c r="S140" i="15" s="1"/>
  <c r="S266" i="16" s="1"/>
  <c r="S259" i="16"/>
  <c r="Q476" i="16"/>
  <c r="Q221" i="15"/>
  <c r="Q11" i="11"/>
  <c r="Q61" i="12"/>
  <c r="Q214" i="4"/>
  <c r="P299" i="15"/>
  <c r="P675" i="16"/>
  <c r="P122" i="10"/>
  <c r="P680" i="16" s="1"/>
  <c r="S86" i="15"/>
  <c r="S127" i="16" s="1"/>
  <c r="S84" i="15"/>
  <c r="S118" i="16" s="1"/>
  <c r="S116" i="16"/>
  <c r="S85" i="15"/>
  <c r="S119" i="16" s="1"/>
  <c r="I124" i="15"/>
  <c r="I220" i="16" s="1"/>
  <c r="M339" i="16"/>
  <c r="N170" i="15"/>
  <c r="Q1113" i="17"/>
  <c r="Q1114" i="17" s="1"/>
  <c r="Q139" i="12"/>
  <c r="Q1116" i="17" s="1"/>
  <c r="Q1117" i="17" s="1"/>
  <c r="Q88" i="11"/>
  <c r="Q90" i="11"/>
  <c r="Q908" i="16"/>
  <c r="Q263" i="16"/>
  <c r="N229" i="16"/>
  <c r="N128" i="15"/>
  <c r="S193" i="15"/>
  <c r="S404" i="16"/>
  <c r="M229" i="16"/>
  <c r="M128" i="15"/>
  <c r="H150" i="12"/>
  <c r="H148" i="12"/>
  <c r="P486" i="17"/>
  <c r="P487" i="17" s="1"/>
  <c r="P897" i="16"/>
  <c r="P30" i="13"/>
  <c r="P13" i="11"/>
  <c r="P9" i="12"/>
  <c r="S27" i="8"/>
  <c r="S101" i="15" s="1"/>
  <c r="S161" i="16" s="1"/>
  <c r="S154" i="16"/>
  <c r="T65" i="6"/>
  <c r="T95" i="6" s="1"/>
  <c r="R158" i="16"/>
  <c r="O771" i="16"/>
  <c r="O774" i="16"/>
  <c r="P306" i="7"/>
  <c r="P156" i="12"/>
  <c r="P1197" i="17" s="1"/>
  <c r="P1198" i="17" s="1"/>
  <c r="S126" i="16"/>
  <c r="S89" i="15"/>
  <c r="N116" i="16"/>
  <c r="N84" i="15"/>
  <c r="N118" i="16" s="1"/>
  <c r="N86" i="15"/>
  <c r="S102" i="11"/>
  <c r="S104" i="11"/>
  <c r="Q148" i="12"/>
  <c r="Q150" i="12"/>
  <c r="R113" i="15"/>
  <c r="R194" i="16" s="1"/>
  <c r="R100" i="10"/>
  <c r="M231" i="7"/>
  <c r="Q593" i="16"/>
  <c r="Q288" i="5"/>
  <c r="Q296" i="5" s="1"/>
  <c r="Q64" i="6"/>
  <c r="Q94" i="6" s="1"/>
  <c r="Q96" i="6" s="1"/>
  <c r="Q263" i="15"/>
  <c r="Q100" i="6"/>
  <c r="Q63" i="6"/>
  <c r="Q91" i="6" s="1"/>
  <c r="Q93" i="6" s="1"/>
  <c r="O605" i="16"/>
  <c r="R1009" i="17"/>
  <c r="R1010" i="17" s="1"/>
  <c r="R119" i="12"/>
  <c r="R1012" i="17" s="1"/>
  <c r="R1013" i="17" s="1"/>
  <c r="R121" i="12"/>
  <c r="R1015" i="17" s="1"/>
  <c r="R1016" i="17" s="1"/>
  <c r="S65" i="6"/>
  <c r="S95" i="6" s="1"/>
  <c r="L157" i="17"/>
  <c r="L158" i="17" s="1"/>
  <c r="L872" i="16"/>
  <c r="L83" i="12"/>
  <c r="L15" i="12"/>
  <c r="L16" i="12" s="1"/>
  <c r="L31" i="14"/>
  <c r="L32" i="14" s="1"/>
  <c r="L37" i="10"/>
  <c r="L81" i="12"/>
  <c r="Q281" i="7"/>
  <c r="T129" i="15"/>
  <c r="S130" i="15"/>
  <c r="S232" i="16"/>
  <c r="S116" i="10"/>
  <c r="S237" i="16" s="1"/>
  <c r="L1009" i="17"/>
  <c r="L1010" i="17" s="1"/>
  <c r="L119" i="12"/>
  <c r="L1012" i="17" s="1"/>
  <c r="L1013" i="17" s="1"/>
  <c r="S1049" i="17"/>
  <c r="S1050" i="17" s="1"/>
  <c r="S249" i="16"/>
  <c r="S38" i="8"/>
  <c r="S260" i="16" s="1"/>
  <c r="S224" i="5"/>
  <c r="S209" i="12"/>
  <c r="L150" i="12"/>
  <c r="L148" i="12"/>
  <c r="S587" i="16"/>
  <c r="S59" i="6"/>
  <c r="N150" i="12"/>
  <c r="N148" i="12"/>
  <c r="S357" i="16"/>
  <c r="S172" i="15"/>
  <c r="S173" i="15"/>
  <c r="S157" i="11"/>
  <c r="S208" i="12"/>
  <c r="S210" i="12" s="1"/>
  <c r="S281" i="5"/>
  <c r="S137" i="12"/>
  <c r="S86" i="11"/>
  <c r="R408" i="16"/>
  <c r="R121" i="10"/>
  <c r="R413" i="16" s="1"/>
  <c r="R195" i="15"/>
  <c r="Q99" i="11"/>
  <c r="Q97" i="11"/>
  <c r="R462" i="16"/>
  <c r="R216" i="15"/>
  <c r="R473" i="16" s="1"/>
  <c r="R214" i="15"/>
  <c r="R464" i="16" s="1"/>
  <c r="R215" i="15"/>
  <c r="R465" i="16" s="1"/>
  <c r="P68" i="11"/>
  <c r="P70" i="11" s="1"/>
  <c r="S908" i="16"/>
  <c r="S67" i="16"/>
  <c r="S61" i="15"/>
  <c r="S62" i="16" s="1"/>
  <c r="S281" i="7"/>
  <c r="P274" i="7"/>
  <c r="R809" i="16"/>
  <c r="R812" i="16"/>
  <c r="S172" i="7"/>
  <c r="N68" i="11"/>
  <c r="N70" i="11" s="1"/>
  <c r="T67" i="11"/>
  <c r="T69" i="11"/>
  <c r="T99" i="11"/>
  <c r="T97" i="11"/>
  <c r="H124" i="16"/>
  <c r="I287" i="7"/>
  <c r="H121" i="16"/>
  <c r="R120" i="8"/>
  <c r="R198" i="11" s="1"/>
  <c r="P141" i="12"/>
  <c r="P1119" i="17" s="1"/>
  <c r="P1120" i="17" s="1"/>
  <c r="T48" i="16"/>
  <c r="E64" i="15"/>
  <c r="T55" i="15"/>
  <c r="T36" i="11"/>
  <c r="T87" i="12"/>
  <c r="T272" i="5"/>
  <c r="T626" i="16"/>
  <c r="E285" i="15"/>
  <c r="T276" i="15"/>
  <c r="T86" i="6"/>
  <c r="T289" i="5"/>
  <c r="T85" i="6"/>
  <c r="T92" i="6" s="1"/>
  <c r="J231" i="7"/>
  <c r="T67" i="16"/>
  <c r="T61" i="15"/>
  <c r="T62" i="16" s="1"/>
  <c r="R150" i="12"/>
  <c r="R148" i="12"/>
  <c r="O96" i="6"/>
  <c r="L229" i="16"/>
  <c r="L128" i="15"/>
  <c r="H229" i="16"/>
  <c r="H128" i="15"/>
  <c r="T509" i="16"/>
  <c r="T234" i="15"/>
  <c r="E20" i="15"/>
  <c r="L116" i="16"/>
  <c r="L86" i="15"/>
  <c r="L84" i="15"/>
  <c r="L118" i="16" s="1"/>
  <c r="P701" i="16"/>
  <c r="P704" i="16"/>
  <c r="Q304" i="7"/>
  <c r="N409" i="16"/>
  <c r="O196" i="15"/>
  <c r="I68" i="11"/>
  <c r="I70" i="11" s="1"/>
  <c r="T57" i="16"/>
  <c r="Q429" i="16"/>
  <c r="Q201" i="15"/>
  <c r="Q431" i="16" s="1"/>
  <c r="Q203" i="15"/>
  <c r="Q440" i="16" s="1"/>
  <c r="Q202" i="15"/>
  <c r="Q432" i="16" s="1"/>
  <c r="S366" i="16"/>
  <c r="S51" i="8"/>
  <c r="S179" i="15" s="1"/>
  <c r="S372" i="16" s="1"/>
  <c r="O326" i="15"/>
  <c r="N746" i="16"/>
  <c r="T231" i="7"/>
  <c r="R243" i="5"/>
  <c r="R63" i="12" s="1"/>
  <c r="R142" i="17" s="1"/>
  <c r="R143" i="17" s="1"/>
  <c r="R12" i="11"/>
  <c r="R491" i="17" s="1"/>
  <c r="R492" i="17" s="1"/>
  <c r="O116" i="16"/>
  <c r="O84" i="15"/>
  <c r="O118" i="16" s="1"/>
  <c r="O86" i="15"/>
  <c r="T217" i="16"/>
  <c r="T123" i="15"/>
  <c r="T219" i="16" s="1"/>
  <c r="T124" i="15"/>
  <c r="T220" i="16" s="1"/>
  <c r="T125" i="15"/>
  <c r="T229" i="16" s="1"/>
  <c r="F194" i="15"/>
  <c r="T192" i="15"/>
  <c r="T407" i="16" s="1"/>
  <c r="P136" i="12"/>
  <c r="P1093" i="17" s="1"/>
  <c r="P1094" i="17" s="1"/>
  <c r="P666" i="16"/>
  <c r="P669" i="16"/>
  <c r="Q303" i="7"/>
  <c r="S638" i="16"/>
  <c r="K231" i="7"/>
  <c r="Q115" i="8"/>
  <c r="Q243" i="12"/>
  <c r="Q267" i="17" s="1"/>
  <c r="Q268" i="17" s="1"/>
  <c r="I150" i="11"/>
  <c r="S148" i="12"/>
  <c r="S150" i="12"/>
  <c r="O282" i="7"/>
  <c r="O579" i="16"/>
  <c r="O256" i="15"/>
  <c r="O574" i="16" s="1"/>
  <c r="O880" i="16"/>
  <c r="P97" i="11"/>
  <c r="P99" i="11"/>
  <c r="R188" i="16"/>
  <c r="R31" i="8"/>
  <c r="R114" i="15" s="1"/>
  <c r="R195" i="16" s="1"/>
  <c r="T1049" i="17"/>
  <c r="T1050" i="17" s="1"/>
  <c r="T249" i="16"/>
  <c r="T38" i="8"/>
  <c r="T260" i="16" s="1"/>
  <c r="T224" i="5"/>
  <c r="R263" i="16"/>
  <c r="T261" i="7"/>
  <c r="S214" i="7"/>
  <c r="S234" i="7" s="1"/>
  <c r="S157" i="12" s="1"/>
  <c r="L214" i="7"/>
  <c r="L234" i="7" s="1"/>
  <c r="K214" i="7"/>
  <c r="K234" i="7" s="1"/>
  <c r="J214" i="7"/>
  <c r="J234" i="7" s="1"/>
  <c r="P214" i="7"/>
  <c r="P234" i="7" s="1"/>
  <c r="Q214" i="7"/>
  <c r="Q234" i="7" s="1"/>
  <c r="N214" i="7"/>
  <c r="N234" i="7" s="1"/>
  <c r="O214" i="7"/>
  <c r="O234" i="7" s="1"/>
  <c r="R214" i="7"/>
  <c r="R234" i="7" s="1"/>
  <c r="T214" i="7"/>
  <c r="T234" i="7" s="1"/>
  <c r="M214" i="7"/>
  <c r="M234" i="7" s="1"/>
  <c r="H214" i="7"/>
  <c r="H234" i="7" s="1"/>
  <c r="I214" i="7"/>
  <c r="I234" i="7" s="1"/>
  <c r="Q150" i="11"/>
  <c r="R133" i="12"/>
  <c r="R135" i="12"/>
  <c r="R206" i="12"/>
  <c r="R207" i="12"/>
  <c r="L68" i="11"/>
  <c r="L70" i="11" s="1"/>
  <c r="N506" i="17"/>
  <c r="N507" i="17" s="1"/>
  <c r="N900" i="16"/>
  <c r="N69" i="10"/>
  <c r="N32" i="11"/>
  <c r="N31" i="13"/>
  <c r="N32" i="13" s="1"/>
  <c r="N13" i="12"/>
  <c r="N30" i="11"/>
  <c r="M150" i="12"/>
  <c r="M148" i="12"/>
  <c r="P476" i="16"/>
  <c r="P221" i="15"/>
  <c r="T244" i="15"/>
  <c r="T541" i="16" s="1"/>
  <c r="F246" i="15"/>
  <c r="I222" i="16"/>
  <c r="I226" i="16"/>
  <c r="J290" i="7"/>
  <c r="R82" i="11"/>
  <c r="R84" i="11"/>
  <c r="O68" i="11"/>
  <c r="O70" i="11" s="1"/>
  <c r="R103" i="11"/>
  <c r="R105" i="11"/>
  <c r="T93" i="11"/>
  <c r="T95" i="11" s="1"/>
  <c r="Q402" i="16"/>
  <c r="Q399" i="16"/>
  <c r="R295" i="7"/>
  <c r="P270" i="15"/>
  <c r="P608" i="16" s="1"/>
  <c r="P103" i="6"/>
  <c r="N543" i="16"/>
  <c r="O248" i="15"/>
  <c r="O202" i="15"/>
  <c r="O432" i="16" s="1"/>
  <c r="L99" i="11"/>
  <c r="L97" i="11"/>
  <c r="I1009" i="17"/>
  <c r="I1010" i="17" s="1"/>
  <c r="I119" i="12"/>
  <c r="I1012" i="17" s="1"/>
  <c r="I1013" i="17" s="1"/>
  <c r="T971" i="17"/>
  <c r="T972" i="17" s="1"/>
  <c r="T177" i="16"/>
  <c r="T30" i="8"/>
  <c r="T189" i="16" s="1"/>
  <c r="T222" i="5"/>
  <c r="S509" i="16"/>
  <c r="S234" i="15"/>
  <c r="Q176" i="15"/>
  <c r="Q362" i="16" s="1"/>
  <c r="R210" i="12"/>
  <c r="R118" i="8"/>
  <c r="O645" i="16"/>
  <c r="O282" i="15"/>
  <c r="O640" i="16" s="1"/>
  <c r="T916" i="17"/>
  <c r="T917" i="17" s="1"/>
  <c r="T424" i="16"/>
  <c r="T200" i="4"/>
  <c r="T57" i="8"/>
  <c r="T164" i="5"/>
  <c r="K150" i="12"/>
  <c r="K148" i="12"/>
  <c r="T126" i="16"/>
  <c r="T89" i="15"/>
  <c r="T394" i="16"/>
  <c r="T188" i="15"/>
  <c r="T396" i="16" s="1"/>
  <c r="T190" i="15"/>
  <c r="T405" i="16" s="1"/>
  <c r="L120" i="10"/>
  <c r="L378" i="16" s="1"/>
  <c r="L373" i="16"/>
  <c r="L182" i="15"/>
  <c r="Q229" i="16"/>
  <c r="Q128" i="15"/>
  <c r="Q636" i="17"/>
  <c r="Q637" i="17" s="1"/>
  <c r="K229" i="16"/>
  <c r="K128" i="15"/>
  <c r="P931" i="17"/>
  <c r="P932" i="17" s="1"/>
  <c r="P104" i="12"/>
  <c r="P934" i="17" s="1"/>
  <c r="P935" i="17" s="1"/>
  <c r="O739" i="16"/>
  <c r="O736" i="16"/>
  <c r="P305" i="7"/>
  <c r="T60" i="12"/>
  <c r="T10" i="11"/>
  <c r="I231" i="7"/>
  <c r="S241" i="5"/>
  <c r="S968" i="17"/>
  <c r="S969" i="17" s="1"/>
  <c r="S176" i="16"/>
  <c r="S198" i="7"/>
  <c r="S262" i="7" s="1"/>
  <c r="S136" i="5"/>
  <c r="S137" i="5"/>
  <c r="S193" i="4"/>
  <c r="S29" i="8"/>
  <c r="S896" i="16"/>
  <c r="R369" i="16"/>
  <c r="R180" i="15"/>
  <c r="R59" i="8"/>
  <c r="R435" i="16"/>
  <c r="P150" i="11"/>
  <c r="M1009" i="17"/>
  <c r="M1010" i="17" s="1"/>
  <c r="M119" i="12"/>
  <c r="M1012" i="17" s="1"/>
  <c r="M1013" i="17" s="1"/>
  <c r="M121" i="12"/>
  <c r="M1015" i="17" s="1"/>
  <c r="M1016" i="17" s="1"/>
  <c r="R974" i="17"/>
  <c r="R975" i="17" s="1"/>
  <c r="R178" i="16"/>
  <c r="R249" i="5"/>
  <c r="T526" i="16"/>
  <c r="T237" i="15"/>
  <c r="E246" i="15"/>
  <c r="T246" i="15" s="1"/>
  <c r="T238" i="15"/>
  <c r="T101" i="11"/>
  <c r="T152" i="12"/>
  <c r="T286" i="5"/>
  <c r="T84" i="15"/>
  <c r="T118" i="16" s="1"/>
  <c r="T116" i="16"/>
  <c r="T86" i="15"/>
  <c r="T127" i="16" s="1"/>
  <c r="Q113" i="11"/>
  <c r="Q115" i="11" s="1"/>
  <c r="R638" i="16"/>
  <c r="M150" i="11"/>
  <c r="T1052" i="17"/>
  <c r="T1053" i="17" s="1"/>
  <c r="T251" i="5"/>
  <c r="T250" i="16"/>
  <c r="T212" i="15"/>
  <c r="T460" i="16"/>
  <c r="E220" i="15"/>
  <c r="T211" i="15"/>
  <c r="T284" i="5"/>
  <c r="T81" i="11"/>
  <c r="T132" i="12"/>
  <c r="R98" i="11"/>
  <c r="R100" i="11"/>
  <c r="S1052" i="17"/>
  <c r="S1053" i="17" s="1"/>
  <c r="S250" i="16"/>
  <c r="S251" i="5"/>
  <c r="J232" i="16"/>
  <c r="J116" i="10"/>
  <c r="J237" i="16" s="1"/>
  <c r="J130" i="15"/>
  <c r="P225" i="11"/>
  <c r="P571" i="17" s="1"/>
  <c r="P572" i="17" s="1"/>
  <c r="P566" i="17"/>
  <c r="P567" i="17" s="1"/>
  <c r="S62" i="15"/>
  <c r="S63" i="16" s="1"/>
  <c r="T154" i="16"/>
  <c r="T27" i="8"/>
  <c r="P332" i="16"/>
  <c r="P329" i="16"/>
  <c r="Q293" i="7"/>
  <c r="N231" i="7"/>
  <c r="T468" i="16"/>
  <c r="T63" i="8"/>
  <c r="N97" i="11"/>
  <c r="N99" i="11"/>
  <c r="S528" i="16"/>
  <c r="S240" i="15"/>
  <c r="S530" i="16" s="1"/>
  <c r="S242" i="15"/>
  <c r="S539" i="16" s="1"/>
  <c r="S257" i="15"/>
  <c r="S575" i="16" s="1"/>
  <c r="R922" i="17"/>
  <c r="R923" i="17" s="1"/>
  <c r="R426" i="16"/>
  <c r="R256" i="5"/>
  <c r="P1009" i="17"/>
  <c r="P1010" i="17" s="1"/>
  <c r="P119" i="12"/>
  <c r="P1012" i="17" s="1"/>
  <c r="P1013" i="17" s="1"/>
  <c r="P121" i="12"/>
  <c r="P1015" i="17" s="1"/>
  <c r="P1016" i="17" s="1"/>
  <c r="P59" i="12"/>
  <c r="P300" i="5"/>
  <c r="P217" i="4"/>
  <c r="L231" i="7"/>
  <c r="Q601" i="16"/>
  <c r="Q79" i="8"/>
  <c r="H68" i="11"/>
  <c r="H70" i="11"/>
  <c r="N150" i="11"/>
  <c r="S462" i="16"/>
  <c r="S216" i="15"/>
  <c r="S473" i="16" s="1"/>
  <c r="S214" i="15"/>
  <c r="S464" i="16" s="1"/>
  <c r="S215" i="15"/>
  <c r="S465" i="16" s="1"/>
  <c r="R213" i="4"/>
  <c r="H231" i="7"/>
  <c r="O14" i="12"/>
  <c r="J121" i="12"/>
  <c r="J1015" i="17" s="1"/>
  <c r="J1016" i="17" s="1"/>
  <c r="Q54" i="11"/>
  <c r="Q52" i="11"/>
  <c r="Q542" i="16"/>
  <c r="Q247" i="15"/>
  <c r="N124" i="15"/>
  <c r="N220" i="16" s="1"/>
  <c r="O124" i="15"/>
  <c r="O220" i="16" s="1"/>
  <c r="H84" i="15"/>
  <c r="H118" i="16" s="1"/>
  <c r="H85" i="15"/>
  <c r="H119" i="16" s="1"/>
  <c r="H86" i="15"/>
  <c r="H116" i="16"/>
  <c r="S572" i="16"/>
  <c r="M235" i="15"/>
  <c r="L510" i="16"/>
  <c r="N34" i="12"/>
  <c r="N283" i="7"/>
  <c r="I229" i="16"/>
  <c r="I128" i="15"/>
  <c r="Q103" i="12"/>
  <c r="Q105" i="12"/>
  <c r="Q192" i="16"/>
  <c r="S538" i="16"/>
  <c r="S245" i="15"/>
  <c r="Q116" i="16"/>
  <c r="Q86" i="15"/>
  <c r="Q84" i="15"/>
  <c r="Q118" i="16" s="1"/>
  <c r="P275" i="7"/>
  <c r="N106" i="12"/>
  <c r="N937" i="17" s="1"/>
  <c r="N938" i="17" s="1"/>
  <c r="K367" i="16"/>
  <c r="K364" i="16"/>
  <c r="L294" i="7"/>
  <c r="R114" i="8"/>
  <c r="R249" i="12" s="1"/>
  <c r="Q592" i="16"/>
  <c r="Q261" i="5"/>
  <c r="Q269" i="5" s="1"/>
  <c r="Q99" i="6"/>
  <c r="Q1026" i="17"/>
  <c r="Q1027" i="17" s="1"/>
  <c r="Q439" i="16"/>
  <c r="H374" i="16"/>
  <c r="I183" i="15"/>
  <c r="S868" i="16"/>
  <c r="K68" i="11"/>
  <c r="K70" i="11" s="1"/>
  <c r="R189" i="15"/>
  <c r="R397" i="16" s="1"/>
  <c r="S210" i="7"/>
  <c r="P273" i="7"/>
  <c r="P81" i="7"/>
  <c r="M806" i="16"/>
  <c r="M378" i="15"/>
  <c r="S1205" i="17"/>
  <c r="S1206" i="17" s="1"/>
  <c r="S144" i="16"/>
  <c r="S26" i="8"/>
  <c r="S155" i="16" s="1"/>
  <c r="S221" i="5"/>
  <c r="F129" i="15"/>
  <c r="T127" i="15"/>
  <c r="T231" i="16" s="1"/>
  <c r="M157" i="17"/>
  <c r="M158" i="17" s="1"/>
  <c r="M872" i="16"/>
  <c r="M83" i="12"/>
  <c r="M31" i="14"/>
  <c r="M32" i="14" s="1"/>
  <c r="M15" i="12"/>
  <c r="M16" i="12" s="1"/>
  <c r="M37" i="10"/>
  <c r="M81" i="12"/>
  <c r="Q912" i="16"/>
  <c r="Q231" i="7"/>
  <c r="N373" i="16"/>
  <c r="N120" i="10"/>
  <c r="N378" i="16" s="1"/>
  <c r="N182" i="15"/>
  <c r="Q205" i="15"/>
  <c r="Q442" i="16" s="1"/>
  <c r="Q437" i="16"/>
  <c r="R219" i="15"/>
  <c r="R472" i="16"/>
  <c r="S164" i="11"/>
  <c r="S165" i="11"/>
  <c r="N158" i="11"/>
  <c r="N159" i="11"/>
  <c r="P362" i="17"/>
  <c r="P363" i="17" s="1"/>
  <c r="P886" i="16"/>
  <c r="P116" i="8"/>
  <c r="S217" i="7"/>
  <c r="S237" i="7" s="1"/>
  <c r="R60" i="16"/>
  <c r="T118" i="12"/>
  <c r="T120" i="12"/>
  <c r="M343" i="15"/>
  <c r="M47" i="10"/>
  <c r="M79" i="10"/>
  <c r="M132" i="11"/>
  <c r="M183" i="12"/>
  <c r="R86" i="15"/>
  <c r="R84" i="15"/>
  <c r="R118" i="16" s="1"/>
  <c r="R116" i="16"/>
  <c r="R85" i="15"/>
  <c r="R119" i="16" s="1"/>
  <c r="Q870" i="16"/>
  <c r="R62" i="15"/>
  <c r="R63" i="16" s="1"/>
  <c r="O53" i="11"/>
  <c r="O55" i="11"/>
  <c r="N50" i="9"/>
  <c r="N51" i="9"/>
  <c r="O362" i="17"/>
  <c r="O363" i="17" s="1"/>
  <c r="O886" i="16"/>
  <c r="O116" i="8"/>
  <c r="R231" i="7"/>
  <c r="L141" i="12"/>
  <c r="L1119" i="17" s="1"/>
  <c r="L1120" i="17" s="1"/>
  <c r="J220" i="16"/>
  <c r="C141" i="1"/>
  <c r="L150" i="11"/>
  <c r="T88" i="15"/>
  <c r="T129" i="16" s="1"/>
  <c r="F90" i="15"/>
  <c r="T90" i="15" s="1"/>
  <c r="Q124" i="15"/>
  <c r="Q220" i="16" s="1"/>
  <c r="R467" i="16"/>
  <c r="S297" i="7"/>
  <c r="R470" i="16"/>
  <c r="M881" i="16"/>
  <c r="M112" i="10"/>
  <c r="M113" i="10" s="1"/>
  <c r="M35" i="12"/>
  <c r="M36" i="12" s="1"/>
  <c r="Q1009" i="17"/>
  <c r="Q1010" i="17" s="1"/>
  <c r="Q119" i="12"/>
  <c r="Q1012" i="17" s="1"/>
  <c r="Q1013" i="17" s="1"/>
  <c r="Q180" i="15"/>
  <c r="T968" i="17"/>
  <c r="T969" i="17" s="1"/>
  <c r="T176" i="16"/>
  <c r="T198" i="7"/>
  <c r="T137" i="5"/>
  <c r="T193" i="4"/>
  <c r="T136" i="5"/>
  <c r="T29" i="8"/>
  <c r="T896" i="16"/>
  <c r="R87" i="11"/>
  <c r="R89" i="11"/>
  <c r="T77" i="11" l="1"/>
  <c r="T79" i="11"/>
  <c r="S158" i="12"/>
  <c r="S160" i="12"/>
  <c r="T243" i="5"/>
  <c r="T63" i="12" s="1"/>
  <c r="T142" i="17" s="1"/>
  <c r="T12" i="11"/>
  <c r="T491" i="17" s="1"/>
  <c r="N813" i="16"/>
  <c r="O47" i="9"/>
  <c r="N55" i="9"/>
  <c r="O158" i="11"/>
  <c r="O159" i="11"/>
  <c r="Q931" i="17"/>
  <c r="Q932" i="17" s="1"/>
  <c r="Q104" i="12"/>
  <c r="Q934" i="17" s="1"/>
  <c r="Q935" i="17" s="1"/>
  <c r="Q106" i="12"/>
  <c r="Q937" i="17" s="1"/>
  <c r="Q938" i="17" s="1"/>
  <c r="M1165" i="17"/>
  <c r="M1166" i="17" s="1"/>
  <c r="M149" i="12"/>
  <c r="M1168" i="17" s="1"/>
  <c r="M1169" i="17" s="1"/>
  <c r="M151" i="12"/>
  <c r="M1171" i="17" s="1"/>
  <c r="M1172" i="17" s="1"/>
  <c r="Q704" i="16"/>
  <c r="Q701" i="16"/>
  <c r="R304" i="7"/>
  <c r="H130" i="15"/>
  <c r="H232" i="16"/>
  <c r="H116" i="10"/>
  <c r="H237" i="16" s="1"/>
  <c r="H131" i="15"/>
  <c r="N1165" i="17"/>
  <c r="N1166" i="17" s="1"/>
  <c r="N149" i="12"/>
  <c r="N1168" i="17" s="1"/>
  <c r="N1169" i="17" s="1"/>
  <c r="N151" i="12"/>
  <c r="N1171" i="17" s="1"/>
  <c r="N1172" i="17" s="1"/>
  <c r="S148" i="16"/>
  <c r="S99" i="15"/>
  <c r="S159" i="16" s="1"/>
  <c r="S97" i="15"/>
  <c r="S150" i="16" s="1"/>
  <c r="N1055" i="17"/>
  <c r="N1056" i="17" s="1"/>
  <c r="N252" i="16"/>
  <c r="N134" i="15"/>
  <c r="N76" i="11"/>
  <c r="N127" i="12"/>
  <c r="N820" i="16"/>
  <c r="O376" i="15"/>
  <c r="N303" i="16"/>
  <c r="O157" i="15"/>
  <c r="R139" i="12"/>
  <c r="R1116" i="17" s="1"/>
  <c r="R1117" i="17" s="1"/>
  <c r="R1113" i="17"/>
  <c r="R1114" i="17" s="1"/>
  <c r="S162" i="11"/>
  <c r="T173" i="15"/>
  <c r="T208" i="12"/>
  <c r="T210" i="12" s="1"/>
  <c r="T281" i="5"/>
  <c r="T137" i="12"/>
  <c r="T357" i="16"/>
  <c r="T157" i="11"/>
  <c r="T172" i="15"/>
  <c r="E181" i="15"/>
  <c r="T86" i="11"/>
  <c r="M821" i="16"/>
  <c r="P1165" i="17"/>
  <c r="P1166" i="17" s="1"/>
  <c r="P149" i="12"/>
  <c r="P1168" i="17" s="1"/>
  <c r="P1169" i="17" s="1"/>
  <c r="H1055" i="17"/>
  <c r="H1056" i="17" s="1"/>
  <c r="H252" i="16"/>
  <c r="H134" i="15"/>
  <c r="H291" i="7"/>
  <c r="H127" i="12"/>
  <c r="H76" i="11"/>
  <c r="O209" i="15"/>
  <c r="N444" i="16"/>
  <c r="N98" i="11"/>
  <c r="N100" i="11" s="1"/>
  <c r="P1055" i="17"/>
  <c r="P1056" i="17" s="1"/>
  <c r="P252" i="16"/>
  <c r="P127" i="12"/>
  <c r="P134" i="15"/>
  <c r="P76" i="11"/>
  <c r="J1165" i="17"/>
  <c r="J1166" i="17" s="1"/>
  <c r="J151" i="12"/>
  <c r="J1171" i="17" s="1"/>
  <c r="J1172" i="17" s="1"/>
  <c r="J149" i="12"/>
  <c r="J1168" i="17" s="1"/>
  <c r="J1169" i="17" s="1"/>
  <c r="S847" i="17"/>
  <c r="S848" i="17" s="1"/>
  <c r="S49" i="16"/>
  <c r="S36" i="11"/>
  <c r="S183" i="11"/>
  <c r="S142" i="11"/>
  <c r="S56" i="15"/>
  <c r="S87" i="12"/>
  <c r="T153" i="12"/>
  <c r="T155" i="12"/>
  <c r="S77" i="8"/>
  <c r="S205" i="4"/>
  <c r="S215" i="4" s="1"/>
  <c r="S61" i="6"/>
  <c r="S62" i="6" s="1"/>
  <c r="S590" i="16"/>
  <c r="S1020" i="17"/>
  <c r="S1021" i="17" s="1"/>
  <c r="S98" i="6"/>
  <c r="N130" i="15"/>
  <c r="N116" i="10"/>
  <c r="N237" i="16" s="1"/>
  <c r="N232" i="16"/>
  <c r="O951" i="17"/>
  <c r="O952" i="17" s="1"/>
  <c r="O82" i="16"/>
  <c r="O145" i="11"/>
  <c r="O56" i="11"/>
  <c r="O107" i="12"/>
  <c r="O69" i="15"/>
  <c r="S213" i="12"/>
  <c r="Q373" i="16"/>
  <c r="Q182" i="15"/>
  <c r="Q120" i="10"/>
  <c r="Q378" i="16" s="1"/>
  <c r="Q206" i="15"/>
  <c r="P645" i="16"/>
  <c r="P282" i="15"/>
  <c r="P640" i="16" s="1"/>
  <c r="T104" i="11"/>
  <c r="T102" i="11"/>
  <c r="T922" i="17"/>
  <c r="T923" i="17" s="1"/>
  <c r="T426" i="16"/>
  <c r="T256" i="5"/>
  <c r="L1211" i="17"/>
  <c r="L1212" i="17" s="1"/>
  <c r="L147" i="16"/>
  <c r="L106" i="11"/>
  <c r="L202" i="12"/>
  <c r="L157" i="12"/>
  <c r="L95" i="15"/>
  <c r="L151" i="11"/>
  <c r="L127" i="16"/>
  <c r="L89" i="15"/>
  <c r="T64" i="15"/>
  <c r="M127" i="16"/>
  <c r="M89" i="15"/>
  <c r="J951" i="17"/>
  <c r="J952" i="17" s="1"/>
  <c r="J82" i="16"/>
  <c r="J56" i="11"/>
  <c r="J69" i="15"/>
  <c r="J107" i="12"/>
  <c r="Q232" i="16"/>
  <c r="Q116" i="10"/>
  <c r="Q237" i="16" s="1"/>
  <c r="Q130" i="15"/>
  <c r="O85" i="15"/>
  <c r="O119" i="16" s="1"/>
  <c r="L85" i="15"/>
  <c r="L119" i="16" s="1"/>
  <c r="S130" i="16"/>
  <c r="S91" i="15"/>
  <c r="K1055" i="17"/>
  <c r="K1056" i="17" s="1"/>
  <c r="K252" i="16"/>
  <c r="K134" i="15"/>
  <c r="K76" i="11"/>
  <c r="K127" i="12"/>
  <c r="R112" i="11"/>
  <c r="R114" i="11"/>
  <c r="T408" i="16"/>
  <c r="T195" i="15"/>
  <c r="T121" i="10"/>
  <c r="T413" i="16" s="1"/>
  <c r="E17" i="15"/>
  <c r="N235" i="15"/>
  <c r="M510" i="16"/>
  <c r="T285" i="15"/>
  <c r="T668" i="16"/>
  <c r="T87" i="8"/>
  <c r="S83" i="11"/>
  <c r="S85" i="11"/>
  <c r="O477" i="16"/>
  <c r="P222" i="15"/>
  <c r="P227" i="7"/>
  <c r="K98" i="11"/>
  <c r="K100" i="11" s="1"/>
  <c r="Q329" i="16"/>
  <c r="Q332" i="16"/>
  <c r="R293" i="7"/>
  <c r="I1211" i="17"/>
  <c r="I1212" i="17" s="1"/>
  <c r="I147" i="16"/>
  <c r="I106" i="11"/>
  <c r="I202" i="12"/>
  <c r="I95" i="15"/>
  <c r="I157" i="12"/>
  <c r="I151" i="11"/>
  <c r="S140" i="12"/>
  <c r="S138" i="12"/>
  <c r="Q909" i="16"/>
  <c r="Q33" i="12"/>
  <c r="P208" i="15"/>
  <c r="P443" i="16"/>
  <c r="Q612" i="16"/>
  <c r="Q269" i="15"/>
  <c r="Q607" i="16" s="1"/>
  <c r="I85" i="15"/>
  <c r="I119" i="16" s="1"/>
  <c r="S1303" i="17"/>
  <c r="S1311" i="17" s="1"/>
  <c r="S1055" i="17"/>
  <c r="S1056" i="17" s="1"/>
  <c r="S252" i="16"/>
  <c r="T97" i="15"/>
  <c r="T150" i="16" s="1"/>
  <c r="T148" i="16"/>
  <c r="T99" i="15"/>
  <c r="T159" i="16" s="1"/>
  <c r="Q282" i="15"/>
  <c r="Q640" i="16" s="1"/>
  <c r="Q645" i="16"/>
  <c r="M1211" i="17"/>
  <c r="M1212" i="17" s="1"/>
  <c r="M147" i="16"/>
  <c r="M151" i="11"/>
  <c r="M95" i="15"/>
  <c r="M106" i="11"/>
  <c r="M157" i="12"/>
  <c r="M202" i="12"/>
  <c r="K121" i="12"/>
  <c r="K1015" i="17" s="1"/>
  <c r="K1016" i="17" s="1"/>
  <c r="I951" i="17"/>
  <c r="I952" i="17" s="1"/>
  <c r="I82" i="16"/>
  <c r="I107" i="12"/>
  <c r="I56" i="11"/>
  <c r="I69" i="15"/>
  <c r="O1055" i="17"/>
  <c r="O1056" i="17" s="1"/>
  <c r="O252" i="16"/>
  <c r="O76" i="11"/>
  <c r="O134" i="15"/>
  <c r="O127" i="12"/>
  <c r="S98" i="11"/>
  <c r="S100" i="11"/>
  <c r="O676" i="16"/>
  <c r="P300" i="15"/>
  <c r="P127" i="16"/>
  <c r="P89" i="15"/>
  <c r="N872" i="16"/>
  <c r="N31" i="14"/>
  <c r="N32" i="14" s="1"/>
  <c r="N157" i="17"/>
  <c r="N158" i="17" s="1"/>
  <c r="N15" i="12"/>
  <c r="N16" i="12" s="1"/>
  <c r="N37" i="10"/>
  <c r="N83" i="12"/>
  <c r="N81" i="12"/>
  <c r="Q296" i="16"/>
  <c r="R292" i="7"/>
  <c r="Q293" i="16"/>
  <c r="R10" i="12"/>
  <c r="R62" i="12"/>
  <c r="R78" i="7"/>
  <c r="R274" i="7" s="1"/>
  <c r="R77" i="7"/>
  <c r="R79" i="7"/>
  <c r="R275" i="7" s="1"/>
  <c r="T1165" i="17"/>
  <c r="T1166" i="17" s="1"/>
  <c r="T149" i="12"/>
  <c r="T1168" i="17" s="1"/>
  <c r="T1169" i="17" s="1"/>
  <c r="T151" i="12"/>
  <c r="T1171" i="17" s="1"/>
  <c r="T1172" i="17" s="1"/>
  <c r="T128" i="15"/>
  <c r="R243" i="12"/>
  <c r="R267" i="17" s="1"/>
  <c r="R268" i="17" s="1"/>
  <c r="R115" i="8"/>
  <c r="P272" i="12"/>
  <c r="P202" i="17" s="1"/>
  <c r="P203" i="17" s="1"/>
  <c r="P41" i="14"/>
  <c r="P408" i="15" s="1"/>
  <c r="P296" i="12"/>
  <c r="P347" i="17" s="1"/>
  <c r="P348" i="17" s="1"/>
  <c r="P39" i="10"/>
  <c r="R287" i="17"/>
  <c r="R288" i="17" s="1"/>
  <c r="F103" i="15"/>
  <c r="T103" i="15" s="1"/>
  <c r="T101" i="15"/>
  <c r="T161" i="16" s="1"/>
  <c r="S974" i="17"/>
  <c r="S975" i="17" s="1"/>
  <c r="S178" i="16"/>
  <c r="S249" i="5"/>
  <c r="S268" i="5" s="1"/>
  <c r="P106" i="12"/>
  <c r="P937" i="17" s="1"/>
  <c r="P938" i="17" s="1"/>
  <c r="L98" i="11"/>
  <c r="L100" i="11"/>
  <c r="T1211" i="17"/>
  <c r="T1212" i="17" s="1"/>
  <c r="T147" i="16"/>
  <c r="T847" i="17"/>
  <c r="T848" i="17" s="1"/>
  <c r="T49" i="16"/>
  <c r="T56" i="15"/>
  <c r="Q141" i="12"/>
  <c r="Q1119" i="17" s="1"/>
  <c r="Q1120" i="17" s="1"/>
  <c r="J150" i="11"/>
  <c r="S151" i="11"/>
  <c r="S189" i="15"/>
  <c r="S397" i="16" s="1"/>
  <c r="T158" i="16"/>
  <c r="T951" i="17"/>
  <c r="T952" i="17" s="1"/>
  <c r="T82" i="16"/>
  <c r="I1055" i="17"/>
  <c r="I1056" i="17" s="1"/>
  <c r="I252" i="16"/>
  <c r="I76" i="11"/>
  <c r="I127" i="12"/>
  <c r="I134" i="15"/>
  <c r="N121" i="12"/>
  <c r="N1015" i="17" s="1"/>
  <c r="N1016" i="17" s="1"/>
  <c r="N250" i="12"/>
  <c r="O18" i="9"/>
  <c r="N199" i="11"/>
  <c r="O781" i="16"/>
  <c r="P339" i="15"/>
  <c r="O106" i="12"/>
  <c r="O937" i="17" s="1"/>
  <c r="O938" i="17" s="1"/>
  <c r="R429" i="16"/>
  <c r="R201" i="15"/>
  <c r="R431" i="16" s="1"/>
  <c r="R202" i="15"/>
  <c r="R432" i="16" s="1"/>
  <c r="R203" i="15"/>
  <c r="R440" i="16" s="1"/>
  <c r="R192" i="16"/>
  <c r="M133" i="11"/>
  <c r="M135" i="11"/>
  <c r="T472" i="16"/>
  <c r="T91" i="15"/>
  <c r="T130" i="16"/>
  <c r="I232" i="16"/>
  <c r="I130" i="15"/>
  <c r="I116" i="10"/>
  <c r="I237" i="16" s="1"/>
  <c r="P869" i="16"/>
  <c r="P11" i="12"/>
  <c r="P12" i="12" s="1"/>
  <c r="P64" i="12"/>
  <c r="P137" i="17"/>
  <c r="P138" i="17" s="1"/>
  <c r="P30" i="14"/>
  <c r="S243" i="5"/>
  <c r="S63" i="12" s="1"/>
  <c r="S142" i="17" s="1"/>
  <c r="S143" i="17" s="1"/>
  <c r="S12" i="11"/>
  <c r="S491" i="17" s="1"/>
  <c r="S492" i="17" s="1"/>
  <c r="O543" i="16"/>
  <c r="P248" i="15"/>
  <c r="Q951" i="17"/>
  <c r="Q952" i="17" s="1"/>
  <c r="Q82" i="16"/>
  <c r="Q69" i="15"/>
  <c r="Q56" i="11"/>
  <c r="Q107" i="12"/>
  <c r="S128" i="12"/>
  <c r="S130" i="12"/>
  <c r="I374" i="16"/>
  <c r="J183" i="15"/>
  <c r="J1211" i="17"/>
  <c r="J1212" i="17" s="1"/>
  <c r="J147" i="16"/>
  <c r="J95" i="15"/>
  <c r="J202" i="12"/>
  <c r="J106" i="11"/>
  <c r="J157" i="12"/>
  <c r="J151" i="11"/>
  <c r="M951" i="17"/>
  <c r="M952" i="17" s="1"/>
  <c r="M82" i="16"/>
  <c r="M107" i="12"/>
  <c r="M69" i="15"/>
  <c r="M56" i="11"/>
  <c r="R232" i="16"/>
  <c r="R130" i="15"/>
  <c r="R116" i="10"/>
  <c r="R237" i="16" s="1"/>
  <c r="S263" i="16"/>
  <c r="M344" i="15"/>
  <c r="M345" i="15" s="1"/>
  <c r="N881" i="16"/>
  <c r="N35" i="12"/>
  <c r="N36" i="12" s="1"/>
  <c r="N112" i="10"/>
  <c r="N113" i="10" s="1"/>
  <c r="F220" i="15"/>
  <c r="T220" i="15" s="1"/>
  <c r="T218" i="15"/>
  <c r="T475" i="16" s="1"/>
  <c r="R205" i="15"/>
  <c r="R442" i="16" s="1"/>
  <c r="R437" i="16"/>
  <c r="O127" i="16"/>
  <c r="O89" i="15"/>
  <c r="N85" i="15"/>
  <c r="N119" i="16" s="1"/>
  <c r="T93" i="16"/>
  <c r="T76" i="15"/>
  <c r="O100" i="11"/>
  <c r="O98" i="11"/>
  <c r="T263" i="16"/>
  <c r="R373" i="16"/>
  <c r="R182" i="15"/>
  <c r="R120" i="10"/>
  <c r="R378" i="16" s="1"/>
  <c r="R83" i="11"/>
  <c r="R85" i="11"/>
  <c r="H98" i="11"/>
  <c r="H100" i="11" s="1"/>
  <c r="E298" i="15"/>
  <c r="T289" i="15"/>
  <c r="T211" i="12"/>
  <c r="T213" i="12" s="1"/>
  <c r="T290" i="5"/>
  <c r="T659" i="16"/>
  <c r="T111" i="11"/>
  <c r="T290" i="15"/>
  <c r="T162" i="12"/>
  <c r="T160" i="11"/>
  <c r="T162" i="11" s="1"/>
  <c r="T1009" i="17"/>
  <c r="T1010" i="17" s="1"/>
  <c r="T119" i="12"/>
  <c r="T1012" i="17" s="1"/>
  <c r="T1013" i="17" s="1"/>
  <c r="L1165" i="17"/>
  <c r="L1166" i="17" s="1"/>
  <c r="L149" i="12"/>
  <c r="L1168" i="17" s="1"/>
  <c r="L1169" i="17" s="1"/>
  <c r="M227" i="7"/>
  <c r="P496" i="17"/>
  <c r="P497" i="17" s="1"/>
  <c r="P16" i="11"/>
  <c r="M85" i="15"/>
  <c r="M119" i="16" s="1"/>
  <c r="S671" i="16"/>
  <c r="Q121" i="12"/>
  <c r="Q1015" i="17" s="1"/>
  <c r="Q1016" i="17" s="1"/>
  <c r="J226" i="16"/>
  <c r="J222" i="16"/>
  <c r="K290" i="7"/>
  <c r="Q1055" i="17"/>
  <c r="Q1056" i="17" s="1"/>
  <c r="Q252" i="16"/>
  <c r="Q127" i="12"/>
  <c r="Q134" i="15"/>
  <c r="Q76" i="11"/>
  <c r="R847" i="17"/>
  <c r="R848" i="17" s="1"/>
  <c r="R49" i="16"/>
  <c r="R254" i="7"/>
  <c r="R183" i="11"/>
  <c r="R142" i="11"/>
  <c r="R56" i="15"/>
  <c r="R36" i="11"/>
  <c r="R87" i="12"/>
  <c r="T538" i="16"/>
  <c r="T245" i="15"/>
  <c r="M98" i="11"/>
  <c r="M100" i="11"/>
  <c r="T107" i="11"/>
  <c r="T109" i="11"/>
  <c r="R176" i="15"/>
  <c r="R362" i="16" s="1"/>
  <c r="R52" i="11"/>
  <c r="R54" i="11"/>
  <c r="P579" i="16"/>
  <c r="P256" i="15"/>
  <c r="P574" i="16" s="1"/>
  <c r="P282" i="7"/>
  <c r="P880" i="16"/>
  <c r="S213" i="4"/>
  <c r="I121" i="12"/>
  <c r="I1015" i="17" s="1"/>
  <c r="I1016" i="17" s="1"/>
  <c r="S1165" i="17"/>
  <c r="S1166" i="17" s="1"/>
  <c r="S149" i="12"/>
  <c r="S1168" i="17" s="1"/>
  <c r="S1169" i="17" s="1"/>
  <c r="S151" i="12"/>
  <c r="S1171" i="17" s="1"/>
  <c r="S1172" i="17" s="1"/>
  <c r="S809" i="16"/>
  <c r="S812" i="16"/>
  <c r="T172" i="7"/>
  <c r="Q306" i="7"/>
  <c r="P771" i="16"/>
  <c r="P774" i="16"/>
  <c r="O232" i="16"/>
  <c r="O130" i="15"/>
  <c r="O116" i="10"/>
  <c r="O237" i="16" s="1"/>
  <c r="O39" i="10"/>
  <c r="O296" i="12"/>
  <c r="O347" i="17" s="1"/>
  <c r="O348" i="17" s="1"/>
  <c r="O41" i="14"/>
  <c r="O408" i="15" s="1"/>
  <c r="O272" i="12"/>
  <c r="O202" i="17" s="1"/>
  <c r="O203" i="17" s="1"/>
  <c r="S224" i="11"/>
  <c r="S74" i="10"/>
  <c r="S275" i="12"/>
  <c r="S42" i="10"/>
  <c r="S40" i="14"/>
  <c r="S331" i="7"/>
  <c r="S40" i="13"/>
  <c r="S323" i="7"/>
  <c r="S716" i="17"/>
  <c r="S717" i="17" s="1"/>
  <c r="S167" i="10"/>
  <c r="S244" i="11"/>
  <c r="S691" i="17" s="1"/>
  <c r="S692" i="17" s="1"/>
  <c r="R268" i="5"/>
  <c r="T110" i="12"/>
  <c r="T108" i="12"/>
  <c r="R1211" i="17"/>
  <c r="R1212" i="17" s="1"/>
  <c r="R147" i="16"/>
  <c r="R151" i="11"/>
  <c r="R106" i="11"/>
  <c r="R95" i="15"/>
  <c r="R157" i="12"/>
  <c r="R202" i="12"/>
  <c r="Q362" i="17"/>
  <c r="Q363" i="17" s="1"/>
  <c r="Q116" i="8"/>
  <c r="D514" i="16"/>
  <c r="G20" i="15"/>
  <c r="E21" i="16"/>
  <c r="T908" i="16"/>
  <c r="T90" i="12"/>
  <c r="T88" i="12"/>
  <c r="R636" i="17"/>
  <c r="R637" i="17" s="1"/>
  <c r="S177" i="15"/>
  <c r="S370" i="16" s="1"/>
  <c r="S175" i="15"/>
  <c r="S361" i="16" s="1"/>
  <c r="S359" i="16"/>
  <c r="S176" i="15"/>
  <c r="S362" i="16" s="1"/>
  <c r="H151" i="12"/>
  <c r="H1171" i="17" s="1"/>
  <c r="H1172" i="17" s="1"/>
  <c r="H1165" i="17"/>
  <c r="H1166" i="17" s="1"/>
  <c r="H149" i="12"/>
  <c r="H1168" i="17" s="1"/>
  <c r="H1169" i="17" s="1"/>
  <c r="Q216" i="4"/>
  <c r="Q9" i="11"/>
  <c r="S158" i="16"/>
  <c r="S102" i="15"/>
  <c r="R149" i="11"/>
  <c r="R150" i="11"/>
  <c r="S1191" i="17"/>
  <c r="S1192" i="17" s="1"/>
  <c r="S154" i="12"/>
  <c r="S1194" i="17" s="1"/>
  <c r="S1195" i="17" s="1"/>
  <c r="S156" i="12"/>
  <c r="S1197" i="17" s="1"/>
  <c r="S1198" i="17" s="1"/>
  <c r="J127" i="16"/>
  <c r="J89" i="15"/>
  <c r="R225" i="11"/>
  <c r="R571" i="17" s="1"/>
  <c r="R572" i="17" s="1"/>
  <c r="R566" i="17"/>
  <c r="R567" i="17" s="1"/>
  <c r="T157" i="12"/>
  <c r="L951" i="17"/>
  <c r="L952" i="17" s="1"/>
  <c r="L82" i="16"/>
  <c r="L107" i="12"/>
  <c r="L69" i="15"/>
  <c r="L56" i="11"/>
  <c r="R1055" i="17"/>
  <c r="R1056" i="17" s="1"/>
  <c r="R252" i="16"/>
  <c r="R134" i="15"/>
  <c r="R76" i="11"/>
  <c r="R127" i="12"/>
  <c r="O847" i="17"/>
  <c r="O848" i="17" s="1"/>
  <c r="O49" i="16"/>
  <c r="O142" i="11"/>
  <c r="O183" i="11"/>
  <c r="O36" i="11"/>
  <c r="O56" i="15"/>
  <c r="O87" i="12"/>
  <c r="J98" i="11"/>
  <c r="J100" i="11" s="1"/>
  <c r="O9" i="9"/>
  <c r="I98" i="11"/>
  <c r="I100" i="11" s="1"/>
  <c r="R439" i="16"/>
  <c r="S206" i="12"/>
  <c r="S207" i="12"/>
  <c r="Q14" i="11"/>
  <c r="Q501" i="17" s="1"/>
  <c r="Q502" i="17" s="1"/>
  <c r="Q270" i="5"/>
  <c r="Q65" i="12" s="1"/>
  <c r="Q152" i="17" s="1"/>
  <c r="Q153" i="17" s="1"/>
  <c r="T262" i="7"/>
  <c r="H215" i="7"/>
  <c r="H235" i="7" s="1"/>
  <c r="T215" i="7"/>
  <c r="Q215" i="7"/>
  <c r="Q235" i="7" s="1"/>
  <c r="S215" i="7"/>
  <c r="R215" i="7"/>
  <c r="R235" i="7" s="1"/>
  <c r="O215" i="7"/>
  <c r="O235" i="7" s="1"/>
  <c r="I215" i="7"/>
  <c r="P215" i="7"/>
  <c r="P235" i="7" s="1"/>
  <c r="N215" i="7"/>
  <c r="J215" i="7"/>
  <c r="K215" i="7"/>
  <c r="K235" i="7" s="1"/>
  <c r="M215" i="7"/>
  <c r="M235" i="7" s="1"/>
  <c r="M145" i="11" s="1"/>
  <c r="L215" i="7"/>
  <c r="L235" i="7" s="1"/>
  <c r="K232" i="16"/>
  <c r="C143" i="1"/>
  <c r="K116" i="10"/>
  <c r="K237" i="16" s="1"/>
  <c r="K130" i="15"/>
  <c r="T60" i="16"/>
  <c r="Q98" i="11"/>
  <c r="Q100" i="11"/>
  <c r="T210" i="7"/>
  <c r="N127" i="16"/>
  <c r="N89" i="15"/>
  <c r="P170" i="11"/>
  <c r="P171" i="11"/>
  <c r="T164" i="11"/>
  <c r="T165" i="11"/>
  <c r="S195" i="15"/>
  <c r="S121" i="10"/>
  <c r="S413" i="16" s="1"/>
  <c r="S408" i="16"/>
  <c r="S59" i="8"/>
  <c r="S435" i="16"/>
  <c r="N377" i="17"/>
  <c r="N378" i="17" s="1"/>
  <c r="N726" i="17"/>
  <c r="N727" i="17" s="1"/>
  <c r="K1211" i="17"/>
  <c r="K1212" i="17" s="1"/>
  <c r="K147" i="16"/>
  <c r="K106" i="11"/>
  <c r="K95" i="15"/>
  <c r="K151" i="11"/>
  <c r="K157" i="12"/>
  <c r="K202" i="12"/>
  <c r="Q166" i="12"/>
  <c r="Q1249" i="17" s="1"/>
  <c r="Q1250" i="17" s="1"/>
  <c r="S909" i="16"/>
  <c r="S33" i="12"/>
  <c r="M847" i="17"/>
  <c r="M848" i="17" s="1"/>
  <c r="M254" i="7"/>
  <c r="M49" i="16"/>
  <c r="M183" i="11"/>
  <c r="M142" i="11"/>
  <c r="M56" i="15"/>
  <c r="M36" i="11"/>
  <c r="M87" i="12"/>
  <c r="T57" i="11"/>
  <c r="T59" i="11"/>
  <c r="M1055" i="17"/>
  <c r="M1056" i="17" s="1"/>
  <c r="M252" i="16"/>
  <c r="M76" i="11"/>
  <c r="M127" i="12"/>
  <c r="M134" i="15"/>
  <c r="R165" i="12"/>
  <c r="R163" i="12"/>
  <c r="S137" i="15"/>
  <c r="S256" i="16" s="1"/>
  <c r="S138" i="15"/>
  <c r="S264" i="16" s="1"/>
  <c r="S136" i="15"/>
  <c r="S255" i="16" s="1"/>
  <c r="S253" i="16"/>
  <c r="T242" i="15"/>
  <c r="T539" i="16" s="1"/>
  <c r="T528" i="16"/>
  <c r="T240" i="15"/>
  <c r="T530" i="16" s="1"/>
  <c r="T59" i="8"/>
  <c r="T435" i="16"/>
  <c r="T638" i="16"/>
  <c r="S427" i="16"/>
  <c r="S198" i="15"/>
  <c r="S199" i="15"/>
  <c r="S102" i="12"/>
  <c r="S51" i="11"/>
  <c r="S283" i="5"/>
  <c r="T590" i="16"/>
  <c r="T61" i="6"/>
  <c r="T62" i="6"/>
  <c r="T77" i="8"/>
  <c r="T205" i="4"/>
  <c r="T215" i="4" s="1"/>
  <c r="T1020" i="17"/>
  <c r="T1021" i="17" s="1"/>
  <c r="T98" i="6"/>
  <c r="R88" i="11"/>
  <c r="R90" i="11"/>
  <c r="Q85" i="15"/>
  <c r="Q119" i="16" s="1"/>
  <c r="Q53" i="11"/>
  <c r="Q55" i="11" s="1"/>
  <c r="N951" i="17"/>
  <c r="N952" i="17" s="1"/>
  <c r="N82" i="16"/>
  <c r="N107" i="12"/>
  <c r="N56" i="11"/>
  <c r="N69" i="15"/>
  <c r="Q273" i="7"/>
  <c r="Q81" i="7"/>
  <c r="P739" i="16"/>
  <c r="P736" i="16"/>
  <c r="Q305" i="7"/>
  <c r="T165" i="5"/>
  <c r="T83" i="16"/>
  <c r="T71" i="15"/>
  <c r="T85" i="16" s="1"/>
  <c r="T73" i="15"/>
  <c r="T94" i="16" s="1"/>
  <c r="Q297" i="5"/>
  <c r="R156" i="12"/>
  <c r="R1197" i="17" s="1"/>
  <c r="R1198" i="17" s="1"/>
  <c r="R661" i="16"/>
  <c r="R294" i="15"/>
  <c r="R672" i="16" s="1"/>
  <c r="R292" i="15"/>
  <c r="R663" i="16" s="1"/>
  <c r="R293" i="15"/>
  <c r="R664" i="16" s="1"/>
  <c r="H1211" i="17"/>
  <c r="H1212" i="17" s="1"/>
  <c r="H147" i="16"/>
  <c r="H202" i="12"/>
  <c r="H151" i="11"/>
  <c r="H157" i="12"/>
  <c r="H106" i="11"/>
  <c r="H95" i="15"/>
  <c r="H288" i="7"/>
  <c r="T120" i="8"/>
  <c r="T198" i="11" s="1"/>
  <c r="T77" i="15"/>
  <c r="S542" i="16"/>
  <c r="S247" i="15"/>
  <c r="Q270" i="15"/>
  <c r="Q608" i="16" s="1"/>
  <c r="Q103" i="6"/>
  <c r="Q884" i="16"/>
  <c r="Q886" i="16" s="1"/>
  <c r="S106" i="11"/>
  <c r="F77" i="15"/>
  <c r="T75" i="15"/>
  <c r="T96" i="16" s="1"/>
  <c r="R105" i="12"/>
  <c r="R103" i="12"/>
  <c r="Q847" i="17"/>
  <c r="Q848" i="17" s="1"/>
  <c r="Q49" i="16"/>
  <c r="Q142" i="11"/>
  <c r="Q183" i="11"/>
  <c r="Q87" i="12"/>
  <c r="Q36" i="11"/>
  <c r="Q56" i="15"/>
  <c r="L364" i="16"/>
  <c r="L367" i="16"/>
  <c r="M294" i="7"/>
  <c r="T135" i="12"/>
  <c r="T133" i="12"/>
  <c r="T85" i="15"/>
  <c r="T119" i="16" s="1"/>
  <c r="R121" i="8"/>
  <c r="R192" i="11"/>
  <c r="R616" i="17" s="1"/>
  <c r="R617" i="17" s="1"/>
  <c r="O1211" i="17"/>
  <c r="O1212" i="17" s="1"/>
  <c r="O147" i="16"/>
  <c r="O151" i="11"/>
  <c r="O202" i="12"/>
  <c r="O95" i="15"/>
  <c r="O157" i="12"/>
  <c r="O106" i="11"/>
  <c r="K847" i="17"/>
  <c r="K848" i="17" s="1"/>
  <c r="K49" i="16"/>
  <c r="K56" i="15"/>
  <c r="K142" i="11"/>
  <c r="K36" i="11"/>
  <c r="K87" i="12"/>
  <c r="K183" i="11"/>
  <c r="O409" i="16"/>
  <c r="P196" i="15"/>
  <c r="T37" i="11"/>
  <c r="T39" i="11"/>
  <c r="S369" i="16"/>
  <c r="Q14" i="12"/>
  <c r="Q1165" i="17"/>
  <c r="Q1166" i="17" s="1"/>
  <c r="Q149" i="12"/>
  <c r="Q1168" i="17" s="1"/>
  <c r="Q1169" i="17" s="1"/>
  <c r="Q151" i="12"/>
  <c r="Q1171" i="17" s="1"/>
  <c r="Q1172" i="17" s="1"/>
  <c r="K951" i="17"/>
  <c r="K952" i="17" s="1"/>
  <c r="K82" i="16"/>
  <c r="K69" i="15"/>
  <c r="K56" i="11"/>
  <c r="K145" i="11"/>
  <c r="K107" i="12"/>
  <c r="J1055" i="17"/>
  <c r="J1056" i="17" s="1"/>
  <c r="J252" i="16"/>
  <c r="J127" i="12"/>
  <c r="J76" i="11"/>
  <c r="J134" i="15"/>
  <c r="I1165" i="17"/>
  <c r="I1166" i="17" s="1"/>
  <c r="I149" i="12"/>
  <c r="I1168" i="17" s="1"/>
  <c r="I1169" i="17" s="1"/>
  <c r="O227" i="7"/>
  <c r="R601" i="16"/>
  <c r="R79" i="8"/>
  <c r="R884" i="16" s="1"/>
  <c r="S294" i="15"/>
  <c r="S672" i="16" s="1"/>
  <c r="S292" i="15"/>
  <c r="S663" i="16" s="1"/>
  <c r="S661" i="16"/>
  <c r="T179" i="16"/>
  <c r="T107" i="15"/>
  <c r="T276" i="5"/>
  <c r="E116" i="15"/>
  <c r="Q1211" i="17"/>
  <c r="Q1212" i="17" s="1"/>
  <c r="Q147" i="16"/>
  <c r="Q95" i="15"/>
  <c r="Q151" i="11"/>
  <c r="Q202" i="12"/>
  <c r="Q157" i="12"/>
  <c r="Q106" i="11"/>
  <c r="Q605" i="16"/>
  <c r="S103" i="11"/>
  <c r="S105" i="11"/>
  <c r="F1122" i="17"/>
  <c r="G1122" i="17"/>
  <c r="G1278" i="17" s="1"/>
  <c r="T100" i="16"/>
  <c r="T74" i="15"/>
  <c r="T95" i="16" s="1"/>
  <c r="P232" i="16"/>
  <c r="P116" i="10"/>
  <c r="P237" i="16" s="1"/>
  <c r="P130" i="15"/>
  <c r="R162" i="11"/>
  <c r="R161" i="11"/>
  <c r="S161" i="11" s="1"/>
  <c r="R592" i="16"/>
  <c r="R261" i="5"/>
  <c r="R269" i="5" s="1"/>
  <c r="R1026" i="17"/>
  <c r="R1027" i="17" s="1"/>
  <c r="R99" i="6"/>
  <c r="T128" i="12"/>
  <c r="T130" i="12"/>
  <c r="P1211" i="17"/>
  <c r="P1212" i="17" s="1"/>
  <c r="P147" i="16"/>
  <c r="P95" i="15"/>
  <c r="P151" i="11"/>
  <c r="P202" i="12"/>
  <c r="P106" i="11"/>
  <c r="P157" i="12"/>
  <c r="T98" i="11"/>
  <c r="T100" i="11"/>
  <c r="R671" i="16"/>
  <c r="I847" i="17"/>
  <c r="I848" i="17" s="1"/>
  <c r="I49" i="16"/>
  <c r="I36" i="11"/>
  <c r="I183" i="11"/>
  <c r="I142" i="11"/>
  <c r="I87" i="12"/>
  <c r="I56" i="15"/>
  <c r="K1165" i="17"/>
  <c r="K1166" i="17" s="1"/>
  <c r="K149" i="12"/>
  <c r="K1168" i="17" s="1"/>
  <c r="K1169" i="17" s="1"/>
  <c r="R1087" i="17"/>
  <c r="R1088" i="17" s="1"/>
  <c r="R134" i="12"/>
  <c r="R1090" i="17" s="1"/>
  <c r="R1091" i="17" s="1"/>
  <c r="P98" i="11"/>
  <c r="P100" i="11"/>
  <c r="Q669" i="16"/>
  <c r="Q666" i="16"/>
  <c r="R303" i="7"/>
  <c r="T366" i="16"/>
  <c r="T51" i="8"/>
  <c r="T138" i="15"/>
  <c r="T264" i="16" s="1"/>
  <c r="T136" i="15"/>
  <c r="T255" i="16" s="1"/>
  <c r="T253" i="16"/>
  <c r="T462" i="16"/>
  <c r="T216" i="15"/>
  <c r="T473" i="16" s="1"/>
  <c r="T214" i="15"/>
  <c r="T464" i="16" s="1"/>
  <c r="L232" i="16"/>
  <c r="L116" i="10"/>
  <c r="L237" i="16" s="1"/>
  <c r="L130" i="15"/>
  <c r="P612" i="16"/>
  <c r="P269" i="15"/>
  <c r="P607" i="16" s="1"/>
  <c r="T252" i="16"/>
  <c r="T1055" i="17"/>
  <c r="T1056" i="17" s="1"/>
  <c r="T536" i="16"/>
  <c r="T533" i="16"/>
  <c r="O506" i="17"/>
  <c r="O507" i="17" s="1"/>
  <c r="O900" i="16"/>
  <c r="O13" i="12"/>
  <c r="O32" i="11"/>
  <c r="O69" i="10"/>
  <c r="O31" i="13"/>
  <c r="O32" i="13" s="1"/>
  <c r="O30" i="11"/>
  <c r="R212" i="12"/>
  <c r="S212" i="12" s="1"/>
  <c r="R221" i="15"/>
  <c r="R476" i="16"/>
  <c r="T140" i="15"/>
  <c r="T266" i="16" s="1"/>
  <c r="F142" i="15"/>
  <c r="S165" i="12"/>
  <c r="S163" i="12"/>
  <c r="N847" i="17"/>
  <c r="N848" i="17" s="1"/>
  <c r="N49" i="16"/>
  <c r="N56" i="15"/>
  <c r="N87" i="12"/>
  <c r="N183" i="11"/>
  <c r="N36" i="11"/>
  <c r="N142" i="11"/>
  <c r="S1211" i="17"/>
  <c r="S1212" i="17" s="1"/>
  <c r="S147" i="16"/>
  <c r="T68" i="11"/>
  <c r="T70" i="11" s="1"/>
  <c r="H951" i="17"/>
  <c r="H952" i="17" s="1"/>
  <c r="H82" i="16"/>
  <c r="H145" i="11"/>
  <c r="H56" i="11"/>
  <c r="H107" i="12"/>
  <c r="H69" i="15"/>
  <c r="H286" i="7"/>
  <c r="S296" i="15"/>
  <c r="S674" i="16" s="1"/>
  <c r="S636" i="17"/>
  <c r="S637" i="17" s="1"/>
  <c r="P847" i="17"/>
  <c r="P848" i="17" s="1"/>
  <c r="P49" i="16"/>
  <c r="P254" i="7"/>
  <c r="P56" i="15"/>
  <c r="P142" i="11"/>
  <c r="P87" i="12"/>
  <c r="P183" i="11"/>
  <c r="P36" i="11"/>
  <c r="R399" i="16"/>
  <c r="S295" i="7"/>
  <c r="R402" i="16"/>
  <c r="T100" i="15"/>
  <c r="T160" i="16" s="1"/>
  <c r="T165" i="16"/>
  <c r="O34" i="12"/>
  <c r="O283" i="7"/>
  <c r="T114" i="8"/>
  <c r="T249" i="12" s="1"/>
  <c r="R1165" i="17"/>
  <c r="R1166" i="17" s="1"/>
  <c r="R149" i="12"/>
  <c r="R1168" i="17" s="1"/>
  <c r="R1169" i="17" s="1"/>
  <c r="R151" i="12"/>
  <c r="R1171" i="17" s="1"/>
  <c r="R1172" i="17" s="1"/>
  <c r="S87" i="11"/>
  <c r="S89" i="11"/>
  <c r="P221" i="11"/>
  <c r="P551" i="17" s="1"/>
  <c r="P552" i="17" s="1"/>
  <c r="P71" i="10"/>
  <c r="P41" i="13"/>
  <c r="P419" i="15" s="1"/>
  <c r="P245" i="11"/>
  <c r="P696" i="17" s="1"/>
  <c r="P697" i="17" s="1"/>
  <c r="S922" i="17"/>
  <c r="S923" i="17" s="1"/>
  <c r="S426" i="16"/>
  <c r="S256" i="5"/>
  <c r="Q225" i="11"/>
  <c r="Q571" i="17" s="1"/>
  <c r="Q572" i="17" s="1"/>
  <c r="Q566" i="17"/>
  <c r="Q567" i="17" s="1"/>
  <c r="I127" i="16"/>
  <c r="I89" i="15"/>
  <c r="S287" i="17"/>
  <c r="S288" i="17" s="1"/>
  <c r="R912" i="16"/>
  <c r="P274" i="12"/>
  <c r="P367" i="17"/>
  <c r="P368" i="17" s="1"/>
  <c r="P39" i="14"/>
  <c r="P295" i="12"/>
  <c r="P342" i="17" s="1"/>
  <c r="P343" i="17" s="1"/>
  <c r="P41" i="10"/>
  <c r="P322" i="7"/>
  <c r="P158" i="10"/>
  <c r="Q127" i="16"/>
  <c r="Q89" i="15"/>
  <c r="S188" i="16"/>
  <c r="S31" i="8"/>
  <c r="S118" i="8"/>
  <c r="R951" i="17"/>
  <c r="R952" i="17" s="1"/>
  <c r="R82" i="16"/>
  <c r="R69" i="15"/>
  <c r="R107" i="12"/>
  <c r="R56" i="11"/>
  <c r="R145" i="11"/>
  <c r="T102" i="10"/>
  <c r="T139" i="15"/>
  <c r="T265" i="16" s="1"/>
  <c r="R227" i="7"/>
  <c r="P951" i="17"/>
  <c r="P952" i="17" s="1"/>
  <c r="P82" i="16"/>
  <c r="P69" i="15"/>
  <c r="P107" i="12"/>
  <c r="P56" i="11"/>
  <c r="O1165" i="17"/>
  <c r="O1166" i="17" s="1"/>
  <c r="O149" i="12"/>
  <c r="O1168" i="17" s="1"/>
  <c r="O1169" i="17" s="1"/>
  <c r="O151" i="12"/>
  <c r="O1171" i="17" s="1"/>
  <c r="O1172" i="17" s="1"/>
  <c r="S179" i="16"/>
  <c r="S276" i="5"/>
  <c r="S295" i="5" s="1"/>
  <c r="S107" i="15"/>
  <c r="S898" i="16"/>
  <c r="T188" i="16"/>
  <c r="T31" i="8"/>
  <c r="T112" i="8"/>
  <c r="H127" i="16"/>
  <c r="H89" i="15"/>
  <c r="H847" i="17"/>
  <c r="H848" i="17" s="1"/>
  <c r="H49" i="16"/>
  <c r="H87" i="12"/>
  <c r="H36" i="11"/>
  <c r="H183" i="11"/>
  <c r="H56" i="15"/>
  <c r="H142" i="11"/>
  <c r="H285" i="7"/>
  <c r="L847" i="17"/>
  <c r="L848" i="17" s="1"/>
  <c r="L254" i="7"/>
  <c r="L49" i="16"/>
  <c r="L142" i="11"/>
  <c r="L183" i="11"/>
  <c r="L56" i="15"/>
  <c r="L87" i="12"/>
  <c r="L36" i="11"/>
  <c r="S100" i="10"/>
  <c r="S113" i="15"/>
  <c r="S194" i="16" s="1"/>
  <c r="T974" i="17"/>
  <c r="T975" i="17" s="1"/>
  <c r="T178" i="16"/>
  <c r="T249" i="5"/>
  <c r="S467" i="16"/>
  <c r="S470" i="16"/>
  <c r="T297" i="7"/>
  <c r="N56" i="9"/>
  <c r="R127" i="16"/>
  <c r="R89" i="15"/>
  <c r="T84" i="11"/>
  <c r="T82" i="11"/>
  <c r="T189" i="15"/>
  <c r="T397" i="16" s="1"/>
  <c r="T213" i="4"/>
  <c r="N805" i="16"/>
  <c r="N54" i="9"/>
  <c r="N377" i="15"/>
  <c r="M184" i="12"/>
  <c r="M186" i="12" s="1"/>
  <c r="R11" i="11"/>
  <c r="R61" i="12"/>
  <c r="R214" i="4"/>
  <c r="S241" i="15"/>
  <c r="S531" i="16" s="1"/>
  <c r="N1211" i="17"/>
  <c r="N1212" i="17" s="1"/>
  <c r="N147" i="16"/>
  <c r="N95" i="15"/>
  <c r="N157" i="12"/>
  <c r="N106" i="11"/>
  <c r="N202" i="12"/>
  <c r="N151" i="11"/>
  <c r="O746" i="16"/>
  <c r="P326" i="15"/>
  <c r="J847" i="17"/>
  <c r="J848" i="17" s="1"/>
  <c r="J49" i="16"/>
  <c r="J142" i="11"/>
  <c r="J56" i="15"/>
  <c r="J183" i="11"/>
  <c r="J36" i="11"/>
  <c r="J87" i="12"/>
  <c r="T142" i="11"/>
  <c r="I121" i="16"/>
  <c r="I124" i="16"/>
  <c r="J287" i="7"/>
  <c r="L121" i="12"/>
  <c r="L1015" i="17" s="1"/>
  <c r="L1016" i="17" s="1"/>
  <c r="M130" i="15"/>
  <c r="M232" i="16"/>
  <c r="M116" i="10"/>
  <c r="M237" i="16" s="1"/>
  <c r="O170" i="15"/>
  <c r="N339" i="16"/>
  <c r="S219" i="15"/>
  <c r="O217" i="17"/>
  <c r="O218" i="17" s="1"/>
  <c r="O276" i="12"/>
  <c r="O222" i="17" s="1"/>
  <c r="O223" i="17" s="1"/>
  <c r="S951" i="17"/>
  <c r="S952" i="17" s="1"/>
  <c r="S82" i="16"/>
  <c r="S56" i="11"/>
  <c r="S69" i="15"/>
  <c r="S107" i="12"/>
  <c r="L1055" i="17"/>
  <c r="L1056" i="17" s="1"/>
  <c r="L252" i="16"/>
  <c r="L127" i="12"/>
  <c r="L134" i="15"/>
  <c r="L76" i="11"/>
  <c r="N711" i="16"/>
  <c r="O313" i="15"/>
  <c r="Q914" i="16"/>
  <c r="Q711" i="17"/>
  <c r="Q712" i="17" s="1"/>
  <c r="Q122" i="8"/>
  <c r="K127" i="16"/>
  <c r="K89" i="15"/>
  <c r="S1087" i="17"/>
  <c r="S1088" i="17" s="1"/>
  <c r="S134" i="12"/>
  <c r="S1090" i="17" s="1"/>
  <c r="S1091" i="17" s="1"/>
  <c r="S136" i="12"/>
  <c r="S1093" i="17" s="1"/>
  <c r="S1094" i="17" s="1"/>
  <c r="R62" i="6"/>
  <c r="S112" i="11"/>
  <c r="S114" i="11"/>
  <c r="O67" i="12"/>
  <c r="T142" i="15"/>
  <c r="T118" i="8"/>
  <c r="S76" i="11"/>
  <c r="S593" i="16" l="1"/>
  <c r="S64" i="6"/>
  <c r="S94" i="6" s="1"/>
  <c r="S96" i="6" s="1"/>
  <c r="S288" i="5"/>
  <c r="S296" i="5" s="1"/>
  <c r="S263" i="15"/>
  <c r="S100" i="6"/>
  <c r="S63" i="6"/>
  <c r="S91" i="6" s="1"/>
  <c r="S93" i="6" s="1"/>
  <c r="S870" i="16"/>
  <c r="S297" i="5"/>
  <c r="P313" i="15"/>
  <c r="O711" i="16"/>
  <c r="T467" i="16"/>
  <c r="T470" i="16"/>
  <c r="I130" i="16"/>
  <c r="I91" i="15"/>
  <c r="Q97" i="15"/>
  <c r="Q150" i="16" s="1"/>
  <c r="Q98" i="15"/>
  <c r="Q151" i="16" s="1"/>
  <c r="Q99" i="15"/>
  <c r="Q148" i="16"/>
  <c r="S109" i="11"/>
  <c r="S107" i="11"/>
  <c r="P97" i="15"/>
  <c r="P150" i="16" s="1"/>
  <c r="P148" i="16"/>
  <c r="P99" i="15"/>
  <c r="Q736" i="16"/>
  <c r="Q739" i="16"/>
  <c r="R305" i="7"/>
  <c r="S429" i="16"/>
  <c r="S201" i="15"/>
  <c r="S431" i="16" s="1"/>
  <c r="S202" i="15"/>
  <c r="S432" i="16" s="1"/>
  <c r="S203" i="15"/>
  <c r="S440" i="16" s="1"/>
  <c r="J107" i="11"/>
  <c r="J109" i="11"/>
  <c r="S14" i="11"/>
  <c r="S501" i="17" s="1"/>
  <c r="S502" i="17" s="1"/>
  <c r="S270" i="5"/>
  <c r="S65" i="12" s="1"/>
  <c r="S152" i="17" s="1"/>
  <c r="S153" i="17" s="1"/>
  <c r="O136" i="15"/>
  <c r="O255" i="16" s="1"/>
  <c r="O253" i="16"/>
  <c r="O138" i="15"/>
  <c r="O137" i="15"/>
  <c r="O256" i="16" s="1"/>
  <c r="N343" i="15"/>
  <c r="N79" i="10"/>
  <c r="N47" i="10"/>
  <c r="N183" i="12"/>
  <c r="N132" i="11"/>
  <c r="I39" i="11"/>
  <c r="I37" i="11"/>
  <c r="K57" i="11"/>
  <c r="K59" i="11"/>
  <c r="O204" i="12"/>
  <c r="Q37" i="11"/>
  <c r="Q39" i="11"/>
  <c r="S439" i="16"/>
  <c r="S206" i="15"/>
  <c r="R1243" i="17"/>
  <c r="R1244" i="17" s="1"/>
  <c r="R164" i="12"/>
  <c r="R1246" i="17" s="1"/>
  <c r="R1247" i="17" s="1"/>
  <c r="T235" i="7"/>
  <c r="T227" i="7"/>
  <c r="R253" i="16"/>
  <c r="R138" i="15"/>
  <c r="R136" i="15"/>
  <c r="R255" i="16" s="1"/>
  <c r="R137" i="15"/>
  <c r="R256" i="16" s="1"/>
  <c r="R204" i="12"/>
  <c r="S11" i="11"/>
  <c r="S61" i="12"/>
  <c r="S214" i="4"/>
  <c r="R88" i="12"/>
  <c r="R90" i="12"/>
  <c r="S141" i="15"/>
  <c r="I253" i="16"/>
  <c r="I136" i="15"/>
  <c r="I255" i="16" s="1"/>
  <c r="I137" i="15"/>
  <c r="I256" i="16" s="1"/>
  <c r="I138" i="15"/>
  <c r="O77" i="11"/>
  <c r="O79" i="11"/>
  <c r="M107" i="11"/>
  <c r="M109" i="11"/>
  <c r="I153" i="11"/>
  <c r="M91" i="15"/>
  <c r="M130" i="16"/>
  <c r="O73" i="15"/>
  <c r="O71" i="15"/>
  <c r="O85" i="16" s="1"/>
  <c r="O72" i="15"/>
  <c r="O86" i="16" s="1"/>
  <c r="O83" i="16"/>
  <c r="H77" i="11"/>
  <c r="H79" i="11"/>
  <c r="L138" i="15"/>
  <c r="L136" i="15"/>
  <c r="L255" i="16" s="1"/>
  <c r="L253" i="16"/>
  <c r="N160" i="12"/>
  <c r="N158" i="12"/>
  <c r="T268" i="5"/>
  <c r="T243" i="12"/>
  <c r="T267" i="17" s="1"/>
  <c r="T115" i="8"/>
  <c r="T287" i="17"/>
  <c r="G940" i="17"/>
  <c r="G1271" i="17" s="1"/>
  <c r="K71" i="15"/>
  <c r="K85" i="16" s="1"/>
  <c r="K73" i="15"/>
  <c r="K83" i="16"/>
  <c r="O153" i="11"/>
  <c r="Q90" i="12"/>
  <c r="Q88" i="12"/>
  <c r="H977" i="17"/>
  <c r="H978" i="17" s="1"/>
  <c r="H180" i="16"/>
  <c r="H289" i="7"/>
  <c r="H108" i="15"/>
  <c r="H61" i="11"/>
  <c r="H112" i="12"/>
  <c r="R158" i="12"/>
  <c r="R160" i="12"/>
  <c r="R37" i="11"/>
  <c r="R39" i="11"/>
  <c r="L151" i="12"/>
  <c r="L1171" i="17" s="1"/>
  <c r="L1172" i="17" s="1"/>
  <c r="J148" i="16"/>
  <c r="J97" i="15"/>
  <c r="J150" i="16" s="1"/>
  <c r="J99" i="15"/>
  <c r="I130" i="12"/>
  <c r="I128" i="12"/>
  <c r="M99" i="15"/>
  <c r="M148" i="16"/>
  <c r="M97" i="15"/>
  <c r="M150" i="16" s="1"/>
  <c r="I158" i="12"/>
  <c r="I160" i="12"/>
  <c r="N510" i="16"/>
  <c r="O235" i="15"/>
  <c r="O108" i="12"/>
  <c r="O110" i="12"/>
  <c r="S601" i="16"/>
  <c r="S79" i="8"/>
  <c r="H128" i="12"/>
  <c r="H130" i="12"/>
  <c r="S113" i="11"/>
  <c r="S115" i="11"/>
  <c r="L130" i="12"/>
  <c r="L128" i="12"/>
  <c r="J50" i="16"/>
  <c r="J58" i="15"/>
  <c r="J60" i="15"/>
  <c r="N99" i="15"/>
  <c r="N148" i="16"/>
  <c r="N97" i="15"/>
  <c r="N150" i="16" s="1"/>
  <c r="T61" i="12"/>
  <c r="T11" i="11"/>
  <c r="T214" i="4"/>
  <c r="H911" i="16"/>
  <c r="H913" i="16" s="1"/>
  <c r="H55" i="16"/>
  <c r="H58" i="16"/>
  <c r="I285" i="7"/>
  <c r="H310" i="7"/>
  <c r="T114" i="15"/>
  <c r="T195" i="16" s="1"/>
  <c r="F116" i="15"/>
  <c r="T912" i="16"/>
  <c r="O881" i="16"/>
  <c r="O35" i="12"/>
  <c r="O36" i="12" s="1"/>
  <c r="O112" i="10"/>
  <c r="O113" i="10" s="1"/>
  <c r="P38" i="13"/>
  <c r="P219" i="11"/>
  <c r="P546" i="17" s="1"/>
  <c r="P547" i="17" s="1"/>
  <c r="P17" i="11"/>
  <c r="P511" i="17" s="1"/>
  <c r="P512" i="17" s="1"/>
  <c r="P243" i="11"/>
  <c r="P686" i="17" s="1"/>
  <c r="P687" i="17" s="1"/>
  <c r="P332" i="7"/>
  <c r="T215" i="15"/>
  <c r="T465" i="16" s="1"/>
  <c r="R136" i="12"/>
  <c r="R1093" i="17" s="1"/>
  <c r="R1094" i="17" s="1"/>
  <c r="F1070" i="17" s="1"/>
  <c r="T116" i="15"/>
  <c r="Q367" i="17"/>
  <c r="Q368" i="17" s="1"/>
  <c r="Q274" i="12"/>
  <c r="Q41" i="10"/>
  <c r="Q158" i="10"/>
  <c r="Q295" i="12"/>
  <c r="Q342" i="17" s="1"/>
  <c r="Q343" i="17" s="1"/>
  <c r="Q322" i="7"/>
  <c r="Q39" i="14"/>
  <c r="M138" i="15"/>
  <c r="M136" i="15"/>
  <c r="M255" i="16" s="1"/>
  <c r="M253" i="16"/>
  <c r="T100" i="10"/>
  <c r="T113" i="15"/>
  <c r="T194" i="16" s="1"/>
  <c r="O88" i="12"/>
  <c r="O90" i="12"/>
  <c r="R99" i="15"/>
  <c r="R148" i="16"/>
  <c r="R97" i="15"/>
  <c r="R150" i="16" s="1"/>
  <c r="P34" i="12"/>
  <c r="P283" i="7"/>
  <c r="O91" i="15"/>
  <c r="O130" i="16"/>
  <c r="I79" i="11"/>
  <c r="I77" i="11"/>
  <c r="R645" i="16"/>
  <c r="R282" i="15"/>
  <c r="R640" i="16" s="1"/>
  <c r="S1304" i="17"/>
  <c r="I148" i="16"/>
  <c r="I97" i="15"/>
  <c r="I150" i="16" s="1"/>
  <c r="I99" i="15"/>
  <c r="G17" i="15"/>
  <c r="E18" i="16"/>
  <c r="D415" i="16"/>
  <c r="O57" i="11"/>
  <c r="O59" i="11"/>
  <c r="H261" i="16"/>
  <c r="H258" i="16"/>
  <c r="I291" i="7"/>
  <c r="T140" i="12"/>
  <c r="T138" i="12"/>
  <c r="O820" i="16"/>
  <c r="P376" i="15"/>
  <c r="I131" i="15"/>
  <c r="H233" i="16"/>
  <c r="N58" i="15"/>
  <c r="N50" i="16"/>
  <c r="N60" i="15"/>
  <c r="T427" i="16"/>
  <c r="T51" i="11"/>
  <c r="E207" i="15"/>
  <c r="T198" i="15"/>
  <c r="T199" i="15"/>
  <c r="T102" i="12"/>
  <c r="T283" i="5"/>
  <c r="T295" i="5" s="1"/>
  <c r="T297" i="5" s="1"/>
  <c r="T183" i="11"/>
  <c r="K148" i="16"/>
  <c r="K99" i="15"/>
  <c r="K97" i="15"/>
  <c r="K150" i="16" s="1"/>
  <c r="Q253" i="16"/>
  <c r="Q136" i="15"/>
  <c r="Q255" i="16" s="1"/>
  <c r="Q138" i="15"/>
  <c r="Q137" i="15"/>
  <c r="Q256" i="16" s="1"/>
  <c r="T232" i="16"/>
  <c r="T130" i="15"/>
  <c r="T116" i="10"/>
  <c r="T237" i="16" s="1"/>
  <c r="O130" i="12"/>
  <c r="O128" i="12"/>
  <c r="O303" i="16"/>
  <c r="P157" i="15"/>
  <c r="Q977" i="17"/>
  <c r="Q978" i="17" s="1"/>
  <c r="Q180" i="16"/>
  <c r="Q112" i="12"/>
  <c r="Q108" i="15"/>
  <c r="Q61" i="11"/>
  <c r="T671" i="16"/>
  <c r="T297" i="15"/>
  <c r="T870" i="16"/>
  <c r="O157" i="17"/>
  <c r="O158" i="17" s="1"/>
  <c r="O872" i="16"/>
  <c r="O37" i="10"/>
  <c r="O31" i="14"/>
  <c r="O32" i="14" s="1"/>
  <c r="O15" i="12"/>
  <c r="O16" i="12" s="1"/>
  <c r="O83" i="12"/>
  <c r="O81" i="12"/>
  <c r="N107" i="11"/>
  <c r="N109" i="11"/>
  <c r="Q91" i="15"/>
  <c r="Q130" i="16"/>
  <c r="R270" i="15"/>
  <c r="R608" i="16" s="1"/>
  <c r="R103" i="6"/>
  <c r="H144" i="11"/>
  <c r="H143" i="11"/>
  <c r="I143" i="11" s="1"/>
  <c r="J143" i="11" s="1"/>
  <c r="K143" i="11" s="1"/>
  <c r="L143" i="11" s="1"/>
  <c r="M143" i="11" s="1"/>
  <c r="N143" i="11" s="1"/>
  <c r="O143" i="11" s="1"/>
  <c r="P143" i="11" s="1"/>
  <c r="Q143" i="11" s="1"/>
  <c r="R143" i="11" s="1"/>
  <c r="S143" i="11" s="1"/>
  <c r="T143" i="11" s="1"/>
  <c r="K90" i="12"/>
  <c r="K88" i="12"/>
  <c r="Q579" i="16"/>
  <c r="Q256" i="15"/>
  <c r="Q574" i="16" s="1"/>
  <c r="Q282" i="7"/>
  <c r="Q880" i="16"/>
  <c r="M219" i="11"/>
  <c r="M546" i="17" s="1"/>
  <c r="M547" i="17" s="1"/>
  <c r="M38" i="13"/>
  <c r="M17" i="11"/>
  <c r="M243" i="11"/>
  <c r="M686" i="17" s="1"/>
  <c r="M687" i="17" s="1"/>
  <c r="M332" i="7"/>
  <c r="R109" i="11"/>
  <c r="R107" i="11"/>
  <c r="P543" i="16"/>
  <c r="Q248" i="15"/>
  <c r="E12" i="15"/>
  <c r="R612" i="16"/>
  <c r="R269" i="15"/>
  <c r="R607" i="16" s="1"/>
  <c r="K180" i="16"/>
  <c r="K977" i="17"/>
  <c r="K978" i="17" s="1"/>
  <c r="K108" i="15"/>
  <c r="K112" i="12"/>
  <c r="K61" i="11"/>
  <c r="L59" i="11"/>
  <c r="L57" i="11"/>
  <c r="T812" i="16"/>
  <c r="T809" i="16"/>
  <c r="Q339" i="15"/>
  <c r="P781" i="16"/>
  <c r="I59" i="11"/>
  <c r="I57" i="11"/>
  <c r="R108" i="12"/>
  <c r="R110" i="12"/>
  <c r="K151" i="12"/>
  <c r="K1171" i="17" s="1"/>
  <c r="K1172" i="17" s="1"/>
  <c r="G1148" i="17" s="1"/>
  <c r="G1279" i="17" s="1"/>
  <c r="T636" i="17"/>
  <c r="L83" i="16"/>
  <c r="L71" i="15"/>
  <c r="L85" i="16" s="1"/>
  <c r="L72" i="15"/>
  <c r="L86" i="16" s="1"/>
  <c r="L73" i="15"/>
  <c r="T108" i="11"/>
  <c r="T110" i="11"/>
  <c r="T114" i="11"/>
  <c r="T112" i="11"/>
  <c r="T141" i="15"/>
  <c r="K79" i="11"/>
  <c r="K77" i="11"/>
  <c r="L160" i="12"/>
  <c r="L158" i="12"/>
  <c r="Q208" i="15"/>
  <c r="Q443" i="16"/>
  <c r="R141" i="12"/>
  <c r="R1119" i="17" s="1"/>
  <c r="R1120" i="17" s="1"/>
  <c r="T78" i="11"/>
  <c r="T80" i="11"/>
  <c r="T121" i="8"/>
  <c r="T192" i="11"/>
  <c r="T616" i="17" s="1"/>
  <c r="H147" i="11"/>
  <c r="H146" i="11"/>
  <c r="T38" i="11"/>
  <c r="T40" i="11"/>
  <c r="Q58" i="15"/>
  <c r="Q59" i="15" s="1"/>
  <c r="Q60" i="15"/>
  <c r="Q50" i="16"/>
  <c r="H204" i="12"/>
  <c r="H203" i="12"/>
  <c r="I203" i="12" s="1"/>
  <c r="J203" i="12" s="1"/>
  <c r="K203" i="12" s="1"/>
  <c r="L203" i="12" s="1"/>
  <c r="M203" i="12" s="1"/>
  <c r="N203" i="12" s="1"/>
  <c r="O203" i="12" s="1"/>
  <c r="P203" i="12" s="1"/>
  <c r="Q203" i="12" s="1"/>
  <c r="R203" i="12" s="1"/>
  <c r="S103" i="12"/>
  <c r="S105" i="12"/>
  <c r="M144" i="11"/>
  <c r="O44" i="10"/>
  <c r="O19" i="9"/>
  <c r="O76" i="10"/>
  <c r="R128" i="12"/>
  <c r="R130" i="12"/>
  <c r="J158" i="12"/>
  <c r="J160" i="12"/>
  <c r="T181" i="15"/>
  <c r="N204" i="12"/>
  <c r="H130" i="16"/>
  <c r="E9" i="15"/>
  <c r="H91" i="15"/>
  <c r="H92" i="15"/>
  <c r="I12" i="15"/>
  <c r="O10" i="9"/>
  <c r="J130" i="16"/>
  <c r="J91" i="15"/>
  <c r="Q128" i="12"/>
  <c r="Q130" i="12"/>
  <c r="T97" i="16"/>
  <c r="T78" i="15"/>
  <c r="S476" i="16"/>
  <c r="S221" i="15"/>
  <c r="L17" i="11"/>
  <c r="L243" i="11"/>
  <c r="L686" i="17" s="1"/>
  <c r="L687" i="17" s="1"/>
  <c r="L219" i="11"/>
  <c r="L546" i="17" s="1"/>
  <c r="L547" i="17" s="1"/>
  <c r="L332" i="7"/>
  <c r="L38" i="13"/>
  <c r="P58" i="15"/>
  <c r="P60" i="15"/>
  <c r="P50" i="16"/>
  <c r="P59" i="15"/>
  <c r="F1278" i="17"/>
  <c r="E1122" i="17"/>
  <c r="E1278" i="17" s="1"/>
  <c r="M128" i="12"/>
  <c r="M130" i="12"/>
  <c r="T60" i="15"/>
  <c r="T58" i="15"/>
  <c r="T59" i="15" s="1"/>
  <c r="T50" i="16"/>
  <c r="T103" i="11"/>
  <c r="T105" i="11"/>
  <c r="H136" i="15"/>
  <c r="H255" i="16" s="1"/>
  <c r="H137" i="15"/>
  <c r="H256" i="16" s="1"/>
  <c r="H138" i="15"/>
  <c r="H253" i="16"/>
  <c r="P158" i="11"/>
  <c r="P159" i="11"/>
  <c r="O339" i="16"/>
  <c r="P170" i="15"/>
  <c r="T1061" i="17"/>
  <c r="T1062" i="17" s="1"/>
  <c r="T129" i="12"/>
  <c r="T1064" i="17" s="1"/>
  <c r="T1065" i="17" s="1"/>
  <c r="I151" i="12"/>
  <c r="I1171" i="17" s="1"/>
  <c r="I1172" i="17" s="1"/>
  <c r="M180" i="16"/>
  <c r="M977" i="17"/>
  <c r="M978" i="17" s="1"/>
  <c r="M61" i="11"/>
  <c r="M108" i="15"/>
  <c r="M112" i="12"/>
  <c r="T121" i="12"/>
  <c r="T1015" i="17" s="1"/>
  <c r="T1016" i="17" s="1"/>
  <c r="F992" i="17" s="1"/>
  <c r="J374" i="16"/>
  <c r="K183" i="15"/>
  <c r="I109" i="11"/>
  <c r="I107" i="11"/>
  <c r="H17" i="15"/>
  <c r="I17" i="15"/>
  <c r="N128" i="12"/>
  <c r="N130" i="12"/>
  <c r="S110" i="12"/>
  <c r="S108" i="12"/>
  <c r="K144" i="11"/>
  <c r="Q254" i="7"/>
  <c r="S149" i="11"/>
  <c r="S150" i="11"/>
  <c r="L91" i="15"/>
  <c r="L130" i="16"/>
  <c r="P77" i="11"/>
  <c r="P79" i="11"/>
  <c r="O51" i="9"/>
  <c r="O50" i="9"/>
  <c r="O56" i="9" s="1"/>
  <c r="S83" i="16"/>
  <c r="S71" i="15"/>
  <c r="S85" i="16" s="1"/>
  <c r="S73" i="15"/>
  <c r="L227" i="7"/>
  <c r="J138" i="15"/>
  <c r="J253" i="16"/>
  <c r="J136" i="15"/>
  <c r="J255" i="16" s="1"/>
  <c r="N73" i="15"/>
  <c r="N71" i="15"/>
  <c r="N85" i="16" s="1"/>
  <c r="N83" i="16"/>
  <c r="T601" i="16"/>
  <c r="T79" i="8"/>
  <c r="N130" i="16"/>
  <c r="N91" i="15"/>
  <c r="M59" i="11"/>
  <c r="M57" i="11"/>
  <c r="I110" i="12"/>
  <c r="I108" i="12"/>
  <c r="S88" i="12"/>
  <c r="S90" i="12"/>
  <c r="P253" i="16"/>
  <c r="P136" i="15"/>
  <c r="P255" i="16" s="1"/>
  <c r="P138" i="15"/>
  <c r="K130" i="16"/>
  <c r="K91" i="15"/>
  <c r="R9" i="11"/>
  <c r="R216" i="4"/>
  <c r="L39" i="11"/>
  <c r="L37" i="11"/>
  <c r="P57" i="11"/>
  <c r="P59" i="11"/>
  <c r="R83" i="16"/>
  <c r="R71" i="15"/>
  <c r="R85" i="16" s="1"/>
  <c r="R73" i="15"/>
  <c r="S399" i="16"/>
  <c r="S402" i="16"/>
  <c r="T295" i="7"/>
  <c r="T192" i="16"/>
  <c r="K50" i="16"/>
  <c r="K58" i="15"/>
  <c r="K60" i="15"/>
  <c r="T1087" i="17"/>
  <c r="T1088" i="17" s="1"/>
  <c r="G1070" i="17" s="1"/>
  <c r="G1276" i="17" s="1"/>
  <c r="T134" i="12"/>
  <c r="T1090" i="17" s="1"/>
  <c r="T1091" i="17" s="1"/>
  <c r="T136" i="12"/>
  <c r="T1093" i="17" s="1"/>
  <c r="T1094" i="17" s="1"/>
  <c r="N59" i="11"/>
  <c r="N57" i="11"/>
  <c r="T593" i="16"/>
  <c r="E272" i="15"/>
  <c r="T263" i="15"/>
  <c r="T64" i="6"/>
  <c r="T94" i="6" s="1"/>
  <c r="T96" i="6" s="1"/>
  <c r="T288" i="5"/>
  <c r="T296" i="5" s="1"/>
  <c r="T100" i="6"/>
  <c r="T63" i="6"/>
  <c r="T91" i="6" s="1"/>
  <c r="T93" i="6" s="1"/>
  <c r="L108" i="12"/>
  <c r="L110" i="12"/>
  <c r="T957" i="17"/>
  <c r="T958" i="17" s="1"/>
  <c r="T109" i="12"/>
  <c r="T960" i="17" s="1"/>
  <c r="T961" i="17" s="1"/>
  <c r="T111" i="12"/>
  <c r="T963" i="17" s="1"/>
  <c r="T964" i="17" s="1"/>
  <c r="R38" i="13"/>
  <c r="R17" i="11"/>
  <c r="R511" i="17" s="1"/>
  <c r="R512" i="17" s="1"/>
  <c r="R332" i="7"/>
  <c r="R243" i="11"/>
  <c r="R686" i="17" s="1"/>
  <c r="R687" i="17" s="1"/>
  <c r="R219" i="11"/>
  <c r="R546" i="17" s="1"/>
  <c r="R547" i="17" s="1"/>
  <c r="R329" i="16"/>
  <c r="R332" i="16"/>
  <c r="S293" i="7"/>
  <c r="R113" i="11"/>
  <c r="R115" i="11"/>
  <c r="L153" i="11"/>
  <c r="S59" i="15"/>
  <c r="S60" i="15"/>
  <c r="S58" i="15"/>
  <c r="S50" i="16"/>
  <c r="R704" i="16"/>
  <c r="R701" i="16"/>
  <c r="S304" i="7"/>
  <c r="E491" i="17"/>
  <c r="T492" i="17"/>
  <c r="L90" i="12"/>
  <c r="L88" i="12"/>
  <c r="H91" i="16"/>
  <c r="H88" i="16"/>
  <c r="I286" i="7"/>
  <c r="T137" i="15"/>
  <c r="T256" i="16" s="1"/>
  <c r="R931" i="17"/>
  <c r="R932" i="17" s="1"/>
  <c r="R104" i="12"/>
  <c r="R934" i="17" s="1"/>
  <c r="R935" i="17" s="1"/>
  <c r="T592" i="16"/>
  <c r="T261" i="5"/>
  <c r="T269" i="5" s="1"/>
  <c r="T1026" i="17"/>
  <c r="T1027" i="17" s="1"/>
  <c r="T99" i="6"/>
  <c r="P977" i="17"/>
  <c r="P978" i="17" s="1"/>
  <c r="P180" i="16"/>
  <c r="P61" i="11"/>
  <c r="P112" i="12"/>
  <c r="P108" i="15"/>
  <c r="R206" i="15"/>
  <c r="T281" i="7"/>
  <c r="S297" i="15"/>
  <c r="S1061" i="17"/>
  <c r="S1062" i="17" s="1"/>
  <c r="S129" i="12"/>
  <c r="S1064" i="17" s="1"/>
  <c r="S1065" i="17" s="1"/>
  <c r="S131" i="12"/>
  <c r="S1067" i="17" s="1"/>
  <c r="S1068" i="17" s="1"/>
  <c r="T219" i="15"/>
  <c r="K130" i="12"/>
  <c r="K128" i="12"/>
  <c r="J110" i="12"/>
  <c r="J108" i="12"/>
  <c r="Q41" i="13"/>
  <c r="Q419" i="15" s="1"/>
  <c r="Q245" i="11"/>
  <c r="Q696" i="17" s="1"/>
  <c r="Q697" i="17" s="1"/>
  <c r="Q71" i="10"/>
  <c r="Q221" i="11"/>
  <c r="Q551" i="17" s="1"/>
  <c r="Q552" i="17" s="1"/>
  <c r="K287" i="7"/>
  <c r="J121" i="16"/>
  <c r="J124" i="16"/>
  <c r="Q326" i="15"/>
  <c r="P746" i="16"/>
  <c r="R91" i="15"/>
  <c r="R130" i="16"/>
  <c r="L50" i="16"/>
  <c r="L58" i="15"/>
  <c r="L59" i="15" s="1"/>
  <c r="L60" i="15"/>
  <c r="H90" i="12"/>
  <c r="H88" i="12"/>
  <c r="H83" i="16"/>
  <c r="H72" i="15"/>
  <c r="H86" i="16" s="1"/>
  <c r="H73" i="15"/>
  <c r="H71" i="15"/>
  <c r="H85" i="16" s="1"/>
  <c r="F181" i="15"/>
  <c r="T179" i="15"/>
  <c r="T372" i="16" s="1"/>
  <c r="P158" i="12"/>
  <c r="P160" i="12"/>
  <c r="Q160" i="12"/>
  <c r="Q158" i="12"/>
  <c r="M367" i="16"/>
  <c r="M364" i="16"/>
  <c r="N294" i="7"/>
  <c r="T72" i="15"/>
  <c r="T86" i="16" s="1"/>
  <c r="T241" i="15"/>
  <c r="T531" i="16" s="1"/>
  <c r="K204" i="12"/>
  <c r="I235" i="7"/>
  <c r="I227" i="7"/>
  <c r="Q59" i="12"/>
  <c r="Q217" i="4"/>
  <c r="Q300" i="5"/>
  <c r="S121" i="8"/>
  <c r="S192" i="11"/>
  <c r="S616" i="17" s="1"/>
  <c r="S617" i="17" s="1"/>
  <c r="S88" i="11"/>
  <c r="S90" i="11"/>
  <c r="H110" i="12"/>
  <c r="H108" i="12"/>
  <c r="I144" i="11"/>
  <c r="P109" i="11"/>
  <c r="P107" i="11"/>
  <c r="S180" i="15"/>
  <c r="H160" i="12"/>
  <c r="H158" i="12"/>
  <c r="M37" i="11"/>
  <c r="M39" i="11"/>
  <c r="K160" i="12"/>
  <c r="K158" i="12"/>
  <c r="O977" i="17"/>
  <c r="O978" i="17" s="1"/>
  <c r="O180" i="16"/>
  <c r="O112" i="12"/>
  <c r="O61" i="11"/>
  <c r="O108" i="15"/>
  <c r="O254" i="7"/>
  <c r="T158" i="12"/>
  <c r="T160" i="12"/>
  <c r="R14" i="11"/>
  <c r="R501" i="17" s="1"/>
  <c r="R502" i="17" s="1"/>
  <c r="R270" i="5"/>
  <c r="R65" i="12" s="1"/>
  <c r="R152" i="17" s="1"/>
  <c r="R153" i="17" s="1"/>
  <c r="Q108" i="12"/>
  <c r="Q110" i="12"/>
  <c r="R362" i="17"/>
  <c r="R363" i="17" s="1"/>
  <c r="R886" i="16"/>
  <c r="R116" i="8"/>
  <c r="T98" i="15"/>
  <c r="T151" i="16" s="1"/>
  <c r="K138" i="15"/>
  <c r="K136" i="15"/>
  <c r="K255" i="16" s="1"/>
  <c r="K253" i="16"/>
  <c r="J83" i="16"/>
  <c r="J72" i="15"/>
  <c r="J86" i="16" s="1"/>
  <c r="J73" i="15"/>
  <c r="J71" i="15"/>
  <c r="J85" i="16" s="1"/>
  <c r="S10" i="12"/>
  <c r="S62" i="12"/>
  <c r="S77" i="7"/>
  <c r="S78" i="7"/>
  <c r="S274" i="7" s="1"/>
  <c r="S79" i="7"/>
  <c r="S275" i="7" s="1"/>
  <c r="S98" i="15"/>
  <c r="S151" i="16" s="1"/>
  <c r="N806" i="16"/>
  <c r="N378" i="15"/>
  <c r="S114" i="15"/>
  <c r="S195" i="16" s="1"/>
  <c r="S912" i="16"/>
  <c r="P88" i="12"/>
  <c r="P90" i="12"/>
  <c r="O158" i="12"/>
  <c r="O160" i="12"/>
  <c r="S235" i="7"/>
  <c r="S227" i="7"/>
  <c r="T542" i="16"/>
  <c r="T247" i="15"/>
  <c r="E21" i="15"/>
  <c r="Q83" i="16"/>
  <c r="Q71" i="15"/>
  <c r="Q85" i="16" s="1"/>
  <c r="Q72" i="15"/>
  <c r="Q86" i="16" s="1"/>
  <c r="Q73" i="15"/>
  <c r="J90" i="12"/>
  <c r="J88" i="12"/>
  <c r="N807" i="16"/>
  <c r="P409" i="16"/>
  <c r="Q196" i="15"/>
  <c r="O97" i="15"/>
  <c r="O150" i="16" s="1"/>
  <c r="O148" i="16"/>
  <c r="O99" i="15"/>
  <c r="K107" i="11"/>
  <c r="K109" i="11"/>
  <c r="R77" i="11"/>
  <c r="R79" i="11"/>
  <c r="Q145" i="11"/>
  <c r="M160" i="12"/>
  <c r="M158" i="12"/>
  <c r="S592" i="16"/>
  <c r="S261" i="5"/>
  <c r="S269" i="5" s="1"/>
  <c r="S1026" i="17"/>
  <c r="S1027" i="17" s="1"/>
  <c r="S99" i="6"/>
  <c r="O444" i="16"/>
  <c r="P209" i="15"/>
  <c r="T369" i="16"/>
  <c r="L77" i="11"/>
  <c r="L79" i="11"/>
  <c r="J39" i="11"/>
  <c r="J37" i="11"/>
  <c r="R593" i="16"/>
  <c r="R288" i="5"/>
  <c r="R296" i="5" s="1"/>
  <c r="R297" i="5" s="1"/>
  <c r="R64" i="6"/>
  <c r="R94" i="6" s="1"/>
  <c r="R263" i="15"/>
  <c r="R63" i="6"/>
  <c r="R91" i="6" s="1"/>
  <c r="R93" i="6" s="1"/>
  <c r="R100" i="6"/>
  <c r="R870" i="16"/>
  <c r="T10" i="12"/>
  <c r="T62" i="12"/>
  <c r="T79" i="7"/>
  <c r="T78" i="7"/>
  <c r="T77" i="7"/>
  <c r="L977" i="17"/>
  <c r="L978" i="17" s="1"/>
  <c r="L180" i="16"/>
  <c r="L112" i="12"/>
  <c r="L108" i="15"/>
  <c r="L61" i="11"/>
  <c r="O58" i="15"/>
  <c r="O59" i="15" s="1"/>
  <c r="O60" i="15"/>
  <c r="O50" i="16"/>
  <c r="K226" i="16"/>
  <c r="L290" i="7"/>
  <c r="K222" i="16"/>
  <c r="R273" i="7"/>
  <c r="R81" i="7"/>
  <c r="P477" i="16"/>
  <c r="Q222" i="15"/>
  <c r="J144" i="11"/>
  <c r="T83" i="11"/>
  <c r="T85" i="11" s="1"/>
  <c r="S1243" i="17"/>
  <c r="S1244" i="17" s="1"/>
  <c r="S164" i="12"/>
  <c r="S1246" i="17" s="1"/>
  <c r="S1247" i="17" s="1"/>
  <c r="S166" i="12"/>
  <c r="S1249" i="17" s="1"/>
  <c r="S1250" i="17" s="1"/>
  <c r="R297" i="15"/>
  <c r="K37" i="11"/>
  <c r="K39" i="11"/>
  <c r="M77" i="11"/>
  <c r="M79" i="11"/>
  <c r="L145" i="11"/>
  <c r="R153" i="11"/>
  <c r="R306" i="7"/>
  <c r="Q771" i="16"/>
  <c r="Q774" i="16"/>
  <c r="R58" i="15"/>
  <c r="R59" i="15"/>
  <c r="R60" i="15"/>
  <c r="R50" i="16"/>
  <c r="I83" i="16"/>
  <c r="I72" i="15"/>
  <c r="I86" i="16" s="1"/>
  <c r="I73" i="15"/>
  <c r="I71" i="15"/>
  <c r="I85" i="16" s="1"/>
  <c r="N252" i="12"/>
  <c r="N201" i="11"/>
  <c r="H50" i="16"/>
  <c r="H60" i="15"/>
  <c r="H58" i="15"/>
  <c r="R57" i="11"/>
  <c r="R59" i="11"/>
  <c r="R711" i="17"/>
  <c r="R712" i="17" s="1"/>
  <c r="R914" i="16"/>
  <c r="R122" i="8"/>
  <c r="F207" i="15"/>
  <c r="T205" i="15"/>
  <c r="T442" i="16" s="1"/>
  <c r="T437" i="16"/>
  <c r="Q170" i="11"/>
  <c r="Q171" i="11"/>
  <c r="T853" i="17"/>
  <c r="T854" i="17" s="1"/>
  <c r="T89" i="12"/>
  <c r="T91" i="12"/>
  <c r="T1191" i="17"/>
  <c r="T1192" i="17" s="1"/>
  <c r="G1174" i="17" s="1"/>
  <c r="G1280" i="17" s="1"/>
  <c r="T154" i="12"/>
  <c r="T1194" i="17" s="1"/>
  <c r="T1195" i="17" s="1"/>
  <c r="T156" i="12"/>
  <c r="T1197" i="17" s="1"/>
  <c r="T1198" i="17" s="1"/>
  <c r="T359" i="16"/>
  <c r="T177" i="15"/>
  <c r="T370" i="16" s="1"/>
  <c r="T175" i="15"/>
  <c r="T361" i="16" s="1"/>
  <c r="N79" i="11"/>
  <c r="N77" i="11"/>
  <c r="N144" i="11"/>
  <c r="J235" i="7"/>
  <c r="J227" i="7"/>
  <c r="O37" i="11"/>
  <c r="O39" i="11"/>
  <c r="S104" i="15"/>
  <c r="S162" i="16"/>
  <c r="R53" i="11"/>
  <c r="R55" i="11" s="1"/>
  <c r="P91" i="15"/>
  <c r="P130" i="16"/>
  <c r="N136" i="15"/>
  <c r="N255" i="16" s="1"/>
  <c r="N253" i="16"/>
  <c r="N138" i="15"/>
  <c r="N137" i="15"/>
  <c r="N256" i="16" s="1"/>
  <c r="H227" i="7"/>
  <c r="H39" i="11"/>
  <c r="H37" i="11"/>
  <c r="J79" i="11"/>
  <c r="J77" i="11"/>
  <c r="I288" i="7"/>
  <c r="H153" i="16"/>
  <c r="H156" i="16"/>
  <c r="N235" i="7"/>
  <c r="N227" i="7"/>
  <c r="T206" i="12"/>
  <c r="T207" i="12"/>
  <c r="S566" i="17"/>
  <c r="S567" i="17" s="1"/>
  <c r="S225" i="11"/>
  <c r="S571" i="17" s="1"/>
  <c r="S572" i="17" s="1"/>
  <c r="T163" i="12"/>
  <c r="T165" i="12"/>
  <c r="M71" i="15"/>
  <c r="M85" i="16" s="1"/>
  <c r="M72" i="15"/>
  <c r="M86" i="16" s="1"/>
  <c r="M73" i="15"/>
  <c r="M83" i="16"/>
  <c r="T296" i="15"/>
  <c r="T674" i="16" s="1"/>
  <c r="F298" i="15"/>
  <c r="T298" i="15" s="1"/>
  <c r="P128" i="12"/>
  <c r="P130" i="12"/>
  <c r="P151" i="12"/>
  <c r="P1171" i="17" s="1"/>
  <c r="P1172" i="17" s="1"/>
  <c r="S1217" i="17"/>
  <c r="S1218" i="17" s="1"/>
  <c r="S159" i="12"/>
  <c r="S1220" i="17" s="1"/>
  <c r="S1221" i="17" s="1"/>
  <c r="S57" i="11"/>
  <c r="S59" i="11"/>
  <c r="Q227" i="7"/>
  <c r="P110" i="12"/>
  <c r="P108" i="12"/>
  <c r="P217" i="17"/>
  <c r="P218" i="17" s="1"/>
  <c r="P276" i="12"/>
  <c r="P222" i="17" s="1"/>
  <c r="P223" i="17" s="1"/>
  <c r="I50" i="16"/>
  <c r="I60" i="15"/>
  <c r="I58" i="15"/>
  <c r="Q107" i="11"/>
  <c r="Q109" i="11"/>
  <c r="J130" i="12"/>
  <c r="J128" i="12"/>
  <c r="H148" i="16"/>
  <c r="H98" i="15"/>
  <c r="H151" i="16" s="1"/>
  <c r="H99" i="15"/>
  <c r="H97" i="15"/>
  <c r="H150" i="16" s="1"/>
  <c r="N108" i="12"/>
  <c r="N110" i="12"/>
  <c r="T58" i="11"/>
  <c r="T60" i="11"/>
  <c r="T40" i="13"/>
  <c r="T275" i="12"/>
  <c r="T42" i="10"/>
  <c r="T74" i="10"/>
  <c r="T331" i="7"/>
  <c r="T40" i="14"/>
  <c r="T224" i="11"/>
  <c r="T323" i="7"/>
  <c r="T167" i="10"/>
  <c r="T716" i="17"/>
  <c r="T244" i="11"/>
  <c r="T691" i="17" s="1"/>
  <c r="F9" i="10"/>
  <c r="F11" i="10" s="1"/>
  <c r="O144" i="11"/>
  <c r="Q486" i="17"/>
  <c r="Q487" i="17" s="1"/>
  <c r="Q897" i="16"/>
  <c r="Q13" i="11"/>
  <c r="Q30" i="13"/>
  <c r="Q9" i="12"/>
  <c r="T292" i="15"/>
  <c r="T663" i="16" s="1"/>
  <c r="T294" i="15"/>
  <c r="T672" i="16" s="1"/>
  <c r="T293" i="15"/>
  <c r="T664" i="16" s="1"/>
  <c r="T661" i="16"/>
  <c r="M108" i="12"/>
  <c r="M110" i="12"/>
  <c r="T102" i="15"/>
  <c r="R296" i="16"/>
  <c r="R293" i="16"/>
  <c r="S292" i="7"/>
  <c r="Q300" i="15"/>
  <c r="P676" i="16"/>
  <c r="L148" i="16"/>
  <c r="L99" i="15"/>
  <c r="L97" i="15"/>
  <c r="L150" i="16" s="1"/>
  <c r="S144" i="11"/>
  <c r="T143" i="17"/>
  <c r="E142" i="17"/>
  <c r="N37" i="11"/>
  <c r="N39" i="11"/>
  <c r="I90" i="12"/>
  <c r="I88" i="12"/>
  <c r="T161" i="11"/>
  <c r="K254" i="7"/>
  <c r="H109" i="11"/>
  <c r="H107" i="11"/>
  <c r="M90" i="12"/>
  <c r="M88" i="12"/>
  <c r="H254" i="7"/>
  <c r="S192" i="16"/>
  <c r="P71" i="15"/>
  <c r="P85" i="16" s="1"/>
  <c r="P73" i="15"/>
  <c r="P83" i="16"/>
  <c r="P39" i="11"/>
  <c r="P37" i="11"/>
  <c r="T212" i="12"/>
  <c r="S77" i="11"/>
  <c r="S79" i="11"/>
  <c r="K227" i="7"/>
  <c r="L144" i="11"/>
  <c r="P145" i="11"/>
  <c r="S112" i="8"/>
  <c r="T898" i="16"/>
  <c r="H59" i="11"/>
  <c r="H57" i="11"/>
  <c r="N90" i="12"/>
  <c r="N88" i="12"/>
  <c r="R669" i="16"/>
  <c r="R666" i="16"/>
  <c r="S303" i="7"/>
  <c r="S293" i="15"/>
  <c r="S664" i="16" s="1"/>
  <c r="K110" i="12"/>
  <c r="K108" i="12"/>
  <c r="O107" i="11"/>
  <c r="O109" i="11"/>
  <c r="H153" i="11"/>
  <c r="H152" i="11"/>
  <c r="I152" i="11" s="1"/>
  <c r="J152" i="11" s="1"/>
  <c r="K152" i="11" s="1"/>
  <c r="L152" i="11" s="1"/>
  <c r="M152" i="11" s="1"/>
  <c r="N152" i="11" s="1"/>
  <c r="O152" i="11" s="1"/>
  <c r="P152" i="11" s="1"/>
  <c r="Q152" i="11" s="1"/>
  <c r="R152" i="11" s="1"/>
  <c r="S152" i="11" s="1"/>
  <c r="T209" i="12"/>
  <c r="S52" i="11"/>
  <c r="S54" i="11"/>
  <c r="M58" i="15"/>
  <c r="M50" i="16"/>
  <c r="M59" i="15"/>
  <c r="M60" i="15"/>
  <c r="K153" i="11"/>
  <c r="S205" i="15"/>
  <c r="S442" i="16" s="1"/>
  <c r="S437" i="16"/>
  <c r="R977" i="17"/>
  <c r="R978" i="17" s="1"/>
  <c r="R180" i="16"/>
  <c r="R61" i="11"/>
  <c r="R108" i="15"/>
  <c r="R112" i="12"/>
  <c r="F1148" i="17"/>
  <c r="Q272" i="12"/>
  <c r="Q202" i="17" s="1"/>
  <c r="Q203" i="17" s="1"/>
  <c r="Q39" i="10"/>
  <c r="Q296" i="12"/>
  <c r="Q347" i="17" s="1"/>
  <c r="Q348" i="17" s="1"/>
  <c r="Q41" i="14"/>
  <c r="Q408" i="15" s="1"/>
  <c r="Q79" i="11"/>
  <c r="Q77" i="11"/>
  <c r="P506" i="17"/>
  <c r="P507" i="17" s="1"/>
  <c r="P900" i="16"/>
  <c r="P13" i="12"/>
  <c r="P31" i="13"/>
  <c r="P32" i="13" s="1"/>
  <c r="P32" i="11"/>
  <c r="P69" i="10"/>
  <c r="P30" i="11"/>
  <c r="Q57" i="11"/>
  <c r="Q59" i="11"/>
  <c r="P147" i="17"/>
  <c r="P148" i="17" s="1"/>
  <c r="P67" i="12"/>
  <c r="S153" i="11"/>
  <c r="S1113" i="17"/>
  <c r="S1114" i="17" s="1"/>
  <c r="S139" i="12"/>
  <c r="S1116" i="17" s="1"/>
  <c r="S1117" i="17" s="1"/>
  <c r="S141" i="12"/>
  <c r="S1119" i="17" s="1"/>
  <c r="S1120" i="17" s="1"/>
  <c r="J59" i="11"/>
  <c r="J57" i="11"/>
  <c r="L109" i="11"/>
  <c r="L107" i="11"/>
  <c r="S37" i="11"/>
  <c r="S39" i="11"/>
  <c r="T89" i="11"/>
  <c r="T87" i="11"/>
  <c r="O53" i="16" l="1"/>
  <c r="L53" i="16"/>
  <c r="T53" i="16"/>
  <c r="F1276" i="17"/>
  <c r="E1070" i="17"/>
  <c r="E1276" i="17" s="1"/>
  <c r="Q53" i="16"/>
  <c r="R675" i="16"/>
  <c r="R299" i="15"/>
  <c r="R122" i="10"/>
  <c r="R680" i="16" s="1"/>
  <c r="R486" i="17"/>
  <c r="R487" i="17" s="1"/>
  <c r="R897" i="16"/>
  <c r="R30" i="13"/>
  <c r="R13" i="11"/>
  <c r="R9" i="12"/>
  <c r="R1061" i="17"/>
  <c r="R1062" i="17" s="1"/>
  <c r="R129" i="12"/>
  <c r="R1064" i="17" s="1"/>
  <c r="R1065" i="17" s="1"/>
  <c r="K159" i="16"/>
  <c r="K102" i="15"/>
  <c r="F1279" i="17"/>
  <c r="E1148" i="17"/>
  <c r="E1279" i="17" s="1"/>
  <c r="S53" i="11"/>
  <c r="S55" i="11" s="1"/>
  <c r="P38" i="11"/>
  <c r="P40" i="11"/>
  <c r="P182" i="11" s="1"/>
  <c r="L80" i="11"/>
  <c r="L78" i="11"/>
  <c r="T221" i="15"/>
  <c r="T476" i="16"/>
  <c r="E19" i="15"/>
  <c r="T605" i="16"/>
  <c r="T399" i="16"/>
  <c r="T402" i="16"/>
  <c r="Q38" i="13"/>
  <c r="Q243" i="11"/>
  <c r="Q686" i="17" s="1"/>
  <c r="Q687" i="17" s="1"/>
  <c r="Q332" i="7"/>
  <c r="Q17" i="11"/>
  <c r="Q511" i="17" s="1"/>
  <c r="Q512" i="17" s="1"/>
  <c r="Q219" i="11"/>
  <c r="Q546" i="17" s="1"/>
  <c r="Q547" i="17" s="1"/>
  <c r="Q239" i="16"/>
  <c r="G13" i="16"/>
  <c r="L58" i="11"/>
  <c r="L60" i="11" s="1"/>
  <c r="P303" i="16"/>
  <c r="Q157" i="15"/>
  <c r="N52" i="16"/>
  <c r="I78" i="11"/>
  <c r="I80" i="11" s="1"/>
  <c r="J61" i="16"/>
  <c r="J63" i="15"/>
  <c r="O957" i="17"/>
  <c r="O958" i="17" s="1"/>
  <c r="O109" i="12"/>
  <c r="O960" i="17" s="1"/>
  <c r="O961" i="17" s="1"/>
  <c r="O111" i="12"/>
  <c r="O963" i="17" s="1"/>
  <c r="O964" i="17" s="1"/>
  <c r="R853" i="17"/>
  <c r="R854" i="17" s="1"/>
  <c r="R89" i="12"/>
  <c r="S443" i="16"/>
  <c r="S208" i="15"/>
  <c r="P18" i="11"/>
  <c r="R113" i="12"/>
  <c r="R115" i="12"/>
  <c r="N853" i="17"/>
  <c r="N854" i="17" s="1"/>
  <c r="N91" i="12"/>
  <c r="N89" i="12"/>
  <c r="I853" i="17"/>
  <c r="I854" i="17" s="1"/>
  <c r="I89" i="12"/>
  <c r="R300" i="15"/>
  <c r="Q676" i="16"/>
  <c r="T566" i="17"/>
  <c r="T225" i="11"/>
  <c r="T571" i="17" s="1"/>
  <c r="F361" i="15"/>
  <c r="F366" i="15" s="1"/>
  <c r="E85" i="14" s="1"/>
  <c r="F355" i="15"/>
  <c r="F360" i="15" s="1"/>
  <c r="E85" i="13" s="1"/>
  <c r="T180" i="15"/>
  <c r="K108" i="11"/>
  <c r="K110" i="11" s="1"/>
  <c r="Q94" i="16"/>
  <c r="Q76" i="15"/>
  <c r="S182" i="15"/>
  <c r="S373" i="16"/>
  <c r="S120" i="10"/>
  <c r="S378" i="16" s="1"/>
  <c r="Q137" i="17"/>
  <c r="Q138" i="17" s="1"/>
  <c r="Q869" i="16"/>
  <c r="Q30" i="14"/>
  <c r="Q64" i="12"/>
  <c r="Q11" i="12"/>
  <c r="Q12" i="12" s="1"/>
  <c r="T272" i="15"/>
  <c r="S72" i="15"/>
  <c r="S86" i="16" s="1"/>
  <c r="P339" i="16"/>
  <c r="Q170" i="15"/>
  <c r="T61" i="16"/>
  <c r="T63" i="15"/>
  <c r="H131" i="16"/>
  <c r="I92" i="15"/>
  <c r="O377" i="17"/>
  <c r="O378" i="17" s="1"/>
  <c r="O726" i="17"/>
  <c r="O727" i="17" s="1"/>
  <c r="O21" i="9"/>
  <c r="R108" i="11"/>
  <c r="R110" i="11" s="1"/>
  <c r="I58" i="16"/>
  <c r="J285" i="7"/>
  <c r="I55" i="16"/>
  <c r="J52" i="16"/>
  <c r="O510" i="16"/>
  <c r="P235" i="15"/>
  <c r="S216" i="4"/>
  <c r="S9" i="11"/>
  <c r="O264" i="16"/>
  <c r="O141" i="15"/>
  <c r="P159" i="16"/>
  <c r="P102" i="15"/>
  <c r="S14" i="12"/>
  <c r="R110" i="15"/>
  <c r="R183" i="16" s="1"/>
  <c r="R112" i="15"/>
  <c r="R181" i="16"/>
  <c r="T152" i="11"/>
  <c r="T153" i="11"/>
  <c r="S293" i="16"/>
  <c r="S296" i="16"/>
  <c r="T292" i="7"/>
  <c r="J1061" i="17"/>
  <c r="J1062" i="17" s="1"/>
  <c r="J129" i="12"/>
  <c r="J1064" i="17" s="1"/>
  <c r="J1065" i="17" s="1"/>
  <c r="J131" i="12"/>
  <c r="J1067" i="17" s="1"/>
  <c r="J1068" i="17" s="1"/>
  <c r="S58" i="11"/>
  <c r="S60" i="11"/>
  <c r="J288" i="7"/>
  <c r="I153" i="16"/>
  <c r="I156" i="16"/>
  <c r="R41" i="13"/>
  <c r="R419" i="15" s="1"/>
  <c r="R245" i="11"/>
  <c r="R696" i="17" s="1"/>
  <c r="R697" i="17" s="1"/>
  <c r="R221" i="11"/>
  <c r="R551" i="17" s="1"/>
  <c r="R552" i="17" s="1"/>
  <c r="R71" i="10"/>
  <c r="O159" i="16"/>
  <c r="O102" i="15"/>
  <c r="N821" i="16"/>
  <c r="T1217" i="17"/>
  <c r="T1218" i="17" s="1"/>
  <c r="T159" i="12"/>
  <c r="T1220" i="17" s="1"/>
  <c r="T1221" i="17" s="1"/>
  <c r="T161" i="12"/>
  <c r="T1223" i="17" s="1"/>
  <c r="T1224" i="17" s="1"/>
  <c r="Q204" i="12"/>
  <c r="R326" i="15"/>
  <c r="Q746" i="16"/>
  <c r="P137" i="15"/>
  <c r="P256" i="16" s="1"/>
  <c r="F272" i="15"/>
  <c r="T270" i="15"/>
  <c r="T608" i="16" s="1"/>
  <c r="T103" i="6"/>
  <c r="L183" i="15"/>
  <c r="K374" i="16"/>
  <c r="F1174" i="17"/>
  <c r="I146" i="11"/>
  <c r="K62" i="11"/>
  <c r="K64" i="11"/>
  <c r="O1061" i="17"/>
  <c r="O1062" i="17" s="1"/>
  <c r="O129" i="12"/>
  <c r="O1064" i="17" s="1"/>
  <c r="O1065" i="17" s="1"/>
  <c r="O58" i="11"/>
  <c r="O60" i="11" s="1"/>
  <c r="J59" i="15"/>
  <c r="K72" i="15"/>
  <c r="K86" i="16" s="1"/>
  <c r="S605" i="16"/>
  <c r="T88" i="11"/>
  <c r="T90" i="11"/>
  <c r="R62" i="11"/>
  <c r="R64" i="11"/>
  <c r="H58" i="11"/>
  <c r="H60" i="11" s="1"/>
  <c r="P72" i="15"/>
  <c r="P86" i="16" s="1"/>
  <c r="S161" i="12"/>
  <c r="S1223" i="17" s="1"/>
  <c r="S1224" i="17" s="1"/>
  <c r="M94" i="16"/>
  <c r="M76" i="15"/>
  <c r="J78" i="11"/>
  <c r="J80" i="11" s="1"/>
  <c r="I94" i="16"/>
  <c r="I76" i="15"/>
  <c r="O61" i="16"/>
  <c r="O63" i="15"/>
  <c r="Q209" i="15"/>
  <c r="P444" i="16"/>
  <c r="O98" i="15"/>
  <c r="O151" i="16" s="1"/>
  <c r="K137" i="15"/>
  <c r="K256" i="16" s="1"/>
  <c r="O38" i="13"/>
  <c r="O219" i="11"/>
  <c r="O546" i="17" s="1"/>
  <c r="O547" i="17" s="1"/>
  <c r="O17" i="11"/>
  <c r="O243" i="11"/>
  <c r="O686" i="17" s="1"/>
  <c r="O687" i="17" s="1"/>
  <c r="O332" i="7"/>
  <c r="P108" i="11"/>
  <c r="P110" i="11" s="1"/>
  <c r="I977" i="17"/>
  <c r="I978" i="17" s="1"/>
  <c r="I180" i="16"/>
  <c r="I108" i="15"/>
  <c r="I61" i="11"/>
  <c r="I112" i="12"/>
  <c r="I145" i="11"/>
  <c r="I254" i="7"/>
  <c r="H94" i="16"/>
  <c r="H76" i="15"/>
  <c r="R106" i="12"/>
  <c r="R937" i="17" s="1"/>
  <c r="R938" i="17" s="1"/>
  <c r="S52" i="16"/>
  <c r="N58" i="11"/>
  <c r="N60" i="11"/>
  <c r="R94" i="16"/>
  <c r="R76" i="15"/>
  <c r="P264" i="16"/>
  <c r="P141" i="15"/>
  <c r="L511" i="17"/>
  <c r="L512" i="17" s="1"/>
  <c r="L18" i="11"/>
  <c r="L181" i="11" s="1"/>
  <c r="D135" i="16"/>
  <c r="G9" i="15"/>
  <c r="E10" i="16"/>
  <c r="K115" i="12"/>
  <c r="K113" i="12"/>
  <c r="H175" i="11"/>
  <c r="H177" i="11" s="1"/>
  <c r="T144" i="11"/>
  <c r="M137" i="15"/>
  <c r="M256" i="16" s="1"/>
  <c r="L137" i="15"/>
  <c r="L256" i="16" s="1"/>
  <c r="M108" i="11"/>
  <c r="M110" i="11" s="1"/>
  <c r="Q38" i="11"/>
  <c r="P98" i="15"/>
  <c r="P151" i="16" s="1"/>
  <c r="N153" i="11"/>
  <c r="R78" i="11"/>
  <c r="R80" i="11"/>
  <c r="P1217" i="17"/>
  <c r="P1218" i="17" s="1"/>
  <c r="P159" i="12"/>
  <c r="P1220" i="17" s="1"/>
  <c r="P1221" i="17" s="1"/>
  <c r="P161" i="12"/>
  <c r="P1223" i="17" s="1"/>
  <c r="P1224" i="17" s="1"/>
  <c r="S94" i="16"/>
  <c r="S76" i="15"/>
  <c r="K80" i="11"/>
  <c r="K78" i="11"/>
  <c r="K853" i="17"/>
  <c r="K854" i="17" s="1"/>
  <c r="K89" i="12"/>
  <c r="K91" i="12" s="1"/>
  <c r="N159" i="16"/>
  <c r="N102" i="15"/>
  <c r="N344" i="15"/>
  <c r="N345" i="15" s="1"/>
  <c r="N38" i="11"/>
  <c r="O52" i="16"/>
  <c r="K264" i="16"/>
  <c r="K141" i="15"/>
  <c r="S61" i="16"/>
  <c r="S63" i="15"/>
  <c r="R38" i="11"/>
  <c r="L62" i="11"/>
  <c r="L64" i="11"/>
  <c r="S645" i="16"/>
  <c r="S282" i="15"/>
  <c r="S640" i="16" s="1"/>
  <c r="K121" i="16"/>
  <c r="L287" i="7"/>
  <c r="K124" i="16"/>
  <c r="S53" i="16"/>
  <c r="O805" i="16"/>
  <c r="O54" i="9"/>
  <c r="O377" i="15"/>
  <c r="O807" i="16"/>
  <c r="O80" i="11"/>
  <c r="O78" i="11"/>
  <c r="P711" i="16"/>
  <c r="Q313" i="15"/>
  <c r="E143" i="17"/>
  <c r="G140" i="17"/>
  <c r="G420" i="17" s="1"/>
  <c r="F140" i="17"/>
  <c r="F420" i="17" s="1"/>
  <c r="E140" i="17"/>
  <c r="E420" i="17" s="1"/>
  <c r="I52" i="16"/>
  <c r="O113" i="12"/>
  <c r="O115" i="12"/>
  <c r="R208" i="15"/>
  <c r="R443" i="16"/>
  <c r="M112" i="15"/>
  <c r="M181" i="16"/>
  <c r="M110" i="15"/>
  <c r="M183" i="16" s="1"/>
  <c r="T143" i="15"/>
  <c r="T117" i="10"/>
  <c r="T272" i="16" s="1"/>
  <c r="T267" i="16"/>
  <c r="M511" i="17"/>
  <c r="M512" i="17" s="1"/>
  <c r="M18" i="11"/>
  <c r="S108" i="11"/>
  <c r="S110" i="11"/>
  <c r="T1243" i="17"/>
  <c r="T1244" i="17" s="1"/>
  <c r="T164" i="12"/>
  <c r="T1246" i="17" s="1"/>
  <c r="T1247" i="17" s="1"/>
  <c r="J977" i="17"/>
  <c r="J978" i="17" s="1"/>
  <c r="J180" i="16"/>
  <c r="J61" i="11"/>
  <c r="J108" i="15"/>
  <c r="J112" i="12"/>
  <c r="J145" i="11"/>
  <c r="J254" i="7"/>
  <c r="J196" i="12"/>
  <c r="L113" i="12"/>
  <c r="L115" i="12"/>
  <c r="N364" i="16"/>
  <c r="O294" i="7"/>
  <c r="N367" i="16"/>
  <c r="J131" i="15"/>
  <c r="I233" i="16"/>
  <c r="P872" i="16"/>
  <c r="P157" i="17"/>
  <c r="P158" i="17" s="1"/>
  <c r="P31" i="14"/>
  <c r="P32" i="14" s="1"/>
  <c r="P37" i="10"/>
  <c r="P15" i="12"/>
  <c r="P16" i="12" s="1"/>
  <c r="P83" i="12"/>
  <c r="P81" i="12"/>
  <c r="I61" i="16"/>
  <c r="I63" i="15"/>
  <c r="R61" i="16"/>
  <c r="R63" i="15"/>
  <c r="P58" i="11"/>
  <c r="P60" i="11"/>
  <c r="Q264" i="16"/>
  <c r="Q141" i="15"/>
  <c r="H64" i="11"/>
  <c r="H62" i="11"/>
  <c r="L108" i="11"/>
  <c r="L110" i="11"/>
  <c r="M61" i="16"/>
  <c r="M63" i="15"/>
  <c r="M853" i="17"/>
  <c r="M854" i="17" s="1"/>
  <c r="M89" i="12"/>
  <c r="M91" i="12"/>
  <c r="R53" i="16"/>
  <c r="M1217" i="17"/>
  <c r="M1218" i="17" s="1"/>
  <c r="M159" i="12"/>
  <c r="M1220" i="17" s="1"/>
  <c r="M1221" i="17" s="1"/>
  <c r="S977" i="17"/>
  <c r="S978" i="17" s="1"/>
  <c r="S180" i="16"/>
  <c r="S61" i="11"/>
  <c r="S196" i="12"/>
  <c r="S145" i="11"/>
  <c r="S108" i="15"/>
  <c r="S112" i="12"/>
  <c r="S254" i="7"/>
  <c r="L61" i="16"/>
  <c r="L63" i="15"/>
  <c r="P62" i="11"/>
  <c r="P64" i="11"/>
  <c r="S332" i="16"/>
  <c r="S329" i="16"/>
  <c r="T293" i="7"/>
  <c r="N78" i="11"/>
  <c r="N80" i="11" s="1"/>
  <c r="R367" i="17"/>
  <c r="R368" i="17" s="1"/>
  <c r="R158" i="10"/>
  <c r="R322" i="7"/>
  <c r="R295" i="12"/>
  <c r="R342" i="17" s="1"/>
  <c r="R343" i="17" s="1"/>
  <c r="R41" i="10"/>
  <c r="R39" i="14"/>
  <c r="R274" i="12"/>
  <c r="Q957" i="17"/>
  <c r="Q958" i="17" s="1"/>
  <c r="Q109" i="12"/>
  <c r="Q960" i="17" s="1"/>
  <c r="Q961" i="17" s="1"/>
  <c r="L38" i="11"/>
  <c r="Q181" i="16"/>
  <c r="Q112" i="15"/>
  <c r="Q110" i="15"/>
  <c r="Q183" i="16" s="1"/>
  <c r="T1113" i="17"/>
  <c r="T1114" i="17" s="1"/>
  <c r="T139" i="12"/>
  <c r="T1116" i="17" s="1"/>
  <c r="T1117" i="17" s="1"/>
  <c r="Q217" i="17"/>
  <c r="Q218" i="17" s="1"/>
  <c r="Q276" i="12"/>
  <c r="Q222" i="17" s="1"/>
  <c r="Q223" i="17" s="1"/>
  <c r="H1061" i="17"/>
  <c r="H1062" i="17" s="1"/>
  <c r="H129" i="12"/>
  <c r="H1064" i="17" s="1"/>
  <c r="H1065" i="17" s="1"/>
  <c r="H131" i="12"/>
  <c r="H1067" i="17" s="1"/>
  <c r="H1068" i="17" s="1"/>
  <c r="H190" i="16"/>
  <c r="H186" i="16"/>
  <c r="I289" i="7"/>
  <c r="I310" i="7" s="1"/>
  <c r="T362" i="17"/>
  <c r="E57" i="14"/>
  <c r="J204" i="12"/>
  <c r="T977" i="17"/>
  <c r="T978" i="17" s="1"/>
  <c r="T180" i="16"/>
  <c r="T145" i="11"/>
  <c r="T61" i="11"/>
  <c r="T112" i="12"/>
  <c r="T108" i="15"/>
  <c r="T254" i="7"/>
  <c r="N184" i="12"/>
  <c r="N186" i="12"/>
  <c r="H159" i="16"/>
  <c r="H102" i="15"/>
  <c r="R771" i="16"/>
  <c r="R774" i="16"/>
  <c r="S306" i="7"/>
  <c r="H1217" i="17"/>
  <c r="H1218" i="17" s="1"/>
  <c r="H159" i="12"/>
  <c r="H1220" i="17" s="1"/>
  <c r="H1221" i="17" s="1"/>
  <c r="H161" i="12"/>
  <c r="H1223" i="17" s="1"/>
  <c r="H1224" i="17" s="1"/>
  <c r="E1426" i="17"/>
  <c r="D46" i="17" s="1"/>
  <c r="F46" i="17" s="1"/>
  <c r="T149" i="11"/>
  <c r="T150" i="11"/>
  <c r="P8" i="9"/>
  <c r="O20" i="9"/>
  <c r="L94" i="16"/>
  <c r="L76" i="15"/>
  <c r="Q853" i="17"/>
  <c r="Q854" i="17" s="1"/>
  <c r="Q89" i="12"/>
  <c r="Q91" i="12"/>
  <c r="N1217" i="17"/>
  <c r="N1218" i="17" s="1"/>
  <c r="N159" i="12"/>
  <c r="N1220" i="17" s="1"/>
  <c r="N1221" i="17" s="1"/>
  <c r="N161" i="12"/>
  <c r="N1223" i="17" s="1"/>
  <c r="N1224" i="17" s="1"/>
  <c r="P94" i="16"/>
  <c r="P76" i="15"/>
  <c r="E992" i="17"/>
  <c r="E1273" i="17" s="1"/>
  <c r="F1273" i="17"/>
  <c r="K110" i="15"/>
  <c r="K183" i="16" s="1"/>
  <c r="K112" i="15"/>
  <c r="K181" i="16"/>
  <c r="M264" i="16"/>
  <c r="M141" i="15"/>
  <c r="L1061" i="17"/>
  <c r="L1062" i="17" s="1"/>
  <c r="L131" i="12"/>
  <c r="L1067" i="17" s="1"/>
  <c r="L1068" i="17" s="1"/>
  <c r="L129" i="12"/>
  <c r="L1064" i="17" s="1"/>
  <c r="L1065" i="17" s="1"/>
  <c r="K94" i="16"/>
  <c r="K76" i="15"/>
  <c r="T104" i="15"/>
  <c r="T162" i="16"/>
  <c r="H38" i="11"/>
  <c r="H40" i="11" s="1"/>
  <c r="H182" i="11" s="1"/>
  <c r="D547" i="16"/>
  <c r="G21" i="15"/>
  <c r="E22" i="16"/>
  <c r="T33" i="12"/>
  <c r="T909" i="16"/>
  <c r="R72" i="15"/>
  <c r="R86" i="16" s="1"/>
  <c r="S957" i="17"/>
  <c r="S958" i="17" s="1"/>
  <c r="S109" i="12"/>
  <c r="S960" i="17" s="1"/>
  <c r="S961" i="17" s="1"/>
  <c r="S111" i="12"/>
  <c r="S963" i="17" s="1"/>
  <c r="S964" i="17" s="1"/>
  <c r="T711" i="17"/>
  <c r="T914" i="16"/>
  <c r="T122" i="8"/>
  <c r="E57" i="13"/>
  <c r="S243" i="12"/>
  <c r="S267" i="17" s="1"/>
  <c r="S268" i="17" s="1"/>
  <c r="S115" i="8"/>
  <c r="T116" i="8" s="1"/>
  <c r="H139" i="11"/>
  <c r="H180" i="11" s="1"/>
  <c r="H36" i="13" s="1"/>
  <c r="M78" i="11"/>
  <c r="M80" i="11"/>
  <c r="R605" i="16"/>
  <c r="Q409" i="16"/>
  <c r="R196" i="15"/>
  <c r="R272" i="12"/>
  <c r="R202" i="17" s="1"/>
  <c r="R203" i="17" s="1"/>
  <c r="R296" i="12"/>
  <c r="R347" i="17" s="1"/>
  <c r="R348" i="17" s="1"/>
  <c r="R41" i="14"/>
  <c r="R408" i="15" s="1"/>
  <c r="R39" i="10"/>
  <c r="I88" i="16"/>
  <c r="I91" i="16"/>
  <c r="J286" i="7"/>
  <c r="N94" i="16"/>
  <c r="N76" i="15"/>
  <c r="H264" i="16"/>
  <c r="H141" i="15"/>
  <c r="I264" i="16"/>
  <c r="I141" i="15"/>
  <c r="K60" i="11"/>
  <c r="K58" i="11"/>
  <c r="K957" i="17"/>
  <c r="K958" i="17" s="1"/>
  <c r="K109" i="12"/>
  <c r="K960" i="17" s="1"/>
  <c r="K961" i="17" s="1"/>
  <c r="R96" i="6"/>
  <c r="S273" i="7"/>
  <c r="S81" i="7"/>
  <c r="H957" i="17"/>
  <c r="H958" i="17" s="1"/>
  <c r="H109" i="12"/>
  <c r="H960" i="17" s="1"/>
  <c r="H961" i="17" s="1"/>
  <c r="H853" i="17"/>
  <c r="H854" i="17" s="1"/>
  <c r="H89" i="12"/>
  <c r="H91" i="12"/>
  <c r="P112" i="15"/>
  <c r="P181" i="16"/>
  <c r="P110" i="15"/>
  <c r="P183" i="16" s="1"/>
  <c r="P111" i="15"/>
  <c r="P184" i="16" s="1"/>
  <c r="S853" i="17"/>
  <c r="S854" i="17" s="1"/>
  <c r="S89" i="12"/>
  <c r="S91" i="12" s="1"/>
  <c r="N72" i="15"/>
  <c r="N86" i="16" s="1"/>
  <c r="P80" i="11"/>
  <c r="P78" i="11"/>
  <c r="M64" i="11"/>
  <c r="M62" i="11"/>
  <c r="M204" i="12"/>
  <c r="T113" i="11"/>
  <c r="T115" i="11"/>
  <c r="T675" i="16"/>
  <c r="T122" i="10"/>
  <c r="T680" i="16" s="1"/>
  <c r="T299" i="15"/>
  <c r="T439" i="16"/>
  <c r="T206" i="15"/>
  <c r="T216" i="4"/>
  <c r="T9" i="11"/>
  <c r="M98" i="15"/>
  <c r="M151" i="16" s="1"/>
  <c r="H115" i="12"/>
  <c r="H113" i="12"/>
  <c r="H78" i="11"/>
  <c r="H80" i="11" s="1"/>
  <c r="R264" i="16"/>
  <c r="R141" i="15"/>
  <c r="I40" i="11"/>
  <c r="I182" i="11" s="1"/>
  <c r="I38" i="11"/>
  <c r="J108" i="11"/>
  <c r="J110" i="11" s="1"/>
  <c r="Q78" i="11"/>
  <c r="Q80" i="11" s="1"/>
  <c r="M957" i="17"/>
  <c r="M958" i="17" s="1"/>
  <c r="M109" i="12"/>
  <c r="M960" i="17" s="1"/>
  <c r="M961" i="17" s="1"/>
  <c r="M111" i="12"/>
  <c r="M963" i="17" s="1"/>
  <c r="M964" i="17" s="1"/>
  <c r="P1061" i="17"/>
  <c r="P1062" i="17" s="1"/>
  <c r="P129" i="12"/>
  <c r="P1064" i="17" s="1"/>
  <c r="P1065" i="17" s="1"/>
  <c r="T859" i="17"/>
  <c r="T860" i="17" s="1"/>
  <c r="Q477" i="16"/>
  <c r="R222" i="15"/>
  <c r="P113" i="12"/>
  <c r="P115" i="12"/>
  <c r="Q415" i="16"/>
  <c r="G18" i="16"/>
  <c r="P61" i="16"/>
  <c r="P63" i="15"/>
  <c r="Q1061" i="17"/>
  <c r="Q1062" i="17" s="1"/>
  <c r="Q129" i="12"/>
  <c r="Q1064" i="17" s="1"/>
  <c r="Q1065" i="17" s="1"/>
  <c r="Q61" i="16"/>
  <c r="Q63" i="15"/>
  <c r="Q34" i="12"/>
  <c r="Q283" i="7"/>
  <c r="N108" i="11"/>
  <c r="N110" i="11" s="1"/>
  <c r="T1303" i="17"/>
  <c r="T1311" i="17" s="1"/>
  <c r="J58" i="11"/>
  <c r="J60" i="11"/>
  <c r="Q58" i="11"/>
  <c r="Q60" i="11" s="1"/>
  <c r="P204" i="12"/>
  <c r="H108" i="11"/>
  <c r="H110" i="11" s="1"/>
  <c r="L159" i="16"/>
  <c r="L102" i="15"/>
  <c r="E691" i="17"/>
  <c r="T692" i="17"/>
  <c r="N957" i="17"/>
  <c r="N958" i="17" s="1"/>
  <c r="N109" i="12"/>
  <c r="N960" i="17" s="1"/>
  <c r="N961" i="17" s="1"/>
  <c r="N111" i="12"/>
  <c r="N963" i="17" s="1"/>
  <c r="N964" i="17" s="1"/>
  <c r="H61" i="16"/>
  <c r="H63" i="15"/>
  <c r="R256" i="15"/>
  <c r="R574" i="16" s="1"/>
  <c r="R579" i="16"/>
  <c r="R282" i="7"/>
  <c r="R880" i="16"/>
  <c r="T274" i="7"/>
  <c r="J153" i="7"/>
  <c r="J247" i="7" s="1"/>
  <c r="S153" i="7"/>
  <c r="S247" i="7" s="1"/>
  <c r="M153" i="7"/>
  <c r="M247" i="7" s="1"/>
  <c r="K153" i="7"/>
  <c r="K247" i="7" s="1"/>
  <c r="L153" i="7"/>
  <c r="L247" i="7" s="1"/>
  <c r="R153" i="7"/>
  <c r="R247" i="7" s="1"/>
  <c r="T153" i="7"/>
  <c r="T247" i="7" s="1"/>
  <c r="I153" i="7"/>
  <c r="I247" i="7" s="1"/>
  <c r="P153" i="7"/>
  <c r="P247" i="7" s="1"/>
  <c r="Q153" i="7"/>
  <c r="Q247" i="7" s="1"/>
  <c r="H153" i="7"/>
  <c r="H247" i="7" s="1"/>
  <c r="O153" i="7"/>
  <c r="O247" i="7" s="1"/>
  <c r="N153" i="7"/>
  <c r="N247" i="7" s="1"/>
  <c r="N196" i="12" s="1"/>
  <c r="J38" i="11"/>
  <c r="O1217" i="17"/>
  <c r="O1218" i="17" s="1"/>
  <c r="O159" i="12"/>
  <c r="O1220" i="17" s="1"/>
  <c r="O1221" i="17" s="1"/>
  <c r="O161" i="12"/>
  <c r="O1223" i="17" s="1"/>
  <c r="O1224" i="17" s="1"/>
  <c r="E492" i="17"/>
  <c r="E489" i="17"/>
  <c r="E769" i="17" s="1"/>
  <c r="G489" i="17"/>
  <c r="G769" i="17" s="1"/>
  <c r="F489" i="17"/>
  <c r="F769" i="17" s="1"/>
  <c r="J137" i="15"/>
  <c r="J256" i="16" s="1"/>
  <c r="R144" i="11"/>
  <c r="F18" i="16"/>
  <c r="K415" i="16"/>
  <c r="T131" i="12"/>
  <c r="T1067" i="17" s="1"/>
  <c r="T1068" i="17" s="1"/>
  <c r="I204" i="12"/>
  <c r="P52" i="16"/>
  <c r="L1217" i="17"/>
  <c r="L1218" i="17" s="1"/>
  <c r="L159" i="12"/>
  <c r="L1220" i="17" s="1"/>
  <c r="L1221" i="17" s="1"/>
  <c r="L161" i="12"/>
  <c r="L1223" i="17" s="1"/>
  <c r="L1224" i="17" s="1"/>
  <c r="H12" i="15"/>
  <c r="Q781" i="16"/>
  <c r="R339" i="15"/>
  <c r="Q113" i="12"/>
  <c r="Q115" i="12"/>
  <c r="K98" i="15"/>
  <c r="K151" i="16" s="1"/>
  <c r="N61" i="16"/>
  <c r="N63" i="15"/>
  <c r="M153" i="11"/>
  <c r="O853" i="17"/>
  <c r="O854" i="17" s="1"/>
  <c r="O89" i="12"/>
  <c r="O91" i="12" s="1"/>
  <c r="T884" i="16"/>
  <c r="T886" i="16" s="1"/>
  <c r="S270" i="15"/>
  <c r="S608" i="16" s="1"/>
  <c r="S103" i="6"/>
  <c r="E267" i="17"/>
  <c r="T268" i="17"/>
  <c r="O94" i="16"/>
  <c r="O76" i="15"/>
  <c r="S143" i="15"/>
  <c r="S117" i="10"/>
  <c r="S272" i="16" s="1"/>
  <c r="S267" i="16"/>
  <c r="R166" i="12"/>
  <c r="R1249" i="17" s="1"/>
  <c r="R1250" i="17" s="1"/>
  <c r="S884" i="16"/>
  <c r="K38" i="13"/>
  <c r="K243" i="11"/>
  <c r="K686" i="17" s="1"/>
  <c r="K687" i="17" s="1"/>
  <c r="K219" i="11"/>
  <c r="K546" i="17" s="1"/>
  <c r="K547" i="17" s="1"/>
  <c r="K332" i="7"/>
  <c r="K17" i="11"/>
  <c r="N977" i="17"/>
  <c r="N978" i="17" s="1"/>
  <c r="N180" i="16"/>
  <c r="N112" i="12"/>
  <c r="N61" i="11"/>
  <c r="N108" i="15"/>
  <c r="N145" i="11"/>
  <c r="N254" i="7"/>
  <c r="L226" i="16"/>
  <c r="L222" i="16"/>
  <c r="M290" i="7"/>
  <c r="P853" i="17"/>
  <c r="P854" i="17" s="1"/>
  <c r="P89" i="12"/>
  <c r="P91" i="12"/>
  <c r="S704" i="16"/>
  <c r="T304" i="7"/>
  <c r="S701" i="16"/>
  <c r="T52" i="16"/>
  <c r="Q543" i="16"/>
  <c r="R248" i="15"/>
  <c r="J159" i="16"/>
  <c r="J102" i="15"/>
  <c r="R14" i="12"/>
  <c r="O181" i="16"/>
  <c r="O112" i="15"/>
  <c r="O110" i="15"/>
  <c r="O183" i="16" s="1"/>
  <c r="S675" i="16"/>
  <c r="S299" i="15"/>
  <c r="S122" i="10"/>
  <c r="S680" i="16" s="1"/>
  <c r="O813" i="16"/>
  <c r="O55" i="9"/>
  <c r="P47" i="9"/>
  <c r="Q158" i="11"/>
  <c r="Q159" i="11"/>
  <c r="T617" i="17"/>
  <c r="E616" i="17"/>
  <c r="T637" i="17"/>
  <c r="E636" i="17"/>
  <c r="P35" i="12"/>
  <c r="P36" i="12" s="1"/>
  <c r="P112" i="10"/>
  <c r="P113" i="10" s="1"/>
  <c r="P881" i="16"/>
  <c r="I1217" i="17"/>
  <c r="I1218" i="17" s="1"/>
  <c r="I159" i="12"/>
  <c r="I1220" i="17" s="1"/>
  <c r="I1221" i="17" s="1"/>
  <c r="L264" i="16"/>
  <c r="L141" i="15"/>
  <c r="O108" i="11"/>
  <c r="O110" i="11"/>
  <c r="Q496" i="17"/>
  <c r="Q497" i="17" s="1"/>
  <c r="Q16" i="11"/>
  <c r="Q108" i="11"/>
  <c r="Q110" i="11" s="1"/>
  <c r="O38" i="11"/>
  <c r="O40" i="11" s="1"/>
  <c r="O182" i="11" s="1"/>
  <c r="O62" i="11"/>
  <c r="O64" i="11"/>
  <c r="M115" i="12"/>
  <c r="M113" i="12"/>
  <c r="M1061" i="17"/>
  <c r="M1062" i="17" s="1"/>
  <c r="M129" i="12"/>
  <c r="M1064" i="17" s="1"/>
  <c r="M1065" i="17" s="1"/>
  <c r="T103" i="12"/>
  <c r="T105" i="12"/>
  <c r="S38" i="11"/>
  <c r="S40" i="11"/>
  <c r="L110" i="15"/>
  <c r="L183" i="16" s="1"/>
  <c r="L111" i="15"/>
  <c r="L184" i="16" s="1"/>
  <c r="L112" i="15"/>
  <c r="L181" i="16"/>
  <c r="S612" i="16"/>
  <c r="S269" i="15"/>
  <c r="S607" i="16" s="1"/>
  <c r="S931" i="17"/>
  <c r="S932" i="17" s="1"/>
  <c r="S104" i="12"/>
  <c r="S934" i="17" s="1"/>
  <c r="S935" i="17" s="1"/>
  <c r="T429" i="16"/>
  <c r="T202" i="15"/>
  <c r="T432" i="16" s="1"/>
  <c r="T201" i="15"/>
  <c r="T431" i="16" s="1"/>
  <c r="T203" i="15"/>
  <c r="T440" i="16" s="1"/>
  <c r="I159" i="16"/>
  <c r="I102" i="15"/>
  <c r="R1217" i="17"/>
  <c r="R1218" i="17" s="1"/>
  <c r="R161" i="12"/>
  <c r="R1223" i="17" s="1"/>
  <c r="R1224" i="17" s="1"/>
  <c r="R159" i="12"/>
  <c r="R1220" i="17" s="1"/>
  <c r="R1221" i="17" s="1"/>
  <c r="I59" i="15"/>
  <c r="S203" i="12"/>
  <c r="S204" i="12"/>
  <c r="R957" i="17"/>
  <c r="R958" i="17" s="1"/>
  <c r="R109" i="12"/>
  <c r="R960" i="17" s="1"/>
  <c r="R961" i="17" s="1"/>
  <c r="H243" i="11"/>
  <c r="H686" i="17" s="1"/>
  <c r="H687" i="17" s="1"/>
  <c r="H332" i="7"/>
  <c r="H334" i="7" s="1"/>
  <c r="H219" i="11"/>
  <c r="H546" i="17" s="1"/>
  <c r="H547" i="17" s="1"/>
  <c r="H17" i="11"/>
  <c r="H38" i="13"/>
  <c r="R58" i="11"/>
  <c r="R60" i="11" s="1"/>
  <c r="L957" i="17"/>
  <c r="L958" i="17" s="1"/>
  <c r="L109" i="12"/>
  <c r="L960" i="17" s="1"/>
  <c r="L961" i="17" s="1"/>
  <c r="K61" i="16"/>
  <c r="K63" i="15"/>
  <c r="I957" i="17"/>
  <c r="I958" i="17" s="1"/>
  <c r="I111" i="12"/>
  <c r="I963" i="17" s="1"/>
  <c r="I964" i="17" s="1"/>
  <c r="I109" i="12"/>
  <c r="I960" i="17" s="1"/>
  <c r="I961" i="17" s="1"/>
  <c r="N1061" i="17"/>
  <c r="N1062" i="17" s="1"/>
  <c r="N129" i="12"/>
  <c r="N1064" i="17" s="1"/>
  <c r="N1065" i="17" s="1"/>
  <c r="N131" i="12"/>
  <c r="N1067" i="17" s="1"/>
  <c r="N1068" i="17" s="1"/>
  <c r="P53" i="16"/>
  <c r="I58" i="11"/>
  <c r="I60" i="11" s="1"/>
  <c r="T207" i="15"/>
  <c r="E361" i="15"/>
  <c r="E366" i="15" s="1"/>
  <c r="E355" i="15"/>
  <c r="E360" i="15" s="1"/>
  <c r="P820" i="16"/>
  <c r="Q376" i="15"/>
  <c r="R159" i="16"/>
  <c r="R102" i="15"/>
  <c r="M159" i="16"/>
  <c r="M102" i="15"/>
  <c r="N264" i="16"/>
  <c r="N141" i="15"/>
  <c r="T856" i="17"/>
  <c r="T857" i="17" s="1"/>
  <c r="H52" i="16"/>
  <c r="Q144" i="11"/>
  <c r="K1217" i="17"/>
  <c r="K1218" i="17" s="1"/>
  <c r="K159" i="12"/>
  <c r="K1220" i="17" s="1"/>
  <c r="K1221" i="17" s="1"/>
  <c r="L853" i="17"/>
  <c r="L854" i="17" s="1"/>
  <c r="L89" i="12"/>
  <c r="K52" i="16"/>
  <c r="J1217" i="17"/>
  <c r="J1218" i="17" s="1"/>
  <c r="J159" i="12"/>
  <c r="J1220" i="17" s="1"/>
  <c r="J1221" i="17" s="1"/>
  <c r="Q64" i="11"/>
  <c r="Q62" i="11"/>
  <c r="T52" i="11"/>
  <c r="T54" i="11"/>
  <c r="I98" i="15"/>
  <c r="I151" i="16" s="1"/>
  <c r="R98" i="15"/>
  <c r="R151" i="16" s="1"/>
  <c r="H181" i="16"/>
  <c r="H112" i="15"/>
  <c r="H110" i="15"/>
  <c r="H183" i="16" s="1"/>
  <c r="H111" i="15"/>
  <c r="H184" i="16" s="1"/>
  <c r="T288" i="17"/>
  <c r="E287" i="17"/>
  <c r="N133" i="11"/>
  <c r="N135" i="11"/>
  <c r="Q159" i="16"/>
  <c r="Q102" i="15"/>
  <c r="M53" i="16"/>
  <c r="Q153" i="11"/>
  <c r="L98" i="15"/>
  <c r="L151" i="16" s="1"/>
  <c r="H59" i="15"/>
  <c r="R52" i="16"/>
  <c r="T273" i="7"/>
  <c r="T81" i="7"/>
  <c r="Q152" i="7"/>
  <c r="Q246" i="7" s="1"/>
  <c r="J152" i="7"/>
  <c r="J246" i="7" s="1"/>
  <c r="M152" i="7"/>
  <c r="M246" i="7" s="1"/>
  <c r="N152" i="7"/>
  <c r="N246" i="7" s="1"/>
  <c r="S152" i="7"/>
  <c r="S246" i="7" s="1"/>
  <c r="P152" i="7"/>
  <c r="P246" i="7" s="1"/>
  <c r="I152" i="7"/>
  <c r="I246" i="7" s="1"/>
  <c r="T152" i="7"/>
  <c r="T246" i="7" s="1"/>
  <c r="L152" i="7"/>
  <c r="L246" i="7" s="1"/>
  <c r="R152" i="7"/>
  <c r="R246" i="7" s="1"/>
  <c r="O152" i="7"/>
  <c r="O246" i="7" s="1"/>
  <c r="K152" i="7"/>
  <c r="K246" i="7" s="1"/>
  <c r="H152" i="7"/>
  <c r="H246" i="7" s="1"/>
  <c r="P144" i="11"/>
  <c r="L204" i="12"/>
  <c r="Q1217" i="17"/>
  <c r="Q1218" i="17" s="1"/>
  <c r="Q159" i="12"/>
  <c r="Q1220" i="17" s="1"/>
  <c r="Q1221" i="17" s="1"/>
  <c r="L52" i="16"/>
  <c r="J957" i="17"/>
  <c r="J958" i="17" s="1"/>
  <c r="J109" i="12"/>
  <c r="J960" i="17" s="1"/>
  <c r="J961" i="17" s="1"/>
  <c r="T14" i="12"/>
  <c r="K59" i="15"/>
  <c r="M58" i="11"/>
  <c r="M60" i="11" s="1"/>
  <c r="J264" i="16"/>
  <c r="J141" i="15"/>
  <c r="I1061" i="17"/>
  <c r="I1062" i="17" s="1"/>
  <c r="I131" i="12"/>
  <c r="I1067" i="17" s="1"/>
  <c r="I1068" i="17" s="1"/>
  <c r="I129" i="12"/>
  <c r="I1064" i="17" s="1"/>
  <c r="I1065" i="17" s="1"/>
  <c r="J153" i="11"/>
  <c r="M52" i="16"/>
  <c r="S669" i="16"/>
  <c r="T303" i="7"/>
  <c r="S666" i="16"/>
  <c r="S78" i="11"/>
  <c r="S80" i="11" s="1"/>
  <c r="T717" i="17"/>
  <c r="E716" i="17"/>
  <c r="P957" i="17"/>
  <c r="P958" i="17" s="1"/>
  <c r="P111" i="12"/>
  <c r="P963" i="17" s="1"/>
  <c r="P964" i="17" s="1"/>
  <c r="P109" i="12"/>
  <c r="P960" i="17" s="1"/>
  <c r="P961" i="17" s="1"/>
  <c r="T176" i="15"/>
  <c r="T362" i="16" s="1"/>
  <c r="R170" i="11"/>
  <c r="R171" i="11"/>
  <c r="K40" i="11"/>
  <c r="K182" i="11" s="1"/>
  <c r="K38" i="11"/>
  <c r="T275" i="7"/>
  <c r="N154" i="7"/>
  <c r="N248" i="7" s="1"/>
  <c r="Q154" i="7"/>
  <c r="Q248" i="7" s="1"/>
  <c r="M154" i="7"/>
  <c r="M248" i="7" s="1"/>
  <c r="R154" i="7"/>
  <c r="R248" i="7" s="1"/>
  <c r="O154" i="7"/>
  <c r="O248" i="7" s="1"/>
  <c r="T154" i="7"/>
  <c r="T248" i="7" s="1"/>
  <c r="J154" i="7"/>
  <c r="J248" i="7" s="1"/>
  <c r="H154" i="7"/>
  <c r="H248" i="7" s="1"/>
  <c r="K154" i="7"/>
  <c r="K248" i="7" s="1"/>
  <c r="L154" i="7"/>
  <c r="L248" i="7" s="1"/>
  <c r="S154" i="7"/>
  <c r="S248" i="7" s="1"/>
  <c r="P154" i="7"/>
  <c r="P248" i="7" s="1"/>
  <c r="I154" i="7"/>
  <c r="I248" i="7" s="1"/>
  <c r="J853" i="17"/>
  <c r="J854" i="17" s="1"/>
  <c r="J89" i="12"/>
  <c r="J94" i="16"/>
  <c r="J76" i="15"/>
  <c r="M38" i="11"/>
  <c r="S711" i="17"/>
  <c r="S712" i="17" s="1"/>
  <c r="S914" i="16"/>
  <c r="S122" i="8"/>
  <c r="K1061" i="17"/>
  <c r="K1062" i="17" s="1"/>
  <c r="K129" i="12"/>
  <c r="K1064" i="17" s="1"/>
  <c r="K1065" i="17" s="1"/>
  <c r="R59" i="12"/>
  <c r="R217" i="4"/>
  <c r="R300" i="5"/>
  <c r="I108" i="11"/>
  <c r="I110" i="11" s="1"/>
  <c r="Q52" i="16"/>
  <c r="D239" i="16"/>
  <c r="E13" i="16"/>
  <c r="C144" i="1"/>
  <c r="G12" i="15"/>
  <c r="N59" i="15"/>
  <c r="I261" i="16"/>
  <c r="I258" i="16"/>
  <c r="J291" i="7"/>
  <c r="N98" i="15"/>
  <c r="N151" i="16" s="1"/>
  <c r="J98" i="15"/>
  <c r="J151" i="16" s="1"/>
  <c r="T14" i="11"/>
  <c r="T501" i="17" s="1"/>
  <c r="T270" i="5"/>
  <c r="T65" i="12" s="1"/>
  <c r="T152" i="17" s="1"/>
  <c r="R736" i="16"/>
  <c r="R739" i="16"/>
  <c r="S305" i="7"/>
  <c r="P153" i="11"/>
  <c r="G992" i="17"/>
  <c r="G1273" i="17" s="1"/>
  <c r="G493" i="17" l="1"/>
  <c r="G144" i="17"/>
  <c r="O731" i="17"/>
  <c r="O732" i="17" s="1"/>
  <c r="O859" i="17"/>
  <c r="O860" i="17" s="1"/>
  <c r="O233" i="12"/>
  <c r="H731" i="17"/>
  <c r="H732" i="17" s="1"/>
  <c r="H184" i="11"/>
  <c r="H27" i="11" s="1"/>
  <c r="K233" i="12"/>
  <c r="K859" i="17"/>
  <c r="K860" i="17" s="1"/>
  <c r="S859" i="17"/>
  <c r="S860" i="17" s="1"/>
  <c r="K1029" i="17"/>
  <c r="K1030" i="17" s="1"/>
  <c r="K561" i="16"/>
  <c r="K102" i="6"/>
  <c r="K255" i="7"/>
  <c r="K122" i="12"/>
  <c r="K251" i="15"/>
  <c r="K104" i="6"/>
  <c r="K193" i="12"/>
  <c r="K234" i="12"/>
  <c r="O1029" i="17"/>
  <c r="O1030" i="17" s="1"/>
  <c r="O102" i="6"/>
  <c r="O255" i="7"/>
  <c r="O561" i="16"/>
  <c r="O122" i="12"/>
  <c r="O104" i="6"/>
  <c r="O251" i="15"/>
  <c r="O234" i="12"/>
  <c r="O193" i="12"/>
  <c r="E288" i="17"/>
  <c r="F285" i="17"/>
  <c r="F449" i="17" s="1"/>
  <c r="E285" i="17"/>
  <c r="E449" i="17" s="1"/>
  <c r="G285" i="17"/>
  <c r="G449" i="17" s="1"/>
  <c r="Q820" i="16"/>
  <c r="R376" i="15"/>
  <c r="T897" i="16"/>
  <c r="T486" i="17"/>
  <c r="T30" i="13"/>
  <c r="T9" i="12"/>
  <c r="E55" i="13"/>
  <c r="T13" i="11"/>
  <c r="I267" i="16"/>
  <c r="I117" i="10"/>
  <c r="I272" i="16" s="1"/>
  <c r="I143" i="15"/>
  <c r="L64" i="16"/>
  <c r="L65" i="15"/>
  <c r="L355" i="15"/>
  <c r="L360" i="15" s="1"/>
  <c r="F940" i="17"/>
  <c r="L97" i="16"/>
  <c r="L78" i="15"/>
  <c r="H104" i="15"/>
  <c r="H162" i="16"/>
  <c r="E10" i="15"/>
  <c r="H105" i="15"/>
  <c r="T141" i="12"/>
  <c r="T1119" i="17" s="1"/>
  <c r="T1120" i="17" s="1"/>
  <c r="G1096" i="17" s="1"/>
  <c r="G1277" i="17" s="1"/>
  <c r="R78" i="15"/>
  <c r="R97" i="16"/>
  <c r="I64" i="11"/>
  <c r="I62" i="11"/>
  <c r="R746" i="16"/>
  <c r="S326" i="15"/>
  <c r="R856" i="17"/>
  <c r="R857" i="17" s="1"/>
  <c r="T153" i="17"/>
  <c r="E152" i="17"/>
  <c r="K627" i="16"/>
  <c r="K277" i="15"/>
  <c r="K199" i="12"/>
  <c r="S170" i="11"/>
  <c r="S171" i="11"/>
  <c r="J111" i="12"/>
  <c r="J963" i="17" s="1"/>
  <c r="J964" i="17" s="1"/>
  <c r="L1029" i="17"/>
  <c r="L1030" i="17" s="1"/>
  <c r="L561" i="16"/>
  <c r="L255" i="7"/>
  <c r="L102" i="6"/>
  <c r="L251" i="15"/>
  <c r="L122" i="12"/>
  <c r="L104" i="6"/>
  <c r="L193" i="12"/>
  <c r="L234" i="12"/>
  <c r="H901" i="16"/>
  <c r="H53" i="16"/>
  <c r="K355" i="15"/>
  <c r="K360" i="15" s="1"/>
  <c r="K65" i="15"/>
  <c r="K64" i="16"/>
  <c r="O63" i="11"/>
  <c r="O65" i="11" s="1"/>
  <c r="O201" i="11"/>
  <c r="O252" i="12"/>
  <c r="H594" i="16"/>
  <c r="H264" i="15"/>
  <c r="H301" i="7"/>
  <c r="H196" i="12"/>
  <c r="Q417" i="15"/>
  <c r="Q355" i="15"/>
  <c r="Q360" i="15" s="1"/>
  <c r="Q64" i="16"/>
  <c r="Q65" i="15"/>
  <c r="P983" i="17"/>
  <c r="P984" i="17" s="1"/>
  <c r="P114" i="12"/>
  <c r="P986" i="17" s="1"/>
  <c r="P987" i="17" s="1"/>
  <c r="T208" i="15"/>
  <c r="T443" i="16"/>
  <c r="E18" i="15"/>
  <c r="S367" i="17"/>
  <c r="S368" i="17" s="1"/>
  <c r="S274" i="12"/>
  <c r="S41" i="10"/>
  <c r="S158" i="10"/>
  <c r="S39" i="14"/>
  <c r="S295" i="12"/>
  <c r="S342" i="17" s="1"/>
  <c r="S343" i="17" s="1"/>
  <c r="S322" i="7"/>
  <c r="H267" i="16"/>
  <c r="H143" i="15"/>
  <c r="H144" i="15"/>
  <c r="H117" i="10"/>
  <c r="H272" i="16" s="1"/>
  <c r="E13" i="15"/>
  <c r="K97" i="16"/>
  <c r="K78" i="15"/>
  <c r="T41" i="14"/>
  <c r="T408" i="15" s="1"/>
  <c r="T296" i="12"/>
  <c r="T347" i="17" s="1"/>
  <c r="T272" i="12"/>
  <c r="T202" i="17" s="1"/>
  <c r="T39" i="10"/>
  <c r="H63" i="11"/>
  <c r="H65" i="11" s="1"/>
  <c r="I181" i="16"/>
  <c r="I112" i="15"/>
  <c r="I110" i="15"/>
  <c r="I111" i="15" s="1"/>
  <c r="Q444" i="16"/>
  <c r="R209" i="15"/>
  <c r="O131" i="12"/>
  <c r="O1067" i="17" s="1"/>
  <c r="O1068" i="17" s="1"/>
  <c r="J156" i="16"/>
  <c r="K288" i="7"/>
  <c r="J153" i="16"/>
  <c r="R16" i="11"/>
  <c r="R496" i="17"/>
  <c r="R497" i="17" s="1"/>
  <c r="E501" i="17"/>
  <c r="T502" i="17"/>
  <c r="M40" i="11"/>
  <c r="M182" i="11" s="1"/>
  <c r="H627" i="16"/>
  <c r="H277" i="15"/>
  <c r="H302" i="7"/>
  <c r="H199" i="12"/>
  <c r="T1029" i="17"/>
  <c r="T1030" i="17" s="1"/>
  <c r="T561" i="16"/>
  <c r="T255" i="7"/>
  <c r="T18" i="12" s="1"/>
  <c r="T102" i="6"/>
  <c r="T251" i="15"/>
  <c r="T104" i="6"/>
  <c r="T122" i="12"/>
  <c r="T193" i="12"/>
  <c r="T234" i="12"/>
  <c r="H193" i="16"/>
  <c r="H115" i="15"/>
  <c r="I329" i="7"/>
  <c r="H335" i="7"/>
  <c r="H193" i="11"/>
  <c r="S182" i="11"/>
  <c r="S731" i="17" s="1"/>
  <c r="S732" i="17" s="1"/>
  <c r="N219" i="11"/>
  <c r="N546" i="17" s="1"/>
  <c r="N547" i="17" s="1"/>
  <c r="N17" i="11"/>
  <c r="N38" i="13"/>
  <c r="N256" i="7"/>
  <c r="N332" i="7"/>
  <c r="N243" i="11"/>
  <c r="N686" i="17" s="1"/>
  <c r="N687" i="17" s="1"/>
  <c r="Q594" i="16"/>
  <c r="Q264" i="15"/>
  <c r="Q196" i="12"/>
  <c r="R477" i="16"/>
  <c r="S222" i="15"/>
  <c r="S579" i="16"/>
  <c r="S256" i="15"/>
  <c r="S574" i="16" s="1"/>
  <c r="S282" i="7"/>
  <c r="S880" i="16"/>
  <c r="P78" i="15"/>
  <c r="P97" i="16"/>
  <c r="O250" i="12"/>
  <c r="P18" i="9"/>
  <c r="O199" i="11"/>
  <c r="L983" i="17"/>
  <c r="L984" i="17" s="1"/>
  <c r="L114" i="12"/>
  <c r="L986" i="17" s="1"/>
  <c r="L987" i="17" s="1"/>
  <c r="L116" i="12"/>
  <c r="L989" i="17" s="1"/>
  <c r="L990" i="17" s="1"/>
  <c r="O983" i="17"/>
  <c r="O984" i="17" s="1"/>
  <c r="O114" i="12"/>
  <c r="O986" i="17" s="1"/>
  <c r="O987" i="17" s="1"/>
  <c r="O806" i="16"/>
  <c r="O378" i="15"/>
  <c r="O821" i="16" s="1"/>
  <c r="R40" i="11"/>
  <c r="R182" i="11" s="1"/>
  <c r="R731" i="17" s="1"/>
  <c r="R732" i="17" s="1"/>
  <c r="N40" i="11"/>
  <c r="N182" i="11" s="1"/>
  <c r="O355" i="15"/>
  <c r="O360" i="15" s="1"/>
  <c r="O64" i="16"/>
  <c r="O65" i="15"/>
  <c r="R111" i="15"/>
  <c r="R91" i="12"/>
  <c r="J97" i="16"/>
  <c r="J78" i="15"/>
  <c r="J627" i="16"/>
  <c r="J277" i="15"/>
  <c r="J199" i="12"/>
  <c r="I1029" i="17"/>
  <c r="I1030" i="17" s="1"/>
  <c r="I255" i="7"/>
  <c r="I18" i="12" s="1"/>
  <c r="I102" i="6"/>
  <c r="I561" i="16"/>
  <c r="I251" i="15"/>
  <c r="I122" i="12"/>
  <c r="I104" i="6"/>
  <c r="I193" i="12"/>
  <c r="I234" i="12"/>
  <c r="N143" i="15"/>
  <c r="N117" i="10"/>
  <c r="N272" i="16" s="1"/>
  <c r="N267" i="16"/>
  <c r="I161" i="12"/>
  <c r="I1223" i="17" s="1"/>
  <c r="I1224" i="17" s="1"/>
  <c r="P594" i="16"/>
  <c r="P264" i="15"/>
  <c r="P196" i="12"/>
  <c r="N97" i="16"/>
  <c r="N78" i="15"/>
  <c r="P9" i="9"/>
  <c r="P10" i="9"/>
  <c r="T363" i="17"/>
  <c r="E362" i="17"/>
  <c r="Q111" i="15"/>
  <c r="S38" i="13"/>
  <c r="S332" i="7"/>
  <c r="S219" i="11"/>
  <c r="S546" i="17" s="1"/>
  <c r="S547" i="17" s="1"/>
  <c r="S243" i="11"/>
  <c r="S686" i="17" s="1"/>
  <c r="S687" i="17" s="1"/>
  <c r="S17" i="11"/>
  <c r="S511" i="17" s="1"/>
  <c r="S512" i="17" s="1"/>
  <c r="Q143" i="15"/>
  <c r="Q117" i="10"/>
  <c r="Q272" i="16" s="1"/>
  <c r="Q267" i="16"/>
  <c r="M516" i="17"/>
  <c r="M517" i="17" s="1"/>
  <c r="M33" i="13"/>
  <c r="M241" i="11"/>
  <c r="M17" i="12"/>
  <c r="M181" i="11"/>
  <c r="O343" i="15"/>
  <c r="O47" i="10"/>
  <c r="O79" i="10"/>
  <c r="O132" i="11"/>
  <c r="O183" i="12"/>
  <c r="G966" i="17"/>
  <c r="G1272" i="17" s="1"/>
  <c r="R193" i="16"/>
  <c r="R115" i="15"/>
  <c r="T373" i="16"/>
  <c r="T182" i="15"/>
  <c r="H16" i="15" s="1"/>
  <c r="T120" i="10"/>
  <c r="T378" i="16" s="1"/>
  <c r="E16" i="15"/>
  <c r="N856" i="17"/>
  <c r="N857" i="17" s="1"/>
  <c r="S739" i="16"/>
  <c r="T305" i="7"/>
  <c r="S736" i="16"/>
  <c r="S627" i="16"/>
  <c r="S277" i="15"/>
  <c r="S199" i="12"/>
  <c r="K731" i="17"/>
  <c r="K732" i="17" s="1"/>
  <c r="K184" i="11"/>
  <c r="K27" i="11" s="1"/>
  <c r="N594" i="16"/>
  <c r="N264" i="15"/>
  <c r="O364" i="16"/>
  <c r="P294" i="7"/>
  <c r="O367" i="16"/>
  <c r="I113" i="12"/>
  <c r="I115" i="12"/>
  <c r="Q78" i="15"/>
  <c r="Q97" i="16"/>
  <c r="P731" i="17"/>
  <c r="P732" i="17" s="1"/>
  <c r="R1029" i="17"/>
  <c r="R1030" i="17" s="1"/>
  <c r="R255" i="7"/>
  <c r="R102" i="6"/>
  <c r="R561" i="16"/>
  <c r="R122" i="12"/>
  <c r="R251" i="15"/>
  <c r="R104" i="6"/>
  <c r="R234" i="12"/>
  <c r="R193" i="12"/>
  <c r="I162" i="16"/>
  <c r="I104" i="15"/>
  <c r="P51" i="9"/>
  <c r="P50" i="9"/>
  <c r="P56" i="9"/>
  <c r="S248" i="15"/>
  <c r="R543" i="16"/>
  <c r="O856" i="17"/>
  <c r="O857" i="17" s="1"/>
  <c r="F1226" i="17"/>
  <c r="Q193" i="16"/>
  <c r="Q115" i="15"/>
  <c r="J219" i="11"/>
  <c r="J546" i="17" s="1"/>
  <c r="J547" i="17" s="1"/>
  <c r="J332" i="7"/>
  <c r="J38" i="13"/>
  <c r="J256" i="7"/>
  <c r="J17" i="11"/>
  <c r="J243" i="11"/>
  <c r="J686" i="17" s="1"/>
  <c r="J687" i="17" s="1"/>
  <c r="L901" i="16"/>
  <c r="J261" i="16"/>
  <c r="J258" i="16"/>
  <c r="K291" i="7"/>
  <c r="R111" i="12"/>
  <c r="R963" i="17" s="1"/>
  <c r="R964" i="17" s="1"/>
  <c r="J91" i="16"/>
  <c r="J88" i="16"/>
  <c r="K286" i="7"/>
  <c r="J147" i="11"/>
  <c r="J175" i="11" s="1"/>
  <c r="S64" i="16"/>
  <c r="S355" i="15"/>
  <c r="S360" i="15" s="1"/>
  <c r="S65" i="15"/>
  <c r="K983" i="17"/>
  <c r="K984" i="17" s="1"/>
  <c r="K116" i="12"/>
  <c r="K989" i="17" s="1"/>
  <c r="K990" i="17" s="1"/>
  <c r="K114" i="12"/>
  <c r="K986" i="17" s="1"/>
  <c r="K987" i="17" s="1"/>
  <c r="J146" i="11"/>
  <c r="N1029" i="17"/>
  <c r="N1030" i="17" s="1"/>
  <c r="N102" i="6"/>
  <c r="N255" i="7"/>
  <c r="N18" i="12" s="1"/>
  <c r="N561" i="16"/>
  <c r="N104" i="6"/>
  <c r="N251" i="15"/>
  <c r="N122" i="12"/>
  <c r="N193" i="12"/>
  <c r="N234" i="12"/>
  <c r="N1323" i="17" s="1"/>
  <c r="N1324" i="17" s="1"/>
  <c r="M856" i="17"/>
  <c r="M857" i="17" s="1"/>
  <c r="J856" i="17"/>
  <c r="J857" i="17" s="1"/>
  <c r="E717" i="17"/>
  <c r="G718" i="17" s="1"/>
  <c r="F714" i="17"/>
  <c r="F814" i="17" s="1"/>
  <c r="E714" i="17"/>
  <c r="E814" i="17" s="1"/>
  <c r="G714" i="17"/>
  <c r="G814" i="17" s="1"/>
  <c r="T53" i="11"/>
  <c r="T55" i="11"/>
  <c r="T182" i="11" s="1"/>
  <c r="T731" i="17" s="1"/>
  <c r="T704" i="16"/>
  <c r="T701" i="16"/>
  <c r="J1029" i="17"/>
  <c r="J1030" i="17" s="1"/>
  <c r="J561" i="16"/>
  <c r="J102" i="6"/>
  <c r="J255" i="7"/>
  <c r="J18" i="12" s="1"/>
  <c r="J251" i="15"/>
  <c r="J122" i="12"/>
  <c r="J104" i="6"/>
  <c r="J193" i="12"/>
  <c r="J234" i="12"/>
  <c r="K161" i="12"/>
  <c r="K1223" i="17" s="1"/>
  <c r="K1224" i="17" s="1"/>
  <c r="K594" i="16"/>
  <c r="K264" i="15"/>
  <c r="K196" i="12"/>
  <c r="P355" i="15"/>
  <c r="P360" i="15" s="1"/>
  <c r="P64" i="16"/>
  <c r="P65" i="15"/>
  <c r="P417" i="15"/>
  <c r="H859" i="17"/>
  <c r="H860" i="17" s="1"/>
  <c r="H233" i="12"/>
  <c r="S62" i="11"/>
  <c r="S64" i="11"/>
  <c r="M594" i="16"/>
  <c r="M264" i="15"/>
  <c r="M196" i="12"/>
  <c r="M65" i="11"/>
  <c r="M63" i="11"/>
  <c r="M64" i="16"/>
  <c r="M355" i="15"/>
  <c r="M360" i="15" s="1"/>
  <c r="M65" i="15"/>
  <c r="O267" i="16"/>
  <c r="O143" i="15"/>
  <c r="O117" i="10"/>
  <c r="O272" i="16" s="1"/>
  <c r="P516" i="17"/>
  <c r="P517" i="17" s="1"/>
  <c r="P17" i="12"/>
  <c r="P33" i="13"/>
  <c r="P241" i="11"/>
  <c r="F13" i="16"/>
  <c r="K239" i="16"/>
  <c r="C145" i="1"/>
  <c r="R34" i="12"/>
  <c r="R283" i="7"/>
  <c r="S856" i="17"/>
  <c r="S857" i="17" s="1"/>
  <c r="L63" i="11"/>
  <c r="L65" i="11"/>
  <c r="P1029" i="17"/>
  <c r="P1030" i="17" s="1"/>
  <c r="P561" i="16"/>
  <c r="P255" i="7"/>
  <c r="P102" i="6"/>
  <c r="P122" i="12"/>
  <c r="P104" i="6"/>
  <c r="P251" i="15"/>
  <c r="P234" i="12"/>
  <c r="P193" i="12"/>
  <c r="L856" i="17"/>
  <c r="L857" i="17" s="1"/>
  <c r="I190" i="16"/>
  <c r="I186" i="16"/>
  <c r="J289" i="7"/>
  <c r="S115" i="12"/>
  <c r="S113" i="12"/>
  <c r="R65" i="11"/>
  <c r="R63" i="11"/>
  <c r="R157" i="15"/>
  <c r="Q303" i="16"/>
  <c r="S1029" i="17"/>
  <c r="S1030" i="17" s="1"/>
  <c r="S561" i="16"/>
  <c r="S255" i="7"/>
  <c r="S18" i="12" s="1"/>
  <c r="S102" i="6"/>
  <c r="S251" i="15"/>
  <c r="S104" i="6"/>
  <c r="S122" i="12"/>
  <c r="S193" i="12"/>
  <c r="S234" i="12"/>
  <c r="T594" i="16"/>
  <c r="T264" i="15"/>
  <c r="T196" i="12"/>
  <c r="S110" i="15"/>
  <c r="S111" i="15" s="1"/>
  <c r="S181" i="16"/>
  <c r="S112" i="15"/>
  <c r="N104" i="15"/>
  <c r="N162" i="16"/>
  <c r="N859" i="17"/>
  <c r="N860" i="17" s="1"/>
  <c r="N233" i="12"/>
  <c r="R137" i="17"/>
  <c r="R138" i="17" s="1"/>
  <c r="R869" i="16"/>
  <c r="R30" i="14"/>
  <c r="R64" i="12"/>
  <c r="R11" i="12"/>
  <c r="L111" i="12"/>
  <c r="L963" i="17" s="1"/>
  <c r="L964" i="17" s="1"/>
  <c r="N62" i="11"/>
  <c r="N64" i="11"/>
  <c r="Q131" i="12"/>
  <c r="Q1067" i="17" s="1"/>
  <c r="Q1068" i="17" s="1"/>
  <c r="T110" i="15"/>
  <c r="T181" i="16"/>
  <c r="T112" i="15"/>
  <c r="T111" i="15"/>
  <c r="E1174" i="17"/>
  <c r="E1280" i="17" s="1"/>
  <c r="F1280" i="17"/>
  <c r="K285" i="7"/>
  <c r="J55" i="16"/>
  <c r="J58" i="16"/>
  <c r="I131" i="16"/>
  <c r="J92" i="15"/>
  <c r="Q147" i="17"/>
  <c r="Q148" i="17" s="1"/>
  <c r="Q67" i="12"/>
  <c r="M561" i="16"/>
  <c r="M1029" i="17"/>
  <c r="M1030" i="17" s="1"/>
  <c r="M255" i="7"/>
  <c r="M102" i="6"/>
  <c r="M104" i="6"/>
  <c r="M122" i="12"/>
  <c r="M251" i="15"/>
  <c r="M234" i="12"/>
  <c r="M193" i="12"/>
  <c r="M104" i="15"/>
  <c r="M162" i="16"/>
  <c r="L594" i="16"/>
  <c r="L264" i="15"/>
  <c r="L196" i="12"/>
  <c r="P193" i="16"/>
  <c r="P115" i="15"/>
  <c r="T115" i="12"/>
  <c r="T113" i="12"/>
  <c r="O104" i="15"/>
  <c r="O162" i="16"/>
  <c r="P104" i="15"/>
  <c r="P162" i="16"/>
  <c r="T572" i="17"/>
  <c r="E571" i="17"/>
  <c r="K162" i="16"/>
  <c r="K104" i="15"/>
  <c r="Q627" i="16"/>
  <c r="Q277" i="15"/>
  <c r="Q199" i="12"/>
  <c r="Q104" i="15"/>
  <c r="Q162" i="16"/>
  <c r="Q63" i="11"/>
  <c r="Q65" i="11" s="1"/>
  <c r="T203" i="12"/>
  <c r="T204" i="12"/>
  <c r="T64" i="11"/>
  <c r="T62" i="11"/>
  <c r="L40" i="11"/>
  <c r="L182" i="11" s="1"/>
  <c r="T332" i="16"/>
  <c r="T329" i="16"/>
  <c r="J64" i="11"/>
  <c r="J62" i="11"/>
  <c r="K856" i="17"/>
  <c r="K857" i="17" s="1"/>
  <c r="H97" i="16"/>
  <c r="H78" i="15"/>
  <c r="E8" i="15"/>
  <c r="H79" i="15"/>
  <c r="L374" i="16"/>
  <c r="M183" i="15"/>
  <c r="T296" i="16"/>
  <c r="T293" i="16"/>
  <c r="T65" i="15"/>
  <c r="T355" i="15"/>
  <c r="T360" i="15" s="1"/>
  <c r="T64" i="16"/>
  <c r="E566" i="17"/>
  <c r="T567" i="17"/>
  <c r="R983" i="17"/>
  <c r="R984" i="17" s="1"/>
  <c r="R114" i="12"/>
  <c r="R986" i="17" s="1"/>
  <c r="R987" i="17" s="1"/>
  <c r="R116" i="12"/>
  <c r="R989" i="17" s="1"/>
  <c r="R990" i="17" s="1"/>
  <c r="J65" i="15"/>
  <c r="J64" i="16"/>
  <c r="J355" i="15"/>
  <c r="J360" i="15" s="1"/>
  <c r="E20" i="16"/>
  <c r="G19" i="15"/>
  <c r="D481" i="16"/>
  <c r="K131" i="12"/>
  <c r="K1067" i="17" s="1"/>
  <c r="K1068" i="17" s="1"/>
  <c r="G1044" i="17" s="1"/>
  <c r="G1275" i="17" s="1"/>
  <c r="N627" i="16"/>
  <c r="N277" i="15"/>
  <c r="N199" i="12"/>
  <c r="Q1029" i="17"/>
  <c r="Q1030" i="17" s="1"/>
  <c r="Q255" i="7"/>
  <c r="Q561" i="16"/>
  <c r="Q102" i="6"/>
  <c r="Q251" i="15"/>
  <c r="Q104" i="6"/>
  <c r="Q122" i="12"/>
  <c r="Q193" i="12"/>
  <c r="Q234" i="12"/>
  <c r="Q1323" i="17" s="1"/>
  <c r="Q1324" i="17" s="1"/>
  <c r="R104" i="15"/>
  <c r="R162" i="16"/>
  <c r="I53" i="16"/>
  <c r="E637" i="17"/>
  <c r="F634" i="17"/>
  <c r="F798" i="17" s="1"/>
  <c r="E634" i="17"/>
  <c r="E798" i="17" s="1"/>
  <c r="G634" i="17"/>
  <c r="G798" i="17" s="1"/>
  <c r="P859" i="17"/>
  <c r="P860" i="17" s="1"/>
  <c r="P233" i="12"/>
  <c r="K111" i="12"/>
  <c r="K963" i="17" s="1"/>
  <c r="K964" i="17" s="1"/>
  <c r="T221" i="11"/>
  <c r="T551" i="17" s="1"/>
  <c r="T71" i="10"/>
  <c r="T41" i="13"/>
  <c r="T419" i="15" s="1"/>
  <c r="T245" i="11"/>
  <c r="T696" i="17" s="1"/>
  <c r="L121" i="16"/>
  <c r="M287" i="7"/>
  <c r="L124" i="16"/>
  <c r="K117" i="10"/>
  <c r="K272" i="16" s="1"/>
  <c r="K267" i="16"/>
  <c r="K143" i="15"/>
  <c r="O511" i="17"/>
  <c r="O512" i="17" s="1"/>
  <c r="O18" i="11"/>
  <c r="I911" i="16"/>
  <c r="I913" i="16" s="1"/>
  <c r="K901" i="16"/>
  <c r="K53" i="16"/>
  <c r="K511" i="17"/>
  <c r="K512" i="17" s="1"/>
  <c r="K18" i="11"/>
  <c r="S594" i="16"/>
  <c r="S264" i="15"/>
  <c r="M193" i="16"/>
  <c r="M115" i="15"/>
  <c r="Q711" i="16"/>
  <c r="R313" i="15"/>
  <c r="Q40" i="11"/>
  <c r="Q182" i="11" s="1"/>
  <c r="L516" i="17"/>
  <c r="L517" i="17" s="1"/>
  <c r="L33" i="13"/>
  <c r="L241" i="11"/>
  <c r="L17" i="12"/>
  <c r="I332" i="7"/>
  <c r="I38" i="13"/>
  <c r="I256" i="7"/>
  <c r="I219" i="11"/>
  <c r="I546" i="17" s="1"/>
  <c r="I547" i="17" s="1"/>
  <c r="I17" i="11"/>
  <c r="I243" i="11"/>
  <c r="I686" i="17" s="1"/>
  <c r="I687" i="17" s="1"/>
  <c r="M97" i="16"/>
  <c r="M78" i="15"/>
  <c r="F1096" i="17"/>
  <c r="R131" i="12"/>
  <c r="R1067" i="17" s="1"/>
  <c r="R1068" i="17" s="1"/>
  <c r="P627" i="16"/>
  <c r="P277" i="15"/>
  <c r="P199" i="12"/>
  <c r="R158" i="11"/>
  <c r="R159" i="11"/>
  <c r="M226" i="16"/>
  <c r="M222" i="16"/>
  <c r="N290" i="7"/>
  <c r="Q35" i="12"/>
  <c r="Q36" i="12" s="1"/>
  <c r="Q112" i="10"/>
  <c r="Q113" i="10" s="1"/>
  <c r="Q881" i="16"/>
  <c r="S97" i="16"/>
  <c r="S78" i="15"/>
  <c r="P510" i="16"/>
  <c r="Q235" i="15"/>
  <c r="I856" i="17"/>
  <c r="I857" i="17" s="1"/>
  <c r="L627" i="16"/>
  <c r="L277" i="15"/>
  <c r="L199" i="12"/>
  <c r="H511" i="17"/>
  <c r="H512" i="17" s="1"/>
  <c r="H18" i="11"/>
  <c r="L267" i="16"/>
  <c r="L143" i="15"/>
  <c r="L117" i="10"/>
  <c r="L272" i="16" s="1"/>
  <c r="O594" i="16"/>
  <c r="O264" i="15"/>
  <c r="O196" i="12"/>
  <c r="L162" i="16"/>
  <c r="L104" i="15"/>
  <c r="T59" i="12"/>
  <c r="T300" i="5"/>
  <c r="T217" i="4"/>
  <c r="T627" i="16"/>
  <c r="T199" i="12"/>
  <c r="T277" i="15"/>
  <c r="I594" i="16"/>
  <c r="I264" i="15"/>
  <c r="H66" i="15"/>
  <c r="H65" i="15"/>
  <c r="H417" i="15"/>
  <c r="H355" i="15"/>
  <c r="H360" i="15" s="1"/>
  <c r="E7" i="15"/>
  <c r="H64" i="16"/>
  <c r="T38" i="13"/>
  <c r="T243" i="11"/>
  <c r="T686" i="17" s="1"/>
  <c r="T332" i="7"/>
  <c r="T219" i="11"/>
  <c r="T546" i="17" s="1"/>
  <c r="T17" i="11"/>
  <c r="T511" i="17" s="1"/>
  <c r="K63" i="11"/>
  <c r="K65" i="11" s="1"/>
  <c r="O627" i="16"/>
  <c r="O277" i="15"/>
  <c r="O199" i="12"/>
  <c r="L91" i="12"/>
  <c r="N112" i="15"/>
  <c r="N181" i="16"/>
  <c r="N110" i="15"/>
  <c r="N64" i="16"/>
  <c r="N355" i="15"/>
  <c r="N360" i="15" s="1"/>
  <c r="N65" i="15"/>
  <c r="I731" i="17"/>
  <c r="I732" i="17" s="1"/>
  <c r="I184" i="11"/>
  <c r="I27" i="11" s="1"/>
  <c r="M859" i="17"/>
  <c r="M860" i="17" s="1"/>
  <c r="M233" i="12"/>
  <c r="R627" i="16"/>
  <c r="R199" i="12"/>
  <c r="R277" i="15"/>
  <c r="J267" i="16"/>
  <c r="J143" i="15"/>
  <c r="J117" i="10"/>
  <c r="J272" i="16" s="1"/>
  <c r="R594" i="16"/>
  <c r="R264" i="15"/>
  <c r="R196" i="12"/>
  <c r="R143" i="15"/>
  <c r="R117" i="10"/>
  <c r="R272" i="16" s="1"/>
  <c r="R267" i="16"/>
  <c r="S362" i="17"/>
  <c r="S363" i="17" s="1"/>
  <c r="S886" i="16"/>
  <c r="S116" i="8"/>
  <c r="M267" i="16"/>
  <c r="M143" i="15"/>
  <c r="M117" i="10"/>
  <c r="M272" i="16" s="1"/>
  <c r="J113" i="12"/>
  <c r="J115" i="12"/>
  <c r="I97" i="16"/>
  <c r="I78" i="15"/>
  <c r="M627" i="16"/>
  <c r="M277" i="15"/>
  <c r="M199" i="12"/>
  <c r="Q161" i="12"/>
  <c r="Q1223" i="17" s="1"/>
  <c r="Q1224" i="17" s="1"/>
  <c r="F1200" i="17" s="1"/>
  <c r="S106" i="12"/>
  <c r="S937" i="17" s="1"/>
  <c r="S938" i="17" s="1"/>
  <c r="T931" i="17"/>
  <c r="T932" i="17" s="1"/>
  <c r="T104" i="12"/>
  <c r="T106" i="12"/>
  <c r="Q506" i="17"/>
  <c r="Q507" i="17" s="1"/>
  <c r="Q900" i="16"/>
  <c r="Q32" i="11"/>
  <c r="Q31" i="13"/>
  <c r="Q32" i="13" s="1"/>
  <c r="Q18" i="11"/>
  <c r="Q69" i="10"/>
  <c r="Q13" i="12"/>
  <c r="Q30" i="11"/>
  <c r="O193" i="16"/>
  <c r="O115" i="15"/>
  <c r="O417" i="15" s="1"/>
  <c r="N115" i="12"/>
  <c r="N113" i="12"/>
  <c r="O97" i="16"/>
  <c r="O78" i="15"/>
  <c r="H418" i="15"/>
  <c r="P131" i="12"/>
  <c r="P1067" i="17" s="1"/>
  <c r="P1068" i="17" s="1"/>
  <c r="R64" i="16"/>
  <c r="R355" i="15"/>
  <c r="R360" i="15" s="1"/>
  <c r="R65" i="15"/>
  <c r="R417" i="15"/>
  <c r="J110" i="15"/>
  <c r="J112" i="15"/>
  <c r="J181" i="16"/>
  <c r="N53" i="16"/>
  <c r="J91" i="12"/>
  <c r="O111" i="15"/>
  <c r="O184" i="16" s="1"/>
  <c r="E268" i="17"/>
  <c r="G265" i="17"/>
  <c r="G445" i="17" s="1"/>
  <c r="E265" i="17"/>
  <c r="E445" i="17" s="1"/>
  <c r="F265" i="17"/>
  <c r="F445" i="17" s="1"/>
  <c r="T645" i="16"/>
  <c r="T282" i="15"/>
  <c r="T640" i="16" s="1"/>
  <c r="T367" i="17"/>
  <c r="T295" i="12"/>
  <c r="T342" i="17" s="1"/>
  <c r="T322" i="7"/>
  <c r="T39" i="14"/>
  <c r="T274" i="12"/>
  <c r="T158" i="10"/>
  <c r="T41" i="10"/>
  <c r="E9" i="10"/>
  <c r="E11" i="10" s="1"/>
  <c r="P181" i="11"/>
  <c r="M131" i="12"/>
  <c r="M1067" i="17" s="1"/>
  <c r="M1068" i="17" s="1"/>
  <c r="T1304" i="17"/>
  <c r="H983" i="17"/>
  <c r="H984" i="17" s="1"/>
  <c r="H114" i="12"/>
  <c r="H986" i="17" s="1"/>
  <c r="H987" i="17" s="1"/>
  <c r="H856" i="17"/>
  <c r="H857" i="17" s="1"/>
  <c r="K193" i="16"/>
  <c r="K115" i="15"/>
  <c r="Q859" i="17"/>
  <c r="Q860" i="17" s="1"/>
  <c r="Q233" i="12"/>
  <c r="Q111" i="12"/>
  <c r="Q963" i="17" s="1"/>
  <c r="Q964" i="17" s="1"/>
  <c r="S245" i="11"/>
  <c r="S696" i="17" s="1"/>
  <c r="S697" i="17" s="1"/>
  <c r="S71" i="10"/>
  <c r="S221" i="11"/>
  <c r="S551" i="17" s="1"/>
  <c r="S552" i="17" s="1"/>
  <c r="S41" i="13"/>
  <c r="S419" i="15" s="1"/>
  <c r="I627" i="16"/>
  <c r="I277" i="15"/>
  <c r="I199" i="12"/>
  <c r="T669" i="16"/>
  <c r="T666" i="16"/>
  <c r="H1029" i="17"/>
  <c r="H1030" i="17" s="1"/>
  <c r="H255" i="7"/>
  <c r="H102" i="6"/>
  <c r="H561" i="16"/>
  <c r="H122" i="12"/>
  <c r="H104" i="6"/>
  <c r="H251" i="15"/>
  <c r="H300" i="7"/>
  <c r="H234" i="12"/>
  <c r="H193" i="12"/>
  <c r="T579" i="16"/>
  <c r="T256" i="15"/>
  <c r="T574" i="16" s="1"/>
  <c r="T282" i="7"/>
  <c r="T880" i="16"/>
  <c r="J161" i="12"/>
  <c r="J1223" i="17" s="1"/>
  <c r="J1224" i="17" s="1"/>
  <c r="E617" i="17"/>
  <c r="F614" i="17"/>
  <c r="F794" i="17" s="1"/>
  <c r="G614" i="17"/>
  <c r="G794" i="17" s="1"/>
  <c r="E614" i="17"/>
  <c r="E794" i="17" s="1"/>
  <c r="P856" i="17"/>
  <c r="P857" i="17" s="1"/>
  <c r="Q983" i="17"/>
  <c r="Q984" i="17" s="1"/>
  <c r="Q114" i="12"/>
  <c r="Q986" i="17" s="1"/>
  <c r="Q987" i="17" s="1"/>
  <c r="Q116" i="12"/>
  <c r="Q989" i="17" s="1"/>
  <c r="Q990" i="17" s="1"/>
  <c r="J594" i="16"/>
  <c r="J264" i="15"/>
  <c r="K111" i="15"/>
  <c r="K184" i="16" s="1"/>
  <c r="Q856" i="17"/>
  <c r="Q857" i="17" s="1"/>
  <c r="S774" i="16"/>
  <c r="S771" i="16"/>
  <c r="T306" i="7"/>
  <c r="M161" i="12"/>
  <c r="M1223" i="17" s="1"/>
  <c r="M1224" i="17" s="1"/>
  <c r="I65" i="15"/>
  <c r="I355" i="15"/>
  <c r="I360" i="15" s="1"/>
  <c r="I64" i="16"/>
  <c r="K131" i="15"/>
  <c r="J233" i="16"/>
  <c r="T166" i="12"/>
  <c r="T1249" i="17" s="1"/>
  <c r="T1250" i="17" s="1"/>
  <c r="G1226" i="17" s="1"/>
  <c r="G1282" i="17" s="1"/>
  <c r="M111" i="15"/>
  <c r="I147" i="11"/>
  <c r="I175" i="11" s="1"/>
  <c r="J53" i="16"/>
  <c r="S486" i="17"/>
  <c r="S487" i="17" s="1"/>
  <c r="S897" i="16"/>
  <c r="S30" i="13"/>
  <c r="S13" i="11"/>
  <c r="S9" i="12"/>
  <c r="R676" i="16"/>
  <c r="S300" i="15"/>
  <c r="L193" i="16"/>
  <c r="L115" i="15"/>
  <c r="L417" i="15" s="1"/>
  <c r="M983" i="17"/>
  <c r="M984" i="17" s="1"/>
  <c r="M114" i="12"/>
  <c r="M986" i="17" s="1"/>
  <c r="M987" i="17" s="1"/>
  <c r="M116" i="12"/>
  <c r="M989" i="17" s="1"/>
  <c r="M990" i="17" s="1"/>
  <c r="J162" i="16"/>
  <c r="J104" i="15"/>
  <c r="R781" i="16"/>
  <c r="S339" i="15"/>
  <c r="J40" i="11"/>
  <c r="J182" i="11" s="1"/>
  <c r="T612" i="16"/>
  <c r="T269" i="15"/>
  <c r="T607" i="16" s="1"/>
  <c r="E692" i="17"/>
  <c r="G693" i="17" s="1"/>
  <c r="E689" i="17"/>
  <c r="E809" i="17" s="1"/>
  <c r="G689" i="17"/>
  <c r="G809" i="17" s="1"/>
  <c r="F689" i="17"/>
  <c r="F809" i="17" s="1"/>
  <c r="H111" i="12"/>
  <c r="H963" i="17" s="1"/>
  <c r="H964" i="17" s="1"/>
  <c r="R409" i="16"/>
  <c r="S196" i="15"/>
  <c r="E711" i="17"/>
  <c r="T712" i="17"/>
  <c r="H138" i="11"/>
  <c r="H179" i="11" s="1"/>
  <c r="R217" i="17"/>
  <c r="R218" i="17" s="1"/>
  <c r="R276" i="12"/>
  <c r="R222" i="17" s="1"/>
  <c r="R223" i="17" s="1"/>
  <c r="P63" i="11"/>
  <c r="P65" i="11" s="1"/>
  <c r="P267" i="16"/>
  <c r="P143" i="15"/>
  <c r="P117" i="10"/>
  <c r="P272" i="16" s="1"/>
  <c r="I196" i="12"/>
  <c r="S59" i="12"/>
  <c r="S217" i="4"/>
  <c r="S300" i="5"/>
  <c r="R170" i="15"/>
  <c r="Q339" i="16"/>
  <c r="I91" i="12"/>
  <c r="H311" i="7"/>
  <c r="R12" i="12"/>
  <c r="G618" i="17" l="1"/>
  <c r="G289" i="17"/>
  <c r="G269" i="17"/>
  <c r="G638" i="17"/>
  <c r="K380" i="16"/>
  <c r="F17" i="16"/>
  <c r="I184" i="16"/>
  <c r="I901" i="16"/>
  <c r="S184" i="16"/>
  <c r="F1281" i="17"/>
  <c r="E1200" i="17"/>
  <c r="E1281" i="17" s="1"/>
  <c r="L905" i="16"/>
  <c r="O905" i="16"/>
  <c r="R256" i="7"/>
  <c r="R18" i="12"/>
  <c r="M676" i="17"/>
  <c r="M677" i="17" s="1"/>
  <c r="M242" i="11"/>
  <c r="M681" i="17" s="1"/>
  <c r="M682" i="17" s="1"/>
  <c r="E712" i="17"/>
  <c r="F709" i="17"/>
  <c r="F813" i="17" s="1"/>
  <c r="E709" i="17"/>
  <c r="E813" i="17" s="1"/>
  <c r="G709" i="17"/>
  <c r="G813" i="17" s="1"/>
  <c r="K196" i="16"/>
  <c r="K117" i="15"/>
  <c r="K115" i="10"/>
  <c r="L731" i="17"/>
  <c r="L732" i="17" s="1"/>
  <c r="L184" i="11"/>
  <c r="L27" i="11" s="1"/>
  <c r="S1323" i="17"/>
  <c r="S1324" i="17" s="1"/>
  <c r="P18" i="12"/>
  <c r="P256" i="7"/>
  <c r="K595" i="16"/>
  <c r="K266" i="15"/>
  <c r="K597" i="16" s="1"/>
  <c r="K267" i="15"/>
  <c r="K598" i="16" s="1"/>
  <c r="K268" i="15"/>
  <c r="E363" i="17"/>
  <c r="G364" i="17" s="1"/>
  <c r="F360" i="17"/>
  <c r="F464" i="17" s="1"/>
  <c r="E360" i="17"/>
  <c r="E464" i="17" s="1"/>
  <c r="G360" i="17"/>
  <c r="G464" i="17" s="1"/>
  <c r="T195" i="12"/>
  <c r="E153" i="17"/>
  <c r="F150" i="17"/>
  <c r="F422" i="17" s="1"/>
  <c r="G150" i="17"/>
  <c r="G422" i="17" s="1"/>
  <c r="E150" i="17"/>
  <c r="E422" i="17" s="1"/>
  <c r="T496" i="17"/>
  <c r="T16" i="11"/>
  <c r="T217" i="17"/>
  <c r="T276" i="12"/>
  <c r="T222" i="17" s="1"/>
  <c r="N183" i="15"/>
  <c r="M374" i="16"/>
  <c r="J131" i="16"/>
  <c r="K92" i="15"/>
  <c r="J186" i="16"/>
  <c r="J190" i="16"/>
  <c r="K289" i="7"/>
  <c r="K911" i="16" s="1"/>
  <c r="K913" i="16" s="1"/>
  <c r="P20" i="9"/>
  <c r="P21" i="9" s="1"/>
  <c r="Q8" i="9"/>
  <c r="N731" i="17"/>
  <c r="N732" i="17" s="1"/>
  <c r="N184" i="11"/>
  <c r="N27" i="11" s="1"/>
  <c r="O382" i="17"/>
  <c r="O383" i="17" s="1"/>
  <c r="S869" i="16"/>
  <c r="S137" i="17"/>
  <c r="S138" i="17" s="1"/>
  <c r="S30" i="14"/>
  <c r="S64" i="12"/>
  <c r="S11" i="12"/>
  <c r="S12" i="12" s="1"/>
  <c r="T34" i="12"/>
  <c r="T283" i="7"/>
  <c r="P76" i="10"/>
  <c r="P44" i="10"/>
  <c r="P19" i="9"/>
  <c r="R900" i="16"/>
  <c r="R69" i="10"/>
  <c r="R31" i="13"/>
  <c r="R32" i="13" s="1"/>
  <c r="R18" i="11"/>
  <c r="R13" i="12"/>
  <c r="R506" i="17"/>
  <c r="R507" i="17" s="1"/>
  <c r="R32" i="11"/>
  <c r="R30" i="11"/>
  <c r="N382" i="17"/>
  <c r="N383" i="17" s="1"/>
  <c r="N235" i="12"/>
  <c r="N78" i="12" s="1"/>
  <c r="M382" i="17"/>
  <c r="M383" i="17" s="1"/>
  <c r="M235" i="12"/>
  <c r="M78" i="12" s="1"/>
  <c r="M195" i="12"/>
  <c r="Q905" i="16"/>
  <c r="I628" i="16"/>
  <c r="I279" i="15"/>
  <c r="I630" i="16" s="1"/>
  <c r="I281" i="15"/>
  <c r="D69" i="16"/>
  <c r="E8" i="16"/>
  <c r="E36" i="15"/>
  <c r="G7" i="15"/>
  <c r="E43" i="15"/>
  <c r="E73" i="13" s="1"/>
  <c r="T736" i="16"/>
  <c r="T739" i="16"/>
  <c r="T348" i="17"/>
  <c r="E347" i="17"/>
  <c r="S276" i="12"/>
  <c r="S222" i="17" s="1"/>
  <c r="S223" i="17" s="1"/>
  <c r="S217" i="17"/>
  <c r="S218" i="17" s="1"/>
  <c r="S233" i="12"/>
  <c r="Q195" i="12"/>
  <c r="L285" i="7"/>
  <c r="K58" i="16"/>
  <c r="K55" i="16"/>
  <c r="K91" i="16"/>
  <c r="K88" i="16"/>
  <c r="L286" i="7"/>
  <c r="I983" i="17"/>
  <c r="I984" i="17" s="1"/>
  <c r="I114" i="12"/>
  <c r="I116" i="12"/>
  <c r="I989" i="17" s="1"/>
  <c r="I990" i="17" s="1"/>
  <c r="T774" i="16"/>
  <c r="T771" i="16"/>
  <c r="K516" i="17"/>
  <c r="K517" i="17" s="1"/>
  <c r="K33" i="13"/>
  <c r="K241" i="11"/>
  <c r="K17" i="12"/>
  <c r="K181" i="11"/>
  <c r="M123" i="12"/>
  <c r="M125" i="12"/>
  <c r="P905" i="16"/>
  <c r="I125" i="12"/>
  <c r="I123" i="12"/>
  <c r="R184" i="16"/>
  <c r="R444" i="16"/>
  <c r="S209" i="15"/>
  <c r="H905" i="16"/>
  <c r="I13" i="15"/>
  <c r="P382" i="17"/>
  <c r="P383" i="17" s="1"/>
  <c r="P195" i="12"/>
  <c r="K146" i="11"/>
  <c r="K147" i="11"/>
  <c r="K175" i="11" s="1"/>
  <c r="F1282" i="17"/>
  <c r="E1226" i="17"/>
  <c r="E1282" i="17" s="1"/>
  <c r="P367" i="16"/>
  <c r="P364" i="16"/>
  <c r="Q294" i="7"/>
  <c r="I562" i="16"/>
  <c r="I255" i="15"/>
  <c r="I253" i="15"/>
  <c r="I564" i="16" s="1"/>
  <c r="H621" i="17"/>
  <c r="H622" i="17" s="1"/>
  <c r="H237" i="11"/>
  <c r="H201" i="12"/>
  <c r="H200" i="12"/>
  <c r="I200" i="12" s="1"/>
  <c r="J200" i="12" s="1"/>
  <c r="K200" i="12" s="1"/>
  <c r="L200" i="12" s="1"/>
  <c r="M200" i="12" s="1"/>
  <c r="N200" i="12" s="1"/>
  <c r="O200" i="12" s="1"/>
  <c r="P200" i="12" s="1"/>
  <c r="Q200" i="12" s="1"/>
  <c r="R200" i="12" s="1"/>
  <c r="S200" i="12" s="1"/>
  <c r="T200" i="12" s="1"/>
  <c r="T170" i="11"/>
  <c r="T171" i="11"/>
  <c r="K382" i="17"/>
  <c r="K383" i="17" s="1"/>
  <c r="K235" i="12"/>
  <c r="K78" i="12" s="1"/>
  <c r="F1044" i="17"/>
  <c r="J983" i="17"/>
  <c r="J984" i="17" s="1"/>
  <c r="J114" i="12"/>
  <c r="O266" i="15"/>
  <c r="O597" i="16" s="1"/>
  <c r="O595" i="16"/>
  <c r="O268" i="15"/>
  <c r="O267" i="15"/>
  <c r="O598" i="16" s="1"/>
  <c r="Q253" i="15"/>
  <c r="Q254" i="15"/>
  <c r="Q565" i="16" s="1"/>
  <c r="Q562" i="16"/>
  <c r="Q255" i="15"/>
  <c r="T983" i="17"/>
  <c r="T984" i="17" s="1"/>
  <c r="T114" i="12"/>
  <c r="T986" i="17" s="1"/>
  <c r="T987" i="17" s="1"/>
  <c r="T116" i="12"/>
  <c r="T989" i="17" s="1"/>
  <c r="T990" i="17" s="1"/>
  <c r="P1323" i="17"/>
  <c r="P1324" i="17" s="1"/>
  <c r="R562" i="16"/>
  <c r="R253" i="15"/>
  <c r="R254" i="15"/>
  <c r="R565" i="16" s="1"/>
  <c r="R255" i="15"/>
  <c r="O344" i="15"/>
  <c r="O345" i="15"/>
  <c r="O901" i="16" s="1"/>
  <c r="T222" i="15"/>
  <c r="T477" i="16" s="1"/>
  <c r="S477" i="16"/>
  <c r="H636" i="16"/>
  <c r="I302" i="7"/>
  <c r="H633" i="16"/>
  <c r="D274" i="16"/>
  <c r="E14" i="16"/>
  <c r="E38" i="15"/>
  <c r="G13" i="15"/>
  <c r="K201" i="12"/>
  <c r="S376" i="15"/>
  <c r="R820" i="16"/>
  <c r="T184" i="16"/>
  <c r="E502" i="17"/>
  <c r="E499" i="17"/>
  <c r="E771" i="17" s="1"/>
  <c r="G499" i="17"/>
  <c r="G771" i="17" s="1"/>
  <c r="F499" i="17"/>
  <c r="F771" i="17" s="1"/>
  <c r="E546" i="17"/>
  <c r="T547" i="17"/>
  <c r="H516" i="17"/>
  <c r="H517" i="17" s="1"/>
  <c r="H33" i="13"/>
  <c r="H37" i="13" s="1"/>
  <c r="H42" i="13" s="1"/>
  <c r="H241" i="11"/>
  <c r="H17" i="12"/>
  <c r="H181" i="11"/>
  <c r="M117" i="15"/>
  <c r="M115" i="10"/>
  <c r="M196" i="16"/>
  <c r="T193" i="16"/>
  <c r="T115" i="15"/>
  <c r="L125" i="12"/>
  <c r="L123" i="12"/>
  <c r="J595" i="16"/>
  <c r="J266" i="15"/>
  <c r="J597" i="16" s="1"/>
  <c r="J268" i="15"/>
  <c r="N183" i="16"/>
  <c r="O195" i="12"/>
  <c r="M201" i="12"/>
  <c r="E567" i="17"/>
  <c r="G568" i="17" s="1"/>
  <c r="F564" i="17"/>
  <c r="F784" i="17" s="1"/>
  <c r="E564" i="17"/>
  <c r="E784" i="17" s="1"/>
  <c r="G564" i="17"/>
  <c r="G784" i="17" s="1"/>
  <c r="N562" i="16"/>
  <c r="N255" i="15"/>
  <c r="N253" i="15"/>
  <c r="N564" i="16" s="1"/>
  <c r="N254" i="15"/>
  <c r="N565" i="16" s="1"/>
  <c r="J38" i="14"/>
  <c r="J324" i="7"/>
  <c r="J270" i="12"/>
  <c r="J197" i="17" s="1"/>
  <c r="J198" i="17" s="1"/>
  <c r="J294" i="12"/>
  <c r="J337" i="17" s="1"/>
  <c r="J338" i="17" s="1"/>
  <c r="J68" i="12"/>
  <c r="I198" i="12"/>
  <c r="T697" i="17"/>
  <c r="E696" i="17"/>
  <c r="I79" i="15"/>
  <c r="H98" i="16"/>
  <c r="T562" i="16"/>
  <c r="T253" i="15"/>
  <c r="T564" i="16" s="1"/>
  <c r="T255" i="15"/>
  <c r="T254" i="15"/>
  <c r="T565" i="16" s="1"/>
  <c r="O562" i="16"/>
  <c r="O253" i="15"/>
  <c r="O254" i="15"/>
  <c r="O565" i="16" s="1"/>
  <c r="O255" i="15"/>
  <c r="E342" i="17"/>
  <c r="T343" i="17"/>
  <c r="S158" i="11"/>
  <c r="S159" i="11"/>
  <c r="E9" i="16"/>
  <c r="D102" i="16"/>
  <c r="G8" i="15"/>
  <c r="J310" i="7"/>
  <c r="J195" i="12"/>
  <c r="J859" i="17"/>
  <c r="J860" i="17" s="1"/>
  <c r="J233" i="12"/>
  <c r="O33" i="13"/>
  <c r="O241" i="11"/>
  <c r="O17" i="12"/>
  <c r="O516" i="17"/>
  <c r="O517" i="17" s="1"/>
  <c r="O181" i="11"/>
  <c r="H382" i="17"/>
  <c r="H383" i="17" s="1"/>
  <c r="H235" i="12"/>
  <c r="H78" i="12" s="1"/>
  <c r="O123" i="12"/>
  <c r="O125" i="12"/>
  <c r="O133" i="11"/>
  <c r="O135" i="11"/>
  <c r="O184" i="11" s="1"/>
  <c r="O27" i="11" s="1"/>
  <c r="K417" i="15"/>
  <c r="T487" i="17"/>
  <c r="E486" i="17"/>
  <c r="O201" i="12"/>
  <c r="D448" i="16"/>
  <c r="G18" i="15"/>
  <c r="E19" i="16"/>
  <c r="H595" i="16"/>
  <c r="H267" i="15"/>
  <c r="H598" i="16" s="1"/>
  <c r="H266" i="15"/>
  <c r="H597" i="16" s="1"/>
  <c r="H268" i="15"/>
  <c r="O18" i="12"/>
  <c r="O256" i="7"/>
  <c r="L676" i="17"/>
  <c r="L677" i="17" s="1"/>
  <c r="L242" i="11"/>
  <c r="L681" i="17" s="1"/>
  <c r="L682" i="17" s="1"/>
  <c r="J911" i="16"/>
  <c r="J913" i="16" s="1"/>
  <c r="T937" i="17"/>
  <c r="T938" i="17" s="1"/>
  <c r="G914" i="17" s="1"/>
  <c r="G1270" i="17" s="1"/>
  <c r="T233" i="12"/>
  <c r="I334" i="7"/>
  <c r="K1323" i="17"/>
  <c r="K1324" i="17" s="1"/>
  <c r="R339" i="16"/>
  <c r="S170" i="15"/>
  <c r="J183" i="16"/>
  <c r="T512" i="17"/>
  <c r="E512" i="17" s="1"/>
  <c r="E511" i="17"/>
  <c r="R147" i="17"/>
  <c r="R148" i="17" s="1"/>
  <c r="R67" i="12"/>
  <c r="R905" i="16"/>
  <c r="T628" i="16"/>
  <c r="T281" i="15"/>
  <c r="T279" i="15"/>
  <c r="T630" i="16" s="1"/>
  <c r="T280" i="15"/>
  <c r="T631" i="16" s="1"/>
  <c r="T248" i="15"/>
  <c r="T543" i="16" s="1"/>
  <c r="S543" i="16"/>
  <c r="S272" i="12"/>
  <c r="S202" i="17" s="1"/>
  <c r="S203" i="17" s="1"/>
  <c r="S296" i="12"/>
  <c r="S347" i="17" s="1"/>
  <c r="S348" i="17" s="1"/>
  <c r="S41" i="14"/>
  <c r="S408" i="15" s="1"/>
  <c r="S39" i="10"/>
  <c r="I511" i="17"/>
  <c r="I512" i="17" s="1"/>
  <c r="I18" i="11"/>
  <c r="N628" i="16"/>
  <c r="N281" i="15"/>
  <c r="N279" i="15"/>
  <c r="N630" i="16" s="1"/>
  <c r="M595" i="16"/>
  <c r="M268" i="15"/>
  <c r="M266" i="15"/>
  <c r="M597" i="16" s="1"/>
  <c r="N125" i="12"/>
  <c r="N123" i="12"/>
  <c r="S281" i="15"/>
  <c r="S279" i="15"/>
  <c r="S630" i="16" s="1"/>
  <c r="S628" i="16"/>
  <c r="J279" i="15"/>
  <c r="J630" i="16" s="1"/>
  <c r="J628" i="16"/>
  <c r="J281" i="15"/>
  <c r="L562" i="16"/>
  <c r="L255" i="15"/>
  <c r="L253" i="15"/>
  <c r="K18" i="12"/>
  <c r="K256" i="7"/>
  <c r="T687" i="17"/>
  <c r="F684" i="17" s="1"/>
  <c r="F808" i="17" s="1"/>
  <c r="E686" i="17"/>
  <c r="S123" i="12"/>
  <c r="S125" i="12"/>
  <c r="N68" i="12"/>
  <c r="N38" i="14"/>
  <c r="N324" i="7"/>
  <c r="N270" i="12"/>
  <c r="N197" i="17" s="1"/>
  <c r="N198" i="17" s="1"/>
  <c r="N294" i="12"/>
  <c r="N337" i="17" s="1"/>
  <c r="N338" i="17" s="1"/>
  <c r="O1323" i="17"/>
  <c r="O1324" i="17" s="1"/>
  <c r="E1410" i="17"/>
  <c r="L628" i="16"/>
  <c r="L281" i="15"/>
  <c r="L279" i="15"/>
  <c r="L630" i="16" s="1"/>
  <c r="I38" i="14"/>
  <c r="I270" i="12"/>
  <c r="I197" i="17" s="1"/>
  <c r="I198" i="17" s="1"/>
  <c r="I324" i="7"/>
  <c r="I294" i="12"/>
  <c r="I337" i="17" s="1"/>
  <c r="I338" i="17" s="1"/>
  <c r="I68" i="12"/>
  <c r="F1271" i="17"/>
  <c r="E940" i="17"/>
  <c r="E1271" i="17" s="1"/>
  <c r="Q516" i="17"/>
  <c r="Q517" i="17" s="1"/>
  <c r="Q17" i="12"/>
  <c r="Q241" i="11"/>
  <c r="Q33" i="13"/>
  <c r="Q181" i="11"/>
  <c r="N193" i="16"/>
  <c r="N115" i="15"/>
  <c r="S65" i="11"/>
  <c r="S63" i="11"/>
  <c r="I1323" i="17"/>
  <c r="I1324" i="17" s="1"/>
  <c r="N511" i="17"/>
  <c r="N512" i="17" s="1"/>
  <c r="N18" i="11"/>
  <c r="K153" i="16"/>
  <c r="L288" i="7"/>
  <c r="K156" i="16"/>
  <c r="E202" i="17"/>
  <c r="T203" i="17"/>
  <c r="S746" i="16"/>
  <c r="T326" i="15"/>
  <c r="T746" i="16" s="1"/>
  <c r="E367" i="17"/>
  <c r="T368" i="17"/>
  <c r="T137" i="17"/>
  <c r="T869" i="16"/>
  <c r="E55" i="14"/>
  <c r="T30" i="14"/>
  <c r="T64" i="12"/>
  <c r="T11" i="12"/>
  <c r="T12" i="12" s="1"/>
  <c r="E1412" i="17" s="1"/>
  <c r="S595" i="16"/>
  <c r="S268" i="15"/>
  <c r="S266" i="15"/>
  <c r="S597" i="16" s="1"/>
  <c r="M1323" i="17"/>
  <c r="M1324" i="17" s="1"/>
  <c r="O184" i="12"/>
  <c r="O186" i="12" s="1"/>
  <c r="O235" i="12" s="1"/>
  <c r="O78" i="12" s="1"/>
  <c r="H198" i="12"/>
  <c r="H197" i="12"/>
  <c r="I197" i="12" s="1"/>
  <c r="P628" i="16"/>
  <c r="P279" i="15"/>
  <c r="P630" i="16" s="1"/>
  <c r="P281" i="15"/>
  <c r="P280" i="15"/>
  <c r="P631" i="16" s="1"/>
  <c r="T552" i="17"/>
  <c r="E551" i="17"/>
  <c r="M562" i="16"/>
  <c r="M255" i="15"/>
  <c r="M253" i="15"/>
  <c r="M254" i="15" s="1"/>
  <c r="J125" i="12"/>
  <c r="J123" i="12"/>
  <c r="Q196" i="16"/>
  <c r="Q117" i="15"/>
  <c r="Q115" i="10"/>
  <c r="R859" i="17"/>
  <c r="R860" i="17" s="1"/>
  <c r="R233" i="12"/>
  <c r="O116" i="12"/>
  <c r="O989" i="17" s="1"/>
  <c r="O990" i="17" s="1"/>
  <c r="H600" i="16"/>
  <c r="H603" i="16"/>
  <c r="I301" i="7"/>
  <c r="I65" i="11"/>
  <c r="I63" i="11"/>
  <c r="S676" i="16"/>
  <c r="T300" i="15"/>
  <c r="T676" i="16" s="1"/>
  <c r="H570" i="16"/>
  <c r="I300" i="7"/>
  <c r="H567" i="16"/>
  <c r="H883" i="16"/>
  <c r="H885" i="16" s="1"/>
  <c r="H312" i="7"/>
  <c r="H906" i="16"/>
  <c r="Q510" i="16"/>
  <c r="R235" i="15"/>
  <c r="Q125" i="12"/>
  <c r="Q123" i="12"/>
  <c r="S193" i="16"/>
  <c r="S115" i="15"/>
  <c r="R1323" i="17"/>
  <c r="R1324" i="17" s="1"/>
  <c r="P268" i="15"/>
  <c r="P266" i="15"/>
  <c r="P597" i="16" s="1"/>
  <c r="P595" i="16"/>
  <c r="I859" i="17"/>
  <c r="I860" i="17" s="1"/>
  <c r="I233" i="12"/>
  <c r="M184" i="16"/>
  <c r="M901" i="16"/>
  <c r="H562" i="16"/>
  <c r="H255" i="15"/>
  <c r="H253" i="15"/>
  <c r="H254" i="15"/>
  <c r="R268" i="15"/>
  <c r="R595" i="16"/>
  <c r="R266" i="15"/>
  <c r="R597" i="16" s="1"/>
  <c r="O279" i="15"/>
  <c r="O630" i="16" s="1"/>
  <c r="O280" i="15"/>
  <c r="O631" i="16" s="1"/>
  <c r="O628" i="16"/>
  <c r="O281" i="15"/>
  <c r="I16" i="15"/>
  <c r="H123" i="12"/>
  <c r="H125" i="12"/>
  <c r="H190" i="12" s="1"/>
  <c r="H231" i="12" s="1"/>
  <c r="H36" i="14" s="1"/>
  <c r="J111" i="15"/>
  <c r="N983" i="17"/>
  <c r="N984" i="17" s="1"/>
  <c r="N116" i="12"/>
  <c r="N989" i="17" s="1"/>
  <c r="N990" i="17" s="1"/>
  <c r="N114" i="12"/>
  <c r="F1277" i="17"/>
  <c r="E1096" i="17"/>
  <c r="E1277" i="17" s="1"/>
  <c r="J63" i="11"/>
  <c r="M18" i="12"/>
  <c r="M256" i="7"/>
  <c r="S183" i="16"/>
  <c r="S157" i="15"/>
  <c r="R303" i="16"/>
  <c r="P562" i="16"/>
  <c r="P253" i="15"/>
  <c r="P254" i="15" s="1"/>
  <c r="P255" i="15"/>
  <c r="M417" i="15"/>
  <c r="K261" i="16"/>
  <c r="K258" i="16"/>
  <c r="L291" i="7"/>
  <c r="R123" i="12"/>
  <c r="R125" i="12"/>
  <c r="N595" i="16"/>
  <c r="N268" i="15"/>
  <c r="N266" i="15"/>
  <c r="N597" i="16" s="1"/>
  <c r="H628" i="16"/>
  <c r="H279" i="15"/>
  <c r="H630" i="16" s="1"/>
  <c r="H281" i="15"/>
  <c r="I183" i="16"/>
  <c r="K628" i="16"/>
  <c r="K281" i="15"/>
  <c r="K279" i="15"/>
  <c r="K630" i="16" s="1"/>
  <c r="J731" i="17"/>
  <c r="J732" i="17" s="1"/>
  <c r="E729" i="17" s="1"/>
  <c r="E817" i="17" s="1"/>
  <c r="J184" i="11"/>
  <c r="J27" i="11" s="1"/>
  <c r="G1200" i="17"/>
  <c r="G1281" i="17" s="1"/>
  <c r="T934" i="17"/>
  <c r="T935" i="17" s="1"/>
  <c r="I66" i="15"/>
  <c r="H65" i="16"/>
  <c r="Q731" i="17"/>
  <c r="Q732" i="17" s="1"/>
  <c r="Q201" i="12"/>
  <c r="P117" i="15"/>
  <c r="P196" i="16"/>
  <c r="P115" i="10"/>
  <c r="D380" i="16"/>
  <c r="G16" i="15"/>
  <c r="E17" i="16"/>
  <c r="H196" i="16"/>
  <c r="H117" i="15"/>
  <c r="H115" i="10"/>
  <c r="E11" i="15"/>
  <c r="H118" i="15"/>
  <c r="H391" i="15"/>
  <c r="I193" i="16"/>
  <c r="I115" i="15"/>
  <c r="H268" i="16"/>
  <c r="I144" i="15"/>
  <c r="P116" i="12"/>
  <c r="P989" i="17" s="1"/>
  <c r="P990" i="17" s="1"/>
  <c r="L1323" i="17"/>
  <c r="L1324" i="17" s="1"/>
  <c r="H163" i="16"/>
  <c r="I105" i="15"/>
  <c r="K195" i="12"/>
  <c r="H70" i="10"/>
  <c r="H72" i="10" s="1"/>
  <c r="H81" i="10" s="1"/>
  <c r="H25" i="11"/>
  <c r="H110" i="9"/>
  <c r="H112" i="9" s="1"/>
  <c r="H903" i="16"/>
  <c r="H18" i="12"/>
  <c r="H256" i="7"/>
  <c r="Q157" i="17"/>
  <c r="Q158" i="17" s="1"/>
  <c r="Q872" i="16"/>
  <c r="Q31" i="14"/>
  <c r="Q32" i="14" s="1"/>
  <c r="Q37" i="10"/>
  <c r="Q83" i="12"/>
  <c r="Q15" i="12"/>
  <c r="Q16" i="12" s="1"/>
  <c r="Q81" i="12"/>
  <c r="S983" i="17"/>
  <c r="S984" i="17" s="1"/>
  <c r="S114" i="12"/>
  <c r="S116" i="12"/>
  <c r="S989" i="17" s="1"/>
  <c r="S990" i="17" s="1"/>
  <c r="K562" i="16"/>
  <c r="K255" i="15"/>
  <c r="K253" i="15"/>
  <c r="K254" i="15"/>
  <c r="K565" i="16" s="1"/>
  <c r="R280" i="15"/>
  <c r="R631" i="16" s="1"/>
  <c r="R628" i="16"/>
  <c r="R281" i="15"/>
  <c r="R279" i="15"/>
  <c r="R630" i="16" s="1"/>
  <c r="N226" i="16"/>
  <c r="N222" i="16"/>
  <c r="O290" i="7"/>
  <c r="L595" i="16"/>
  <c r="L266" i="15"/>
  <c r="L597" i="16" s="1"/>
  <c r="L267" i="15"/>
  <c r="L598" i="16" s="1"/>
  <c r="L268" i="15"/>
  <c r="N195" i="12"/>
  <c r="K125" i="12"/>
  <c r="K123" i="12"/>
  <c r="T63" i="11"/>
  <c r="T65" i="11"/>
  <c r="J511" i="17"/>
  <c r="J512" i="17" s="1"/>
  <c r="J18" i="11"/>
  <c r="R196" i="16"/>
  <c r="R117" i="15"/>
  <c r="R115" i="10"/>
  <c r="T123" i="12"/>
  <c r="T125" i="12"/>
  <c r="S409" i="16"/>
  <c r="T196" i="15"/>
  <c r="J17" i="15"/>
  <c r="T183" i="16"/>
  <c r="P813" i="16"/>
  <c r="P55" i="9"/>
  <c r="Q47" i="9"/>
  <c r="M628" i="16"/>
  <c r="M281" i="15"/>
  <c r="M279" i="15"/>
  <c r="M630" i="16" s="1"/>
  <c r="N111" i="15"/>
  <c r="E572" i="17"/>
  <c r="G573" i="17" s="1"/>
  <c r="G569" i="17"/>
  <c r="G785" i="17" s="1"/>
  <c r="E569" i="17"/>
  <c r="E785" i="17" s="1"/>
  <c r="F569" i="17"/>
  <c r="F785" i="17" s="1"/>
  <c r="T732" i="17"/>
  <c r="E732" i="17" s="1"/>
  <c r="E731" i="17"/>
  <c r="G733" i="17" s="1"/>
  <c r="P805" i="16"/>
  <c r="P54" i="9"/>
  <c r="P377" i="15"/>
  <c r="P807" i="16" s="1"/>
  <c r="L18" i="12"/>
  <c r="L256" i="7"/>
  <c r="E1411" i="17"/>
  <c r="S562" i="16"/>
  <c r="S255" i="15"/>
  <c r="S253" i="15"/>
  <c r="S564" i="16" s="1"/>
  <c r="L117" i="15"/>
  <c r="L115" i="10"/>
  <c r="L196" i="16"/>
  <c r="H195" i="12"/>
  <c r="H194" i="12"/>
  <c r="I194" i="12" s="1"/>
  <c r="J194" i="12" s="1"/>
  <c r="K194" i="12" s="1"/>
  <c r="L194" i="12" s="1"/>
  <c r="M194" i="12" s="1"/>
  <c r="N194" i="12" s="1"/>
  <c r="O194" i="12" s="1"/>
  <c r="P194" i="12" s="1"/>
  <c r="Q194" i="12" s="1"/>
  <c r="R194" i="12" s="1"/>
  <c r="S194" i="12" s="1"/>
  <c r="T194" i="12" s="1"/>
  <c r="H116" i="12"/>
  <c r="H989" i="17" s="1"/>
  <c r="H990" i="17" s="1"/>
  <c r="L859" i="17"/>
  <c r="L860" i="17" s="1"/>
  <c r="L233" i="12"/>
  <c r="I195" i="12"/>
  <c r="H1323" i="17"/>
  <c r="H1324" i="17" s="1"/>
  <c r="N63" i="11"/>
  <c r="R195" i="12"/>
  <c r="S256" i="7"/>
  <c r="S34" i="12"/>
  <c r="S283" i="7"/>
  <c r="R35" i="12"/>
  <c r="R36" i="12" s="1"/>
  <c r="R112" i="10"/>
  <c r="R113" i="10" s="1"/>
  <c r="R881" i="16"/>
  <c r="J562" i="16"/>
  <c r="J255" i="15"/>
  <c r="J253" i="15"/>
  <c r="J564" i="16" s="1"/>
  <c r="S781" i="16"/>
  <c r="T339" i="15"/>
  <c r="T781" i="16" s="1"/>
  <c r="S496" i="17"/>
  <c r="S497" i="17" s="1"/>
  <c r="S16" i="11"/>
  <c r="K233" i="16"/>
  <c r="L131" i="15"/>
  <c r="Q382" i="17"/>
  <c r="Q383" i="17" s="1"/>
  <c r="J193" i="16"/>
  <c r="J115" i="15"/>
  <c r="O117" i="15"/>
  <c r="O196" i="16"/>
  <c r="O115" i="10"/>
  <c r="T256" i="7"/>
  <c r="I595" i="16"/>
  <c r="I266" i="15"/>
  <c r="I597" i="16" s="1"/>
  <c r="I268" i="15"/>
  <c r="S313" i="15"/>
  <c r="R711" i="16"/>
  <c r="M121" i="16"/>
  <c r="N287" i="7"/>
  <c r="M124" i="16"/>
  <c r="Q18" i="12"/>
  <c r="Q256" i="7"/>
  <c r="Q628" i="16"/>
  <c r="Q279" i="15"/>
  <c r="Q630" i="16" s="1"/>
  <c r="Q280" i="15"/>
  <c r="Q631" i="16" s="1"/>
  <c r="Q281" i="15"/>
  <c r="T595" i="16"/>
  <c r="T266" i="15"/>
  <c r="T597" i="16" s="1"/>
  <c r="T267" i="15"/>
  <c r="T598" i="16" s="1"/>
  <c r="T268" i="15"/>
  <c r="P123" i="12"/>
  <c r="P125" i="12"/>
  <c r="P676" i="17"/>
  <c r="P677" i="17" s="1"/>
  <c r="P242" i="11"/>
  <c r="P681" i="17" s="1"/>
  <c r="P682" i="17" s="1"/>
  <c r="Q184" i="16"/>
  <c r="Q268" i="15"/>
  <c r="Q266" i="15"/>
  <c r="Q597" i="16" s="1"/>
  <c r="Q595" i="16"/>
  <c r="Q267" i="15"/>
  <c r="Q598" i="16" s="1"/>
  <c r="M731" i="17"/>
  <c r="M732" i="17" s="1"/>
  <c r="M184" i="11"/>
  <c r="M27" i="11" s="1"/>
  <c r="H13" i="15"/>
  <c r="L195" i="12"/>
  <c r="G10" i="15"/>
  <c r="E11" i="16"/>
  <c r="D167" i="16"/>
  <c r="E509" i="17" l="1"/>
  <c r="E773" i="17" s="1"/>
  <c r="G684" i="17"/>
  <c r="G808" i="17" s="1"/>
  <c r="G513" i="17"/>
  <c r="G713" i="17"/>
  <c r="M246" i="11"/>
  <c r="M701" i="17" s="1"/>
  <c r="M702" i="17" s="1"/>
  <c r="G503" i="17"/>
  <c r="L246" i="11"/>
  <c r="L701" i="17" s="1"/>
  <c r="L702" i="17" s="1"/>
  <c r="G154" i="17"/>
  <c r="P565" i="16"/>
  <c r="M565" i="16"/>
  <c r="G11" i="15"/>
  <c r="E392" i="15"/>
  <c r="E37" i="15"/>
  <c r="D203" i="16"/>
  <c r="E12" i="16"/>
  <c r="P201" i="16"/>
  <c r="P127" i="10"/>
  <c r="K676" i="17"/>
  <c r="K677" i="17" s="1"/>
  <c r="K242" i="11"/>
  <c r="K681" i="17" s="1"/>
  <c r="K682" i="17" s="1"/>
  <c r="N117" i="15"/>
  <c r="N115" i="10"/>
  <c r="N196" i="16"/>
  <c r="N417" i="15"/>
  <c r="N406" i="15"/>
  <c r="S1035" i="17"/>
  <c r="S1036" i="17" s="1"/>
  <c r="S126" i="12"/>
  <c r="S1041" i="17" s="1"/>
  <c r="S1042" i="17" s="1"/>
  <c r="S124" i="12"/>
  <c r="S1038" i="17" s="1"/>
  <c r="S1039" i="17" s="1"/>
  <c r="N639" i="16"/>
  <c r="N284" i="15"/>
  <c r="T382" i="17"/>
  <c r="E496" i="17"/>
  <c r="T497" i="17"/>
  <c r="K310" i="7"/>
  <c r="E552" i="17"/>
  <c r="G553" i="17" s="1"/>
  <c r="F549" i="17"/>
  <c r="F781" i="17" s="1"/>
  <c r="G549" i="17"/>
  <c r="G781" i="17" s="1"/>
  <c r="E549" i="17"/>
  <c r="E781" i="17" s="1"/>
  <c r="O676" i="17"/>
  <c r="O677" i="17" s="1"/>
  <c r="O242" i="11"/>
  <c r="O681" i="17" s="1"/>
  <c r="O682" i="17" s="1"/>
  <c r="E343" i="17"/>
  <c r="G344" i="17" s="1"/>
  <c r="G340" i="17"/>
  <c r="G460" i="17" s="1"/>
  <c r="E340" i="17"/>
  <c r="E460" i="17" s="1"/>
  <c r="F340" i="17"/>
  <c r="F460" i="17" s="1"/>
  <c r="R573" i="16"/>
  <c r="R258" i="15"/>
  <c r="L55" i="16"/>
  <c r="L58" i="16"/>
  <c r="L310" i="7"/>
  <c r="M285" i="7"/>
  <c r="T606" i="16"/>
  <c r="T271" i="15"/>
  <c r="K280" i="15"/>
  <c r="K631" i="16" s="1"/>
  <c r="H564" i="16"/>
  <c r="S639" i="16"/>
  <c r="S284" i="15"/>
  <c r="S254" i="15"/>
  <c r="K416" i="16"/>
  <c r="H18" i="16"/>
  <c r="K1035" i="17"/>
  <c r="K1036" i="17" s="1"/>
  <c r="K124" i="12"/>
  <c r="I268" i="16"/>
  <c r="J144" i="15"/>
  <c r="M68" i="12"/>
  <c r="M270" i="12"/>
  <c r="M197" i="17" s="1"/>
  <c r="M198" i="17" s="1"/>
  <c r="M38" i="14"/>
  <c r="M294" i="12"/>
  <c r="M337" i="17" s="1"/>
  <c r="M338" i="17" s="1"/>
  <c r="M324" i="7"/>
  <c r="I567" i="16"/>
  <c r="I570" i="16"/>
  <c r="J300" i="7"/>
  <c r="I312" i="7"/>
  <c r="I883" i="16"/>
  <c r="I885" i="16" s="1"/>
  <c r="P639" i="16"/>
  <c r="P284" i="15"/>
  <c r="L156" i="16"/>
  <c r="L153" i="16"/>
  <c r="M288" i="7"/>
  <c r="Q242" i="11"/>
  <c r="Q681" i="17" s="1"/>
  <c r="Q682" i="17" s="1"/>
  <c r="Q676" i="17"/>
  <c r="Q677" i="17" s="1"/>
  <c r="O573" i="16"/>
  <c r="O258" i="15"/>
  <c r="L146" i="11"/>
  <c r="L147" i="11"/>
  <c r="L175" i="11" s="1"/>
  <c r="S147" i="17"/>
  <c r="S148" i="17" s="1"/>
  <c r="S67" i="12"/>
  <c r="T409" i="16"/>
  <c r="K17" i="15"/>
  <c r="Q416" i="16" s="1"/>
  <c r="N201" i="12"/>
  <c r="H270" i="12"/>
  <c r="H197" i="17" s="1"/>
  <c r="H198" i="17" s="1"/>
  <c r="H38" i="14"/>
  <c r="H294" i="12"/>
  <c r="H337" i="17" s="1"/>
  <c r="H338" i="17" s="1"/>
  <c r="H68" i="12"/>
  <c r="H324" i="7"/>
  <c r="H326" i="7" s="1"/>
  <c r="L258" i="16"/>
  <c r="M291" i="7"/>
  <c r="L261" i="16"/>
  <c r="S115" i="10"/>
  <c r="S196" i="16"/>
  <c r="S117" i="15"/>
  <c r="S417" i="15"/>
  <c r="T147" i="17"/>
  <c r="T67" i="12"/>
  <c r="T201" i="12"/>
  <c r="P201" i="12"/>
  <c r="R516" i="17"/>
  <c r="R517" i="17" s="1"/>
  <c r="R241" i="11"/>
  <c r="R17" i="12"/>
  <c r="R33" i="13"/>
  <c r="R181" i="11"/>
  <c r="L233" i="16"/>
  <c r="M131" i="15"/>
  <c r="D43" i="17"/>
  <c r="F43" i="17" s="1"/>
  <c r="K905" i="16"/>
  <c r="J382" i="17"/>
  <c r="J383" i="17" s="1"/>
  <c r="J235" i="12"/>
  <c r="J78" i="12" s="1"/>
  <c r="O564" i="16"/>
  <c r="M201" i="16"/>
  <c r="M127" i="10"/>
  <c r="E97" i="13"/>
  <c r="E97" i="14"/>
  <c r="S986" i="17"/>
  <c r="S987" i="17" s="1"/>
  <c r="O639" i="16"/>
  <c r="O284" i="15"/>
  <c r="Q1035" i="17"/>
  <c r="Q1036" i="17" s="1"/>
  <c r="Q124" i="12"/>
  <c r="Q126" i="12"/>
  <c r="Q1041" i="17" s="1"/>
  <c r="Q1042" i="17" s="1"/>
  <c r="Q390" i="15"/>
  <c r="L564" i="16"/>
  <c r="T294" i="12"/>
  <c r="T337" i="17" s="1"/>
  <c r="T68" i="12"/>
  <c r="T162" i="17" s="1"/>
  <c r="T38" i="14"/>
  <c r="T324" i="7"/>
  <c r="T270" i="12"/>
  <c r="T197" i="17" s="1"/>
  <c r="L68" i="12"/>
  <c r="L270" i="12"/>
  <c r="L197" i="17" s="1"/>
  <c r="L198" i="17" s="1"/>
  <c r="L294" i="12"/>
  <c r="L337" i="17" s="1"/>
  <c r="L338" i="17" s="1"/>
  <c r="L38" i="14"/>
  <c r="L324" i="7"/>
  <c r="M639" i="16"/>
  <c r="M284" i="15"/>
  <c r="T1035" i="17"/>
  <c r="T1036" i="17" s="1"/>
  <c r="T124" i="12"/>
  <c r="T126" i="12"/>
  <c r="T1041" i="17" s="1"/>
  <c r="T1042" i="17" s="1"/>
  <c r="I196" i="16"/>
  <c r="I115" i="10"/>
  <c r="I117" i="15"/>
  <c r="I417" i="15"/>
  <c r="I65" i="16"/>
  <c r="J66" i="15"/>
  <c r="J65" i="11"/>
  <c r="L254" i="15"/>
  <c r="M606" i="16"/>
  <c r="M271" i="15"/>
  <c r="J986" i="17"/>
  <c r="J987" i="17" s="1"/>
  <c r="S382" i="17"/>
  <c r="S383" i="17" s="1"/>
  <c r="I201" i="12"/>
  <c r="I226" i="12" s="1"/>
  <c r="F509" i="17"/>
  <c r="F773" i="17" s="1"/>
  <c r="K390" i="15"/>
  <c r="F914" i="17"/>
  <c r="S294" i="12"/>
  <c r="S337" i="17" s="1"/>
  <c r="S338" i="17" s="1"/>
  <c r="S38" i="14"/>
  <c r="S68" i="12"/>
  <c r="S162" i="17" s="1"/>
  <c r="S163" i="17" s="1"/>
  <c r="S324" i="7"/>
  <c r="S270" i="12"/>
  <c r="S197" i="17" s="1"/>
  <c r="S198" i="17" s="1"/>
  <c r="M280" i="15"/>
  <c r="M631" i="16" s="1"/>
  <c r="R127" i="10"/>
  <c r="R201" i="16"/>
  <c r="H1364" i="17"/>
  <c r="H531" i="17"/>
  <c r="H532" i="17" s="1"/>
  <c r="H280" i="15"/>
  <c r="H631" i="16" s="1"/>
  <c r="I382" i="17"/>
  <c r="I383" i="17" s="1"/>
  <c r="I235" i="12"/>
  <c r="I78" i="12" s="1"/>
  <c r="J1035" i="17"/>
  <c r="J1036" i="17" s="1"/>
  <c r="J124" i="12"/>
  <c r="J1038" i="17" s="1"/>
  <c r="J1039" i="17" s="1"/>
  <c r="L573" i="16"/>
  <c r="L258" i="15"/>
  <c r="F729" i="17"/>
  <c r="F817" i="17" s="1"/>
  <c r="T573" i="16"/>
  <c r="T258" i="15"/>
  <c r="T406" i="15" s="1"/>
  <c r="J606" i="16"/>
  <c r="J271" i="15"/>
  <c r="I636" i="16"/>
  <c r="J302" i="7"/>
  <c r="I633" i="16"/>
  <c r="J116" i="12"/>
  <c r="J989" i="17" s="1"/>
  <c r="J990" i="17" s="1"/>
  <c r="I573" i="16"/>
  <c r="I258" i="15"/>
  <c r="M1035" i="17"/>
  <c r="M1036" i="17" s="1"/>
  <c r="M124" i="12"/>
  <c r="M126" i="12"/>
  <c r="M1041" i="17" s="1"/>
  <c r="M1042" i="17" s="1"/>
  <c r="L91" i="16"/>
  <c r="M286" i="7"/>
  <c r="L88" i="16"/>
  <c r="I280" i="15"/>
  <c r="I631" i="16" s="1"/>
  <c r="P726" i="17"/>
  <c r="P727" i="17" s="1"/>
  <c r="P377" i="17"/>
  <c r="P378" i="17" s="1"/>
  <c r="G509" i="17"/>
  <c r="G773" i="17" s="1"/>
  <c r="I163" i="16"/>
  <c r="J105" i="15"/>
  <c r="M573" i="16"/>
  <c r="M258" i="15"/>
  <c r="R31" i="14"/>
  <c r="R32" i="14" s="1"/>
  <c r="R15" i="12"/>
  <c r="R16" i="12" s="1"/>
  <c r="R37" i="10"/>
  <c r="R157" i="17"/>
  <c r="R158" i="17" s="1"/>
  <c r="R83" i="12"/>
  <c r="R872" i="16"/>
  <c r="R81" i="12"/>
  <c r="I335" i="7"/>
  <c r="I193" i="11"/>
  <c r="J329" i="7"/>
  <c r="J334" i="7" s="1"/>
  <c r="J311" i="7" s="1"/>
  <c r="I311" i="7"/>
  <c r="J79" i="15"/>
  <c r="I98" i="16"/>
  <c r="J573" i="16"/>
  <c r="J258" i="15"/>
  <c r="L127" i="10"/>
  <c r="L201" i="16"/>
  <c r="K564" i="16"/>
  <c r="S303" i="16"/>
  <c r="T157" i="15"/>
  <c r="P606" i="16"/>
  <c r="P271" i="15"/>
  <c r="E547" i="17"/>
  <c r="G544" i="17"/>
  <c r="G780" i="17" s="1"/>
  <c r="E544" i="17"/>
  <c r="E780" i="17" s="1"/>
  <c r="F544" i="17"/>
  <c r="F780" i="17" s="1"/>
  <c r="K186" i="16"/>
  <c r="L289" i="7"/>
  <c r="K190" i="16"/>
  <c r="K573" i="16"/>
  <c r="K258" i="15"/>
  <c r="E203" i="17"/>
  <c r="F200" i="17"/>
  <c r="F432" i="17" s="1"/>
  <c r="E200" i="17"/>
  <c r="E432" i="17" s="1"/>
  <c r="G200" i="17"/>
  <c r="G432" i="17" s="1"/>
  <c r="N280" i="15"/>
  <c r="N631" i="16" s="1"/>
  <c r="T158" i="11"/>
  <c r="T159" i="11"/>
  <c r="P1035" i="17"/>
  <c r="P1036" i="17" s="1"/>
  <c r="P124" i="12"/>
  <c r="P126" i="12"/>
  <c r="P1041" i="17" s="1"/>
  <c r="P1042" i="17" s="1"/>
  <c r="J254" i="15"/>
  <c r="J565" i="16" s="1"/>
  <c r="G688" i="17"/>
  <c r="Q606" i="16"/>
  <c r="Q271" i="15"/>
  <c r="S711" i="16"/>
  <c r="T313" i="15"/>
  <c r="T711" i="16" s="1"/>
  <c r="S573" i="16"/>
  <c r="S258" i="15"/>
  <c r="H1035" i="17"/>
  <c r="H1036" i="17" s="1"/>
  <c r="H124" i="12"/>
  <c r="H126" i="12"/>
  <c r="H1041" i="17" s="1"/>
  <c r="H1042" i="17" s="1"/>
  <c r="R382" i="17"/>
  <c r="R383" i="17" s="1"/>
  <c r="L280" i="15"/>
  <c r="L631" i="16" s="1"/>
  <c r="E687" i="17"/>
  <c r="E684" i="17"/>
  <c r="E808" i="17" s="1"/>
  <c r="I516" i="17"/>
  <c r="I517" i="17" s="1"/>
  <c r="I33" i="13"/>
  <c r="I17" i="12"/>
  <c r="I241" i="11"/>
  <c r="I181" i="11"/>
  <c r="J162" i="17"/>
  <c r="J163" i="17" s="1"/>
  <c r="J69" i="12"/>
  <c r="T115" i="10"/>
  <c r="T196" i="16"/>
  <c r="T117" i="15"/>
  <c r="T417" i="15"/>
  <c r="K131" i="16"/>
  <c r="L92" i="15"/>
  <c r="I606" i="16"/>
  <c r="I271" i="15"/>
  <c r="R1035" i="17"/>
  <c r="R1036" i="17" s="1"/>
  <c r="R124" i="12"/>
  <c r="R126" i="12" s="1"/>
  <c r="R1041" i="17" s="1"/>
  <c r="R1042" i="17" s="1"/>
  <c r="H573" i="16"/>
  <c r="H258" i="15"/>
  <c r="H407" i="15"/>
  <c r="L639" i="16"/>
  <c r="L284" i="15"/>
  <c r="S280" i="15"/>
  <c r="S631" i="16" s="1"/>
  <c r="R564" i="16"/>
  <c r="O606" i="16"/>
  <c r="O271" i="15"/>
  <c r="I1035" i="17"/>
  <c r="I1036" i="17" s="1"/>
  <c r="I124" i="12"/>
  <c r="I1038" i="17" s="1"/>
  <c r="I1039" i="17" s="1"/>
  <c r="I126" i="12"/>
  <c r="I1041" i="17" s="1"/>
  <c r="I1042" i="17" s="1"/>
  <c r="K38" i="14"/>
  <c r="K324" i="7"/>
  <c r="K270" i="12"/>
  <c r="K197" i="17" s="1"/>
  <c r="K198" i="17" s="1"/>
  <c r="K68" i="12"/>
  <c r="K294" i="12"/>
  <c r="K337" i="17" s="1"/>
  <c r="K338" i="17" s="1"/>
  <c r="N1035" i="17"/>
  <c r="N1036" i="17" s="1"/>
  <c r="N124" i="12"/>
  <c r="N1038" i="17" s="1"/>
  <c r="N1039" i="17" s="1"/>
  <c r="N126" i="12"/>
  <c r="N1041" i="17" s="1"/>
  <c r="N1042" i="17" s="1"/>
  <c r="T639" i="16"/>
  <c r="T284" i="15"/>
  <c r="E487" i="17"/>
  <c r="G484" i="17"/>
  <c r="G768" i="17" s="1"/>
  <c r="F484" i="17"/>
  <c r="F768" i="17" s="1"/>
  <c r="E484" i="17"/>
  <c r="E768" i="17" s="1"/>
  <c r="E99" i="14"/>
  <c r="E99" i="13"/>
  <c r="R38" i="14"/>
  <c r="R324" i="7"/>
  <c r="R68" i="12"/>
  <c r="R162" i="17" s="1"/>
  <c r="R163" i="17" s="1"/>
  <c r="R270" i="12"/>
  <c r="R197" i="17" s="1"/>
  <c r="R198" i="17" s="1"/>
  <c r="R294" i="12"/>
  <c r="R337" i="17" s="1"/>
  <c r="R338" i="17" s="1"/>
  <c r="I267" i="15"/>
  <c r="I598" i="16" s="1"/>
  <c r="N184" i="16"/>
  <c r="N873" i="16"/>
  <c r="N901" i="16"/>
  <c r="O226" i="16"/>
  <c r="O222" i="16"/>
  <c r="P290" i="7"/>
  <c r="Q201" i="16"/>
  <c r="Q127" i="10"/>
  <c r="N516" i="17"/>
  <c r="N517" i="17" s="1"/>
  <c r="N241" i="11"/>
  <c r="N17" i="12"/>
  <c r="N33" i="13"/>
  <c r="N181" i="11"/>
  <c r="N374" i="16"/>
  <c r="O183" i="15"/>
  <c r="S881" i="16"/>
  <c r="S112" i="10"/>
  <c r="S113" i="10" s="1"/>
  <c r="S35" i="12"/>
  <c r="S36" i="12" s="1"/>
  <c r="S339" i="16"/>
  <c r="T170" i="15"/>
  <c r="K127" i="10"/>
  <c r="K201" i="16"/>
  <c r="M905" i="16"/>
  <c r="O270" i="12"/>
  <c r="O197" i="17" s="1"/>
  <c r="O198" i="17" s="1"/>
  <c r="O68" i="12"/>
  <c r="O294" i="12"/>
  <c r="O337" i="17" s="1"/>
  <c r="O338" i="17" s="1"/>
  <c r="O38" i="14"/>
  <c r="O324" i="7"/>
  <c r="R390" i="15"/>
  <c r="R639" i="16"/>
  <c r="R284" i="15"/>
  <c r="H86" i="10"/>
  <c r="H639" i="16"/>
  <c r="H284" i="15"/>
  <c r="P573" i="16"/>
  <c r="P258" i="15"/>
  <c r="G836" i="17"/>
  <c r="G1267" i="17" s="1"/>
  <c r="F836" i="17"/>
  <c r="R510" i="16"/>
  <c r="S235" i="15"/>
  <c r="T138" i="17"/>
  <c r="E137" i="17"/>
  <c r="J1323" i="17"/>
  <c r="J1324" i="17" s="1"/>
  <c r="M267" i="15"/>
  <c r="M598" i="16" s="1"/>
  <c r="T1323" i="17"/>
  <c r="T1324" i="17" s="1"/>
  <c r="G729" i="17"/>
  <c r="G817" i="17" s="1"/>
  <c r="H606" i="16"/>
  <c r="H271" i="15"/>
  <c r="O1035" i="17"/>
  <c r="O1036" i="17" s="1"/>
  <c r="O124" i="12"/>
  <c r="O126" i="12"/>
  <c r="O1041" i="17" s="1"/>
  <c r="O1042" i="17" s="1"/>
  <c r="N573" i="16"/>
  <c r="N258" i="15"/>
  <c r="J267" i="15"/>
  <c r="J598" i="16" s="1"/>
  <c r="Q274" i="16"/>
  <c r="G14" i="16"/>
  <c r="I639" i="16"/>
  <c r="I284" i="15"/>
  <c r="R201" i="12"/>
  <c r="O390" i="15"/>
  <c r="L1035" i="17"/>
  <c r="L1036" i="17" s="1"/>
  <c r="L124" i="12"/>
  <c r="L126" i="12" s="1"/>
  <c r="L1041" i="17" s="1"/>
  <c r="L1042" i="17" s="1"/>
  <c r="T881" i="16"/>
  <c r="T112" i="10"/>
  <c r="T113" i="10" s="1"/>
  <c r="T35" i="12"/>
  <c r="T36" i="12" s="1"/>
  <c r="T506" i="17"/>
  <c r="T900" i="16"/>
  <c r="E83" i="13"/>
  <c r="E84" i="13" s="1"/>
  <c r="T31" i="13"/>
  <c r="T32" i="13" s="1"/>
  <c r="T18" i="11"/>
  <c r="T13" i="12"/>
  <c r="T69" i="10"/>
  <c r="E54" i="13"/>
  <c r="T32" i="11"/>
  <c r="T30" i="11"/>
  <c r="S444" i="16"/>
  <c r="T209" i="15"/>
  <c r="T444" i="16" s="1"/>
  <c r="L390" i="15"/>
  <c r="L606" i="16"/>
  <c r="L271" i="15"/>
  <c r="P68" i="12"/>
  <c r="P294" i="12"/>
  <c r="P337" i="17" s="1"/>
  <c r="P338" i="17" s="1"/>
  <c r="P38" i="14"/>
  <c r="P324" i="7"/>
  <c r="P270" i="12"/>
  <c r="P197" i="17" s="1"/>
  <c r="P198" i="17" s="1"/>
  <c r="K274" i="16"/>
  <c r="F14" i="16"/>
  <c r="Q324" i="7"/>
  <c r="Q294" i="12"/>
  <c r="Q337" i="17" s="1"/>
  <c r="Q338" i="17" s="1"/>
  <c r="Q38" i="14"/>
  <c r="Q68" i="12"/>
  <c r="Q270" i="12"/>
  <c r="Q197" i="17" s="1"/>
  <c r="Q198" i="17" s="1"/>
  <c r="O127" i="10"/>
  <c r="O201" i="16"/>
  <c r="P806" i="16"/>
  <c r="P378" i="15"/>
  <c r="P821" i="16" s="1"/>
  <c r="Q51" i="9"/>
  <c r="Q50" i="9"/>
  <c r="Q56" i="9" s="1"/>
  <c r="I391" i="15"/>
  <c r="J391" i="15" s="1"/>
  <c r="K391" i="15" s="1"/>
  <c r="L391" i="15" s="1"/>
  <c r="M391" i="15" s="1"/>
  <c r="N391" i="15" s="1"/>
  <c r="O391" i="15" s="1"/>
  <c r="P391" i="15" s="1"/>
  <c r="Q391" i="15" s="1"/>
  <c r="R391" i="15" s="1"/>
  <c r="S391" i="15" s="1"/>
  <c r="T391" i="15" s="1"/>
  <c r="P564" i="16"/>
  <c r="R267" i="15"/>
  <c r="R598" i="16" s="1"/>
  <c r="E368" i="17"/>
  <c r="G369" i="17" s="1"/>
  <c r="F365" i="17"/>
  <c r="F465" i="17" s="1"/>
  <c r="E365" i="17"/>
  <c r="E465" i="17" s="1"/>
  <c r="G365" i="17"/>
  <c r="G465" i="17" s="1"/>
  <c r="I162" i="17"/>
  <c r="I163" i="17" s="1"/>
  <c r="I69" i="12"/>
  <c r="J280" i="15"/>
  <c r="J631" i="16" s="1"/>
  <c r="H676" i="17"/>
  <c r="H677" i="17" s="1"/>
  <c r="H242" i="11"/>
  <c r="H681" i="17" s="1"/>
  <c r="H682" i="17" s="1"/>
  <c r="F1275" i="17"/>
  <c r="E1044" i="17"/>
  <c r="E1275" i="17" s="1"/>
  <c r="I254" i="15"/>
  <c r="T223" i="17"/>
  <c r="E222" i="17"/>
  <c r="S201" i="12"/>
  <c r="E348" i="17"/>
  <c r="E345" i="17"/>
  <c r="E461" i="17" s="1"/>
  <c r="F345" i="17"/>
  <c r="F461" i="17" s="1"/>
  <c r="G345" i="17"/>
  <c r="G461" i="17" s="1"/>
  <c r="P250" i="12"/>
  <c r="Q18" i="9"/>
  <c r="P199" i="11"/>
  <c r="N124" i="16"/>
  <c r="N121" i="16"/>
  <c r="O287" i="7"/>
  <c r="N65" i="11"/>
  <c r="H201" i="16"/>
  <c r="H127" i="10"/>
  <c r="N606" i="16"/>
  <c r="N271" i="15"/>
  <c r="R606" i="16"/>
  <c r="R271" i="15"/>
  <c r="S267" i="15"/>
  <c r="S598" i="16" s="1"/>
  <c r="H390" i="15"/>
  <c r="P390" i="15"/>
  <c r="J184" i="16"/>
  <c r="J901" i="16"/>
  <c r="P267" i="15"/>
  <c r="P598" i="16" s="1"/>
  <c r="S606" i="16"/>
  <c r="S271" i="15"/>
  <c r="E697" i="17"/>
  <c r="F694" i="17"/>
  <c r="F810" i="17" s="1"/>
  <c r="G694" i="17"/>
  <c r="G810" i="17" s="1"/>
  <c r="E694" i="17"/>
  <c r="E810" i="17" s="1"/>
  <c r="S820" i="16"/>
  <c r="T376" i="15"/>
  <c r="Q564" i="16"/>
  <c r="J196" i="16"/>
  <c r="J117" i="15"/>
  <c r="J115" i="10"/>
  <c r="J417" i="15"/>
  <c r="K639" i="16"/>
  <c r="K284" i="15"/>
  <c r="N267" i="15"/>
  <c r="N598" i="16" s="1"/>
  <c r="H565" i="16"/>
  <c r="Q380" i="16"/>
  <c r="G17" i="16"/>
  <c r="O873" i="16"/>
  <c r="Q639" i="16"/>
  <c r="Q284" i="15"/>
  <c r="L382" i="17"/>
  <c r="L383" i="17" s="1"/>
  <c r="L235" i="12"/>
  <c r="L78" i="12" s="1"/>
  <c r="J197" i="12"/>
  <c r="J198" i="12"/>
  <c r="J226" i="12" s="1"/>
  <c r="M390" i="15"/>
  <c r="I986" i="17"/>
  <c r="I987" i="17" s="1"/>
  <c r="S900" i="16"/>
  <c r="S506" i="17"/>
  <c r="S507" i="17" s="1"/>
  <c r="S18" i="11"/>
  <c r="S31" i="13"/>
  <c r="S32" i="13" s="1"/>
  <c r="S69" i="10"/>
  <c r="S13" i="12"/>
  <c r="S32" i="11"/>
  <c r="S30" i="11"/>
  <c r="F966" i="17"/>
  <c r="P246" i="11"/>
  <c r="P701" i="17" s="1"/>
  <c r="P702" i="17" s="1"/>
  <c r="H226" i="12"/>
  <c r="H228" i="12" s="1"/>
  <c r="P343" i="15"/>
  <c r="P79" i="10"/>
  <c r="P47" i="10"/>
  <c r="P183" i="12"/>
  <c r="P132" i="11"/>
  <c r="P201" i="11"/>
  <c r="P252" i="12"/>
  <c r="J516" i="17"/>
  <c r="J517" i="17" s="1"/>
  <c r="J33" i="13"/>
  <c r="J241" i="11"/>
  <c r="J17" i="12"/>
  <c r="J181" i="11"/>
  <c r="H197" i="16"/>
  <c r="I118" i="15"/>
  <c r="N986" i="17"/>
  <c r="N987" i="17" s="1"/>
  <c r="I603" i="16"/>
  <c r="I600" i="16"/>
  <c r="J301" i="7"/>
  <c r="M564" i="16"/>
  <c r="N162" i="17"/>
  <c r="N163" i="17" s="1"/>
  <c r="N69" i="12"/>
  <c r="J639" i="16"/>
  <c r="J284" i="15"/>
  <c r="S195" i="12"/>
  <c r="J201" i="12"/>
  <c r="H907" i="16"/>
  <c r="H421" i="15"/>
  <c r="H422" i="15" s="1"/>
  <c r="H82" i="13"/>
  <c r="H49" i="13"/>
  <c r="H48" i="13"/>
  <c r="Q573" i="16"/>
  <c r="Q258" i="15"/>
  <c r="Q364" i="16"/>
  <c r="Q367" i="16"/>
  <c r="R294" i="7"/>
  <c r="L201" i="12"/>
  <c r="Q9" i="9"/>
  <c r="Q10" i="9"/>
  <c r="T218" i="17"/>
  <c r="E217" i="17"/>
  <c r="K606" i="16"/>
  <c r="K271" i="15"/>
  <c r="Q246" i="11" l="1"/>
  <c r="Q701" i="17" s="1"/>
  <c r="Q702" i="17" s="1"/>
  <c r="G548" i="17"/>
  <c r="G204" i="17"/>
  <c r="H246" i="11"/>
  <c r="H701" i="17" s="1"/>
  <c r="H702" i="17" s="1"/>
  <c r="E395" i="15"/>
  <c r="G698" i="17"/>
  <c r="G349" i="17"/>
  <c r="G488" i="17"/>
  <c r="R69" i="12"/>
  <c r="R33" i="14" s="1"/>
  <c r="T877" i="16"/>
  <c r="E1418" i="17"/>
  <c r="F1272" i="17"/>
  <c r="E966" i="17"/>
  <c r="E1272" i="17" s="1"/>
  <c r="K642" i="16"/>
  <c r="K286" i="15"/>
  <c r="H878" i="16"/>
  <c r="T397" i="15"/>
  <c r="T390" i="15"/>
  <c r="J636" i="16"/>
  <c r="J633" i="16"/>
  <c r="K302" i="7"/>
  <c r="M146" i="11"/>
  <c r="M147" i="11"/>
  <c r="M175" i="11" s="1"/>
  <c r="O286" i="15"/>
  <c r="O642" i="16"/>
  <c r="H244" i="12"/>
  <c r="I321" i="7"/>
  <c r="I326" i="7" s="1"/>
  <c r="H327" i="7"/>
  <c r="J242" i="11"/>
  <c r="J681" i="17" s="1"/>
  <c r="J682" i="17" s="1"/>
  <c r="J676" i="17"/>
  <c r="J677" i="17" s="1"/>
  <c r="J609" i="16"/>
  <c r="J273" i="15"/>
  <c r="T1038" i="17"/>
  <c r="T1039" i="17" s="1"/>
  <c r="H162" i="17"/>
  <c r="H163" i="17" s="1"/>
  <c r="H69" i="12"/>
  <c r="O576" i="16"/>
  <c r="O260" i="15"/>
  <c r="O361" i="15"/>
  <c r="O366" i="15" s="1"/>
  <c r="O406" i="15"/>
  <c r="J603" i="16"/>
  <c r="J600" i="16"/>
  <c r="K301" i="7"/>
  <c r="E56" i="13"/>
  <c r="E58" i="13" s="1"/>
  <c r="E59" i="13" s="1"/>
  <c r="N576" i="16"/>
  <c r="N260" i="15"/>
  <c r="N397" i="15" s="1"/>
  <c r="N361" i="15"/>
  <c r="N366" i="15" s="1"/>
  <c r="P609" i="16"/>
  <c r="P273" i="15"/>
  <c r="J567" i="16"/>
  <c r="J570" i="16"/>
  <c r="K300" i="7"/>
  <c r="J312" i="7"/>
  <c r="J883" i="16"/>
  <c r="J885" i="16" s="1"/>
  <c r="T273" i="15"/>
  <c r="T609" i="16"/>
  <c r="J201" i="16"/>
  <c r="J127" i="10"/>
  <c r="N609" i="16"/>
  <c r="N273" i="15"/>
  <c r="Q805" i="16"/>
  <c r="Q54" i="9"/>
  <c r="Q377" i="15"/>
  <c r="Q807" i="16"/>
  <c r="M576" i="16"/>
  <c r="M260" i="15"/>
  <c r="M361" i="15"/>
  <c r="M366" i="15" s="1"/>
  <c r="M406" i="15"/>
  <c r="M91" i="16"/>
  <c r="M88" i="16"/>
  <c r="N286" i="7"/>
  <c r="L565" i="16"/>
  <c r="L873" i="16"/>
  <c r="E497" i="17"/>
  <c r="E494" i="17"/>
  <c r="E770" i="17" s="1"/>
  <c r="G494" i="17"/>
  <c r="G770" i="17" s="1"/>
  <c r="F494" i="17"/>
  <c r="F770" i="17" s="1"/>
  <c r="J390" i="15"/>
  <c r="K576" i="16"/>
  <c r="K260" i="15"/>
  <c r="K361" i="15"/>
  <c r="K366" i="15" s="1"/>
  <c r="K406" i="15"/>
  <c r="J193" i="11"/>
  <c r="J237" i="11" s="1"/>
  <c r="K329" i="7"/>
  <c r="K334" i="7" s="1"/>
  <c r="K311" i="7" s="1"/>
  <c r="J335" i="7"/>
  <c r="T148" i="17"/>
  <c r="E147" i="17"/>
  <c r="M58" i="16"/>
  <c r="N285" i="7"/>
  <c r="M55" i="16"/>
  <c r="S516" i="17"/>
  <c r="S517" i="17" s="1"/>
  <c r="S241" i="11"/>
  <c r="S17" i="12"/>
  <c r="S33" i="13"/>
  <c r="S181" i="11"/>
  <c r="S510" i="16"/>
  <c r="T235" i="15"/>
  <c r="T510" i="16" s="1"/>
  <c r="M233" i="16"/>
  <c r="N131" i="15"/>
  <c r="T339" i="16"/>
  <c r="J15" i="15"/>
  <c r="K15" i="15"/>
  <c r="Q346" i="16" s="1"/>
  <c r="N676" i="17"/>
  <c r="N677" i="17" s="1"/>
  <c r="N242" i="11"/>
  <c r="N681" i="17" s="1"/>
  <c r="N682" i="17" s="1"/>
  <c r="O609" i="16"/>
  <c r="O273" i="15"/>
  <c r="J65" i="16"/>
  <c r="K66" i="15"/>
  <c r="P184" i="12"/>
  <c r="P186" i="12" s="1"/>
  <c r="P235" i="12" s="1"/>
  <c r="P78" i="12" s="1"/>
  <c r="F1267" i="17"/>
  <c r="E836" i="17"/>
  <c r="E1267" i="17" s="1"/>
  <c r="M1038" i="17"/>
  <c r="M1039" i="17" s="1"/>
  <c r="S397" i="15"/>
  <c r="S390" i="15"/>
  <c r="L576" i="16"/>
  <c r="L260" i="15"/>
  <c r="L361" i="15"/>
  <c r="L366" i="15" s="1"/>
  <c r="L406" i="15"/>
  <c r="J642" i="16"/>
  <c r="J286" i="15"/>
  <c r="I565" i="16"/>
  <c r="I873" i="16"/>
  <c r="I642" i="16"/>
  <c r="I286" i="15"/>
  <c r="H609" i="16"/>
  <c r="H273" i="15"/>
  <c r="H274" i="15"/>
  <c r="E23" i="15"/>
  <c r="K162" i="17"/>
  <c r="K163" i="17" s="1"/>
  <c r="K69" i="12"/>
  <c r="M92" i="15"/>
  <c r="L131" i="16"/>
  <c r="I576" i="16"/>
  <c r="I260" i="15"/>
  <c r="I361" i="15"/>
  <c r="I366" i="15" s="1"/>
  <c r="I406" i="15"/>
  <c r="L162" i="17"/>
  <c r="L163" i="17" s="1"/>
  <c r="L69" i="12"/>
  <c r="S201" i="16"/>
  <c r="S127" i="10"/>
  <c r="S872" i="16"/>
  <c r="S31" i="14"/>
  <c r="S32" i="14" s="1"/>
  <c r="S69" i="12"/>
  <c r="S37" i="10"/>
  <c r="S83" i="12"/>
  <c r="S157" i="17"/>
  <c r="S158" i="17" s="1"/>
  <c r="S15" i="12"/>
  <c r="S16" i="12" s="1"/>
  <c r="S81" i="12"/>
  <c r="M156" i="16"/>
  <c r="M153" i="16"/>
  <c r="N288" i="7"/>
  <c r="M162" i="17"/>
  <c r="M163" i="17" s="1"/>
  <c r="M69" i="12"/>
  <c r="E218" i="17"/>
  <c r="F215" i="17"/>
  <c r="F435" i="17" s="1"/>
  <c r="E215" i="17"/>
  <c r="E435" i="17" s="1"/>
  <c r="G215" i="17"/>
  <c r="G435" i="17" s="1"/>
  <c r="K197" i="12"/>
  <c r="K198" i="12"/>
  <c r="K226" i="12" s="1"/>
  <c r="H576" i="16"/>
  <c r="H260" i="15"/>
  <c r="H261" i="15"/>
  <c r="E22" i="15"/>
  <c r="H361" i="15"/>
  <c r="H366" i="15" s="1"/>
  <c r="H406" i="15"/>
  <c r="H398" i="15"/>
  <c r="K1038" i="17"/>
  <c r="K1039" i="17" s="1"/>
  <c r="N905" i="16"/>
  <c r="Q20" i="9"/>
  <c r="R8" i="9"/>
  <c r="S609" i="16"/>
  <c r="S273" i="15"/>
  <c r="Q813" i="16"/>
  <c r="R47" i="9"/>
  <c r="Q55" i="9"/>
  <c r="T201" i="16"/>
  <c r="T127" i="10"/>
  <c r="M609" i="16"/>
  <c r="M273" i="15"/>
  <c r="E337" i="17"/>
  <c r="T338" i="17"/>
  <c r="E338" i="17" s="1"/>
  <c r="K126" i="12"/>
  <c r="K1041" i="17" s="1"/>
  <c r="K1042" i="17" s="1"/>
  <c r="I11" i="15"/>
  <c r="N127" i="10"/>
  <c r="N201" i="16"/>
  <c r="Q286" i="15"/>
  <c r="Q642" i="16"/>
  <c r="I19" i="12"/>
  <c r="I20" i="12" s="1"/>
  <c r="I167" i="17"/>
  <c r="I168" i="17" s="1"/>
  <c r="I33" i="14"/>
  <c r="I292" i="12"/>
  <c r="I232" i="12"/>
  <c r="E138" i="17"/>
  <c r="E135" i="17"/>
  <c r="E419" i="17" s="1"/>
  <c r="F135" i="17"/>
  <c r="F419" i="17" s="1"/>
  <c r="G135" i="17"/>
  <c r="G419" i="17" s="1"/>
  <c r="H1038" i="17"/>
  <c r="H1039" i="17" s="1"/>
  <c r="F1018" i="17" s="1"/>
  <c r="H189" i="12"/>
  <c r="H230" i="12" s="1"/>
  <c r="M642" i="16"/>
  <c r="M286" i="15"/>
  <c r="T157" i="17"/>
  <c r="T872" i="16"/>
  <c r="T31" i="14"/>
  <c r="T32" i="14" s="1"/>
  <c r="E83" i="14"/>
  <c r="E84" i="14" s="1"/>
  <c r="E54" i="14"/>
  <c r="T15" i="12"/>
  <c r="T16" i="12" s="1"/>
  <c r="T37" i="10"/>
  <c r="T83" i="12"/>
  <c r="T69" i="12"/>
  <c r="T81" i="12"/>
  <c r="N390" i="15"/>
  <c r="J873" i="16"/>
  <c r="R367" i="16"/>
  <c r="S294" i="7"/>
  <c r="R364" i="16"/>
  <c r="P162" i="17"/>
  <c r="P163" i="17" s="1"/>
  <c r="P69" i="12"/>
  <c r="T516" i="17"/>
  <c r="T17" i="12"/>
  <c r="T33" i="13"/>
  <c r="T241" i="11"/>
  <c r="T181" i="11"/>
  <c r="I676" i="17"/>
  <c r="I677" i="17" s="1"/>
  <c r="I242" i="11"/>
  <c r="I681" i="17" s="1"/>
  <c r="I682" i="17" s="1"/>
  <c r="S576" i="16"/>
  <c r="S260" i="15"/>
  <c r="S361" i="15"/>
  <c r="S366" i="15" s="1"/>
  <c r="M873" i="16"/>
  <c r="O1038" i="17"/>
  <c r="O1039" i="17" s="1"/>
  <c r="O124" i="16"/>
  <c r="O121" i="16"/>
  <c r="P287" i="7"/>
  <c r="L190" i="16"/>
  <c r="L186" i="16"/>
  <c r="M289" i="7"/>
  <c r="M310" i="7" s="1"/>
  <c r="I905" i="16"/>
  <c r="N286" i="15"/>
  <c r="N642" i="16"/>
  <c r="Q576" i="16"/>
  <c r="Q260" i="15"/>
  <c r="Q406" i="15"/>
  <c r="Q361" i="15"/>
  <c r="Q366" i="15" s="1"/>
  <c r="P344" i="15"/>
  <c r="H873" i="16"/>
  <c r="H11" i="15"/>
  <c r="Q162" i="17"/>
  <c r="Q163" i="17" s="1"/>
  <c r="Q69" i="12"/>
  <c r="P576" i="16"/>
  <c r="P260" i="15"/>
  <c r="P406" i="15"/>
  <c r="P361" i="15"/>
  <c r="P366" i="15" s="1"/>
  <c r="J576" i="16"/>
  <c r="J260" i="15"/>
  <c r="J397" i="15" s="1"/>
  <c r="J361" i="15"/>
  <c r="J366" i="15" s="1"/>
  <c r="I390" i="15"/>
  <c r="K873" i="16"/>
  <c r="S642" i="16"/>
  <c r="S286" i="15"/>
  <c r="L911" i="16"/>
  <c r="L913" i="16" s="1"/>
  <c r="N877" i="16"/>
  <c r="R609" i="16"/>
  <c r="R273" i="15"/>
  <c r="H313" i="7"/>
  <c r="J98" i="16"/>
  <c r="K79" i="15"/>
  <c r="P1038" i="17"/>
  <c r="P1039" i="17" s="1"/>
  <c r="I621" i="17"/>
  <c r="I622" i="17" s="1"/>
  <c r="I237" i="11"/>
  <c r="J163" i="16"/>
  <c r="K105" i="15"/>
  <c r="O246" i="11"/>
  <c r="O701" i="17" s="1"/>
  <c r="O702" i="17" s="1"/>
  <c r="S406" i="15"/>
  <c r="L609" i="16"/>
  <c r="L273" i="15"/>
  <c r="I273" i="15"/>
  <c r="I397" i="15" s="1"/>
  <c r="I609" i="16"/>
  <c r="J118" i="15"/>
  <c r="I197" i="16"/>
  <c r="K609" i="16"/>
  <c r="K273" i="15"/>
  <c r="N167" i="17"/>
  <c r="N168" i="17" s="1"/>
  <c r="N33" i="14"/>
  <c r="N292" i="12"/>
  <c r="N19" i="12"/>
  <c r="N20" i="12" s="1"/>
  <c r="N232" i="12"/>
  <c r="T507" i="17"/>
  <c r="E506" i="17"/>
  <c r="O162" i="17"/>
  <c r="O163" i="17" s="1"/>
  <c r="O69" i="12"/>
  <c r="P222" i="16"/>
  <c r="Q290" i="7"/>
  <c r="P226" i="16"/>
  <c r="L642" i="16"/>
  <c r="L286" i="15"/>
  <c r="Q609" i="16"/>
  <c r="Q273" i="15"/>
  <c r="I201" i="16"/>
  <c r="I127" i="10"/>
  <c r="E197" i="17"/>
  <c r="T198" i="17"/>
  <c r="E198" i="17" s="1"/>
  <c r="R242" i="11"/>
  <c r="R681" i="17" s="1"/>
  <c r="R682" i="17" s="1"/>
  <c r="R246" i="11"/>
  <c r="R701" i="17" s="1"/>
  <c r="R702" i="17" s="1"/>
  <c r="R676" i="17"/>
  <c r="R677" i="17" s="1"/>
  <c r="M258" i="16"/>
  <c r="M261" i="16"/>
  <c r="N291" i="7"/>
  <c r="J268" i="16"/>
  <c r="K144" i="15"/>
  <c r="G219" i="17"/>
  <c r="H50" i="13"/>
  <c r="O374" i="16"/>
  <c r="P183" i="15"/>
  <c r="F1270" i="17"/>
  <c r="E914" i="17"/>
  <c r="E1270" i="17" s="1"/>
  <c r="H129" i="10"/>
  <c r="H87" i="10"/>
  <c r="T163" i="17"/>
  <c r="E163" i="17" s="1"/>
  <c r="E162" i="17"/>
  <c r="J905" i="16"/>
  <c r="Q76" i="10"/>
  <c r="Q44" i="10"/>
  <c r="Q19" i="9"/>
  <c r="Q21" i="9" s="1"/>
  <c r="J406" i="15"/>
  <c r="L1038" i="17"/>
  <c r="L1039" i="17" s="1"/>
  <c r="R286" i="15"/>
  <c r="R642" i="16"/>
  <c r="J33" i="14"/>
  <c r="J167" i="17"/>
  <c r="J168" i="17" s="1"/>
  <c r="J19" i="12"/>
  <c r="J20" i="12" s="1"/>
  <c r="J292" i="12"/>
  <c r="J232" i="12"/>
  <c r="T642" i="16"/>
  <c r="T286" i="15"/>
  <c r="R1038" i="17"/>
  <c r="R1039" i="17" s="1"/>
  <c r="G1018" i="17" s="1"/>
  <c r="G1274" i="17" s="1"/>
  <c r="E1284" i="17" s="1"/>
  <c r="T576" i="16"/>
  <c r="T260" i="15"/>
  <c r="T361" i="15"/>
  <c r="T366" i="15" s="1"/>
  <c r="E380" i="17"/>
  <c r="E468" i="17" s="1"/>
  <c r="T303" i="16"/>
  <c r="J14" i="15"/>
  <c r="K14" i="15"/>
  <c r="Q310" i="16" s="1"/>
  <c r="G195" i="17"/>
  <c r="G431" i="17" s="1"/>
  <c r="F195" i="17"/>
  <c r="F431" i="17" s="1"/>
  <c r="E195" i="17"/>
  <c r="E431" i="17" s="1"/>
  <c r="S905" i="16"/>
  <c r="S565" i="16"/>
  <c r="K246" i="11"/>
  <c r="K701" i="17" s="1"/>
  <c r="K702" i="17" s="1"/>
  <c r="P133" i="11"/>
  <c r="P135" i="11" s="1"/>
  <c r="P184" i="11" s="1"/>
  <c r="P27" i="11" s="1"/>
  <c r="T383" i="17"/>
  <c r="E383" i="17" s="1"/>
  <c r="E382" i="17"/>
  <c r="G384" i="17" s="1"/>
  <c r="T820" i="16"/>
  <c r="E383" i="15"/>
  <c r="E384" i="15"/>
  <c r="E223" i="17"/>
  <c r="G224" i="17" s="1"/>
  <c r="F220" i="17"/>
  <c r="F436" i="17" s="1"/>
  <c r="E220" i="17"/>
  <c r="E436" i="17" s="1"/>
  <c r="G220" i="17"/>
  <c r="G436" i="17" s="1"/>
  <c r="H642" i="16"/>
  <c r="H286" i="15"/>
  <c r="H287" i="15"/>
  <c r="E24" i="15"/>
  <c r="T905" i="16"/>
  <c r="J126" i="12"/>
  <c r="J1041" i="17" s="1"/>
  <c r="J1042" i="17" s="1"/>
  <c r="Q1038" i="17"/>
  <c r="Q1039" i="17" s="1"/>
  <c r="P286" i="15"/>
  <c r="P642" i="16"/>
  <c r="R576" i="16"/>
  <c r="R260" i="15"/>
  <c r="R361" i="15"/>
  <c r="R366" i="15" s="1"/>
  <c r="R406" i="15"/>
  <c r="E98" i="13"/>
  <c r="E98" i="14"/>
  <c r="H247" i="11" l="1"/>
  <c r="R232" i="12"/>
  <c r="R167" i="17"/>
  <c r="R168" i="17" s="1"/>
  <c r="G139" i="17"/>
  <c r="F335" i="17"/>
  <c r="F459" i="17" s="1"/>
  <c r="G335" i="17"/>
  <c r="G459" i="17" s="1"/>
  <c r="E1413" i="17"/>
  <c r="E394" i="15"/>
  <c r="E335" i="17"/>
  <c r="E459" i="17" s="1"/>
  <c r="R19" i="12"/>
  <c r="R20" i="12" s="1"/>
  <c r="G498" i="17"/>
  <c r="I246" i="11"/>
  <c r="I701" i="17" s="1"/>
  <c r="I702" i="17" s="1"/>
  <c r="E393" i="15"/>
  <c r="G164" i="17"/>
  <c r="H1313" i="17"/>
  <c r="R292" i="12"/>
  <c r="R293" i="12" s="1"/>
  <c r="R332" i="17" s="1"/>
  <c r="R333" i="17" s="1"/>
  <c r="E1018" i="17"/>
  <c r="E1274" i="17" s="1"/>
  <c r="E1285" i="17" s="1"/>
  <c r="F1274" i="17"/>
  <c r="D75" i="17"/>
  <c r="F75" i="17" s="1"/>
  <c r="K830" i="16"/>
  <c r="H30" i="16"/>
  <c r="J31" i="15"/>
  <c r="K268" i="16"/>
  <c r="L144" i="15"/>
  <c r="K98" i="16"/>
  <c r="L79" i="15"/>
  <c r="J246" i="11"/>
  <c r="D647" i="16"/>
  <c r="G24" i="15"/>
  <c r="E25" i="16"/>
  <c r="H76" i="12"/>
  <c r="H38" i="10"/>
  <c r="H40" i="10" s="1"/>
  <c r="H49" i="10" s="1"/>
  <c r="H81" i="9"/>
  <c r="H83" i="9" s="1"/>
  <c r="H875" i="16"/>
  <c r="Q201" i="11"/>
  <c r="Q252" i="12"/>
  <c r="N153" i="16"/>
  <c r="N156" i="16"/>
  <c r="O288" i="7"/>
  <c r="J877" i="16"/>
  <c r="N258" i="16"/>
  <c r="N261" i="16"/>
  <c r="O291" i="7"/>
  <c r="R51" i="9"/>
  <c r="R56" i="9"/>
  <c r="R50" i="9"/>
  <c r="Q877" i="16"/>
  <c r="Q343" i="15"/>
  <c r="Q47" i="10"/>
  <c r="Q79" i="10"/>
  <c r="Q183" i="12"/>
  <c r="Q132" i="11"/>
  <c r="R397" i="15"/>
  <c r="Q222" i="16"/>
  <c r="R290" i="7"/>
  <c r="Q226" i="16"/>
  <c r="Q397" i="15"/>
  <c r="T517" i="17"/>
  <c r="E517" i="17" s="1"/>
  <c r="E516" i="17"/>
  <c r="N246" i="11"/>
  <c r="N701" i="17" s="1"/>
  <c r="N702" i="17" s="1"/>
  <c r="S676" i="17"/>
  <c r="S677" i="17" s="1"/>
  <c r="S242" i="11"/>
  <c r="S681" i="17" s="1"/>
  <c r="S682" i="17" s="1"/>
  <c r="S246" i="11"/>
  <c r="S701" i="17" s="1"/>
  <c r="S702" i="17" s="1"/>
  <c r="K335" i="7"/>
  <c r="L329" i="7"/>
  <c r="L334" i="7" s="1"/>
  <c r="K193" i="11"/>
  <c r="K237" i="11" s="1"/>
  <c r="H272" i="17"/>
  <c r="H273" i="17" s="1"/>
  <c r="H288" i="12"/>
  <c r="P374" i="16"/>
  <c r="Q183" i="15"/>
  <c r="P877" i="16"/>
  <c r="P397" i="15"/>
  <c r="H577" i="16"/>
  <c r="I261" i="15"/>
  <c r="G380" i="17"/>
  <c r="G468" i="17" s="1"/>
  <c r="F160" i="17"/>
  <c r="F424" i="17" s="1"/>
  <c r="E160" i="17"/>
  <c r="E424" i="17" s="1"/>
  <c r="G160" i="17"/>
  <c r="G424" i="17" s="1"/>
  <c r="H706" i="17"/>
  <c r="H707" i="17" s="1"/>
  <c r="H248" i="11"/>
  <c r="I327" i="17"/>
  <c r="I328" i="17" s="1"/>
  <c r="I293" i="12"/>
  <c r="I332" i="17" s="1"/>
  <c r="I333" i="17" s="1"/>
  <c r="H397" i="15"/>
  <c r="K397" i="15"/>
  <c r="N146" i="11"/>
  <c r="N147" i="11"/>
  <c r="N175" i="11" s="1"/>
  <c r="G199" i="17"/>
  <c r="E507" i="17"/>
  <c r="G504" i="17"/>
  <c r="G772" i="17" s="1"/>
  <c r="F504" i="17"/>
  <c r="F772" i="17" s="1"/>
  <c r="E504" i="17"/>
  <c r="E772" i="17" s="1"/>
  <c r="G339" i="17"/>
  <c r="M131" i="16"/>
  <c r="N92" i="15"/>
  <c r="E1283" i="17"/>
  <c r="M877" i="16"/>
  <c r="K636" i="16"/>
  <c r="K633" i="16"/>
  <c r="L302" i="7"/>
  <c r="M167" i="17"/>
  <c r="M168" i="17" s="1"/>
  <c r="M19" i="12"/>
  <c r="M20" i="12" s="1"/>
  <c r="M33" i="14"/>
  <c r="M292" i="12"/>
  <c r="M232" i="12"/>
  <c r="H610" i="16"/>
  <c r="I274" i="15"/>
  <c r="K567" i="16"/>
  <c r="K570" i="16"/>
  <c r="L300" i="7"/>
  <c r="K312" i="7"/>
  <c r="K883" i="16"/>
  <c r="K885" i="16" s="1"/>
  <c r="K603" i="16"/>
  <c r="K600" i="16"/>
  <c r="L301" i="7"/>
  <c r="T676" i="17"/>
  <c r="T242" i="11"/>
  <c r="T681" i="17" s="1"/>
  <c r="T246" i="11"/>
  <c r="T701" i="17" s="1"/>
  <c r="P345" i="15"/>
  <c r="P124" i="16"/>
  <c r="P121" i="16"/>
  <c r="Q287" i="7"/>
  <c r="T167" i="17"/>
  <c r="T33" i="14"/>
  <c r="T292" i="12"/>
  <c r="T19" i="12"/>
  <c r="T20" i="12" s="1"/>
  <c r="T232" i="12"/>
  <c r="L197" i="12"/>
  <c r="L198" i="12"/>
  <c r="L226" i="12" s="1"/>
  <c r="E1409" i="17"/>
  <c r="R877" i="16"/>
  <c r="S877" i="16"/>
  <c r="E148" i="17"/>
  <c r="G145" i="17"/>
  <c r="G421" i="17" s="1"/>
  <c r="E145" i="17"/>
  <c r="E421" i="17" s="1"/>
  <c r="F145" i="17"/>
  <c r="F421" i="17" s="1"/>
  <c r="Q806" i="16"/>
  <c r="Q378" i="15"/>
  <c r="Q821" i="16" s="1"/>
  <c r="O877" i="16"/>
  <c r="Q203" i="16"/>
  <c r="G12" i="16"/>
  <c r="I398" i="15"/>
  <c r="J398" i="15" s="1"/>
  <c r="K398" i="15" s="1"/>
  <c r="L398" i="15" s="1"/>
  <c r="M398" i="15" s="1"/>
  <c r="N398" i="15" s="1"/>
  <c r="O398" i="15" s="1"/>
  <c r="P398" i="15" s="1"/>
  <c r="Q398" i="15" s="1"/>
  <c r="R398" i="15" s="1"/>
  <c r="S398" i="15" s="1"/>
  <c r="T398" i="15" s="1"/>
  <c r="I877" i="16"/>
  <c r="I244" i="12"/>
  <c r="J321" i="7"/>
  <c r="J326" i="7" s="1"/>
  <c r="J313" i="7" s="1"/>
  <c r="I327" i="7"/>
  <c r="N327" i="17"/>
  <c r="N328" i="17" s="1"/>
  <c r="N293" i="12"/>
  <c r="N332" i="17" s="1"/>
  <c r="N333" i="17" s="1"/>
  <c r="H877" i="16"/>
  <c r="K163" i="16"/>
  <c r="L105" i="15"/>
  <c r="P292" i="12"/>
  <c r="P19" i="12"/>
  <c r="P20" i="12" s="1"/>
  <c r="P33" i="14"/>
  <c r="P167" i="17"/>
  <c r="P168" i="17" s="1"/>
  <c r="P232" i="12"/>
  <c r="J621" i="17"/>
  <c r="J622" i="17" s="1"/>
  <c r="O167" i="17"/>
  <c r="O168" i="17" s="1"/>
  <c r="O292" i="12"/>
  <c r="O33" i="14"/>
  <c r="O19" i="12"/>
  <c r="O20" i="12" s="1"/>
  <c r="O232" i="12"/>
  <c r="K877" i="16"/>
  <c r="N91" i="16"/>
  <c r="O286" i="7"/>
  <c r="N88" i="16"/>
  <c r="H167" i="17"/>
  <c r="H168" i="17" s="1"/>
  <c r="H33" i="14"/>
  <c r="H37" i="14" s="1"/>
  <c r="H42" i="14" s="1"/>
  <c r="H19" i="12"/>
  <c r="H20" i="12" s="1"/>
  <c r="H292" i="12"/>
  <c r="H232" i="12"/>
  <c r="K346" i="16"/>
  <c r="H16" i="16"/>
  <c r="H15" i="16"/>
  <c r="K310" i="16"/>
  <c r="S367" i="16"/>
  <c r="S364" i="16"/>
  <c r="T294" i="7"/>
  <c r="Q167" i="17"/>
  <c r="Q168" i="17" s="1"/>
  <c r="Q292" i="12"/>
  <c r="Q19" i="12"/>
  <c r="Q20" i="12" s="1"/>
  <c r="Q33" i="14"/>
  <c r="Q232" i="12"/>
  <c r="S167" i="17"/>
  <c r="S168" i="17" s="1"/>
  <c r="S292" i="12"/>
  <c r="S33" i="14"/>
  <c r="S19" i="12"/>
  <c r="S20" i="12" s="1"/>
  <c r="S232" i="12"/>
  <c r="K33" i="14"/>
  <c r="K167" i="17"/>
  <c r="K168" i="17" s="1"/>
  <c r="K19" i="12"/>
  <c r="K20" i="12" s="1"/>
  <c r="K292" i="12"/>
  <c r="K232" i="12"/>
  <c r="L877" i="16"/>
  <c r="O131" i="15"/>
  <c r="N233" i="16"/>
  <c r="N58" i="16"/>
  <c r="N911" i="16"/>
  <c r="N913" i="16" s="1"/>
  <c r="N310" i="7"/>
  <c r="O285" i="7"/>
  <c r="N55" i="16"/>
  <c r="K31" i="15"/>
  <c r="Q830" i="16"/>
  <c r="H88" i="10"/>
  <c r="H39" i="9"/>
  <c r="L66" i="15"/>
  <c r="K65" i="16"/>
  <c r="L33" i="14"/>
  <c r="L167" i="17"/>
  <c r="L168" i="17" s="1"/>
  <c r="L19" i="12"/>
  <c r="L20" i="12" s="1"/>
  <c r="L292" i="12"/>
  <c r="L232" i="12"/>
  <c r="H643" i="16"/>
  <c r="I287" i="15"/>
  <c r="Q726" i="17"/>
  <c r="Q727" i="17" s="1"/>
  <c r="Q377" i="17"/>
  <c r="Q378" i="17" s="1"/>
  <c r="O397" i="15"/>
  <c r="E23" i="16"/>
  <c r="G22" i="15"/>
  <c r="D581" i="16"/>
  <c r="E39" i="15"/>
  <c r="E44" i="15"/>
  <c r="E73" i="14" s="1"/>
  <c r="E399" i="15"/>
  <c r="E30" i="15"/>
  <c r="J327" i="17"/>
  <c r="J328" i="17" s="1"/>
  <c r="J293" i="12"/>
  <c r="J332" i="17" s="1"/>
  <c r="J333" i="17" s="1"/>
  <c r="E56" i="14"/>
  <c r="E58" i="14" s="1"/>
  <c r="E59" i="14" s="1"/>
  <c r="I313" i="7"/>
  <c r="J197" i="16"/>
  <c r="K118" i="15"/>
  <c r="E157" i="17"/>
  <c r="T158" i="17"/>
  <c r="R9" i="9"/>
  <c r="R10" i="9"/>
  <c r="M397" i="15"/>
  <c r="E60" i="13"/>
  <c r="E66" i="13" s="1"/>
  <c r="E423" i="15"/>
  <c r="E61" i="13"/>
  <c r="F12" i="16"/>
  <c r="K203" i="16"/>
  <c r="M190" i="16"/>
  <c r="M186" i="16"/>
  <c r="N289" i="7"/>
  <c r="Q250" i="12"/>
  <c r="R18" i="9"/>
  <c r="Q199" i="11"/>
  <c r="D614" i="16"/>
  <c r="G23" i="15"/>
  <c r="E24" i="16"/>
  <c r="L397" i="15"/>
  <c r="M911" i="16"/>
  <c r="M913" i="16" s="1"/>
  <c r="F380" i="17"/>
  <c r="F468" i="17" s="1"/>
  <c r="E402" i="15" l="1"/>
  <c r="E1286" i="17"/>
  <c r="C8" i="17" s="1"/>
  <c r="C9" i="1" s="1"/>
  <c r="G149" i="17"/>
  <c r="F514" i="17"/>
  <c r="F774" i="17" s="1"/>
  <c r="R297" i="12"/>
  <c r="R352" i="17" s="1"/>
  <c r="R353" i="17" s="1"/>
  <c r="R327" i="17"/>
  <c r="R328" i="17" s="1"/>
  <c r="I297" i="12"/>
  <c r="I352" i="17" s="1"/>
  <c r="I353" i="17" s="1"/>
  <c r="I247" i="11"/>
  <c r="I706" i="17" s="1"/>
  <c r="I707" i="17" s="1"/>
  <c r="G508" i="17"/>
  <c r="E412" i="15"/>
  <c r="E60" i="14"/>
  <c r="E66" i="14" s="1"/>
  <c r="E61" i="14"/>
  <c r="H879" i="16"/>
  <c r="H410" i="15"/>
  <c r="H411" i="15" s="1"/>
  <c r="H115" i="14"/>
  <c r="H49" i="14"/>
  <c r="H48" i="14"/>
  <c r="H82" i="14"/>
  <c r="O327" i="17"/>
  <c r="O328" i="17" s="1"/>
  <c r="O293" i="12"/>
  <c r="O332" i="17" s="1"/>
  <c r="O333" i="17" s="1"/>
  <c r="H54" i="10"/>
  <c r="H249" i="11"/>
  <c r="H250" i="11" s="1"/>
  <c r="H1339" i="17"/>
  <c r="H182" i="17"/>
  <c r="H183" i="17" s="1"/>
  <c r="L603" i="16"/>
  <c r="L600" i="16"/>
  <c r="M301" i="7"/>
  <c r="Q344" i="15"/>
  <c r="Q345" i="15" s="1"/>
  <c r="J297" i="12"/>
  <c r="O233" i="16"/>
  <c r="P131" i="15"/>
  <c r="N186" i="16"/>
  <c r="N190" i="16"/>
  <c r="O289" i="7"/>
  <c r="E158" i="17"/>
  <c r="G155" i="17"/>
  <c r="G423" i="17" s="1"/>
  <c r="E155" i="17"/>
  <c r="E423" i="17" s="1"/>
  <c r="F155" i="17"/>
  <c r="F423" i="17" s="1"/>
  <c r="I272" i="17"/>
  <c r="I273" i="17" s="1"/>
  <c r="J288" i="12"/>
  <c r="T168" i="17"/>
  <c r="E168" i="17" s="1"/>
  <c r="E167" i="17"/>
  <c r="P288" i="7"/>
  <c r="O153" i="16"/>
  <c r="O156" i="16"/>
  <c r="L567" i="16"/>
  <c r="L570" i="16"/>
  <c r="M300" i="7"/>
  <c r="L312" i="7"/>
  <c r="L883" i="16"/>
  <c r="L885" i="16" s="1"/>
  <c r="I577" i="16"/>
  <c r="J261" i="15"/>
  <c r="K327" i="17"/>
  <c r="K328" i="17" s="1"/>
  <c r="K293" i="12"/>
  <c r="K332" i="17" s="1"/>
  <c r="K333" i="17" s="1"/>
  <c r="P327" i="17"/>
  <c r="P328" i="17" s="1"/>
  <c r="P293" i="12"/>
  <c r="P332" i="17" s="1"/>
  <c r="P333" i="17" s="1"/>
  <c r="E120" i="14"/>
  <c r="E100" i="14"/>
  <c r="I643" i="16"/>
  <c r="J287" i="15"/>
  <c r="E1407" i="17"/>
  <c r="L163" i="16"/>
  <c r="M105" i="15"/>
  <c r="P901" i="16"/>
  <c r="P873" i="16"/>
  <c r="E400" i="15"/>
  <c r="I288" i="12"/>
  <c r="L268" i="16"/>
  <c r="M144" i="15"/>
  <c r="N297" i="12"/>
  <c r="N352" i="17" s="1"/>
  <c r="N353" i="17" s="1"/>
  <c r="R21" i="9"/>
  <c r="S8" i="9"/>
  <c r="R20" i="9"/>
  <c r="J701" i="17"/>
  <c r="J702" i="17" s="1"/>
  <c r="E252" i="11"/>
  <c r="M66" i="15"/>
  <c r="L65" i="16"/>
  <c r="O146" i="11"/>
  <c r="O147" i="11"/>
  <c r="O175" i="11" s="1"/>
  <c r="G159" i="17"/>
  <c r="L98" i="16"/>
  <c r="M79" i="15"/>
  <c r="I610" i="16"/>
  <c r="J274" i="15"/>
  <c r="R222" i="16"/>
  <c r="S290" i="7"/>
  <c r="R226" i="16"/>
  <c r="R813" i="16"/>
  <c r="R55" i="9"/>
  <c r="S47" i="9"/>
  <c r="Q374" i="16"/>
  <c r="R183" i="15"/>
  <c r="Q184" i="12"/>
  <c r="L636" i="16"/>
  <c r="L633" i="16"/>
  <c r="M302" i="7"/>
  <c r="E401" i="15"/>
  <c r="L118" i="15"/>
  <c r="K197" i="16"/>
  <c r="H327" i="17"/>
  <c r="H328" i="17" s="1"/>
  <c r="H293" i="12"/>
  <c r="H332" i="17" s="1"/>
  <c r="H333" i="17" s="1"/>
  <c r="H297" i="12"/>
  <c r="T702" i="17"/>
  <c r="E702" i="17" s="1"/>
  <c r="E701" i="17"/>
  <c r="K621" i="17"/>
  <c r="K622" i="17" s="1"/>
  <c r="M197" i="12"/>
  <c r="M198" i="12"/>
  <c r="M226" i="12" s="1"/>
  <c r="E676" i="17"/>
  <c r="T677" i="17"/>
  <c r="M327" i="17"/>
  <c r="M328" i="17" s="1"/>
  <c r="M293" i="12"/>
  <c r="M332" i="17" s="1"/>
  <c r="M333" i="17" s="1"/>
  <c r="Q133" i="11"/>
  <c r="Q135" i="11" s="1"/>
  <c r="Q184" i="11" s="1"/>
  <c r="Q27" i="11" s="1"/>
  <c r="O261" i="16"/>
  <c r="O258" i="16"/>
  <c r="P291" i="7"/>
  <c r="T364" i="16"/>
  <c r="T367" i="16"/>
  <c r="O88" i="16"/>
  <c r="P286" i="7"/>
  <c r="O91" i="16"/>
  <c r="T327" i="17"/>
  <c r="T293" i="12"/>
  <c r="T332" i="17" s="1"/>
  <c r="S327" i="17"/>
  <c r="S328" i="17" s="1"/>
  <c r="S293" i="12"/>
  <c r="S332" i="17" s="1"/>
  <c r="S333" i="17" s="1"/>
  <c r="R76" i="10"/>
  <c r="R19" i="9"/>
  <c r="R44" i="10"/>
  <c r="J244" i="12"/>
  <c r="K321" i="7"/>
  <c r="K326" i="7" s="1"/>
  <c r="J327" i="7"/>
  <c r="H227" i="11"/>
  <c r="H168" i="10"/>
  <c r="H43" i="9"/>
  <c r="H21" i="11" s="1"/>
  <c r="H41" i="9"/>
  <c r="H44" i="9" s="1"/>
  <c r="I40" i="9"/>
  <c r="I228" i="11" s="1"/>
  <c r="Q124" i="16"/>
  <c r="R287" i="7"/>
  <c r="Q121" i="16"/>
  <c r="E514" i="17"/>
  <c r="E774" i="17" s="1"/>
  <c r="H89" i="10"/>
  <c r="G514" i="17"/>
  <c r="G774" i="17" s="1"/>
  <c r="G30" i="15"/>
  <c r="O911" i="16"/>
  <c r="O913" i="16" s="1"/>
  <c r="O55" i="16"/>
  <c r="O58" i="16"/>
  <c r="P285" i="7"/>
  <c r="O310" i="7"/>
  <c r="Q327" i="17"/>
  <c r="Q328" i="17" s="1"/>
  <c r="Q293" i="12"/>
  <c r="Q332" i="17" s="1"/>
  <c r="Q333" i="17" s="1"/>
  <c r="Q297" i="12"/>
  <c r="Q352" i="17" s="1"/>
  <c r="Q353" i="17" s="1"/>
  <c r="L327" i="17"/>
  <c r="L328" i="17" s="1"/>
  <c r="L293" i="12"/>
  <c r="L332" i="17" s="1"/>
  <c r="L333" i="17" s="1"/>
  <c r="E1414" i="17"/>
  <c r="T682" i="17"/>
  <c r="E681" i="17"/>
  <c r="O92" i="15"/>
  <c r="N131" i="16"/>
  <c r="L193" i="11"/>
  <c r="M329" i="7"/>
  <c r="M334" i="7" s="1"/>
  <c r="L335" i="7"/>
  <c r="L311" i="7"/>
  <c r="R805" i="16"/>
  <c r="R54" i="9"/>
  <c r="R807" i="16"/>
  <c r="R377" i="15"/>
  <c r="S297" i="12" l="1"/>
  <c r="S352" i="17" s="1"/>
  <c r="S353" i="17" s="1"/>
  <c r="I248" i="11"/>
  <c r="T297" i="12"/>
  <c r="T352" i="17" s="1"/>
  <c r="K297" i="12"/>
  <c r="K352" i="17" s="1"/>
  <c r="K353" i="17" s="1"/>
  <c r="J247" i="11"/>
  <c r="J706" i="17" s="1"/>
  <c r="J707" i="17" s="1"/>
  <c r="O297" i="12"/>
  <c r="O352" i="17" s="1"/>
  <c r="O353" i="17" s="1"/>
  <c r="G165" i="17"/>
  <c r="G425" i="17" s="1"/>
  <c r="F165" i="17"/>
  <c r="F425" i="17" s="1"/>
  <c r="M297" i="12"/>
  <c r="M352" i="17" s="1"/>
  <c r="M353" i="17" s="1"/>
  <c r="G518" i="17"/>
  <c r="J352" i="17"/>
  <c r="J353" i="17" s="1"/>
  <c r="E682" i="17"/>
  <c r="G683" i="17" s="1"/>
  <c r="E679" i="17"/>
  <c r="E807" i="17" s="1"/>
  <c r="R121" i="16"/>
  <c r="S287" i="7"/>
  <c r="R124" i="16"/>
  <c r="T353" i="17"/>
  <c r="E353" i="17" s="1"/>
  <c r="E352" i="17"/>
  <c r="K274" i="15"/>
  <c r="J610" i="16"/>
  <c r="K261" i="15"/>
  <c r="J577" i="16"/>
  <c r="R806" i="16"/>
  <c r="R378" i="15"/>
  <c r="R821" i="16" s="1"/>
  <c r="T333" i="17"/>
  <c r="E333" i="17" s="1"/>
  <c r="E332" i="17"/>
  <c r="J643" i="16"/>
  <c r="K287" i="15"/>
  <c r="H55" i="10"/>
  <c r="H128" i="10"/>
  <c r="P911" i="16"/>
  <c r="P913" i="16" s="1"/>
  <c r="P55" i="16"/>
  <c r="Q285" i="7"/>
  <c r="P58" i="16"/>
  <c r="P310" i="7"/>
  <c r="S183" i="15"/>
  <c r="R374" i="16"/>
  <c r="L197" i="16"/>
  <c r="M118" i="15"/>
  <c r="E677" i="17"/>
  <c r="E674" i="17"/>
  <c r="E806" i="17" s="1"/>
  <c r="S51" i="9"/>
  <c r="S56" i="9"/>
  <c r="S50" i="9"/>
  <c r="E764" i="17"/>
  <c r="F764" i="17" s="1"/>
  <c r="G764" i="17" s="1"/>
  <c r="M163" i="16"/>
  <c r="N105" i="15"/>
  <c r="G699" i="17"/>
  <c r="G811" i="17" s="1"/>
  <c r="F699" i="17"/>
  <c r="F811" i="17" s="1"/>
  <c r="E699" i="17"/>
  <c r="E811" i="17" s="1"/>
  <c r="Q901" i="16"/>
  <c r="Q873" i="16"/>
  <c r="H352" i="17"/>
  <c r="H353" i="17" s="1"/>
  <c r="H298" i="12"/>
  <c r="E165" i="17"/>
  <c r="E425" i="17" s="1"/>
  <c r="E327" i="17"/>
  <c r="T328" i="17"/>
  <c r="E328" i="17" s="1"/>
  <c r="M98" i="16"/>
  <c r="N79" i="15"/>
  <c r="R343" i="15"/>
  <c r="R47" i="10"/>
  <c r="R79" i="10"/>
  <c r="R132" i="11"/>
  <c r="R183" i="12"/>
  <c r="M603" i="16"/>
  <c r="M600" i="16"/>
  <c r="N301" i="7"/>
  <c r="H1369" i="17"/>
  <c r="H1375" i="17" s="1"/>
  <c r="H581" i="17"/>
  <c r="H582" i="17" s="1"/>
  <c r="P88" i="16"/>
  <c r="Q286" i="7"/>
  <c r="P91" i="16"/>
  <c r="G679" i="17"/>
  <c r="G807" i="17" s="1"/>
  <c r="N144" i="15"/>
  <c r="M268" i="16"/>
  <c r="M570" i="16"/>
  <c r="M567" i="16"/>
  <c r="N300" i="7"/>
  <c r="M883" i="16"/>
  <c r="M885" i="16" s="1"/>
  <c r="M312" i="7"/>
  <c r="L297" i="12"/>
  <c r="L352" i="17" s="1"/>
  <c r="L353" i="17" s="1"/>
  <c r="H90" i="9"/>
  <c r="K244" i="12"/>
  <c r="K288" i="12" s="1"/>
  <c r="L321" i="7"/>
  <c r="L326" i="7" s="1"/>
  <c r="K327" i="7"/>
  <c r="M636" i="16"/>
  <c r="M633" i="16"/>
  <c r="N302" i="7"/>
  <c r="R252" i="12"/>
  <c r="R201" i="11"/>
  <c r="O186" i="16"/>
  <c r="O190" i="16"/>
  <c r="P289" i="7"/>
  <c r="F679" i="17"/>
  <c r="F807" i="17" s="1"/>
  <c r="M193" i="11"/>
  <c r="M335" i="7"/>
  <c r="N329" i="7"/>
  <c r="N334" i="7" s="1"/>
  <c r="M311" i="7"/>
  <c r="I38" i="9"/>
  <c r="H200" i="11"/>
  <c r="H238" i="11" s="1"/>
  <c r="H108" i="9"/>
  <c r="J272" i="17"/>
  <c r="J273" i="17" s="1"/>
  <c r="N197" i="12"/>
  <c r="N198" i="12"/>
  <c r="N226" i="12" s="1"/>
  <c r="P146" i="11"/>
  <c r="P147" i="11"/>
  <c r="P175" i="11" s="1"/>
  <c r="R250" i="12"/>
  <c r="R199" i="11"/>
  <c r="S18" i="9"/>
  <c r="H90" i="10"/>
  <c r="P297" i="12"/>
  <c r="P352" i="17" s="1"/>
  <c r="P353" i="17" s="1"/>
  <c r="H50" i="14"/>
  <c r="H91" i="10"/>
  <c r="R726" i="17"/>
  <c r="R727" i="17" s="1"/>
  <c r="R377" i="17"/>
  <c r="R378" i="17" s="1"/>
  <c r="P258" i="16"/>
  <c r="P261" i="16"/>
  <c r="Q291" i="7"/>
  <c r="S222" i="16"/>
  <c r="T290" i="7"/>
  <c r="S226" i="16"/>
  <c r="G674" i="17"/>
  <c r="G806" i="17" s="1"/>
  <c r="P156" i="16"/>
  <c r="Q288" i="7"/>
  <c r="P153" i="16"/>
  <c r="Q131" i="15"/>
  <c r="P233" i="16"/>
  <c r="I249" i="11"/>
  <c r="I250" i="11" s="1"/>
  <c r="L621" i="17"/>
  <c r="L622" i="17" s="1"/>
  <c r="H23" i="11"/>
  <c r="H902" i="16"/>
  <c r="L237" i="11"/>
  <c r="S9" i="9"/>
  <c r="S10" i="9" s="1"/>
  <c r="F674" i="17"/>
  <c r="F806" i="17" s="1"/>
  <c r="O131" i="16"/>
  <c r="P92" i="15"/>
  <c r="Q186" i="12"/>
  <c r="Q235" i="12" s="1"/>
  <c r="Q78" i="12" s="1"/>
  <c r="N66" i="15"/>
  <c r="M65" i="16"/>
  <c r="K313" i="7"/>
  <c r="J248" i="11" l="1"/>
  <c r="J249" i="11" s="1"/>
  <c r="J250" i="11" s="1"/>
  <c r="K247" i="11"/>
  <c r="G678" i="17"/>
  <c r="G169" i="17"/>
  <c r="E330" i="17"/>
  <c r="E458" i="17" s="1"/>
  <c r="G703" i="17"/>
  <c r="G330" i="17"/>
  <c r="G458" i="17" s="1"/>
  <c r="F330" i="17"/>
  <c r="F458" i="17" s="1"/>
  <c r="G354" i="17"/>
  <c r="G334" i="17"/>
  <c r="S20" i="9"/>
  <c r="T8" i="9"/>
  <c r="M621" i="17"/>
  <c r="M622" i="17" s="1"/>
  <c r="N603" i="16"/>
  <c r="O301" i="7"/>
  <c r="N600" i="16"/>
  <c r="S124" i="16"/>
  <c r="S121" i="16"/>
  <c r="T287" i="7"/>
  <c r="R131" i="15"/>
  <c r="Q233" i="16"/>
  <c r="T183" i="15"/>
  <c r="S374" i="16"/>
  <c r="Q146" i="11"/>
  <c r="Q147" i="11"/>
  <c r="Q175" i="11" s="1"/>
  <c r="N636" i="16"/>
  <c r="O302" i="7"/>
  <c r="N633" i="16"/>
  <c r="N570" i="16"/>
  <c r="N567" i="16"/>
  <c r="O300" i="7"/>
  <c r="N883" i="16"/>
  <c r="N885" i="16" s="1"/>
  <c r="N312" i="7"/>
  <c r="S813" i="16"/>
  <c r="S55" i="9"/>
  <c r="T47" i="9"/>
  <c r="H31" i="9"/>
  <c r="H56" i="10"/>
  <c r="K577" i="16"/>
  <c r="L261" i="15"/>
  <c r="H357" i="17"/>
  <c r="H358" i="17" s="1"/>
  <c r="H299" i="12"/>
  <c r="I298" i="12"/>
  <c r="E303" i="12"/>
  <c r="H99" i="9"/>
  <c r="H751" i="17" s="1"/>
  <c r="H752" i="17" s="1"/>
  <c r="P186" i="16"/>
  <c r="Q289" i="7"/>
  <c r="P190" i="16"/>
  <c r="N193" i="11"/>
  <c r="N237" i="11" s="1"/>
  <c r="N335" i="7"/>
  <c r="O329" i="7"/>
  <c r="O334" i="7" s="1"/>
  <c r="N311" i="7"/>
  <c r="S76" i="10"/>
  <c r="S19" i="9"/>
  <c r="S21" i="9" s="1"/>
  <c r="S44" i="10"/>
  <c r="Q156" i="16"/>
  <c r="R288" i="7"/>
  <c r="Q153" i="16"/>
  <c r="Q911" i="16"/>
  <c r="Q913" i="16" s="1"/>
  <c r="Q55" i="16"/>
  <c r="R285" i="7"/>
  <c r="Q58" i="16"/>
  <c r="K610" i="16"/>
  <c r="L274" i="15"/>
  <c r="H1363" i="17"/>
  <c r="H521" i="17"/>
  <c r="H522" i="17" s="1"/>
  <c r="H24" i="11"/>
  <c r="N268" i="16"/>
  <c r="O144" i="15"/>
  <c r="R133" i="11"/>
  <c r="I42" i="9"/>
  <c r="H721" i="17"/>
  <c r="H722" i="17" s="1"/>
  <c r="H91" i="9"/>
  <c r="H93" i="9" s="1"/>
  <c r="H37" i="12"/>
  <c r="H226" i="11"/>
  <c r="H161" i="10"/>
  <c r="H163" i="10" s="1"/>
  <c r="H92" i="9"/>
  <c r="H104" i="9"/>
  <c r="N98" i="16"/>
  <c r="O79" i="15"/>
  <c r="O105" i="15"/>
  <c r="N163" i="16"/>
  <c r="P131" i="16"/>
  <c r="Q92" i="15"/>
  <c r="O197" i="12"/>
  <c r="O198" i="12"/>
  <c r="O226" i="12" s="1"/>
  <c r="E350" i="17"/>
  <c r="E462" i="17" s="1"/>
  <c r="G350" i="17"/>
  <c r="G462" i="17" s="1"/>
  <c r="F350" i="17"/>
  <c r="F462" i="17" s="1"/>
  <c r="S805" i="16"/>
  <c r="S54" i="9"/>
  <c r="S807" i="16"/>
  <c r="S377" i="15"/>
  <c r="K643" i="16"/>
  <c r="L287" i="15"/>
  <c r="R184" i="12"/>
  <c r="R186" i="12"/>
  <c r="R235" i="12" s="1"/>
  <c r="R78" i="12" s="1"/>
  <c r="G325" i="17"/>
  <c r="G457" i="17" s="1"/>
  <c r="N65" i="16"/>
  <c r="O66" i="15"/>
  <c r="H1377" i="17"/>
  <c r="H1376" i="17"/>
  <c r="L244" i="12"/>
  <c r="L327" i="7"/>
  <c r="M321" i="7"/>
  <c r="M326" i="7" s="1"/>
  <c r="M313" i="7" s="1"/>
  <c r="E325" i="17"/>
  <c r="E457" i="17" s="1"/>
  <c r="M237" i="11"/>
  <c r="T222" i="16"/>
  <c r="T226" i="16"/>
  <c r="H641" i="17"/>
  <c r="H642" i="17" s="1"/>
  <c r="H917" i="16"/>
  <c r="H203" i="11"/>
  <c r="K272" i="17"/>
  <c r="K273" i="17" s="1"/>
  <c r="L313" i="7"/>
  <c r="F325" i="17"/>
  <c r="F457" i="17" s="1"/>
  <c r="Q258" i="16"/>
  <c r="Q261" i="16"/>
  <c r="R291" i="7"/>
  <c r="H95" i="10"/>
  <c r="R344" i="15"/>
  <c r="R345" i="15"/>
  <c r="M197" i="16"/>
  <c r="N118" i="15"/>
  <c r="K706" i="17"/>
  <c r="K707" i="17" s="1"/>
  <c r="K248" i="11"/>
  <c r="L247" i="11"/>
  <c r="Q88" i="16"/>
  <c r="R286" i="7"/>
  <c r="Q91" i="16"/>
  <c r="G329" i="17" l="1"/>
  <c r="H300" i="12"/>
  <c r="H301" i="12" s="1"/>
  <c r="O570" i="16"/>
  <c r="O567" i="16"/>
  <c r="P300" i="7"/>
  <c r="O883" i="16"/>
  <c r="O885" i="16" s="1"/>
  <c r="O312" i="7"/>
  <c r="R153" i="16"/>
  <c r="R156" i="16"/>
  <c r="S288" i="7"/>
  <c r="T124" i="16"/>
  <c r="T121" i="16"/>
  <c r="L577" i="16"/>
  <c r="M261" i="15"/>
  <c r="H57" i="10"/>
  <c r="O636" i="16"/>
  <c r="O633" i="16"/>
  <c r="P302" i="7"/>
  <c r="P197" i="12"/>
  <c r="P198" i="12"/>
  <c r="P226" i="12" s="1"/>
  <c r="L610" i="16"/>
  <c r="M274" i="15"/>
  <c r="H278" i="12"/>
  <c r="H159" i="10"/>
  <c r="I32" i="9"/>
  <c r="I279" i="12" s="1"/>
  <c r="H35" i="9"/>
  <c r="H72" i="12" s="1"/>
  <c r="H33" i="9"/>
  <c r="O600" i="16"/>
  <c r="O603" i="16"/>
  <c r="P301" i="7"/>
  <c r="R258" i="16"/>
  <c r="R261" i="16"/>
  <c r="S291" i="7"/>
  <c r="R135" i="11"/>
  <c r="R184" i="11" s="1"/>
  <c r="R27" i="11" s="1"/>
  <c r="Q310" i="7"/>
  <c r="T51" i="9"/>
  <c r="T50" i="9"/>
  <c r="R146" i="11"/>
  <c r="R147" i="11"/>
  <c r="R175" i="11" s="1"/>
  <c r="H164" i="10"/>
  <c r="H165" i="10"/>
  <c r="H166" i="10"/>
  <c r="S201" i="11"/>
  <c r="S252" i="12"/>
  <c r="O163" i="16"/>
  <c r="P105" i="15"/>
  <c r="R901" i="16"/>
  <c r="R873" i="16"/>
  <c r="Q186" i="16"/>
  <c r="Q190" i="16"/>
  <c r="R289" i="7"/>
  <c r="H207" i="11"/>
  <c r="L643" i="16"/>
  <c r="M287" i="15"/>
  <c r="Q131" i="16"/>
  <c r="R92" i="15"/>
  <c r="H1370" i="17"/>
  <c r="H1380" i="17" s="1"/>
  <c r="H576" i="17"/>
  <c r="H577" i="17" s="1"/>
  <c r="P144" i="15"/>
  <c r="O268" i="16"/>
  <c r="T374" i="16"/>
  <c r="J16" i="15"/>
  <c r="K16" i="15"/>
  <c r="Q381" i="16" s="1"/>
  <c r="H651" i="17"/>
  <c r="H652" i="17" s="1"/>
  <c r="N621" i="17"/>
  <c r="N622" i="17" s="1"/>
  <c r="S726" i="17"/>
  <c r="S727" i="17" s="1"/>
  <c r="S377" i="17"/>
  <c r="S378" i="17" s="1"/>
  <c r="S286" i="7"/>
  <c r="R91" i="16"/>
  <c r="R88" i="16"/>
  <c r="K249" i="11"/>
  <c r="K250" i="11" s="1"/>
  <c r="M244" i="12"/>
  <c r="N321" i="7"/>
  <c r="N326" i="7" s="1"/>
  <c r="N313" i="7" s="1"/>
  <c r="M327" i="7"/>
  <c r="R55" i="16"/>
  <c r="R58" i="16"/>
  <c r="S285" i="7"/>
  <c r="R310" i="7"/>
  <c r="T9" i="9"/>
  <c r="L706" i="17"/>
  <c r="L707" i="17" s="1"/>
  <c r="M247" i="11"/>
  <c r="L248" i="11"/>
  <c r="L249" i="11" s="1"/>
  <c r="L250" i="11" s="1"/>
  <c r="L272" i="17"/>
  <c r="L273" i="17" s="1"/>
  <c r="M288" i="12"/>
  <c r="L288" i="12"/>
  <c r="S343" i="15"/>
  <c r="S47" i="10"/>
  <c r="S79" i="10"/>
  <c r="S132" i="11"/>
  <c r="S183" i="12"/>
  <c r="O98" i="16"/>
  <c r="P79" i="15"/>
  <c r="I78" i="10"/>
  <c r="I20" i="11"/>
  <c r="I111" i="9"/>
  <c r="O193" i="11"/>
  <c r="O335" i="7"/>
  <c r="P329" i="7"/>
  <c r="P334" i="7" s="1"/>
  <c r="O311" i="7"/>
  <c r="S131" i="15"/>
  <c r="R233" i="16"/>
  <c r="N197" i="16"/>
  <c r="O118" i="15"/>
  <c r="O65" i="16"/>
  <c r="P66" i="15"/>
  <c r="E415" i="17"/>
  <c r="F415" i="17" s="1"/>
  <c r="G415" i="17" s="1"/>
  <c r="S806" i="16"/>
  <c r="S378" i="15"/>
  <c r="S821" i="16" s="1"/>
  <c r="H526" i="17"/>
  <c r="H527" i="17" s="1"/>
  <c r="H26" i="11"/>
  <c r="H185" i="11"/>
  <c r="H140" i="11"/>
  <c r="I357" i="17"/>
  <c r="I358" i="17" s="1"/>
  <c r="I299" i="12"/>
  <c r="J298" i="12"/>
  <c r="S250" i="12"/>
  <c r="S199" i="11"/>
  <c r="T18" i="9"/>
  <c r="P98" i="16" l="1"/>
  <c r="Q79" i="15"/>
  <c r="T813" i="16"/>
  <c r="T55" i="9"/>
  <c r="T19" i="9"/>
  <c r="T21" i="9" s="1"/>
  <c r="E1400" i="17" s="1"/>
  <c r="T44" i="10"/>
  <c r="T76" i="10"/>
  <c r="H1368" i="17"/>
  <c r="H1379" i="17" s="1"/>
  <c r="H1366" i="17"/>
  <c r="H1365" i="17"/>
  <c r="H904" i="16"/>
  <c r="H218" i="11"/>
  <c r="H536" i="17"/>
  <c r="H537" i="17" s="1"/>
  <c r="H97" i="9"/>
  <c r="H98" i="9" s="1"/>
  <c r="H746" i="17" s="1"/>
  <c r="H747" i="17" s="1"/>
  <c r="H21" i="12"/>
  <c r="H28" i="11"/>
  <c r="H31" i="11"/>
  <c r="H874" i="16"/>
  <c r="H74" i="12"/>
  <c r="R186" i="16"/>
  <c r="S289" i="7"/>
  <c r="R190" i="16"/>
  <c r="M577" i="16"/>
  <c r="N261" i="15"/>
  <c r="S344" i="15"/>
  <c r="S345" i="15" s="1"/>
  <c r="O621" i="17"/>
  <c r="O622" i="17" s="1"/>
  <c r="S156" i="16"/>
  <c r="T288" i="7"/>
  <c r="S153" i="16"/>
  <c r="P163" i="16"/>
  <c r="Q105" i="15"/>
  <c r="R131" i="16"/>
  <c r="S92" i="15"/>
  <c r="P570" i="16"/>
  <c r="P567" i="16"/>
  <c r="Q300" i="7"/>
  <c r="P883" i="16"/>
  <c r="P885" i="16" s="1"/>
  <c r="P312" i="7"/>
  <c r="T805" i="16"/>
  <c r="T54" i="9"/>
  <c r="T377" i="15"/>
  <c r="H61" i="9"/>
  <c r="S184" i="12"/>
  <c r="S186" i="12" s="1"/>
  <c r="S235" i="12" s="1"/>
  <c r="S78" i="12" s="1"/>
  <c r="H251" i="12"/>
  <c r="I30" i="9"/>
  <c r="H79" i="9"/>
  <c r="S133" i="11"/>
  <c r="S135" i="11" s="1"/>
  <c r="S184" i="11" s="1"/>
  <c r="S27" i="11" s="1"/>
  <c r="S88" i="16"/>
  <c r="S91" i="16"/>
  <c r="T286" i="7"/>
  <c r="H36" i="9"/>
  <c r="H58" i="10"/>
  <c r="H63" i="10" s="1"/>
  <c r="S58" i="16"/>
  <c r="S310" i="7"/>
  <c r="S55" i="16"/>
  <c r="T285" i="7"/>
  <c r="H59" i="10"/>
  <c r="P193" i="11"/>
  <c r="Q329" i="7"/>
  <c r="Q334" i="7" s="1"/>
  <c r="P335" i="7"/>
  <c r="P311" i="7"/>
  <c r="H1344" i="17"/>
  <c r="H1350" i="17" s="1"/>
  <c r="H232" i="17"/>
  <c r="H233" i="17" s="1"/>
  <c r="H289" i="12"/>
  <c r="R911" i="16"/>
  <c r="R913" i="16" s="1"/>
  <c r="Q144" i="15"/>
  <c r="P268" i="16"/>
  <c r="Q197" i="12"/>
  <c r="Q198" i="12"/>
  <c r="Q226" i="12" s="1"/>
  <c r="P65" i="16"/>
  <c r="Q66" i="15"/>
  <c r="O237" i="11"/>
  <c r="S233" i="16"/>
  <c r="T131" i="15"/>
  <c r="T10" i="9"/>
  <c r="T20" i="9" s="1"/>
  <c r="H656" i="17"/>
  <c r="H657" i="17" s="1"/>
  <c r="K381" i="16"/>
  <c r="H17" i="16"/>
  <c r="M610" i="16"/>
  <c r="N274" i="15"/>
  <c r="S258" i="16"/>
  <c r="S261" i="16"/>
  <c r="T291" i="7"/>
  <c r="I300" i="12"/>
  <c r="I301" i="12" s="1"/>
  <c r="N244" i="12"/>
  <c r="N327" i="7"/>
  <c r="O321" i="7"/>
  <c r="O326" i="7" s="1"/>
  <c r="S146" i="11"/>
  <c r="S147" i="11"/>
  <c r="S175" i="11" s="1"/>
  <c r="P633" i="16"/>
  <c r="P636" i="16"/>
  <c r="Q302" i="7"/>
  <c r="J357" i="17"/>
  <c r="J358" i="17" s="1"/>
  <c r="K298" i="12"/>
  <c r="J299" i="12"/>
  <c r="P118" i="15"/>
  <c r="O197" i="16"/>
  <c r="M706" i="17"/>
  <c r="M707" i="17" s="1"/>
  <c r="N247" i="11"/>
  <c r="M248" i="11"/>
  <c r="M249" i="11" s="1"/>
  <c r="M250" i="11" s="1"/>
  <c r="M272" i="17"/>
  <c r="M273" i="17" s="1"/>
  <c r="N288" i="12"/>
  <c r="M643" i="16"/>
  <c r="N287" i="15"/>
  <c r="T56" i="9"/>
  <c r="E1401" i="17" s="1"/>
  <c r="P603" i="16"/>
  <c r="P600" i="16"/>
  <c r="Q301" i="7"/>
  <c r="S901" i="16" l="1"/>
  <c r="S873" i="16"/>
  <c r="T92" i="15"/>
  <c r="T131" i="16" s="1"/>
  <c r="S131" i="16"/>
  <c r="T289" i="7"/>
  <c r="S186" i="16"/>
  <c r="S190" i="16"/>
  <c r="T261" i="16"/>
  <c r="T258" i="16"/>
  <c r="O244" i="12"/>
  <c r="O327" i="7"/>
  <c r="P321" i="7"/>
  <c r="P326" i="7" s="1"/>
  <c r="O313" i="7"/>
  <c r="T88" i="16"/>
  <c r="T91" i="16"/>
  <c r="N272" i="17"/>
  <c r="N273" i="17" s="1"/>
  <c r="R329" i="7"/>
  <c r="R334" i="7" s="1"/>
  <c r="Q193" i="11"/>
  <c r="Q237" i="11" s="1"/>
  <c r="Q335" i="7"/>
  <c r="T201" i="11"/>
  <c r="T252" i="12"/>
  <c r="N610" i="16"/>
  <c r="O274" i="15"/>
  <c r="P621" i="17"/>
  <c r="P622" i="17" s="1"/>
  <c r="Q163" i="16"/>
  <c r="R105" i="15"/>
  <c r="Q311" i="7"/>
  <c r="P313" i="7"/>
  <c r="T58" i="16"/>
  <c r="T55" i="16"/>
  <c r="H736" i="17"/>
  <c r="H737" i="17" s="1"/>
  <c r="H95" i="9"/>
  <c r="H25" i="12"/>
  <c r="J300" i="12"/>
  <c r="J301" i="12" s="1"/>
  <c r="T233" i="16"/>
  <c r="J12" i="15"/>
  <c r="K12" i="15"/>
  <c r="Q240" i="16" s="1"/>
  <c r="S911" i="16"/>
  <c r="S913" i="16" s="1"/>
  <c r="T146" i="11"/>
  <c r="T147" i="11"/>
  <c r="T175" i="11" s="1"/>
  <c r="T806" i="16"/>
  <c r="T378" i="15"/>
  <c r="H1338" i="17"/>
  <c r="H172" i="17"/>
  <c r="H173" i="17" s="1"/>
  <c r="H75" i="12"/>
  <c r="N706" i="17"/>
  <c r="N707" i="17" s="1"/>
  <c r="O247" i="11"/>
  <c r="N248" i="11"/>
  <c r="T343" i="15"/>
  <c r="T79" i="10"/>
  <c r="T47" i="10"/>
  <c r="T183" i="12"/>
  <c r="T132" i="11"/>
  <c r="P237" i="11"/>
  <c r="Q118" i="15"/>
  <c r="P197" i="16"/>
  <c r="Q570" i="16"/>
  <c r="Q567" i="16"/>
  <c r="R300" i="7"/>
  <c r="Q883" i="16"/>
  <c r="Q885" i="16" s="1"/>
  <c r="Q312" i="7"/>
  <c r="Q268" i="16"/>
  <c r="R144" i="15"/>
  <c r="T199" i="11"/>
  <c r="T250" i="12"/>
  <c r="T156" i="16"/>
  <c r="T153" i="16"/>
  <c r="T377" i="17"/>
  <c r="T726" i="17"/>
  <c r="T807" i="16"/>
  <c r="H70" i="9"/>
  <c r="H402" i="17" s="1"/>
  <c r="H403" i="17" s="1"/>
  <c r="Q98" i="16"/>
  <c r="R79" i="15"/>
  <c r="O287" i="15"/>
  <c r="N643" i="16"/>
  <c r="H372" i="17"/>
  <c r="H373" i="17" s="1"/>
  <c r="H277" i="12"/>
  <c r="H39" i="12"/>
  <c r="H62" i="9"/>
  <c r="H64" i="9" s="1"/>
  <c r="H63" i="9"/>
  <c r="H152" i="10"/>
  <c r="H154" i="10" s="1"/>
  <c r="H75" i="9"/>
  <c r="H38" i="12"/>
  <c r="H40" i="12" s="1"/>
  <c r="Q65" i="16"/>
  <c r="R66" i="15"/>
  <c r="Q600" i="16"/>
  <c r="Q603" i="16"/>
  <c r="R301" i="7"/>
  <c r="K357" i="17"/>
  <c r="K358" i="17" s="1"/>
  <c r="L298" i="12"/>
  <c r="K299" i="12"/>
  <c r="K300" i="12" s="1"/>
  <c r="K301" i="12" s="1"/>
  <c r="H1351" i="17"/>
  <c r="H1352" i="17"/>
  <c r="H541" i="17"/>
  <c r="H542" i="17" s="1"/>
  <c r="H222" i="11"/>
  <c r="R197" i="12"/>
  <c r="R198" i="12"/>
  <c r="R226" i="12" s="1"/>
  <c r="I34" i="9"/>
  <c r="N577" i="16"/>
  <c r="O261" i="15"/>
  <c r="Q633" i="16"/>
  <c r="Q636" i="16"/>
  <c r="R302" i="7"/>
  <c r="H292" i="17"/>
  <c r="H293" i="17" s="1"/>
  <c r="H889" i="16"/>
  <c r="H254" i="12"/>
  <c r="O706" i="17" l="1"/>
  <c r="O707" i="17" s="1"/>
  <c r="P247" i="11"/>
  <c r="O248" i="11"/>
  <c r="H556" i="17"/>
  <c r="H557" i="17" s="1"/>
  <c r="H29" i="12"/>
  <c r="S79" i="15"/>
  <c r="R98" i="16"/>
  <c r="P261" i="15"/>
  <c r="O577" i="16"/>
  <c r="T821" i="16"/>
  <c r="E382" i="15"/>
  <c r="S105" i="15"/>
  <c r="R163" i="16"/>
  <c r="H258" i="12"/>
  <c r="H156" i="10"/>
  <c r="H155" i="10"/>
  <c r="H157" i="10"/>
  <c r="T133" i="11"/>
  <c r="T135" i="11"/>
  <c r="T184" i="11" s="1"/>
  <c r="T27" i="11" s="1"/>
  <c r="T310" i="7"/>
  <c r="K240" i="16"/>
  <c r="H13" i="16"/>
  <c r="H177" i="17"/>
  <c r="H178" i="17" s="1"/>
  <c r="H77" i="12"/>
  <c r="H236" i="12"/>
  <c r="H191" i="12"/>
  <c r="H1345" i="17"/>
  <c r="H1355" i="17" s="1"/>
  <c r="H227" i="17"/>
  <c r="H228" i="17" s="1"/>
  <c r="T344" i="15"/>
  <c r="T345" i="15" s="1"/>
  <c r="O272" i="17"/>
  <c r="O273" i="17" s="1"/>
  <c r="O249" i="11"/>
  <c r="O250" i="11" s="1"/>
  <c r="P287" i="15"/>
  <c r="O643" i="16"/>
  <c r="R570" i="16"/>
  <c r="R567" i="16"/>
  <c r="S300" i="7"/>
  <c r="R312" i="7"/>
  <c r="R883" i="16"/>
  <c r="R885" i="16" s="1"/>
  <c r="Q621" i="17"/>
  <c r="Q622" i="17" s="1"/>
  <c r="R633" i="16"/>
  <c r="S302" i="7"/>
  <c r="R636" i="16"/>
  <c r="R193" i="11"/>
  <c r="S329" i="7"/>
  <c r="S334" i="7" s="1"/>
  <c r="R335" i="7"/>
  <c r="R311" i="7"/>
  <c r="Q197" i="16"/>
  <c r="R118" i="15"/>
  <c r="T184" i="12"/>
  <c r="L357" i="17"/>
  <c r="L358" i="17" s="1"/>
  <c r="L299" i="12"/>
  <c r="M298" i="12"/>
  <c r="O610" i="16"/>
  <c r="P274" i="15"/>
  <c r="P327" i="7"/>
  <c r="P244" i="12"/>
  <c r="P288" i="12" s="1"/>
  <c r="Q321" i="7"/>
  <c r="Q326" i="7" s="1"/>
  <c r="R600" i="16"/>
  <c r="S301" i="7"/>
  <c r="R603" i="16"/>
  <c r="E726" i="17"/>
  <c r="T727" i="17"/>
  <c r="R268" i="16"/>
  <c r="S144" i="15"/>
  <c r="S197" i="12"/>
  <c r="S198" i="12"/>
  <c r="S226" i="12" s="1"/>
  <c r="E377" i="17"/>
  <c r="T378" i="17"/>
  <c r="R65" i="16"/>
  <c r="S66" i="15"/>
  <c r="N249" i="11"/>
  <c r="N250" i="11" s="1"/>
  <c r="H741" i="17"/>
  <c r="H742" i="17" s="1"/>
  <c r="H100" i="9"/>
  <c r="O288" i="12"/>
  <c r="T190" i="16"/>
  <c r="T186" i="16"/>
  <c r="I46" i="10"/>
  <c r="I71" i="12"/>
  <c r="I82" i="9"/>
  <c r="H302" i="17"/>
  <c r="H303" i="17" s="1"/>
  <c r="T911" i="16"/>
  <c r="T913" i="16" s="1"/>
  <c r="T901" i="16" l="1"/>
  <c r="T873" i="16"/>
  <c r="D830" i="16"/>
  <c r="L31" i="15"/>
  <c r="C193" i="1"/>
  <c r="P272" i="17"/>
  <c r="P273" i="17" s="1"/>
  <c r="Q288" i="12"/>
  <c r="S570" i="16"/>
  <c r="S567" i="16"/>
  <c r="T300" i="7"/>
  <c r="S312" i="7"/>
  <c r="S883" i="16"/>
  <c r="S885" i="16" s="1"/>
  <c r="P706" i="17"/>
  <c r="P707" i="17" s="1"/>
  <c r="P248" i="11"/>
  <c r="P249" i="11" s="1"/>
  <c r="P250" i="11" s="1"/>
  <c r="Q247" i="11"/>
  <c r="E378" i="17"/>
  <c r="G379" i="17" s="1"/>
  <c r="E375" i="17"/>
  <c r="E467" i="17" s="1"/>
  <c r="F375" i="17"/>
  <c r="F467" i="17" s="1"/>
  <c r="T329" i="7"/>
  <c r="T334" i="7" s="1"/>
  <c r="S193" i="11"/>
  <c r="S237" i="11" s="1"/>
  <c r="S335" i="7"/>
  <c r="S311" i="7"/>
  <c r="H92" i="10"/>
  <c r="H756" i="17"/>
  <c r="H757" i="17" s="1"/>
  <c r="H101" i="9"/>
  <c r="H41" i="12"/>
  <c r="H229" i="11"/>
  <c r="H102" i="9"/>
  <c r="H105" i="9" s="1"/>
  <c r="H307" i="17"/>
  <c r="H308" i="17" s="1"/>
  <c r="Q287" i="15"/>
  <c r="P643" i="16"/>
  <c r="R621" i="17"/>
  <c r="R622" i="17" s="1"/>
  <c r="S98" i="16"/>
  <c r="T79" i="15"/>
  <c r="T98" i="16" s="1"/>
  <c r="S603" i="16"/>
  <c r="S600" i="16"/>
  <c r="T301" i="7"/>
  <c r="R197" i="16"/>
  <c r="S118" i="15"/>
  <c r="T105" i="15"/>
  <c r="T163" i="16" s="1"/>
  <c r="S163" i="16"/>
  <c r="R321" i="7"/>
  <c r="R326" i="7" s="1"/>
  <c r="Q244" i="12"/>
  <c r="Q327" i="7"/>
  <c r="T144" i="15"/>
  <c r="S268" i="16"/>
  <c r="E727" i="17"/>
  <c r="E724" i="17"/>
  <c r="E816" i="17" s="1"/>
  <c r="F724" i="17"/>
  <c r="F816" i="17" s="1"/>
  <c r="G728" i="17"/>
  <c r="S633" i="16"/>
  <c r="S636" i="16"/>
  <c r="T302" i="7"/>
  <c r="T186" i="12"/>
  <c r="T235" i="12" s="1"/>
  <c r="T78" i="12" s="1"/>
  <c r="R237" i="11"/>
  <c r="L300" i="12"/>
  <c r="L301" i="12" s="1"/>
  <c r="S65" i="16"/>
  <c r="T66" i="15"/>
  <c r="T65" i="16" s="1"/>
  <c r="P610" i="16"/>
  <c r="Q274" i="15"/>
  <c r="Q261" i="15"/>
  <c r="P577" i="16"/>
  <c r="Q313" i="7"/>
  <c r="T197" i="12"/>
  <c r="T198" i="12"/>
  <c r="T226" i="12" s="1"/>
  <c r="N298" i="12"/>
  <c r="M357" i="17"/>
  <c r="M358" i="17" s="1"/>
  <c r="M299" i="12"/>
  <c r="M300" i="12" s="1"/>
  <c r="M301" i="12" s="1"/>
  <c r="H1343" i="17"/>
  <c r="H1354" i="17" s="1"/>
  <c r="H1340" i="17"/>
  <c r="H1341" i="17"/>
  <c r="H876" i="16"/>
  <c r="H187" i="17"/>
  <c r="H188" i="17" s="1"/>
  <c r="H23" i="12"/>
  <c r="H79" i="12"/>
  <c r="H68" i="9"/>
  <c r="H69" i="9" s="1"/>
  <c r="H397" i="17" s="1"/>
  <c r="H398" i="17" s="1"/>
  <c r="H269" i="12"/>
  <c r="H22" i="12"/>
  <c r="H24" i="12" s="1"/>
  <c r="H1328" i="17"/>
  <c r="H82" i="12"/>
  <c r="R287" i="15" l="1"/>
  <c r="Q643" i="16"/>
  <c r="S621" i="17"/>
  <c r="S622" i="17" s="1"/>
  <c r="Q577" i="16"/>
  <c r="R261" i="15"/>
  <c r="T193" i="11"/>
  <c r="T621" i="17" s="1"/>
  <c r="T335" i="7"/>
  <c r="H93" i="10"/>
  <c r="H94" i="10" s="1"/>
  <c r="H230" i="11"/>
  <c r="H1371" i="17" s="1"/>
  <c r="H1381" i="17" s="1"/>
  <c r="H106" i="9"/>
  <c r="H107" i="9" s="1"/>
  <c r="O298" i="12"/>
  <c r="N357" i="17"/>
  <c r="N358" i="17" s="1"/>
  <c r="N299" i="12"/>
  <c r="N300" i="12" s="1"/>
  <c r="N301" i="12" s="1"/>
  <c r="Q610" i="16"/>
  <c r="R274" i="15"/>
  <c r="Q706" i="17"/>
  <c r="Q707" i="17" s="1"/>
  <c r="Q248" i="11"/>
  <c r="Q249" i="11" s="1"/>
  <c r="Q250" i="11" s="1"/>
  <c r="R247" i="11"/>
  <c r="T268" i="16"/>
  <c r="J13" i="15"/>
  <c r="K13" i="15"/>
  <c r="Q275" i="16" s="1"/>
  <c r="S321" i="7"/>
  <c r="S326" i="7" s="1"/>
  <c r="R244" i="12"/>
  <c r="R327" i="7"/>
  <c r="H387" i="17"/>
  <c r="H388" i="17" s="1"/>
  <c r="H66" i="9"/>
  <c r="H26" i="12"/>
  <c r="H27" i="12"/>
  <c r="T603" i="16"/>
  <c r="T600" i="16"/>
  <c r="H192" i="17"/>
  <c r="H193" i="17" s="1"/>
  <c r="H273" i="12"/>
  <c r="T633" i="16"/>
  <c r="T636" i="16"/>
  <c r="T570" i="16"/>
  <c r="T567" i="16"/>
  <c r="T883" i="16"/>
  <c r="T885" i="16" s="1"/>
  <c r="T312" i="7"/>
  <c r="S197" i="16"/>
  <c r="T118" i="15"/>
  <c r="H761" i="17"/>
  <c r="H762" i="17" s="1"/>
  <c r="H208" i="11"/>
  <c r="T311" i="7"/>
  <c r="E1397" i="17" s="1"/>
  <c r="R313" i="7"/>
  <c r="Q272" i="17"/>
  <c r="Q273" i="17" s="1"/>
  <c r="H236" i="11" l="1"/>
  <c r="H231" i="11"/>
  <c r="H591" i="17" s="1"/>
  <c r="H592" i="17" s="1"/>
  <c r="H28" i="12"/>
  <c r="H586" i="17"/>
  <c r="H587" i="17" s="1"/>
  <c r="H1373" i="17"/>
  <c r="H1372" i="17"/>
  <c r="H190" i="11"/>
  <c r="H45" i="12"/>
  <c r="H96" i="10"/>
  <c r="I89" i="9"/>
  <c r="I68" i="10"/>
  <c r="H1329" i="17"/>
  <c r="H392" i="17"/>
  <c r="H393" i="17" s="1"/>
  <c r="H71" i="9"/>
  <c r="T622" i="17"/>
  <c r="E621" i="17"/>
  <c r="R610" i="16"/>
  <c r="S274" i="15"/>
  <c r="S327" i="7"/>
  <c r="T321" i="7"/>
  <c r="T326" i="7" s="1"/>
  <c r="S244" i="12"/>
  <c r="S288" i="12" s="1"/>
  <c r="T237" i="11"/>
  <c r="E1396" i="17" s="1"/>
  <c r="D36" i="17" s="1"/>
  <c r="F36" i="17" s="1"/>
  <c r="T197" i="16"/>
  <c r="J11" i="15"/>
  <c r="K11" i="15"/>
  <c r="Q204" i="16" s="1"/>
  <c r="R706" i="17"/>
  <c r="R707" i="17" s="1"/>
  <c r="R248" i="11"/>
  <c r="R249" i="11" s="1"/>
  <c r="R250" i="11" s="1"/>
  <c r="S247" i="11"/>
  <c r="H207" i="17"/>
  <c r="H208" i="17" s="1"/>
  <c r="H31" i="12"/>
  <c r="H30" i="12"/>
  <c r="H661" i="17"/>
  <c r="H662" i="17" s="1"/>
  <c r="H209" i="11"/>
  <c r="O357" i="17"/>
  <c r="O358" i="17" s="1"/>
  <c r="O299" i="12"/>
  <c r="O300" i="12" s="1"/>
  <c r="O301" i="12" s="1"/>
  <c r="P298" i="12"/>
  <c r="S313" i="7"/>
  <c r="T313" i="7"/>
  <c r="E1395" i="17" s="1"/>
  <c r="H210" i="11"/>
  <c r="S287" i="15"/>
  <c r="R643" i="16"/>
  <c r="R577" i="16"/>
  <c r="S261" i="15"/>
  <c r="R272" i="17"/>
  <c r="R273" i="17" s="1"/>
  <c r="R288" i="12"/>
  <c r="K275" i="16"/>
  <c r="H14" i="16"/>
  <c r="H232" i="11" l="1"/>
  <c r="H233" i="11" s="1"/>
  <c r="E622" i="17"/>
  <c r="E619" i="17"/>
  <c r="E795" i="17" s="1"/>
  <c r="G619" i="17"/>
  <c r="G795" i="17" s="1"/>
  <c r="F619" i="17"/>
  <c r="F795" i="17" s="1"/>
  <c r="S643" i="16"/>
  <c r="T287" i="15"/>
  <c r="T643" i="16" s="1"/>
  <c r="H407" i="17"/>
  <c r="H408" i="17" s="1"/>
  <c r="H280" i="12"/>
  <c r="H42" i="12"/>
  <c r="H72" i="9"/>
  <c r="H43" i="12"/>
  <c r="H60" i="10"/>
  <c r="H73" i="9"/>
  <c r="H76" i="9" s="1"/>
  <c r="H596" i="17"/>
  <c r="H597" i="17" s="1"/>
  <c r="P357" i="17"/>
  <c r="P358" i="17" s="1"/>
  <c r="P299" i="12"/>
  <c r="Q298" i="12"/>
  <c r="P300" i="12"/>
  <c r="P301" i="12" s="1"/>
  <c r="I80" i="10"/>
  <c r="I22" i="11"/>
  <c r="I136" i="11" s="1"/>
  <c r="I176" i="11"/>
  <c r="I177" i="11" s="1"/>
  <c r="S577" i="16"/>
  <c r="T261" i="15"/>
  <c r="T577" i="16" s="1"/>
  <c r="H1382" i="17"/>
  <c r="H1383" i="17"/>
  <c r="H666" i="17"/>
  <c r="H667" i="17" s="1"/>
  <c r="H211" i="11"/>
  <c r="S610" i="16"/>
  <c r="T274" i="15"/>
  <c r="T610" i="16" s="1"/>
  <c r="S272" i="17"/>
  <c r="S273" i="17" s="1"/>
  <c r="T327" i="7"/>
  <c r="D86" i="17" s="1"/>
  <c r="F86" i="17" s="1"/>
  <c r="T244" i="12"/>
  <c r="T272" i="17" s="1"/>
  <c r="S706" i="17"/>
  <c r="S707" i="17" s="1"/>
  <c r="S248" i="11"/>
  <c r="S249" i="11" s="1"/>
  <c r="S250" i="11" s="1"/>
  <c r="T247" i="11"/>
  <c r="G623" i="17"/>
  <c r="H606" i="17"/>
  <c r="H607" i="17" s="1"/>
  <c r="H915" i="16"/>
  <c r="H919" i="16" s="1"/>
  <c r="H195" i="11"/>
  <c r="H215" i="11"/>
  <c r="H32" i="12"/>
  <c r="K204" i="16"/>
  <c r="H12" i="16"/>
  <c r="T288" i="12" l="1"/>
  <c r="E1394" i="17" s="1"/>
  <c r="D35" i="17" s="1"/>
  <c r="F35" i="17" s="1"/>
  <c r="I137" i="11"/>
  <c r="T706" i="17"/>
  <c r="T248" i="11"/>
  <c r="T249" i="11" s="1"/>
  <c r="T250" i="11" s="1"/>
  <c r="H601" i="17"/>
  <c r="H602" i="17" s="1"/>
  <c r="H235" i="11"/>
  <c r="H631" i="17"/>
  <c r="H632" i="17" s="1"/>
  <c r="H212" i="11"/>
  <c r="H44" i="12"/>
  <c r="Q299" i="12"/>
  <c r="Q357" i="17"/>
  <c r="Q358" i="17" s="1"/>
  <c r="R298" i="12"/>
  <c r="H62" i="10"/>
  <c r="Q300" i="12"/>
  <c r="Q301" i="12" s="1"/>
  <c r="H412" i="17"/>
  <c r="H413" i="17" s="1"/>
  <c r="H259" i="12"/>
  <c r="E272" i="17"/>
  <c r="T273" i="17"/>
  <c r="H61" i="10"/>
  <c r="H281" i="12"/>
  <c r="H237" i="17" s="1"/>
  <c r="H238" i="17" s="1"/>
  <c r="H77" i="9"/>
  <c r="H78" i="9" s="1"/>
  <c r="E706" i="17" l="1"/>
  <c r="T707" i="17"/>
  <c r="H261" i="12"/>
  <c r="E253" i="11"/>
  <c r="H1348" i="17"/>
  <c r="H47" i="12"/>
  <c r="H241" i="12"/>
  <c r="H64" i="10"/>
  <c r="I36" i="10"/>
  <c r="H46" i="12"/>
  <c r="H48" i="12" s="1"/>
  <c r="I60" i="9"/>
  <c r="R357" i="17"/>
  <c r="R358" i="17" s="1"/>
  <c r="S298" i="12"/>
  <c r="R299" i="12"/>
  <c r="E273" i="17"/>
  <c r="G274" i="17" s="1"/>
  <c r="F270" i="17"/>
  <c r="F446" i="17" s="1"/>
  <c r="E270" i="17"/>
  <c r="E446" i="17" s="1"/>
  <c r="G270" i="17"/>
  <c r="G446" i="17" s="1"/>
  <c r="H1346" i="17"/>
  <c r="H1356" i="17" s="1"/>
  <c r="H312" i="17"/>
  <c r="H313" i="17" s="1"/>
  <c r="H260" i="12"/>
  <c r="H287" i="12"/>
  <c r="H282" i="12"/>
  <c r="H214" i="11"/>
  <c r="H213" i="11"/>
  <c r="H671" i="17" s="1"/>
  <c r="H672" i="17" s="1"/>
  <c r="H920" i="16"/>
  <c r="H921" i="16" s="1"/>
  <c r="I139" i="11"/>
  <c r="I180" i="11" s="1"/>
  <c r="I138" i="11"/>
  <c r="I179" i="11" s="1"/>
  <c r="I73" i="12" l="1"/>
  <c r="I187" i="12" s="1"/>
  <c r="I48" i="10"/>
  <c r="I227" i="12"/>
  <c r="I228" i="12" s="1"/>
  <c r="E707" i="17"/>
  <c r="G708" i="17" s="1"/>
  <c r="E704" i="17"/>
  <c r="E812" i="17" s="1"/>
  <c r="F704" i="17"/>
  <c r="F812" i="17" s="1"/>
  <c r="G704" i="17"/>
  <c r="G812" i="17" s="1"/>
  <c r="I70" i="10"/>
  <c r="I72" i="10" s="1"/>
  <c r="I81" i="10" s="1"/>
  <c r="I25" i="11"/>
  <c r="I110" i="9"/>
  <c r="I112" i="9" s="1"/>
  <c r="I903" i="16"/>
  <c r="H257" i="17"/>
  <c r="H258" i="17" s="1"/>
  <c r="H887" i="16"/>
  <c r="H891" i="16" s="1"/>
  <c r="H246" i="12"/>
  <c r="H266" i="12"/>
  <c r="E765" i="17"/>
  <c r="F765" i="17" s="1"/>
  <c r="G765" i="17" s="1"/>
  <c r="D74" i="17"/>
  <c r="F74" i="17" s="1"/>
  <c r="I36" i="13"/>
  <c r="I37" i="13" s="1"/>
  <c r="I42" i="13" s="1"/>
  <c r="I418" i="15"/>
  <c r="S357" i="17"/>
  <c r="S358" i="17" s="1"/>
  <c r="T298" i="12"/>
  <c r="S299" i="12"/>
  <c r="H242" i="17"/>
  <c r="H243" i="17" s="1"/>
  <c r="H283" i="12"/>
  <c r="H1357" i="17"/>
  <c r="H1358" i="17"/>
  <c r="H317" i="17"/>
  <c r="H318" i="17" s="1"/>
  <c r="H262" i="12"/>
  <c r="R300" i="12"/>
  <c r="R301" i="12" s="1"/>
  <c r="H1347" i="17"/>
  <c r="H282" i="17" l="1"/>
  <c r="H283" i="17" s="1"/>
  <c r="H263" i="12"/>
  <c r="I1364" i="17"/>
  <c r="I531" i="17"/>
  <c r="I532" i="17" s="1"/>
  <c r="T357" i="17"/>
  <c r="T299" i="12"/>
  <c r="I86" i="10"/>
  <c r="I906" i="16"/>
  <c r="I907" i="16"/>
  <c r="I82" i="13"/>
  <c r="I49" i="13"/>
  <c r="I48" i="13"/>
  <c r="I421" i="15"/>
  <c r="I422" i="15" s="1"/>
  <c r="I188" i="12"/>
  <c r="H247" i="17"/>
  <c r="H248" i="17" s="1"/>
  <c r="H284" i="12"/>
  <c r="S300" i="12"/>
  <c r="S301" i="12" s="1"/>
  <c r="E357" i="17" l="1"/>
  <c r="T358" i="17"/>
  <c r="I190" i="12"/>
  <c r="I231" i="12" s="1"/>
  <c r="I189" i="12"/>
  <c r="I129" i="10"/>
  <c r="I87" i="10"/>
  <c r="T300" i="12"/>
  <c r="T301" i="12" s="1"/>
  <c r="E304" i="12" s="1"/>
  <c r="I50" i="13"/>
  <c r="H265" i="12"/>
  <c r="H264" i="12"/>
  <c r="H322" i="17" s="1"/>
  <c r="H323" i="17" s="1"/>
  <c r="H892" i="16"/>
  <c r="H893" i="16" s="1"/>
  <c r="H252" i="17"/>
  <c r="H253" i="17" s="1"/>
  <c r="H286" i="12"/>
  <c r="E416" i="17" l="1"/>
  <c r="F416" i="17" s="1"/>
  <c r="G416" i="17" s="1"/>
  <c r="D73" i="17"/>
  <c r="F73" i="17" s="1"/>
  <c r="I88" i="10"/>
  <c r="I39" i="9"/>
  <c r="I230" i="12"/>
  <c r="I1313" i="17"/>
  <c r="I36" i="14"/>
  <c r="I37" i="14" s="1"/>
  <c r="I42" i="14" s="1"/>
  <c r="I407" i="15"/>
  <c r="E358" i="17"/>
  <c r="G355" i="17"/>
  <c r="G463" i="17" s="1"/>
  <c r="F355" i="17"/>
  <c r="F463" i="17" s="1"/>
  <c r="E355" i="17"/>
  <c r="E463" i="17" s="1"/>
  <c r="G359" i="17"/>
  <c r="I76" i="12" l="1"/>
  <c r="I38" i="10"/>
  <c r="I40" i="10" s="1"/>
  <c r="I49" i="10" s="1"/>
  <c r="I81" i="9"/>
  <c r="I83" i="9" s="1"/>
  <c r="I875" i="16"/>
  <c r="I227" i="11"/>
  <c r="I168" i="10"/>
  <c r="I43" i="9"/>
  <c r="I21" i="11" s="1"/>
  <c r="J40" i="9"/>
  <c r="J228" i="11" s="1"/>
  <c r="I41" i="9"/>
  <c r="I44" i="9"/>
  <c r="I89" i="10"/>
  <c r="I91" i="10" s="1"/>
  <c r="I878" i="16"/>
  <c r="I410" i="15"/>
  <c r="I411" i="15" s="1"/>
  <c r="I879" i="16"/>
  <c r="I48" i="14"/>
  <c r="I115" i="14"/>
  <c r="I82" i="14"/>
  <c r="I49" i="14"/>
  <c r="I99" i="9" l="1"/>
  <c r="I751" i="17" s="1"/>
  <c r="I752" i="17" s="1"/>
  <c r="I90" i="10"/>
  <c r="I90" i="9"/>
  <c r="I54" i="10"/>
  <c r="I95" i="10"/>
  <c r="I50" i="14"/>
  <c r="I902" i="16"/>
  <c r="I23" i="11"/>
  <c r="I200" i="11"/>
  <c r="J38" i="9"/>
  <c r="I108" i="9"/>
  <c r="I581" i="17"/>
  <c r="I582" i="17" s="1"/>
  <c r="I1369" i="17"/>
  <c r="I1375" i="17" s="1"/>
  <c r="I238" i="11"/>
  <c r="I1339" i="17"/>
  <c r="I182" i="17"/>
  <c r="I183" i="17" s="1"/>
  <c r="J42" i="9" l="1"/>
  <c r="I55" i="10"/>
  <c r="I128" i="10"/>
  <c r="I641" i="17"/>
  <c r="I642" i="17" s="1"/>
  <c r="I917" i="16"/>
  <c r="I203" i="11"/>
  <c r="I721" i="17"/>
  <c r="I722" i="17" s="1"/>
  <c r="I91" i="9"/>
  <c r="I93" i="9" s="1"/>
  <c r="I37" i="12"/>
  <c r="I226" i="11"/>
  <c r="I161" i="10"/>
  <c r="I163" i="10" s="1"/>
  <c r="I92" i="9"/>
  <c r="I104" i="9"/>
  <c r="I1376" i="17"/>
  <c r="I1377" i="17"/>
  <c r="I1363" i="17"/>
  <c r="I521" i="17"/>
  <c r="I522" i="17" s="1"/>
  <c r="I24" i="11"/>
  <c r="I207" i="11" l="1"/>
  <c r="I164" i="10"/>
  <c r="I166" i="10"/>
  <c r="I165" i="10"/>
  <c r="I526" i="17"/>
  <c r="I527" i="17" s="1"/>
  <c r="I185" i="11"/>
  <c r="I26" i="11"/>
  <c r="I140" i="11"/>
  <c r="J78" i="10"/>
  <c r="J20" i="11"/>
  <c r="J111" i="9"/>
  <c r="I31" i="9"/>
  <c r="I56" i="10"/>
  <c r="I576" i="17"/>
  <c r="I577" i="17" s="1"/>
  <c r="I1370" i="17"/>
  <c r="I1380" i="17" s="1"/>
  <c r="I651" i="17"/>
  <c r="I652" i="17" s="1"/>
  <c r="I278" i="12" l="1"/>
  <c r="I35" i="9"/>
  <c r="I72" i="12" s="1"/>
  <c r="I159" i="10"/>
  <c r="J32" i="9"/>
  <c r="J279" i="12" s="1"/>
  <c r="I33" i="9"/>
  <c r="I36" i="9" s="1"/>
  <c r="I57" i="10"/>
  <c r="I58" i="10" s="1"/>
  <c r="I1366" i="17"/>
  <c r="I1365" i="17"/>
  <c r="I536" i="17"/>
  <c r="I537" i="17" s="1"/>
  <c r="I904" i="16"/>
  <c r="I28" i="11"/>
  <c r="I21" i="12"/>
  <c r="I218" i="11"/>
  <c r="I31" i="11"/>
  <c r="I97" i="9"/>
  <c r="I98" i="9" s="1"/>
  <c r="I746" i="17" s="1"/>
  <c r="I747" i="17" s="1"/>
  <c r="I1368" i="17"/>
  <c r="I1379" i="17" s="1"/>
  <c r="I656" i="17"/>
  <c r="I657" i="17" s="1"/>
  <c r="I541" i="17" l="1"/>
  <c r="I542" i="17" s="1"/>
  <c r="I222" i="11"/>
  <c r="I874" i="16"/>
  <c r="I74" i="12"/>
  <c r="I63" i="10"/>
  <c r="I736" i="17"/>
  <c r="I737" i="17" s="1"/>
  <c r="I25" i="12"/>
  <c r="I95" i="9"/>
  <c r="I232" i="17"/>
  <c r="I233" i="17" s="1"/>
  <c r="I1344" i="17"/>
  <c r="I1350" i="17" s="1"/>
  <c r="I61" i="9"/>
  <c r="I59" i="10"/>
  <c r="I251" i="12"/>
  <c r="J30" i="9"/>
  <c r="I79" i="9"/>
  <c r="I292" i="17" l="1"/>
  <c r="I293" i="17" s="1"/>
  <c r="I889" i="16"/>
  <c r="I254" i="12"/>
  <c r="I1338" i="17"/>
  <c r="I172" i="17"/>
  <c r="I173" i="17" s="1"/>
  <c r="I75" i="12"/>
  <c r="I741" i="17"/>
  <c r="I742" i="17" s="1"/>
  <c r="I100" i="9"/>
  <c r="I1351" i="17"/>
  <c r="I1352" i="17"/>
  <c r="J34" i="9"/>
  <c r="I70" i="9"/>
  <c r="I402" i="17" s="1"/>
  <c r="I403" i="17" s="1"/>
  <c r="I277" i="12"/>
  <c r="I39" i="12"/>
  <c r="I62" i="9"/>
  <c r="I64" i="9" s="1"/>
  <c r="I372" i="17"/>
  <c r="I373" i="17" s="1"/>
  <c r="I152" i="10"/>
  <c r="I154" i="10" s="1"/>
  <c r="I38" i="12"/>
  <c r="I63" i="9"/>
  <c r="I75" i="9"/>
  <c r="I556" i="17"/>
  <c r="I557" i="17" s="1"/>
  <c r="I29" i="12"/>
  <c r="I289" i="12"/>
  <c r="I155" i="10" l="1"/>
  <c r="I157" i="10"/>
  <c r="I156" i="10"/>
  <c r="I302" i="17"/>
  <c r="I303" i="17" s="1"/>
  <c r="I177" i="17"/>
  <c r="I178" i="17" s="1"/>
  <c r="I236" i="12"/>
  <c r="I77" i="12"/>
  <c r="I191" i="12"/>
  <c r="I756" i="17"/>
  <c r="I757" i="17" s="1"/>
  <c r="I101" i="9"/>
  <c r="I92" i="10"/>
  <c r="I41" i="12"/>
  <c r="I229" i="11"/>
  <c r="I102" i="9"/>
  <c r="I105" i="9" s="1"/>
  <c r="I227" i="17"/>
  <c r="I228" i="17" s="1"/>
  <c r="I1345" i="17"/>
  <c r="I1355" i="17" s="1"/>
  <c r="J46" i="10"/>
  <c r="J71" i="12"/>
  <c r="J82" i="9"/>
  <c r="I258" i="12"/>
  <c r="I40" i="12"/>
  <c r="I93" i="10" l="1"/>
  <c r="I94" i="10" s="1"/>
  <c r="I230" i="11"/>
  <c r="I1371" i="17" s="1"/>
  <c r="I1381" i="17" s="1"/>
  <c r="I106" i="9"/>
  <c r="I307" i="17"/>
  <c r="I308" i="17" s="1"/>
  <c r="I586" i="17"/>
  <c r="I587" i="17" s="1"/>
  <c r="I231" i="11"/>
  <c r="I761" i="17"/>
  <c r="I762" i="17" s="1"/>
  <c r="I208" i="11"/>
  <c r="I236" i="11" s="1"/>
  <c r="I1341" i="17"/>
  <c r="I876" i="16"/>
  <c r="I1340" i="17"/>
  <c r="I187" i="17"/>
  <c r="I188" i="17" s="1"/>
  <c r="I79" i="12"/>
  <c r="I23" i="12"/>
  <c r="I269" i="12"/>
  <c r="I22" i="12"/>
  <c r="I82" i="12"/>
  <c r="I1343" i="17"/>
  <c r="I1354" i="17" s="1"/>
  <c r="I68" i="9"/>
  <c r="I69" i="9" s="1"/>
  <c r="I397" i="17" s="1"/>
  <c r="I398" i="17" s="1"/>
  <c r="I1328" i="17"/>
  <c r="I24" i="12" l="1"/>
  <c r="I1373" i="17"/>
  <c r="I1372" i="17"/>
  <c r="I45" i="12"/>
  <c r="I96" i="10"/>
  <c r="J89" i="9"/>
  <c r="J68" i="10"/>
  <c r="I190" i="11"/>
  <c r="I591" i="17"/>
  <c r="I592" i="17" s="1"/>
  <c r="I232" i="11"/>
  <c r="I210" i="11"/>
  <c r="I192" i="17"/>
  <c r="I193" i="17" s="1"/>
  <c r="I273" i="12"/>
  <c r="I107" i="9"/>
  <c r="I387" i="17"/>
  <c r="I388" i="17" s="1"/>
  <c r="I66" i="9"/>
  <c r="I27" i="12"/>
  <c r="I26" i="12"/>
  <c r="I28" i="12" s="1"/>
  <c r="I661" i="17"/>
  <c r="I662" i="17" s="1"/>
  <c r="I209" i="11"/>
  <c r="I1329" i="17" l="1"/>
  <c r="I392" i="17"/>
  <c r="I393" i="17" s="1"/>
  <c r="I71" i="9"/>
  <c r="I207" i="17"/>
  <c r="I208" i="17" s="1"/>
  <c r="I31" i="12"/>
  <c r="I30" i="12"/>
  <c r="I32" i="12" s="1"/>
  <c r="I1383" i="17"/>
  <c r="I1382" i="17"/>
  <c r="I666" i="17"/>
  <c r="I667" i="17" s="1"/>
  <c r="I211" i="11"/>
  <c r="I606" i="17"/>
  <c r="I607" i="17" s="1"/>
  <c r="I915" i="16"/>
  <c r="I919" i="16" s="1"/>
  <c r="I195" i="11"/>
  <c r="I215" i="11"/>
  <c r="J80" i="10"/>
  <c r="J22" i="11"/>
  <c r="J136" i="11" s="1"/>
  <c r="J176" i="11"/>
  <c r="J177" i="11" s="1"/>
  <c r="I596" i="17"/>
  <c r="I597" i="17" s="1"/>
  <c r="I233" i="11"/>
  <c r="J137" i="11" l="1"/>
  <c r="I631" i="17"/>
  <c r="I632" i="17" s="1"/>
  <c r="I212" i="11"/>
  <c r="I407" i="17"/>
  <c r="I408" i="17" s="1"/>
  <c r="I60" i="10"/>
  <c r="I280" i="12"/>
  <c r="I43" i="12"/>
  <c r="I72" i="9"/>
  <c r="I42" i="12"/>
  <c r="I44" i="12" s="1"/>
  <c r="I73" i="9"/>
  <c r="I601" i="17"/>
  <c r="I602" i="17" s="1"/>
  <c r="I235" i="11"/>
  <c r="I281" i="12" l="1"/>
  <c r="I282" i="12" s="1"/>
  <c r="I61" i="10"/>
  <c r="I77" i="9"/>
  <c r="J139" i="11"/>
  <c r="J180" i="11" s="1"/>
  <c r="J138" i="11"/>
  <c r="J179" i="11" s="1"/>
  <c r="I214" i="11"/>
  <c r="I213" i="11"/>
  <c r="I671" i="17" s="1"/>
  <c r="I672" i="17" s="1"/>
  <c r="I920" i="16"/>
  <c r="I921" i="16" s="1"/>
  <c r="I76" i="9"/>
  <c r="I62" i="10"/>
  <c r="I1346" i="17" l="1"/>
  <c r="I1356" i="17" s="1"/>
  <c r="I242" i="17"/>
  <c r="I243" i="17" s="1"/>
  <c r="I283" i="12"/>
  <c r="J36" i="13"/>
  <c r="J37" i="13" s="1"/>
  <c r="J42" i="13" s="1"/>
  <c r="J418" i="15"/>
  <c r="I412" i="17"/>
  <c r="I413" i="17" s="1"/>
  <c r="I259" i="12"/>
  <c r="I78" i="9"/>
  <c r="J25" i="11"/>
  <c r="J70" i="10"/>
  <c r="J72" i="10" s="1"/>
  <c r="J81" i="10" s="1"/>
  <c r="J110" i="9"/>
  <c r="J112" i="9" s="1"/>
  <c r="J903" i="16"/>
  <c r="I261" i="12"/>
  <c r="I1348" i="17"/>
  <c r="I241" i="12"/>
  <c r="I46" i="12"/>
  <c r="I64" i="10"/>
  <c r="J36" i="10"/>
  <c r="J60" i="9"/>
  <c r="I47" i="12"/>
  <c r="I237" i="17"/>
  <c r="I238" i="17" s="1"/>
  <c r="I1347" i="17" l="1"/>
  <c r="J73" i="12"/>
  <c r="J187" i="12" s="1"/>
  <c r="J48" i="10"/>
  <c r="J227" i="12"/>
  <c r="J228" i="12" s="1"/>
  <c r="I312" i="17"/>
  <c r="I313" i="17" s="1"/>
  <c r="I260" i="12"/>
  <c r="J906" i="16"/>
  <c r="I287" i="12"/>
  <c r="I48" i="12"/>
  <c r="I257" i="17"/>
  <c r="I258" i="17" s="1"/>
  <c r="I887" i="16"/>
  <c r="I891" i="16" s="1"/>
  <c r="I246" i="12"/>
  <c r="I266" i="12"/>
  <c r="J907" i="16"/>
  <c r="J82" i="13"/>
  <c r="J49" i="13"/>
  <c r="J421" i="15"/>
  <c r="J422" i="15" s="1"/>
  <c r="J48" i="13"/>
  <c r="J86" i="10"/>
  <c r="I247" i="17"/>
  <c r="I248" i="17" s="1"/>
  <c r="I284" i="12"/>
  <c r="J1364" i="17"/>
  <c r="J531" i="17"/>
  <c r="J532" i="17" s="1"/>
  <c r="I1358" i="17" l="1"/>
  <c r="I1357" i="17"/>
  <c r="I317" i="17"/>
  <c r="I318" i="17" s="1"/>
  <c r="I262" i="12"/>
  <c r="I282" i="17"/>
  <c r="I283" i="17" s="1"/>
  <c r="I263" i="12"/>
  <c r="I892" i="16" s="1"/>
  <c r="I893" i="16" s="1"/>
  <c r="I252" i="17"/>
  <c r="I253" i="17" s="1"/>
  <c r="I286" i="12"/>
  <c r="J129" i="10"/>
  <c r="J87" i="10"/>
  <c r="J50" i="13"/>
  <c r="E1430" i="17" s="1"/>
  <c r="D54" i="17" s="1"/>
  <c r="F54" i="17" s="1"/>
  <c r="J188" i="12"/>
  <c r="J190" i="12" l="1"/>
  <c r="J231" i="12" s="1"/>
  <c r="J189" i="12"/>
  <c r="I264" i="12"/>
  <c r="I322" i="17" s="1"/>
  <c r="I323" i="17" s="1"/>
  <c r="I265" i="12"/>
  <c r="J39" i="9"/>
  <c r="J88" i="10"/>
  <c r="J89" i="10" l="1"/>
  <c r="J90" i="10" s="1"/>
  <c r="J227" i="11"/>
  <c r="J168" i="10"/>
  <c r="J43" i="9"/>
  <c r="J21" i="11" s="1"/>
  <c r="K40" i="9"/>
  <c r="K228" i="11" s="1"/>
  <c r="J41" i="9"/>
  <c r="J44" i="9"/>
  <c r="J230" i="12"/>
  <c r="J1313" i="17"/>
  <c r="J36" i="14"/>
  <c r="J37" i="14" s="1"/>
  <c r="J42" i="14" s="1"/>
  <c r="J407" i="15"/>
  <c r="J95" i="10" l="1"/>
  <c r="J878" i="16"/>
  <c r="J38" i="10"/>
  <c r="J40" i="10" s="1"/>
  <c r="J49" i="10" s="1"/>
  <c r="J76" i="12"/>
  <c r="J81" i="9"/>
  <c r="J83" i="9" s="1"/>
  <c r="J875" i="16"/>
  <c r="K38" i="9"/>
  <c r="J200" i="11"/>
  <c r="J108" i="9"/>
  <c r="J581" i="17"/>
  <c r="J582" i="17" s="1"/>
  <c r="J1369" i="17"/>
  <c r="J1375" i="17" s="1"/>
  <c r="J238" i="11"/>
  <c r="J90" i="9"/>
  <c r="J879" i="16"/>
  <c r="J115" i="14"/>
  <c r="J48" i="14"/>
  <c r="J82" i="14"/>
  <c r="J49" i="14"/>
  <c r="J410" i="15"/>
  <c r="J411" i="15" s="1"/>
  <c r="J902" i="16"/>
  <c r="J23" i="11"/>
  <c r="J91" i="10"/>
  <c r="J721" i="17" l="1"/>
  <c r="J722" i="17" s="1"/>
  <c r="J226" i="11"/>
  <c r="J91" i="9"/>
  <c r="J93" i="9" s="1"/>
  <c r="J37" i="12"/>
  <c r="J161" i="10"/>
  <c r="J163" i="10" s="1"/>
  <c r="J104" i="9"/>
  <c r="J92" i="9"/>
  <c r="J1376" i="17"/>
  <c r="J1377" i="17"/>
  <c r="E70" i="13"/>
  <c r="D23" i="13" s="1"/>
  <c r="J203" i="11"/>
  <c r="J641" i="17"/>
  <c r="J642" i="17" s="1"/>
  <c r="J917" i="16"/>
  <c r="J1363" i="17"/>
  <c r="J521" i="17"/>
  <c r="J522" i="17" s="1"/>
  <c r="J24" i="11"/>
  <c r="J54" i="10"/>
  <c r="J99" i="9"/>
  <c r="J751" i="17" s="1"/>
  <c r="J752" i="17" s="1"/>
  <c r="K42" i="9"/>
  <c r="J1339" i="17"/>
  <c r="J182" i="17"/>
  <c r="J183" i="17" s="1"/>
  <c r="J50" i="14"/>
  <c r="E1429" i="17" s="1"/>
  <c r="D53" i="17" s="1"/>
  <c r="F53" i="17" s="1"/>
  <c r="J651" i="17" l="1"/>
  <c r="J652" i="17" s="1"/>
  <c r="J526" i="17"/>
  <c r="J527" i="17" s="1"/>
  <c r="J185" i="11"/>
  <c r="J26" i="11"/>
  <c r="J140" i="11"/>
  <c r="J207" i="11"/>
  <c r="K78" i="10"/>
  <c r="K20" i="11"/>
  <c r="K111" i="9"/>
  <c r="J164" i="10"/>
  <c r="J166" i="10"/>
  <c r="J165" i="10"/>
  <c r="J576" i="17"/>
  <c r="J577" i="17" s="1"/>
  <c r="J1370" i="17"/>
  <c r="J1380" i="17" s="1"/>
  <c r="J55" i="10"/>
  <c r="J128" i="10"/>
  <c r="J656" i="17" l="1"/>
  <c r="J657" i="17" s="1"/>
  <c r="J1365" i="17"/>
  <c r="J1366" i="17"/>
  <c r="J904" i="16"/>
  <c r="J21" i="12"/>
  <c r="J218" i="11"/>
  <c r="J536" i="17"/>
  <c r="J537" i="17" s="1"/>
  <c r="J28" i="11"/>
  <c r="J31" i="11"/>
  <c r="J97" i="9"/>
  <c r="J98" i="9" s="1"/>
  <c r="J746" i="17" s="1"/>
  <c r="J747" i="17" s="1"/>
  <c r="J1368" i="17"/>
  <c r="J1379" i="17" s="1"/>
  <c r="J31" i="9"/>
  <c r="J56" i="10"/>
  <c r="J159" i="10" l="1"/>
  <c r="J278" i="12"/>
  <c r="J35" i="9"/>
  <c r="J72" i="12" s="1"/>
  <c r="K32" i="9"/>
  <c r="K279" i="12" s="1"/>
  <c r="J33" i="9"/>
  <c r="J736" i="17"/>
  <c r="J737" i="17" s="1"/>
  <c r="J25" i="12"/>
  <c r="J95" i="9"/>
  <c r="J541" i="17"/>
  <c r="J542" i="17" s="1"/>
  <c r="J222" i="11"/>
  <c r="J57" i="10"/>
  <c r="J741" i="17" l="1"/>
  <c r="J742" i="17" s="1"/>
  <c r="J100" i="9"/>
  <c r="J61" i="9"/>
  <c r="J58" i="10"/>
  <c r="J232" i="17"/>
  <c r="J233" i="17" s="1"/>
  <c r="J1344" i="17"/>
  <c r="J1350" i="17" s="1"/>
  <c r="J556" i="17"/>
  <c r="J557" i="17" s="1"/>
  <c r="J29" i="12"/>
  <c r="J63" i="10"/>
  <c r="J59" i="10"/>
  <c r="J874" i="16"/>
  <c r="J74" i="12"/>
  <c r="K30" i="9"/>
  <c r="J251" i="12"/>
  <c r="J79" i="9"/>
  <c r="J36" i="9"/>
  <c r="J70" i="9" l="1"/>
  <c r="J402" i="17" s="1"/>
  <c r="J403" i="17" s="1"/>
  <c r="J1352" i="17"/>
  <c r="J1351" i="17"/>
  <c r="E70" i="14"/>
  <c r="D23" i="14" s="1"/>
  <c r="C175" i="1" s="1"/>
  <c r="J889" i="16"/>
  <c r="J292" i="17"/>
  <c r="J293" i="17" s="1"/>
  <c r="J254" i="12"/>
  <c r="K34" i="9"/>
  <c r="J289" i="12"/>
  <c r="J372" i="17"/>
  <c r="J373" i="17" s="1"/>
  <c r="J277" i="12"/>
  <c r="J152" i="10"/>
  <c r="J154" i="10" s="1"/>
  <c r="J39" i="12"/>
  <c r="J62" i="9"/>
  <c r="J64" i="9" s="1"/>
  <c r="J38" i="12"/>
  <c r="J63" i="9"/>
  <c r="J75" i="9"/>
  <c r="J1338" i="17"/>
  <c r="J172" i="17"/>
  <c r="J173" i="17" s="1"/>
  <c r="J75" i="12"/>
  <c r="J756" i="17"/>
  <c r="J757" i="17" s="1"/>
  <c r="J229" i="11"/>
  <c r="J92" i="10"/>
  <c r="J101" i="9"/>
  <c r="J41" i="12"/>
  <c r="J102" i="9"/>
  <c r="J105" i="9" s="1"/>
  <c r="J155" i="10" l="1"/>
  <c r="J157" i="10"/>
  <c r="J156" i="10"/>
  <c r="K46" i="10"/>
  <c r="K71" i="12"/>
  <c r="K82" i="9"/>
  <c r="J177" i="17"/>
  <c r="J178" i="17" s="1"/>
  <c r="J236" i="12"/>
  <c r="J77" i="12"/>
  <c r="J191" i="12"/>
  <c r="J761" i="17"/>
  <c r="J762" i="17" s="1"/>
  <c r="J208" i="11"/>
  <c r="J230" i="11"/>
  <c r="J586" i="17" s="1"/>
  <c r="J587" i="17" s="1"/>
  <c r="J93" i="10"/>
  <c r="J94" i="10" s="1"/>
  <c r="J106" i="9"/>
  <c r="J227" i="17"/>
  <c r="J228" i="17" s="1"/>
  <c r="J1345" i="17"/>
  <c r="J1355" i="17" s="1"/>
  <c r="J258" i="12"/>
  <c r="J302" i="17"/>
  <c r="J303" i="17" s="1"/>
  <c r="J40" i="12"/>
  <c r="J231" i="11" l="1"/>
  <c r="J236" i="11"/>
  <c r="J1371" i="17"/>
  <c r="J1381" i="17" s="1"/>
  <c r="J210" i="11"/>
  <c r="J1372" i="17"/>
  <c r="J1373" i="17"/>
  <c r="J190" i="11"/>
  <c r="J45" i="12"/>
  <c r="K89" i="9"/>
  <c r="J96" i="10"/>
  <c r="K68" i="10"/>
  <c r="E68" i="13"/>
  <c r="E86" i="13" s="1"/>
  <c r="J1340" i="17"/>
  <c r="J1341" i="17"/>
  <c r="J187" i="17"/>
  <c r="J188" i="17" s="1"/>
  <c r="J876" i="16"/>
  <c r="J79" i="12"/>
  <c r="J23" i="12"/>
  <c r="J269" i="12"/>
  <c r="J22" i="12"/>
  <c r="J82" i="12"/>
  <c r="J68" i="9"/>
  <c r="J69" i="9" s="1"/>
  <c r="J397" i="17" s="1"/>
  <c r="J398" i="17" s="1"/>
  <c r="J1343" i="17"/>
  <c r="J1354" i="17" s="1"/>
  <c r="J1328" i="17"/>
  <c r="J307" i="17"/>
  <c r="J308" i="17" s="1"/>
  <c r="J591" i="17"/>
  <c r="J592" i="17" s="1"/>
  <c r="J232" i="11"/>
  <c r="J107" i="9"/>
  <c r="J661" i="17"/>
  <c r="J662" i="17" s="1"/>
  <c r="J209" i="11"/>
  <c r="J606" i="17" l="1"/>
  <c r="J607" i="17" s="1"/>
  <c r="J915" i="16"/>
  <c r="J919" i="16" s="1"/>
  <c r="J195" i="11"/>
  <c r="J215" i="11"/>
  <c r="J192" i="17"/>
  <c r="J193" i="17" s="1"/>
  <c r="J273" i="12"/>
  <c r="J387" i="17"/>
  <c r="J388" i="17" s="1"/>
  <c r="J66" i="9"/>
  <c r="J27" i="12"/>
  <c r="J26" i="12"/>
  <c r="J28" i="12" s="1"/>
  <c r="J596" i="17"/>
  <c r="J597" i="17" s="1"/>
  <c r="J233" i="11"/>
  <c r="J1383" i="17"/>
  <c r="J1382" i="17"/>
  <c r="J666" i="17"/>
  <c r="J667" i="17" s="1"/>
  <c r="J211" i="11"/>
  <c r="K80" i="10"/>
  <c r="K22" i="11"/>
  <c r="K136" i="11" s="1"/>
  <c r="K176" i="11"/>
  <c r="K177" i="11" s="1"/>
  <c r="J24" i="12"/>
  <c r="J207" i="17" l="1"/>
  <c r="J208" i="17" s="1"/>
  <c r="J30" i="12"/>
  <c r="J31" i="12"/>
  <c r="J1329" i="17"/>
  <c r="J392" i="17"/>
  <c r="J393" i="17" s="1"/>
  <c r="J71" i="9"/>
  <c r="J601" i="17"/>
  <c r="J602" i="17" s="1"/>
  <c r="J235" i="11"/>
  <c r="J631" i="17"/>
  <c r="J632" i="17" s="1"/>
  <c r="J212" i="11"/>
  <c r="K137" i="11"/>
  <c r="J214" i="11" l="1"/>
  <c r="J213" i="11"/>
  <c r="J671" i="17" s="1"/>
  <c r="J672" i="17" s="1"/>
  <c r="J920" i="16"/>
  <c r="J921" i="16" s="1"/>
  <c r="J407" i="17"/>
  <c r="J408" i="17" s="1"/>
  <c r="J72" i="9"/>
  <c r="J43" i="12"/>
  <c r="J60" i="10"/>
  <c r="J280" i="12"/>
  <c r="J42" i="12"/>
  <c r="J44" i="12" s="1"/>
  <c r="J73" i="9"/>
  <c r="J76" i="9" s="1"/>
  <c r="K139" i="11"/>
  <c r="K180" i="11" s="1"/>
  <c r="K138" i="11"/>
  <c r="K179" i="11" s="1"/>
  <c r="J32" i="12"/>
  <c r="K25" i="11" l="1"/>
  <c r="K70" i="10"/>
  <c r="K72" i="10" s="1"/>
  <c r="K81" i="10" s="1"/>
  <c r="K110" i="9"/>
  <c r="K112" i="9" s="1"/>
  <c r="K903" i="16"/>
  <c r="K36" i="13"/>
  <c r="K37" i="13" s="1"/>
  <c r="K42" i="13" s="1"/>
  <c r="K418" i="15"/>
  <c r="J412" i="17"/>
  <c r="J413" i="17" s="1"/>
  <c r="J259" i="12"/>
  <c r="J61" i="10"/>
  <c r="J62" i="10" s="1"/>
  <c r="J281" i="12"/>
  <c r="J1346" i="17" s="1"/>
  <c r="J1356" i="17" s="1"/>
  <c r="J77" i="9"/>
  <c r="J78" i="9" s="1"/>
  <c r="J1347" i="17" l="1"/>
  <c r="J1348" i="17"/>
  <c r="J241" i="12"/>
  <c r="K60" i="9"/>
  <c r="J64" i="10"/>
  <c r="K36" i="10"/>
  <c r="J47" i="12"/>
  <c r="J46" i="12"/>
  <c r="J48" i="12" s="1"/>
  <c r="E68" i="14"/>
  <c r="E86" i="14" s="1"/>
  <c r="K1364" i="17"/>
  <c r="K531" i="17"/>
  <c r="K532" i="17" s="1"/>
  <c r="K907" i="16"/>
  <c r="K49" i="13"/>
  <c r="K421" i="15"/>
  <c r="K422" i="15" s="1"/>
  <c r="K82" i="13"/>
  <c r="K48" i="13"/>
  <c r="J237" i="17"/>
  <c r="J238" i="17" s="1"/>
  <c r="J282" i="12"/>
  <c r="K86" i="10"/>
  <c r="J261" i="12"/>
  <c r="J287" i="12"/>
  <c r="J312" i="17"/>
  <c r="J313" i="17" s="1"/>
  <c r="J260" i="12"/>
  <c r="K906" i="16"/>
  <c r="K87" i="10" l="1"/>
  <c r="K129" i="10"/>
  <c r="C160" i="1"/>
  <c r="J257" i="17"/>
  <c r="J258" i="17" s="1"/>
  <c r="J887" i="16"/>
  <c r="J891" i="16" s="1"/>
  <c r="J246" i="12"/>
  <c r="J266" i="12"/>
  <c r="J242" i="17"/>
  <c r="J243" i="17" s="1"/>
  <c r="J283" i="12"/>
  <c r="K48" i="10"/>
  <c r="K73" i="12"/>
  <c r="K187" i="12" s="1"/>
  <c r="K227" i="12"/>
  <c r="K228" i="12" s="1"/>
  <c r="J1358" i="17"/>
  <c r="J1357" i="17"/>
  <c r="J317" i="17"/>
  <c r="J318" i="17" s="1"/>
  <c r="J262" i="12"/>
  <c r="J282" i="17" l="1"/>
  <c r="J283" i="17" s="1"/>
  <c r="J263" i="12"/>
  <c r="K88" i="10"/>
  <c r="K39" i="9"/>
  <c r="K188" i="12"/>
  <c r="J247" i="17"/>
  <c r="J248" i="17" s="1"/>
  <c r="J284" i="12"/>
  <c r="K190" i="12" l="1"/>
  <c r="K231" i="12" s="1"/>
  <c r="K189" i="12"/>
  <c r="K227" i="11"/>
  <c r="K168" i="10"/>
  <c r="K43" i="9"/>
  <c r="K21" i="11" s="1"/>
  <c r="L40" i="9"/>
  <c r="L228" i="11" s="1"/>
  <c r="K41" i="9"/>
  <c r="K89" i="10"/>
  <c r="J264" i="12"/>
  <c r="J322" i="17" s="1"/>
  <c r="J323" i="17" s="1"/>
  <c r="J265" i="12"/>
  <c r="J892" i="16"/>
  <c r="J893" i="16" s="1"/>
  <c r="J252" i="17"/>
  <c r="J253" i="17" s="1"/>
  <c r="J286" i="12"/>
  <c r="K90" i="9" l="1"/>
  <c r="C162" i="1"/>
  <c r="K902" i="16"/>
  <c r="K23" i="11"/>
  <c r="K91" i="10"/>
  <c r="K200" i="11"/>
  <c r="L38" i="9"/>
  <c r="K108" i="9"/>
  <c r="K581" i="17"/>
  <c r="K582" i="17" s="1"/>
  <c r="K1369" i="17"/>
  <c r="K1375" i="17" s="1"/>
  <c r="K238" i="11"/>
  <c r="K90" i="10"/>
  <c r="K95" i="10" s="1"/>
  <c r="K44" i="9"/>
  <c r="K230" i="12"/>
  <c r="K1313" i="17"/>
  <c r="K36" i="14"/>
  <c r="K37" i="14" s="1"/>
  <c r="K42" i="14" s="1"/>
  <c r="K407" i="15"/>
  <c r="L42" i="9" l="1"/>
  <c r="K878" i="16"/>
  <c r="K1377" i="17"/>
  <c r="K1376" i="17"/>
  <c r="K1363" i="17"/>
  <c r="K521" i="17"/>
  <c r="K522" i="17" s="1"/>
  <c r="K24" i="11"/>
  <c r="K203" i="11"/>
  <c r="K917" i="16"/>
  <c r="K641" i="17"/>
  <c r="K642" i="17" s="1"/>
  <c r="K99" i="9"/>
  <c r="K751" i="17" s="1"/>
  <c r="K752" i="17" s="1"/>
  <c r="K879" i="16"/>
  <c r="K115" i="14"/>
  <c r="K48" i="14"/>
  <c r="K82" i="14"/>
  <c r="K49" i="14"/>
  <c r="K410" i="15"/>
  <c r="K411" i="15" s="1"/>
  <c r="K38" i="10"/>
  <c r="K40" i="10" s="1"/>
  <c r="K49" i="10" s="1"/>
  <c r="K76" i="12"/>
  <c r="K81" i="9"/>
  <c r="K83" i="9" s="1"/>
  <c r="K875" i="16"/>
  <c r="K721" i="17"/>
  <c r="K722" i="17" s="1"/>
  <c r="K161" i="10"/>
  <c r="K163" i="10" s="1"/>
  <c r="K91" i="9"/>
  <c r="K93" i="9" s="1"/>
  <c r="K226" i="11"/>
  <c r="K37" i="12"/>
  <c r="K92" i="9"/>
  <c r="K104" i="9"/>
  <c r="K651" i="17" l="1"/>
  <c r="K652" i="17" s="1"/>
  <c r="K164" i="10"/>
  <c r="K166" i="10"/>
  <c r="K165" i="10"/>
  <c r="K185" i="11"/>
  <c r="K26" i="11"/>
  <c r="K526" i="17"/>
  <c r="K527" i="17" s="1"/>
  <c r="K140" i="11"/>
  <c r="K207" i="11"/>
  <c r="K576" i="17"/>
  <c r="K577" i="17" s="1"/>
  <c r="K1370" i="17"/>
  <c r="K1380" i="17" s="1"/>
  <c r="K1339" i="17"/>
  <c r="K182" i="17"/>
  <c r="K183" i="17" s="1"/>
  <c r="L78" i="10"/>
  <c r="L20" i="11"/>
  <c r="L111" i="9"/>
  <c r="K54" i="10"/>
  <c r="K55" i="10" l="1"/>
  <c r="C161" i="1"/>
  <c r="K128" i="10"/>
  <c r="K656" i="17"/>
  <c r="K657" i="17" s="1"/>
  <c r="K1366" i="17"/>
  <c r="K1365" i="17"/>
  <c r="K904" i="16"/>
  <c r="K536" i="17"/>
  <c r="K537" i="17" s="1"/>
  <c r="K28" i="11"/>
  <c r="K218" i="11"/>
  <c r="K21" i="12"/>
  <c r="K31" i="11"/>
  <c r="K97" i="9"/>
  <c r="K98" i="9" s="1"/>
  <c r="K746" i="17" s="1"/>
  <c r="K747" i="17" s="1"/>
  <c r="K1368" i="17"/>
  <c r="K1379" i="17" s="1"/>
  <c r="K541" i="17" l="1"/>
  <c r="K542" i="17" s="1"/>
  <c r="K222" i="11"/>
  <c r="K736" i="17"/>
  <c r="K737" i="17" s="1"/>
  <c r="K25" i="12"/>
  <c r="K95" i="9"/>
  <c r="K31" i="9"/>
  <c r="K56" i="10"/>
  <c r="K57" i="10" l="1"/>
  <c r="K278" i="12"/>
  <c r="K159" i="10"/>
  <c r="K35" i="9"/>
  <c r="K72" i="12" s="1"/>
  <c r="L32" i="9"/>
  <c r="L279" i="12" s="1"/>
  <c r="K33" i="9"/>
  <c r="K36" i="9"/>
  <c r="K741" i="17"/>
  <c r="K742" i="17" s="1"/>
  <c r="K100" i="9"/>
  <c r="K556" i="17"/>
  <c r="K557" i="17" s="1"/>
  <c r="K29" i="12"/>
  <c r="K756" i="17" l="1"/>
  <c r="K757" i="17" s="1"/>
  <c r="K92" i="10"/>
  <c r="K101" i="9"/>
  <c r="K41" i="12"/>
  <c r="K229" i="11"/>
  <c r="K102" i="9"/>
  <c r="K105" i="9" s="1"/>
  <c r="K874" i="16"/>
  <c r="K74" i="12"/>
  <c r="K232" i="17"/>
  <c r="K233" i="17" s="1"/>
  <c r="K1344" i="17"/>
  <c r="K1350" i="17" s="1"/>
  <c r="L30" i="9"/>
  <c r="K251" i="12"/>
  <c r="K79" i="9"/>
  <c r="K61" i="9"/>
  <c r="K58" i="10"/>
  <c r="K63" i="10" s="1"/>
  <c r="K59" i="10"/>
  <c r="K761" i="17" l="1"/>
  <c r="K762" i="17" s="1"/>
  <c r="K208" i="11"/>
  <c r="K70" i="9"/>
  <c r="K402" i="17" s="1"/>
  <c r="K403" i="17" s="1"/>
  <c r="K230" i="11"/>
  <c r="K1371" i="17" s="1"/>
  <c r="K1381" i="17" s="1"/>
  <c r="K93" i="10"/>
  <c r="K106" i="9"/>
  <c r="K586" i="17"/>
  <c r="K587" i="17" s="1"/>
  <c r="K231" i="11"/>
  <c r="K236" i="11"/>
  <c r="K1352" i="17"/>
  <c r="K1351" i="17"/>
  <c r="K889" i="16"/>
  <c r="K292" i="17"/>
  <c r="K293" i="17" s="1"/>
  <c r="K254" i="12"/>
  <c r="L34" i="9"/>
  <c r="K1338" i="17"/>
  <c r="K172" i="17"/>
  <c r="K173" i="17" s="1"/>
  <c r="K75" i="12"/>
  <c r="K289" i="12"/>
  <c r="K94" i="10"/>
  <c r="K372" i="17"/>
  <c r="K373" i="17" s="1"/>
  <c r="K277" i="12"/>
  <c r="K39" i="12"/>
  <c r="K152" i="10"/>
  <c r="K154" i="10" s="1"/>
  <c r="K62" i="9"/>
  <c r="K64" i="9" s="1"/>
  <c r="K38" i="12"/>
  <c r="K40" i="12" s="1"/>
  <c r="K75" i="9"/>
  <c r="K63" i="9"/>
  <c r="K591" i="17" l="1"/>
  <c r="K592" i="17" s="1"/>
  <c r="K232" i="11"/>
  <c r="K258" i="12"/>
  <c r="K1372" i="17"/>
  <c r="K1373" i="17"/>
  <c r="K96" i="10"/>
  <c r="K45" i="12"/>
  <c r="L89" i="9"/>
  <c r="K190" i="11"/>
  <c r="L68" i="10"/>
  <c r="K210" i="11"/>
  <c r="K177" i="17"/>
  <c r="K178" i="17" s="1"/>
  <c r="K236" i="12"/>
  <c r="K77" i="12"/>
  <c r="K191" i="12"/>
  <c r="L46" i="10"/>
  <c r="L71" i="12"/>
  <c r="L82" i="9"/>
  <c r="K155" i="10"/>
  <c r="K157" i="10"/>
  <c r="K156" i="10"/>
  <c r="K302" i="17"/>
  <c r="K303" i="17" s="1"/>
  <c r="K227" i="17"/>
  <c r="K228" i="17" s="1"/>
  <c r="K1345" i="17"/>
  <c r="K1355" i="17" s="1"/>
  <c r="K107" i="9"/>
  <c r="K661" i="17"/>
  <c r="K662" i="17" s="1"/>
  <c r="K209" i="11"/>
  <c r="K1340" i="17" l="1"/>
  <c r="K1341" i="17"/>
  <c r="K187" i="17"/>
  <c r="K188" i="17" s="1"/>
  <c r="K22" i="12"/>
  <c r="K79" i="12"/>
  <c r="K876" i="16"/>
  <c r="K23" i="12"/>
  <c r="K269" i="12"/>
  <c r="K82" i="12"/>
  <c r="K68" i="9"/>
  <c r="K69" i="9" s="1"/>
  <c r="K397" i="17" s="1"/>
  <c r="K398" i="17" s="1"/>
  <c r="K1343" i="17"/>
  <c r="K1354" i="17" s="1"/>
  <c r="K1328" i="17"/>
  <c r="L22" i="11"/>
  <c r="L136" i="11" s="1"/>
  <c r="L80" i="10"/>
  <c r="L176" i="11"/>
  <c r="L177" i="11" s="1"/>
  <c r="K307" i="17"/>
  <c r="K308" i="17" s="1"/>
  <c r="K1382" i="17"/>
  <c r="K666" i="17"/>
  <c r="K667" i="17" s="1"/>
  <c r="K1383" i="17"/>
  <c r="K211" i="11"/>
  <c r="K596" i="17"/>
  <c r="K597" i="17" s="1"/>
  <c r="K233" i="11"/>
  <c r="K606" i="17"/>
  <c r="K607" i="17" s="1"/>
  <c r="K915" i="16"/>
  <c r="K919" i="16" s="1"/>
  <c r="K195" i="11"/>
  <c r="K215" i="11"/>
  <c r="K192" i="17" l="1"/>
  <c r="K193" i="17" s="1"/>
  <c r="K273" i="12"/>
  <c r="K387" i="17"/>
  <c r="K388" i="17" s="1"/>
  <c r="K66" i="9"/>
  <c r="K27" i="12"/>
  <c r="K26" i="12"/>
  <c r="K28" i="12" s="1"/>
  <c r="L137" i="11"/>
  <c r="K24" i="12"/>
  <c r="K601" i="17"/>
  <c r="K602" i="17" s="1"/>
  <c r="K235" i="11"/>
  <c r="K631" i="17"/>
  <c r="K632" i="17" s="1"/>
  <c r="K212" i="11"/>
  <c r="K214" i="11" l="1"/>
  <c r="K213" i="11"/>
  <c r="K671" i="17" s="1"/>
  <c r="K672" i="17" s="1"/>
  <c r="K920" i="16"/>
  <c r="K921" i="16" s="1"/>
  <c r="K1329" i="17"/>
  <c r="K392" i="17"/>
  <c r="K393" i="17" s="1"/>
  <c r="K71" i="9"/>
  <c r="K207" i="17"/>
  <c r="K208" i="17" s="1"/>
  <c r="K30" i="12"/>
  <c r="K31" i="12"/>
  <c r="L139" i="11"/>
  <c r="L180" i="11" s="1"/>
  <c r="L138" i="11"/>
  <c r="L179" i="11" s="1"/>
  <c r="K32" i="12" l="1"/>
  <c r="L25" i="11"/>
  <c r="L70" i="10"/>
  <c r="L72" i="10" s="1"/>
  <c r="L81" i="10" s="1"/>
  <c r="L110" i="9"/>
  <c r="L112" i="9" s="1"/>
  <c r="L903" i="16"/>
  <c r="K280" i="12"/>
  <c r="K407" i="17"/>
  <c r="K408" i="17" s="1"/>
  <c r="K72" i="9"/>
  <c r="K43" i="12"/>
  <c r="K60" i="10"/>
  <c r="K42" i="12"/>
  <c r="K44" i="12" s="1"/>
  <c r="K73" i="9"/>
  <c r="L36" i="13"/>
  <c r="L37" i="13" s="1"/>
  <c r="L42" i="13" s="1"/>
  <c r="L418" i="15"/>
  <c r="K61" i="10" l="1"/>
  <c r="K281" i="12"/>
  <c r="K77" i="9"/>
  <c r="L906" i="16"/>
  <c r="K237" i="17"/>
  <c r="K238" i="17" s="1"/>
  <c r="K1346" i="17"/>
  <c r="K1356" i="17" s="1"/>
  <c r="K282" i="12"/>
  <c r="K62" i="10"/>
  <c r="L907" i="16"/>
  <c r="L421" i="15"/>
  <c r="L422" i="15" s="1"/>
  <c r="L48" i="13"/>
  <c r="L82" i="13"/>
  <c r="L49" i="13"/>
  <c r="L86" i="10"/>
  <c r="K76" i="9"/>
  <c r="L1364" i="17"/>
  <c r="L531" i="17"/>
  <c r="L532" i="17" s="1"/>
  <c r="K261" i="12" l="1"/>
  <c r="L87" i="10"/>
  <c r="L129" i="10"/>
  <c r="K1348" i="17"/>
  <c r="K1347" i="17"/>
  <c r="K241" i="12"/>
  <c r="K47" i="12"/>
  <c r="L60" i="9"/>
  <c r="L36" i="10"/>
  <c r="K64" i="10"/>
  <c r="K46" i="12"/>
  <c r="K48" i="12" s="1"/>
  <c r="K242" i="17"/>
  <c r="K243" i="17" s="1"/>
  <c r="K283" i="12"/>
  <c r="K412" i="17"/>
  <c r="K413" i="17" s="1"/>
  <c r="K259" i="12"/>
  <c r="K78" i="9"/>
  <c r="L39" i="9" l="1"/>
  <c r="L88" i="10"/>
  <c r="K312" i="17"/>
  <c r="K313" i="17" s="1"/>
  <c r="K260" i="12"/>
  <c r="K287" i="12"/>
  <c r="K887" i="16"/>
  <c r="K891" i="16" s="1"/>
  <c r="K257" i="17"/>
  <c r="K258" i="17" s="1"/>
  <c r="K246" i="12"/>
  <c r="K266" i="12"/>
  <c r="L48" i="10"/>
  <c r="L73" i="12"/>
  <c r="L187" i="12" s="1"/>
  <c r="L227" i="12"/>
  <c r="L228" i="12" s="1"/>
  <c r="K247" i="17"/>
  <c r="K248" i="17" s="1"/>
  <c r="K284" i="12"/>
  <c r="K1357" i="17" l="1"/>
  <c r="K1358" i="17"/>
  <c r="K317" i="17"/>
  <c r="K318" i="17" s="1"/>
  <c r="K262" i="12"/>
  <c r="K282" i="17"/>
  <c r="K283" i="17" s="1"/>
  <c r="K263" i="12"/>
  <c r="K892" i="16" s="1"/>
  <c r="K893" i="16" s="1"/>
  <c r="L89" i="10"/>
  <c r="L91" i="10" s="1"/>
  <c r="K252" i="17"/>
  <c r="K253" i="17" s="1"/>
  <c r="K286" i="12"/>
  <c r="L227" i="11"/>
  <c r="L168" i="10"/>
  <c r="L43" i="9"/>
  <c r="L21" i="11" s="1"/>
  <c r="M40" i="9"/>
  <c r="M228" i="11" s="1"/>
  <c r="L41" i="9"/>
  <c r="L44" i="9" s="1"/>
  <c r="L188" i="12"/>
  <c r="L90" i="10" l="1"/>
  <c r="L95" i="10" s="1"/>
  <c r="L581" i="17"/>
  <c r="L582" i="17" s="1"/>
  <c r="L1369" i="17"/>
  <c r="L1375" i="17" s="1"/>
  <c r="L200" i="11"/>
  <c r="M38" i="9"/>
  <c r="L108" i="9"/>
  <c r="L99" i="9"/>
  <c r="L751" i="17" s="1"/>
  <c r="L752" i="17" s="1"/>
  <c r="L190" i="12"/>
  <c r="L231" i="12" s="1"/>
  <c r="L189" i="12"/>
  <c r="L902" i="16"/>
  <c r="L23" i="11"/>
  <c r="K264" i="12"/>
  <c r="K322" i="17" s="1"/>
  <c r="K323" i="17" s="1"/>
  <c r="K265" i="12"/>
  <c r="L90" i="9"/>
  <c r="L641" i="17" l="1"/>
  <c r="L642" i="17" s="1"/>
  <c r="L203" i="11"/>
  <c r="L917" i="16"/>
  <c r="L1363" i="17"/>
  <c r="L521" i="17"/>
  <c r="L522" i="17" s="1"/>
  <c r="L24" i="11"/>
  <c r="L230" i="12"/>
  <c r="L1313" i="17"/>
  <c r="L238" i="11"/>
  <c r="L36" i="14"/>
  <c r="L37" i="14" s="1"/>
  <c r="L42" i="14" s="1"/>
  <c r="L407" i="15"/>
  <c r="L721" i="17"/>
  <c r="L722" i="17" s="1"/>
  <c r="L37" i="12"/>
  <c r="L161" i="10"/>
  <c r="L163" i="10" s="1"/>
  <c r="L91" i="9"/>
  <c r="L93" i="9" s="1"/>
  <c r="L226" i="11"/>
  <c r="L92" i="9"/>
  <c r="L104" i="9"/>
  <c r="L1376" i="17"/>
  <c r="L1377" i="17"/>
  <c r="M42" i="9"/>
  <c r="L164" i="10" l="1"/>
  <c r="L166" i="10"/>
  <c r="L165" i="10"/>
  <c r="L38" i="10"/>
  <c r="L40" i="10" s="1"/>
  <c r="L49" i="10" s="1"/>
  <c r="L76" i="12"/>
  <c r="L81" i="9"/>
  <c r="L83" i="9" s="1"/>
  <c r="L875" i="16"/>
  <c r="L878" i="16"/>
  <c r="M78" i="10"/>
  <c r="M20" i="11"/>
  <c r="M111" i="9"/>
  <c r="L207" i="11"/>
  <c r="L576" i="17"/>
  <c r="L577" i="17" s="1"/>
  <c r="L1370" i="17"/>
  <c r="L1380" i="17" s="1"/>
  <c r="L526" i="17"/>
  <c r="L527" i="17" s="1"/>
  <c r="L26" i="11"/>
  <c r="L185" i="11"/>
  <c r="L140" i="11"/>
  <c r="L879" i="16"/>
  <c r="L115" i="14"/>
  <c r="L82" i="14"/>
  <c r="L49" i="14"/>
  <c r="L410" i="15"/>
  <c r="L411" i="15" s="1"/>
  <c r="L48" i="14"/>
  <c r="L651" i="17"/>
  <c r="L652" i="17" s="1"/>
  <c r="L1366" i="17" l="1"/>
  <c r="L1365" i="17"/>
  <c r="L536" i="17"/>
  <c r="L537" i="17" s="1"/>
  <c r="L904" i="16"/>
  <c r="L218" i="11"/>
  <c r="L28" i="11"/>
  <c r="L21" i="12"/>
  <c r="L31" i="11"/>
  <c r="L1368" i="17"/>
  <c r="L1379" i="17" s="1"/>
  <c r="L97" i="9"/>
  <c r="L98" i="9" s="1"/>
  <c r="L746" i="17" s="1"/>
  <c r="L747" i="17" s="1"/>
  <c r="L1339" i="17"/>
  <c r="L182" i="17"/>
  <c r="L183" i="17" s="1"/>
  <c r="L656" i="17"/>
  <c r="L657" i="17" s="1"/>
  <c r="L54" i="10"/>
  <c r="L128" i="10" l="1"/>
  <c r="L55" i="10"/>
  <c r="L736" i="17"/>
  <c r="L737" i="17" s="1"/>
  <c r="L25" i="12"/>
  <c r="L95" i="9"/>
  <c r="L541" i="17"/>
  <c r="L542" i="17" s="1"/>
  <c r="L222" i="11"/>
  <c r="L741" i="17" l="1"/>
  <c r="L742" i="17" s="1"/>
  <c r="L100" i="9"/>
  <c r="L556" i="17"/>
  <c r="L557" i="17" s="1"/>
  <c r="L29" i="12"/>
  <c r="L31" i="9"/>
  <c r="L56" i="10"/>
  <c r="L57" i="10" l="1"/>
  <c r="L278" i="12"/>
  <c r="L159" i="10"/>
  <c r="L35" i="9"/>
  <c r="L72" i="12" s="1"/>
  <c r="M32" i="9"/>
  <c r="M279" i="12" s="1"/>
  <c r="L33" i="9"/>
  <c r="L36" i="9"/>
  <c r="L756" i="17"/>
  <c r="L757" i="17" s="1"/>
  <c r="L41" i="12"/>
  <c r="L101" i="9"/>
  <c r="L92" i="10"/>
  <c r="L229" i="11"/>
  <c r="L102" i="9"/>
  <c r="L232" i="17" l="1"/>
  <c r="L233" i="17" s="1"/>
  <c r="L1344" i="17"/>
  <c r="L1350" i="17" s="1"/>
  <c r="L61" i="9"/>
  <c r="L251" i="12"/>
  <c r="L289" i="12" s="1"/>
  <c r="M30" i="9"/>
  <c r="L79" i="9"/>
  <c r="L58" i="10"/>
  <c r="L63" i="10"/>
  <c r="L874" i="16"/>
  <c r="L74" i="12"/>
  <c r="L59" i="10"/>
  <c r="L230" i="11"/>
  <c r="L1371" i="17" s="1"/>
  <c r="L1381" i="17" s="1"/>
  <c r="L93" i="10"/>
  <c r="L94" i="10" s="1"/>
  <c r="L106" i="9"/>
  <c r="L105" i="9"/>
  <c r="L1372" i="17" l="1"/>
  <c r="L1373" i="17"/>
  <c r="M68" i="10"/>
  <c r="L190" i="11"/>
  <c r="L45" i="12"/>
  <c r="M89" i="9"/>
  <c r="L96" i="10"/>
  <c r="L586" i="17"/>
  <c r="L587" i="17" s="1"/>
  <c r="L761" i="17"/>
  <c r="L762" i="17" s="1"/>
  <c r="L208" i="11"/>
  <c r="L107" i="9"/>
  <c r="L372" i="17"/>
  <c r="L373" i="17" s="1"/>
  <c r="L277" i="12"/>
  <c r="L152" i="10"/>
  <c r="L154" i="10" s="1"/>
  <c r="L62" i="9"/>
  <c r="L64" i="9" s="1"/>
  <c r="L39" i="12"/>
  <c r="L38" i="12"/>
  <c r="L40" i="12" s="1"/>
  <c r="L63" i="9"/>
  <c r="L75" i="9"/>
  <c r="L210" i="11"/>
  <c r="L70" i="9"/>
  <c r="L402" i="17" s="1"/>
  <c r="L403" i="17" s="1"/>
  <c r="L1338" i="17"/>
  <c r="L172" i="17"/>
  <c r="L173" i="17" s="1"/>
  <c r="L75" i="12"/>
  <c r="L1351" i="17"/>
  <c r="L1352" i="17"/>
  <c r="L231" i="11"/>
  <c r="M34" i="9"/>
  <c r="L292" i="17"/>
  <c r="L293" i="17" s="1"/>
  <c r="L889" i="16"/>
  <c r="L254" i="12"/>
  <c r="L591" i="17" l="1"/>
  <c r="L592" i="17" s="1"/>
  <c r="L232" i="11"/>
  <c r="L661" i="17"/>
  <c r="L662" i="17" s="1"/>
  <c r="L209" i="11"/>
  <c r="L236" i="11"/>
  <c r="L227" i="17"/>
  <c r="L228" i="17" s="1"/>
  <c r="L1345" i="17"/>
  <c r="L1355" i="17" s="1"/>
  <c r="M46" i="10"/>
  <c r="M71" i="12"/>
  <c r="M82" i="9"/>
  <c r="L258" i="12"/>
  <c r="L155" i="10"/>
  <c r="L157" i="10"/>
  <c r="L156" i="10"/>
  <c r="L177" i="17"/>
  <c r="L178" i="17" s="1"/>
  <c r="L77" i="12"/>
  <c r="L236" i="12"/>
  <c r="L191" i="12"/>
  <c r="M22" i="11"/>
  <c r="M136" i="11" s="1"/>
  <c r="M80" i="10"/>
  <c r="M176" i="11"/>
  <c r="M177" i="11" s="1"/>
  <c r="L606" i="17"/>
  <c r="L607" i="17" s="1"/>
  <c r="L915" i="16"/>
  <c r="L919" i="16" s="1"/>
  <c r="L195" i="11"/>
  <c r="L215" i="11"/>
  <c r="L302" i="17"/>
  <c r="L303" i="17" s="1"/>
  <c r="L1340" i="17" l="1"/>
  <c r="L1341" i="17"/>
  <c r="L876" i="16"/>
  <c r="L187" i="17"/>
  <c r="L188" i="17" s="1"/>
  <c r="L23" i="12"/>
  <c r="L79" i="12"/>
  <c r="L269" i="12"/>
  <c r="L22" i="12"/>
  <c r="L24" i="12" s="1"/>
  <c r="L82" i="12"/>
  <c r="L1343" i="17"/>
  <c r="L1354" i="17" s="1"/>
  <c r="L68" i="9"/>
  <c r="L69" i="9" s="1"/>
  <c r="L397" i="17" s="1"/>
  <c r="L398" i="17" s="1"/>
  <c r="L1328" i="17"/>
  <c r="M137" i="11"/>
  <c r="L596" i="17"/>
  <c r="L597" i="17" s="1"/>
  <c r="L233" i="11"/>
  <c r="L631" i="17"/>
  <c r="L632" i="17" s="1"/>
  <c r="L1382" i="17"/>
  <c r="L666" i="17"/>
  <c r="L667" i="17" s="1"/>
  <c r="L1383" i="17"/>
  <c r="L211" i="11"/>
  <c r="L212" i="11" s="1"/>
  <c r="L307" i="17"/>
  <c r="L308" i="17" s="1"/>
  <c r="L214" i="11" l="1"/>
  <c r="L213" i="11"/>
  <c r="L671" i="17" s="1"/>
  <c r="L672" i="17" s="1"/>
  <c r="L920" i="16"/>
  <c r="L921" i="16" s="1"/>
  <c r="M139" i="11"/>
  <c r="M180" i="11" s="1"/>
  <c r="M138" i="11"/>
  <c r="M179" i="11" s="1"/>
  <c r="L192" i="17"/>
  <c r="L193" i="17" s="1"/>
  <c r="L273" i="12"/>
  <c r="L387" i="17"/>
  <c r="L388" i="17" s="1"/>
  <c r="L26" i="12"/>
  <c r="L66" i="9"/>
  <c r="L27" i="12"/>
  <c r="L601" i="17"/>
  <c r="L602" i="17" s="1"/>
  <c r="L235" i="11"/>
  <c r="L28" i="12" l="1"/>
  <c r="M70" i="10"/>
  <c r="M72" i="10" s="1"/>
  <c r="M81" i="10" s="1"/>
  <c r="M25" i="11"/>
  <c r="M110" i="9"/>
  <c r="M112" i="9" s="1"/>
  <c r="M903" i="16"/>
  <c r="L1329" i="17"/>
  <c r="L392" i="17"/>
  <c r="L393" i="17" s="1"/>
  <c r="L71" i="9"/>
  <c r="L207" i="17"/>
  <c r="L208" i="17" s="1"/>
  <c r="L30" i="12"/>
  <c r="L31" i="12"/>
  <c r="M36" i="13"/>
  <c r="M37" i="13" s="1"/>
  <c r="M42" i="13" s="1"/>
  <c r="M418" i="15"/>
  <c r="L32" i="12" l="1"/>
  <c r="L407" i="17"/>
  <c r="L408" i="17" s="1"/>
  <c r="L72" i="9"/>
  <c r="L43" i="12"/>
  <c r="L60" i="10"/>
  <c r="L280" i="12"/>
  <c r="L42" i="12"/>
  <c r="L44" i="12" s="1"/>
  <c r="L73" i="9"/>
  <c r="L76" i="9" s="1"/>
  <c r="M1364" i="17"/>
  <c r="M531" i="17"/>
  <c r="M532" i="17" s="1"/>
  <c r="M906" i="16"/>
  <c r="M86" i="10"/>
  <c r="M907" i="16"/>
  <c r="M48" i="13"/>
  <c r="M49" i="13"/>
  <c r="M82" i="13"/>
  <c r="M421" i="15"/>
  <c r="M422" i="15" s="1"/>
  <c r="L412" i="17" l="1"/>
  <c r="L413" i="17" s="1"/>
  <c r="L259" i="12"/>
  <c r="L281" i="12"/>
  <c r="L61" i="10"/>
  <c r="L77" i="9"/>
  <c r="M87" i="10"/>
  <c r="M129" i="10"/>
  <c r="L237" i="17"/>
  <c r="L238" i="17" s="1"/>
  <c r="L1346" i="17"/>
  <c r="L1356" i="17" s="1"/>
  <c r="L282" i="12"/>
  <c r="L287" i="12"/>
  <c r="L62" i="10"/>
  <c r="M39" i="9" l="1"/>
  <c r="M88" i="10"/>
  <c r="L1348" i="17"/>
  <c r="L1347" i="17"/>
  <c r="L64" i="10"/>
  <c r="M60" i="9"/>
  <c r="M36" i="10"/>
  <c r="L47" i="12"/>
  <c r="L46" i="12"/>
  <c r="L48" i="12" s="1"/>
  <c r="L241" i="12"/>
  <c r="L242" i="17"/>
  <c r="L243" i="17" s="1"/>
  <c r="L283" i="12"/>
  <c r="L261" i="12"/>
  <c r="L78" i="9"/>
  <c r="L312" i="17"/>
  <c r="L313" i="17" s="1"/>
  <c r="L260" i="12"/>
  <c r="L257" i="17" l="1"/>
  <c r="L258" i="17" s="1"/>
  <c r="L246" i="12"/>
  <c r="L887" i="16"/>
  <c r="L891" i="16" s="1"/>
  <c r="L266" i="12"/>
  <c r="L247" i="17"/>
  <c r="L248" i="17" s="1"/>
  <c r="L284" i="12"/>
  <c r="L1358" i="17"/>
  <c r="L1357" i="17"/>
  <c r="L317" i="17"/>
  <c r="L318" i="17" s="1"/>
  <c r="L262" i="12"/>
  <c r="M73" i="12"/>
  <c r="M187" i="12" s="1"/>
  <c r="M48" i="10"/>
  <c r="M227" i="12"/>
  <c r="M228" i="12" s="1"/>
  <c r="M89" i="10"/>
  <c r="M90" i="9" s="1"/>
  <c r="M168" i="10"/>
  <c r="M43" i="9"/>
  <c r="M21" i="11" s="1"/>
  <c r="M227" i="11"/>
  <c r="N40" i="9"/>
  <c r="N228" i="11" s="1"/>
  <c r="M41" i="9"/>
  <c r="M44" i="9"/>
  <c r="M188" i="12" l="1"/>
  <c r="M902" i="16"/>
  <c r="M23" i="11"/>
  <c r="M200" i="11"/>
  <c r="N38" i="9"/>
  <c r="M108" i="9"/>
  <c r="L252" i="17"/>
  <c r="L253" i="17" s="1"/>
  <c r="L286" i="12"/>
  <c r="M91" i="10"/>
  <c r="L282" i="17"/>
  <c r="L283" i="17" s="1"/>
  <c r="L263" i="12"/>
  <c r="M581" i="17"/>
  <c r="M582" i="17" s="1"/>
  <c r="M1369" i="17"/>
  <c r="M1375" i="17" s="1"/>
  <c r="M721" i="17"/>
  <c r="M722" i="17" s="1"/>
  <c r="M161" i="10"/>
  <c r="M163" i="10" s="1"/>
  <c r="M37" i="12"/>
  <c r="M91" i="9"/>
  <c r="M93" i="9" s="1"/>
  <c r="M226" i="11"/>
  <c r="M92" i="9"/>
  <c r="M104" i="9"/>
  <c r="M90" i="10"/>
  <c r="M95" i="10" s="1"/>
  <c r="M99" i="9" l="1"/>
  <c r="M751" i="17" s="1"/>
  <c r="M752" i="17" s="1"/>
  <c r="M207" i="11"/>
  <c r="M1376" i="17"/>
  <c r="M1377" i="17"/>
  <c r="M576" i="17"/>
  <c r="M577" i="17" s="1"/>
  <c r="M1370" i="17"/>
  <c r="M1380" i="17" s="1"/>
  <c r="N42" i="9"/>
  <c r="M164" i="10"/>
  <c r="M166" i="10"/>
  <c r="M165" i="10"/>
  <c r="M917" i="16"/>
  <c r="M203" i="11"/>
  <c r="M641" i="17"/>
  <c r="M642" i="17" s="1"/>
  <c r="M238" i="11"/>
  <c r="M521" i="17"/>
  <c r="M522" i="17" s="1"/>
  <c r="M1363" i="17"/>
  <c r="M24" i="11"/>
  <c r="L265" i="12"/>
  <c r="L264" i="12"/>
  <c r="L322" i="17" s="1"/>
  <c r="L323" i="17" s="1"/>
  <c r="L892" i="16"/>
  <c r="L893" i="16" s="1"/>
  <c r="M190" i="12"/>
  <c r="M231" i="12" s="1"/>
  <c r="M189" i="12"/>
  <c r="M651" i="17" l="1"/>
  <c r="M652" i="17" s="1"/>
  <c r="M230" i="12"/>
  <c r="M1313" i="17"/>
  <c r="M36" i="14"/>
  <c r="M37" i="14" s="1"/>
  <c r="M42" i="14" s="1"/>
  <c r="M407" i="15"/>
  <c r="N78" i="10"/>
  <c r="N20" i="11"/>
  <c r="N111" i="9"/>
  <c r="M656" i="17"/>
  <c r="M657" i="17" s="1"/>
  <c r="M26" i="11"/>
  <c r="M185" i="11"/>
  <c r="M526" i="17"/>
  <c r="M527" i="17" s="1"/>
  <c r="M140" i="11"/>
  <c r="M879" i="16" l="1"/>
  <c r="M82" i="14"/>
  <c r="M49" i="14"/>
  <c r="M410" i="15"/>
  <c r="M48" i="14"/>
  <c r="M115" i="14"/>
  <c r="M878" i="16"/>
  <c r="M411" i="15"/>
  <c r="M38" i="10"/>
  <c r="M40" i="10" s="1"/>
  <c r="M49" i="10" s="1"/>
  <c r="M76" i="12"/>
  <c r="M81" i="9"/>
  <c r="M83" i="9" s="1"/>
  <c r="M875" i="16"/>
  <c r="M1365" i="17"/>
  <c r="M536" i="17"/>
  <c r="M537" i="17" s="1"/>
  <c r="M1366" i="17"/>
  <c r="M904" i="16"/>
  <c r="M218" i="11"/>
  <c r="M21" i="12"/>
  <c r="M28" i="11"/>
  <c r="M31" i="11"/>
  <c r="M1368" i="17"/>
  <c r="M1379" i="17" s="1"/>
  <c r="M97" i="9"/>
  <c r="M98" i="9" s="1"/>
  <c r="M746" i="17" s="1"/>
  <c r="M747" i="17" s="1"/>
  <c r="M54" i="10" l="1"/>
  <c r="M1339" i="17"/>
  <c r="M182" i="17"/>
  <c r="M183" i="17" s="1"/>
  <c r="M736" i="17"/>
  <c r="M737" i="17" s="1"/>
  <c r="M95" i="9"/>
  <c r="M25" i="12"/>
  <c r="M541" i="17"/>
  <c r="M542" i="17" s="1"/>
  <c r="M222" i="11"/>
  <c r="M556" i="17" l="1"/>
  <c r="M557" i="17" s="1"/>
  <c r="M29" i="12"/>
  <c r="M741" i="17"/>
  <c r="M742" i="17" s="1"/>
  <c r="M100" i="9"/>
  <c r="M128" i="10"/>
  <c r="M55" i="10"/>
  <c r="M56" i="10" l="1"/>
  <c r="M31" i="9"/>
  <c r="M756" i="17"/>
  <c r="M757" i="17" s="1"/>
  <c r="M41" i="12"/>
  <c r="M229" i="11"/>
  <c r="M101" i="9"/>
  <c r="M92" i="10"/>
  <c r="M102" i="9"/>
  <c r="M105" i="9" s="1"/>
  <c r="M761" i="17" l="1"/>
  <c r="M762" i="17" s="1"/>
  <c r="M208" i="11"/>
  <c r="M230" i="11"/>
  <c r="M93" i="10"/>
  <c r="M94" i="10" s="1"/>
  <c r="M106" i="9"/>
  <c r="M586" i="17"/>
  <c r="M587" i="17" s="1"/>
  <c r="M1371" i="17"/>
  <c r="M1381" i="17" s="1"/>
  <c r="M231" i="11"/>
  <c r="M236" i="11"/>
  <c r="M35" i="9"/>
  <c r="M72" i="12" s="1"/>
  <c r="M278" i="12"/>
  <c r="M159" i="10"/>
  <c r="N32" i="9"/>
  <c r="N279" i="12" s="1"/>
  <c r="M33" i="9"/>
  <c r="M36" i="9" s="1"/>
  <c r="M57" i="10"/>
  <c r="M61" i="9" s="1"/>
  <c r="M874" i="16" l="1"/>
  <c r="M74" i="12"/>
  <c r="M591" i="17"/>
  <c r="M592" i="17" s="1"/>
  <c r="M232" i="11"/>
  <c r="M1373" i="17"/>
  <c r="M1372" i="17"/>
  <c r="N89" i="9"/>
  <c r="M45" i="12"/>
  <c r="M96" i="10"/>
  <c r="M190" i="11"/>
  <c r="N68" i="10"/>
  <c r="M661" i="17"/>
  <c r="M662" i="17" s="1"/>
  <c r="M209" i="11"/>
  <c r="M372" i="17"/>
  <c r="M373" i="17" s="1"/>
  <c r="M38" i="12"/>
  <c r="M277" i="12"/>
  <c r="M152" i="10"/>
  <c r="M154" i="10" s="1"/>
  <c r="M39" i="12"/>
  <c r="M62" i="9"/>
  <c r="M64" i="9" s="1"/>
  <c r="M63" i="9"/>
  <c r="M75" i="9"/>
  <c r="M210" i="11"/>
  <c r="M58" i="10"/>
  <c r="M63" i="10" s="1"/>
  <c r="M59" i="10"/>
  <c r="N30" i="9"/>
  <c r="M251" i="12"/>
  <c r="M289" i="12" s="1"/>
  <c r="M79" i="9"/>
  <c r="M107" i="9"/>
  <c r="M232" i="17"/>
  <c r="M233" i="17" s="1"/>
  <c r="M1344" i="17"/>
  <c r="M1350" i="17" s="1"/>
  <c r="N34" i="9" l="1"/>
  <c r="M70" i="9"/>
  <c r="M402" i="17" s="1"/>
  <c r="M403" i="17" s="1"/>
  <c r="M606" i="17"/>
  <c r="M607" i="17" s="1"/>
  <c r="M915" i="16"/>
  <c r="M919" i="16" s="1"/>
  <c r="M195" i="11"/>
  <c r="M215" i="11"/>
  <c r="M258" i="12"/>
  <c r="M1338" i="17"/>
  <c r="M172" i="17"/>
  <c r="M173" i="17" s="1"/>
  <c r="M75" i="12"/>
  <c r="N22" i="11"/>
  <c r="N136" i="11" s="1"/>
  <c r="N80" i="10"/>
  <c r="N176" i="11"/>
  <c r="N177" i="11" s="1"/>
  <c r="M155" i="10"/>
  <c r="M157" i="10"/>
  <c r="M156" i="10"/>
  <c r="M596" i="17"/>
  <c r="M597" i="17" s="1"/>
  <c r="M233" i="11"/>
  <c r="M227" i="17"/>
  <c r="M228" i="17" s="1"/>
  <c r="M1345" i="17"/>
  <c r="M1355" i="17" s="1"/>
  <c r="M40" i="12"/>
  <c r="M1351" i="17"/>
  <c r="M1352" i="17"/>
  <c r="M292" i="17"/>
  <c r="M293" i="17" s="1"/>
  <c r="M889" i="16"/>
  <c r="M254" i="12"/>
  <c r="M1382" i="17"/>
  <c r="M1383" i="17"/>
  <c r="M666" i="17"/>
  <c r="M667" i="17" s="1"/>
  <c r="M211" i="11"/>
  <c r="M177" i="17" l="1"/>
  <c r="M178" i="17" s="1"/>
  <c r="M236" i="12"/>
  <c r="M77" i="12"/>
  <c r="M191" i="12"/>
  <c r="N46" i="10"/>
  <c r="N71" i="12"/>
  <c r="N82" i="9"/>
  <c r="M307" i="17"/>
  <c r="M308" i="17" s="1"/>
  <c r="M631" i="17"/>
  <c r="M632" i="17" s="1"/>
  <c r="M212" i="11"/>
  <c r="M302" i="17"/>
  <c r="M303" i="17" s="1"/>
  <c r="M601" i="17"/>
  <c r="M602" i="17" s="1"/>
  <c r="M235" i="11"/>
  <c r="N137" i="11"/>
  <c r="N139" i="11" l="1"/>
  <c r="N180" i="11" s="1"/>
  <c r="N138" i="11"/>
  <c r="N179" i="11" s="1"/>
  <c r="M1341" i="17"/>
  <c r="M1340" i="17"/>
  <c r="M876" i="16"/>
  <c r="M187" i="17"/>
  <c r="M188" i="17" s="1"/>
  <c r="M23" i="12"/>
  <c r="M269" i="12"/>
  <c r="M79" i="12"/>
  <c r="M22" i="12"/>
  <c r="M24" i="12" s="1"/>
  <c r="M82" i="12"/>
  <c r="M68" i="9"/>
  <c r="M69" i="9" s="1"/>
  <c r="M397" i="17" s="1"/>
  <c r="M398" i="17" s="1"/>
  <c r="M1343" i="17"/>
  <c r="M1354" i="17" s="1"/>
  <c r="M1328" i="17"/>
  <c r="M214" i="11"/>
  <c r="M213" i="11"/>
  <c r="M671" i="17" s="1"/>
  <c r="M672" i="17" s="1"/>
  <c r="M920" i="16"/>
  <c r="M921" i="16" s="1"/>
  <c r="N70" i="10" l="1"/>
  <c r="N72" i="10" s="1"/>
  <c r="N81" i="10" s="1"/>
  <c r="N25" i="11"/>
  <c r="N110" i="9"/>
  <c r="N112" i="9" s="1"/>
  <c r="N903" i="16"/>
  <c r="M387" i="17"/>
  <c r="M388" i="17" s="1"/>
  <c r="M26" i="12"/>
  <c r="M66" i="9"/>
  <c r="M27" i="12"/>
  <c r="M192" i="17"/>
  <c r="M193" i="17" s="1"/>
  <c r="M273" i="12"/>
  <c r="N36" i="13"/>
  <c r="N37" i="13" s="1"/>
  <c r="N42" i="13" s="1"/>
  <c r="N418" i="15"/>
  <c r="M1329" i="17" l="1"/>
  <c r="M71" i="9"/>
  <c r="M392" i="17"/>
  <c r="M393" i="17" s="1"/>
  <c r="M28" i="12"/>
  <c r="N906" i="16"/>
  <c r="N422" i="15"/>
  <c r="M31" i="12"/>
  <c r="M207" i="17"/>
  <c r="M208" i="17" s="1"/>
  <c r="M30" i="12"/>
  <c r="M32" i="12" s="1"/>
  <c r="N1364" i="17"/>
  <c r="N531" i="17"/>
  <c r="N532" i="17" s="1"/>
  <c r="N907" i="16"/>
  <c r="N48" i="13"/>
  <c r="N49" i="13"/>
  <c r="N82" i="13"/>
  <c r="N421" i="15"/>
  <c r="N86" i="10"/>
  <c r="N87" i="10" l="1"/>
  <c r="N129" i="10"/>
  <c r="M407" i="17"/>
  <c r="M408" i="17" s="1"/>
  <c r="M280" i="12"/>
  <c r="M43" i="12"/>
  <c r="M60" i="10"/>
  <c r="M42" i="12"/>
  <c r="M44" i="12" s="1"/>
  <c r="M72" i="9"/>
  <c r="M73" i="9"/>
  <c r="M76" i="9" s="1"/>
  <c r="M412" i="17" l="1"/>
  <c r="M413" i="17" s="1"/>
  <c r="M259" i="12"/>
  <c r="N39" i="9"/>
  <c r="N88" i="10"/>
  <c r="M281" i="12"/>
  <c r="M287" i="12" s="1"/>
  <c r="M61" i="10"/>
  <c r="M62" i="10" s="1"/>
  <c r="M77" i="9"/>
  <c r="M237" i="17"/>
  <c r="M238" i="17" s="1"/>
  <c r="M1346" i="17"/>
  <c r="M1356" i="17" s="1"/>
  <c r="M282" i="12"/>
  <c r="M1348" i="17" l="1"/>
  <c r="M1347" i="17"/>
  <c r="N36" i="10"/>
  <c r="N60" i="9"/>
  <c r="M46" i="12"/>
  <c r="M64" i="10"/>
  <c r="M47" i="12"/>
  <c r="M241" i="12"/>
  <c r="M261" i="12"/>
  <c r="N168" i="10"/>
  <c r="N43" i="9"/>
  <c r="N21" i="11" s="1"/>
  <c r="N227" i="11"/>
  <c r="O40" i="9"/>
  <c r="O228" i="11" s="1"/>
  <c r="N41" i="9"/>
  <c r="N44" i="9" s="1"/>
  <c r="M78" i="9"/>
  <c r="M312" i="17"/>
  <c r="M313" i="17" s="1"/>
  <c r="M260" i="12"/>
  <c r="M242" i="17"/>
  <c r="M243" i="17" s="1"/>
  <c r="M283" i="12"/>
  <c r="N89" i="10"/>
  <c r="N90" i="9" s="1"/>
  <c r="N902" i="16" l="1"/>
  <c r="N23" i="11"/>
  <c r="M247" i="17"/>
  <c r="M248" i="17" s="1"/>
  <c r="M284" i="12"/>
  <c r="N581" i="17"/>
  <c r="N582" i="17" s="1"/>
  <c r="N1369" i="17"/>
  <c r="N1375" i="17" s="1"/>
  <c r="N721" i="17"/>
  <c r="N722" i="17" s="1"/>
  <c r="N161" i="10"/>
  <c r="N163" i="10" s="1"/>
  <c r="N37" i="12"/>
  <c r="N91" i="9"/>
  <c r="N93" i="9" s="1"/>
  <c r="N226" i="11"/>
  <c r="N92" i="9"/>
  <c r="N104" i="9"/>
  <c r="N90" i="10"/>
  <c r="N95" i="10" s="1"/>
  <c r="N91" i="10"/>
  <c r="M257" i="17"/>
  <c r="M258" i="17" s="1"/>
  <c r="M887" i="16"/>
  <c r="M891" i="16" s="1"/>
  <c r="M246" i="12"/>
  <c r="M266" i="12"/>
  <c r="M1357" i="17"/>
  <c r="M1358" i="17"/>
  <c r="M317" i="17"/>
  <c r="M318" i="17" s="1"/>
  <c r="M262" i="12"/>
  <c r="M48" i="12"/>
  <c r="N73" i="12"/>
  <c r="N187" i="12" s="1"/>
  <c r="N48" i="10"/>
  <c r="N227" i="12"/>
  <c r="N228" i="12" s="1"/>
  <c r="N200" i="11"/>
  <c r="N238" i="11" s="1"/>
  <c r="O38" i="9"/>
  <c r="N108" i="9"/>
  <c r="N188" i="12" l="1"/>
  <c r="N576" i="17"/>
  <c r="N577" i="17" s="1"/>
  <c r="N1370" i="17"/>
  <c r="N1380" i="17" s="1"/>
  <c r="N1376" i="17"/>
  <c r="N1377" i="17"/>
  <c r="O42" i="9"/>
  <c r="M252" i="17"/>
  <c r="M253" i="17" s="1"/>
  <c r="M286" i="12"/>
  <c r="N99" i="9"/>
  <c r="N751" i="17" s="1"/>
  <c r="N752" i="17" s="1"/>
  <c r="N164" i="10"/>
  <c r="N166" i="10"/>
  <c r="N165" i="10"/>
  <c r="M263" i="12"/>
  <c r="M282" i="17"/>
  <c r="M283" i="17" s="1"/>
  <c r="N203" i="11"/>
  <c r="N917" i="16"/>
  <c r="N641" i="17"/>
  <c r="N642" i="17" s="1"/>
  <c r="N1363" i="17"/>
  <c r="N521" i="17"/>
  <c r="N522" i="17" s="1"/>
  <c r="N24" i="11"/>
  <c r="N207" i="11"/>
  <c r="M265" i="12" l="1"/>
  <c r="M264" i="12"/>
  <c r="M322" i="17" s="1"/>
  <c r="M323" i="17" s="1"/>
  <c r="M892" i="16"/>
  <c r="M893" i="16" s="1"/>
  <c r="N651" i="17"/>
  <c r="N652" i="17" s="1"/>
  <c r="O78" i="10"/>
  <c r="O20" i="11"/>
  <c r="O111" i="9"/>
  <c r="N656" i="17"/>
  <c r="N657" i="17" s="1"/>
  <c r="N526" i="17"/>
  <c r="N527" i="17" s="1"/>
  <c r="N26" i="11"/>
  <c r="N185" i="11"/>
  <c r="N140" i="11"/>
  <c r="N189" i="12"/>
  <c r="N190" i="12"/>
  <c r="N231" i="12" s="1"/>
  <c r="N36" i="14" l="1"/>
  <c r="N37" i="14" s="1"/>
  <c r="N42" i="14" s="1"/>
  <c r="N407" i="15"/>
  <c r="N230" i="12"/>
  <c r="N1313" i="17"/>
  <c r="N1365" i="17"/>
  <c r="N1366" i="17"/>
  <c r="N904" i="16"/>
  <c r="N21" i="12"/>
  <c r="N536" i="17"/>
  <c r="N537" i="17" s="1"/>
  <c r="N218" i="11"/>
  <c r="N28" i="11"/>
  <c r="N31" i="11"/>
  <c r="N1368" i="17"/>
  <c r="N1379" i="17" s="1"/>
  <c r="N97" i="9"/>
  <c r="N98" i="9" s="1"/>
  <c r="N746" i="17" s="1"/>
  <c r="N747" i="17" s="1"/>
  <c r="N736" i="17" l="1"/>
  <c r="N737" i="17" s="1"/>
  <c r="N25" i="12"/>
  <c r="N95" i="9"/>
  <c r="N541" i="17"/>
  <c r="N542" i="17" s="1"/>
  <c r="N222" i="11"/>
  <c r="N879" i="16"/>
  <c r="N82" i="14"/>
  <c r="N49" i="14"/>
  <c r="N48" i="14"/>
  <c r="N410" i="15"/>
  <c r="N411" i="15" s="1"/>
  <c r="N115" i="14"/>
  <c r="N76" i="12"/>
  <c r="N38" i="10"/>
  <c r="N40" i="10" s="1"/>
  <c r="N49" i="10" s="1"/>
  <c r="N81" i="9"/>
  <c r="N83" i="9" s="1"/>
  <c r="N875" i="16"/>
  <c r="N878" i="16"/>
  <c r="N1339" i="17" l="1"/>
  <c r="N182" i="17"/>
  <c r="N183" i="17" s="1"/>
  <c r="N556" i="17"/>
  <c r="N557" i="17" s="1"/>
  <c r="N29" i="12"/>
  <c r="N741" i="17"/>
  <c r="N742" i="17" s="1"/>
  <c r="N100" i="9"/>
  <c r="N54" i="10"/>
  <c r="N128" i="10" l="1"/>
  <c r="N55" i="10"/>
  <c r="N756" i="17"/>
  <c r="N757" i="17" s="1"/>
  <c r="N101" i="9"/>
  <c r="N41" i="12"/>
  <c r="N229" i="11"/>
  <c r="N92" i="10"/>
  <c r="N102" i="9"/>
  <c r="N105" i="9" s="1"/>
  <c r="N761" i="17" l="1"/>
  <c r="N762" i="17" s="1"/>
  <c r="N208" i="11"/>
  <c r="N93" i="10"/>
  <c r="N230" i="11"/>
  <c r="N106" i="9"/>
  <c r="N94" i="10"/>
  <c r="N586" i="17"/>
  <c r="N587" i="17" s="1"/>
  <c r="N1371" i="17"/>
  <c r="N1381" i="17" s="1"/>
  <c r="N231" i="11"/>
  <c r="N236" i="11"/>
  <c r="N56" i="10"/>
  <c r="N31" i="9"/>
  <c r="N591" i="17" l="1"/>
  <c r="N592" i="17" s="1"/>
  <c r="N232" i="11"/>
  <c r="N57" i="10"/>
  <c r="N61" i="9" s="1"/>
  <c r="N1372" i="17"/>
  <c r="N1373" i="17"/>
  <c r="O68" i="10"/>
  <c r="N45" i="12"/>
  <c r="N96" i="10"/>
  <c r="N190" i="11"/>
  <c r="O89" i="9"/>
  <c r="N210" i="11"/>
  <c r="N107" i="9"/>
  <c r="N661" i="17"/>
  <c r="N662" i="17" s="1"/>
  <c r="N209" i="11"/>
  <c r="N159" i="10"/>
  <c r="N35" i="9"/>
  <c r="N72" i="12" s="1"/>
  <c r="N278" i="12"/>
  <c r="O32" i="9"/>
  <c r="O279" i="12" s="1"/>
  <c r="N33" i="9"/>
  <c r="N36" i="9"/>
  <c r="N874" i="16" l="1"/>
  <c r="N74" i="12"/>
  <c r="N232" i="17"/>
  <c r="N233" i="17" s="1"/>
  <c r="N1344" i="17"/>
  <c r="N1350" i="17" s="1"/>
  <c r="O22" i="11"/>
  <c r="O136" i="11" s="1"/>
  <c r="O80" i="10"/>
  <c r="O176" i="11"/>
  <c r="O177" i="11" s="1"/>
  <c r="N606" i="17"/>
  <c r="N607" i="17" s="1"/>
  <c r="N915" i="16"/>
  <c r="N919" i="16" s="1"/>
  <c r="N195" i="11"/>
  <c r="N215" i="11"/>
  <c r="O30" i="9"/>
  <c r="N251" i="12"/>
  <c r="N289" i="12" s="1"/>
  <c r="N79" i="9"/>
  <c r="N1383" i="17"/>
  <c r="N1382" i="17"/>
  <c r="N666" i="17"/>
  <c r="N667" i="17" s="1"/>
  <c r="N211" i="11"/>
  <c r="N372" i="17"/>
  <c r="N373" i="17" s="1"/>
  <c r="N39" i="12"/>
  <c r="N152" i="10"/>
  <c r="N154" i="10" s="1"/>
  <c r="N277" i="12"/>
  <c r="N62" i="9"/>
  <c r="N64" i="9" s="1"/>
  <c r="N38" i="12"/>
  <c r="N63" i="9"/>
  <c r="N75" i="9"/>
  <c r="N58" i="10"/>
  <c r="N63" i="10" s="1"/>
  <c r="N59" i="10"/>
  <c r="N596" i="17"/>
  <c r="N597" i="17" s="1"/>
  <c r="N233" i="11"/>
  <c r="N227" i="17" l="1"/>
  <c r="N228" i="17" s="1"/>
  <c r="N1345" i="17"/>
  <c r="N1355" i="17" s="1"/>
  <c r="N155" i="10"/>
  <c r="N157" i="10"/>
  <c r="N156" i="10"/>
  <c r="O34" i="9"/>
  <c r="N631" i="17"/>
  <c r="N632" i="17" s="1"/>
  <c r="N212" i="11"/>
  <c r="N1338" i="17"/>
  <c r="N172" i="17"/>
  <c r="N173" i="17" s="1"/>
  <c r="N75" i="12"/>
  <c r="N601" i="17"/>
  <c r="N602" i="17" s="1"/>
  <c r="N235" i="11"/>
  <c r="O137" i="11"/>
  <c r="N70" i="9"/>
  <c r="N402" i="17" s="1"/>
  <c r="N403" i="17" s="1"/>
  <c r="N258" i="12"/>
  <c r="N1351" i="17"/>
  <c r="N1352" i="17"/>
  <c r="N40" i="12"/>
  <c r="N292" i="17"/>
  <c r="N293" i="17" s="1"/>
  <c r="N889" i="16"/>
  <c r="N254" i="12"/>
  <c r="N214" i="11" l="1"/>
  <c r="N213" i="11"/>
  <c r="N671" i="17" s="1"/>
  <c r="N672" i="17" s="1"/>
  <c r="N920" i="16"/>
  <c r="N921" i="16" s="1"/>
  <c r="N307" i="17"/>
  <c r="N308" i="17" s="1"/>
  <c r="O46" i="10"/>
  <c r="O71" i="12"/>
  <c r="O82" i="9"/>
  <c r="O139" i="11"/>
  <c r="O180" i="11" s="1"/>
  <c r="O138" i="11"/>
  <c r="O179" i="11" s="1"/>
  <c r="N302" i="17"/>
  <c r="N303" i="17" s="1"/>
  <c r="N177" i="17"/>
  <c r="N178" i="17" s="1"/>
  <c r="N77" i="12"/>
  <c r="N236" i="12"/>
  <c r="N191" i="12"/>
  <c r="O70" i="10" l="1"/>
  <c r="O72" i="10" s="1"/>
  <c r="O81" i="10" s="1"/>
  <c r="O25" i="11"/>
  <c r="O110" i="9"/>
  <c r="O112" i="9" s="1"/>
  <c r="O903" i="16"/>
  <c r="N1340" i="17"/>
  <c r="N1341" i="17"/>
  <c r="N187" i="17"/>
  <c r="N188" i="17" s="1"/>
  <c r="N876" i="16"/>
  <c r="N269" i="12"/>
  <c r="N23" i="12"/>
  <c r="N79" i="12"/>
  <c r="N22" i="12"/>
  <c r="N24" i="12" s="1"/>
  <c r="N82" i="12"/>
  <c r="N1343" i="17"/>
  <c r="N1354" i="17" s="1"/>
  <c r="N68" i="9"/>
  <c r="N69" i="9" s="1"/>
  <c r="N397" i="17" s="1"/>
  <c r="N398" i="17" s="1"/>
  <c r="N1328" i="17"/>
  <c r="O36" i="13"/>
  <c r="O37" i="13" s="1"/>
  <c r="O42" i="13" s="1"/>
  <c r="O418" i="15"/>
  <c r="N192" i="17" l="1"/>
  <c r="N193" i="17" s="1"/>
  <c r="N273" i="12"/>
  <c r="O907" i="16"/>
  <c r="O49" i="13"/>
  <c r="O421" i="15"/>
  <c r="O422" i="15" s="1"/>
  <c r="O48" i="13"/>
  <c r="O82" i="13"/>
  <c r="O1364" i="17"/>
  <c r="O531" i="17"/>
  <c r="O532" i="17" s="1"/>
  <c r="N387" i="17"/>
  <c r="N388" i="17" s="1"/>
  <c r="N27" i="12"/>
  <c r="N26" i="12"/>
  <c r="N28" i="12" s="1"/>
  <c r="N66" i="9"/>
  <c r="O906" i="16"/>
  <c r="O86" i="10"/>
  <c r="N1329" i="17" l="1"/>
  <c r="N392" i="17"/>
  <c r="N393" i="17" s="1"/>
  <c r="N71" i="9"/>
  <c r="O87" i="10"/>
  <c r="O129" i="10"/>
  <c r="N207" i="17"/>
  <c r="N208" i="17" s="1"/>
  <c r="N31" i="12"/>
  <c r="N30" i="12"/>
  <c r="N32" i="12" s="1"/>
  <c r="O39" i="9" l="1"/>
  <c r="O88" i="10"/>
  <c r="N407" i="17"/>
  <c r="N408" i="17" s="1"/>
  <c r="N72" i="9"/>
  <c r="N280" i="12"/>
  <c r="N43" i="12"/>
  <c r="N60" i="10"/>
  <c r="N42" i="12"/>
  <c r="N73" i="9"/>
  <c r="N76" i="9" s="1"/>
  <c r="N259" i="12" l="1"/>
  <c r="N412" i="17"/>
  <c r="N413" i="17" s="1"/>
  <c r="N281" i="12"/>
  <c r="N61" i="10"/>
  <c r="N77" i="9"/>
  <c r="N78" i="9" s="1"/>
  <c r="N44" i="12"/>
  <c r="N62" i="10"/>
  <c r="N237" i="17"/>
  <c r="N238" i="17" s="1"/>
  <c r="N1346" i="17"/>
  <c r="N1356" i="17" s="1"/>
  <c r="N282" i="12"/>
  <c r="N287" i="12"/>
  <c r="O89" i="10"/>
  <c r="O90" i="9" s="1"/>
  <c r="O168" i="10"/>
  <c r="O43" i="9"/>
  <c r="O21" i="11" s="1"/>
  <c r="O227" i="11"/>
  <c r="P40" i="9"/>
  <c r="P228" i="11" s="1"/>
  <c r="O41" i="9"/>
  <c r="O44" i="9"/>
  <c r="O91" i="10" l="1"/>
  <c r="O581" i="17"/>
  <c r="O582" i="17" s="1"/>
  <c r="O1369" i="17"/>
  <c r="O1375" i="17" s="1"/>
  <c r="O721" i="17"/>
  <c r="O722" i="17" s="1"/>
  <c r="O161" i="10"/>
  <c r="O163" i="10" s="1"/>
  <c r="O37" i="12"/>
  <c r="O91" i="9"/>
  <c r="O93" i="9" s="1"/>
  <c r="O226" i="11"/>
  <c r="O92" i="9"/>
  <c r="O104" i="9"/>
  <c r="N312" i="17"/>
  <c r="N313" i="17" s="1"/>
  <c r="N260" i="12"/>
  <c r="O90" i="10"/>
  <c r="O95" i="10" s="1"/>
  <c r="N242" i="17"/>
  <c r="N243" i="17" s="1"/>
  <c r="N283" i="12"/>
  <c r="N1347" i="17"/>
  <c r="N64" i="10"/>
  <c r="N46" i="12"/>
  <c r="O36" i="10"/>
  <c r="O60" i="9"/>
  <c r="N47" i="12"/>
  <c r="N1348" i="17"/>
  <c r="N241" i="12"/>
  <c r="P38" i="9"/>
  <c r="O200" i="11"/>
  <c r="O238" i="11" s="1"/>
  <c r="O108" i="9"/>
  <c r="N261" i="12"/>
  <c r="O902" i="16"/>
  <c r="O23" i="11"/>
  <c r="O99" i="9"/>
  <c r="O751" i="17" s="1"/>
  <c r="O752" i="17" s="1"/>
  <c r="O73" i="12" l="1"/>
  <c r="O187" i="12" s="1"/>
  <c r="O48" i="10"/>
  <c r="O227" i="12"/>
  <c r="O228" i="12" s="1"/>
  <c r="O576" i="17"/>
  <c r="O577" i="17" s="1"/>
  <c r="O1370" i="17"/>
  <c r="O1380" i="17" s="1"/>
  <c r="N48" i="12"/>
  <c r="N247" i="17"/>
  <c r="N248" i="17" s="1"/>
  <c r="N284" i="12"/>
  <c r="O1376" i="17"/>
  <c r="O1377" i="17"/>
  <c r="N1357" i="17"/>
  <c r="N1358" i="17"/>
  <c r="N317" i="17"/>
  <c r="N318" i="17" s="1"/>
  <c r="N262" i="12"/>
  <c r="O641" i="17"/>
  <c r="O642" i="17" s="1"/>
  <c r="O917" i="16"/>
  <c r="O203" i="11"/>
  <c r="P42" i="9"/>
  <c r="N257" i="17"/>
  <c r="N258" i="17" s="1"/>
  <c r="N246" i="12"/>
  <c r="N887" i="16"/>
  <c r="N891" i="16" s="1"/>
  <c r="N266" i="12"/>
  <c r="O207" i="11"/>
  <c r="O164" i="10"/>
  <c r="O166" i="10"/>
  <c r="O165" i="10"/>
  <c r="O1363" i="17"/>
  <c r="O521" i="17"/>
  <c r="O522" i="17" s="1"/>
  <c r="O24" i="11"/>
  <c r="O656" i="17" l="1"/>
  <c r="O657" i="17" s="1"/>
  <c r="O651" i="17"/>
  <c r="O652" i="17" s="1"/>
  <c r="O188" i="12"/>
  <c r="O526" i="17"/>
  <c r="O527" i="17" s="1"/>
  <c r="O26" i="11"/>
  <c r="O185" i="11"/>
  <c r="O140" i="11"/>
  <c r="N252" i="17"/>
  <c r="N253" i="17" s="1"/>
  <c r="N286" i="12"/>
  <c r="P78" i="10"/>
  <c r="P20" i="11"/>
  <c r="P111" i="9"/>
  <c r="N282" i="17"/>
  <c r="N283" i="17" s="1"/>
  <c r="N263" i="12"/>
  <c r="N265" i="12" l="1"/>
  <c r="N264" i="12"/>
  <c r="N322" i="17" s="1"/>
  <c r="N323" i="17" s="1"/>
  <c r="N892" i="16"/>
  <c r="N893" i="16" s="1"/>
  <c r="O1365" i="17"/>
  <c r="O1366" i="17"/>
  <c r="O536" i="17"/>
  <c r="O537" i="17" s="1"/>
  <c r="O904" i="16"/>
  <c r="O21" i="12"/>
  <c r="O28" i="11"/>
  <c r="O218" i="11"/>
  <c r="O31" i="11"/>
  <c r="O97" i="9"/>
  <c r="O98" i="9" s="1"/>
  <c r="O746" i="17" s="1"/>
  <c r="O747" i="17" s="1"/>
  <c r="O1368" i="17"/>
  <c r="O1379" i="17" s="1"/>
  <c r="O190" i="12"/>
  <c r="O231" i="12" s="1"/>
  <c r="O189" i="12"/>
  <c r="O36" i="14" l="1"/>
  <c r="O37" i="14" s="1"/>
  <c r="O42" i="14" s="1"/>
  <c r="O407" i="15"/>
  <c r="O541" i="17"/>
  <c r="O542" i="17" s="1"/>
  <c r="O222" i="11"/>
  <c r="O736" i="17"/>
  <c r="O737" i="17" s="1"/>
  <c r="O25" i="12"/>
  <c r="O95" i="9"/>
  <c r="O230" i="12"/>
  <c r="O1313" i="17"/>
  <c r="O38" i="10" l="1"/>
  <c r="O40" i="10" s="1"/>
  <c r="O49" i="10" s="1"/>
  <c r="O76" i="12"/>
  <c r="O81" i="9"/>
  <c r="O83" i="9" s="1"/>
  <c r="O875" i="16"/>
  <c r="O741" i="17"/>
  <c r="O742" i="17" s="1"/>
  <c r="O100" i="9"/>
  <c r="O556" i="17"/>
  <c r="O557" i="17" s="1"/>
  <c r="O29" i="12"/>
  <c r="O878" i="16"/>
  <c r="O411" i="15"/>
  <c r="O879" i="16"/>
  <c r="O49" i="14"/>
  <c r="O82" i="14"/>
  <c r="O48" i="14"/>
  <c r="O410" i="15"/>
  <c r="O115" i="14"/>
  <c r="O92" i="10" l="1"/>
  <c r="O41" i="12"/>
  <c r="O229" i="11"/>
  <c r="O756" i="17"/>
  <c r="O757" i="17" s="1"/>
  <c r="O101" i="9"/>
  <c r="O102" i="9"/>
  <c r="O105" i="9" s="1"/>
  <c r="O1339" i="17"/>
  <c r="O182" i="17"/>
  <c r="O183" i="17" s="1"/>
  <c r="O54" i="10"/>
  <c r="O128" i="10" l="1"/>
  <c r="O55" i="10"/>
  <c r="O761" i="17"/>
  <c r="O762" i="17" s="1"/>
  <c r="O208" i="11"/>
  <c r="O93" i="10"/>
  <c r="O94" i="10" s="1"/>
  <c r="O230" i="11"/>
  <c r="O231" i="11" s="1"/>
  <c r="O106" i="9"/>
  <c r="O586" i="17"/>
  <c r="O587" i="17" s="1"/>
  <c r="O1371" i="17"/>
  <c r="O1381" i="17" s="1"/>
  <c r="O591" i="17" l="1"/>
  <c r="O592" i="17" s="1"/>
  <c r="O232" i="11"/>
  <c r="O1372" i="17"/>
  <c r="O1373" i="17"/>
  <c r="P68" i="10"/>
  <c r="O96" i="10"/>
  <c r="O45" i="12"/>
  <c r="P89" i="9"/>
  <c r="O190" i="11"/>
  <c r="O210" i="11"/>
  <c r="O107" i="9"/>
  <c r="O661" i="17"/>
  <c r="O662" i="17" s="1"/>
  <c r="O209" i="11"/>
  <c r="O56" i="10"/>
  <c r="O31" i="9"/>
  <c r="O236" i="11"/>
  <c r="O57" i="10" l="1"/>
  <c r="O61" i="9" s="1"/>
  <c r="O915" i="16"/>
  <c r="O919" i="16" s="1"/>
  <c r="O195" i="11"/>
  <c r="O606" i="17"/>
  <c r="O607" i="17" s="1"/>
  <c r="O215" i="11"/>
  <c r="P22" i="11"/>
  <c r="P136" i="11" s="1"/>
  <c r="P80" i="10"/>
  <c r="P176" i="11"/>
  <c r="P177" i="11" s="1"/>
  <c r="O278" i="12"/>
  <c r="O35" i="9"/>
  <c r="O72" i="12" s="1"/>
  <c r="O159" i="10"/>
  <c r="P32" i="9"/>
  <c r="P279" i="12" s="1"/>
  <c r="O33" i="9"/>
  <c r="O36" i="9" s="1"/>
  <c r="O596" i="17"/>
  <c r="O597" i="17" s="1"/>
  <c r="O233" i="11"/>
  <c r="O1382" i="17"/>
  <c r="O1383" i="17"/>
  <c r="O666" i="17"/>
  <c r="O667" i="17" s="1"/>
  <c r="O211" i="11"/>
  <c r="O58" i="10" l="1"/>
  <c r="O63" i="10" s="1"/>
  <c r="O232" i="17"/>
  <c r="O233" i="17" s="1"/>
  <c r="O1344" i="17"/>
  <c r="O1350" i="17" s="1"/>
  <c r="P137" i="11"/>
  <c r="O601" i="17"/>
  <c r="O602" i="17" s="1"/>
  <c r="O235" i="11"/>
  <c r="O631" i="17"/>
  <c r="O632" i="17" s="1"/>
  <c r="O212" i="11"/>
  <c r="P30" i="9"/>
  <c r="O251" i="12"/>
  <c r="O79" i="9"/>
  <c r="O372" i="17"/>
  <c r="O373" i="17" s="1"/>
  <c r="O62" i="9"/>
  <c r="O64" i="9" s="1"/>
  <c r="O152" i="10"/>
  <c r="O154" i="10" s="1"/>
  <c r="O38" i="12"/>
  <c r="O39" i="12"/>
  <c r="O277" i="12"/>
  <c r="O75" i="9"/>
  <c r="O63" i="9"/>
  <c r="O59" i="10"/>
  <c r="O874" i="16"/>
  <c r="O74" i="12"/>
  <c r="P34" i="9" l="1"/>
  <c r="O1338" i="17"/>
  <c r="O172" i="17"/>
  <c r="O173" i="17" s="1"/>
  <c r="O75" i="12"/>
  <c r="O70" i="9"/>
  <c r="O402" i="17" s="1"/>
  <c r="O403" i="17" s="1"/>
  <c r="O214" i="11"/>
  <c r="O213" i="11"/>
  <c r="O671" i="17" s="1"/>
  <c r="O672" i="17" s="1"/>
  <c r="O920" i="16"/>
  <c r="O921" i="16" s="1"/>
  <c r="O1352" i="17"/>
  <c r="O1351" i="17"/>
  <c r="O889" i="16"/>
  <c r="O292" i="17"/>
  <c r="O293" i="17" s="1"/>
  <c r="O254" i="12"/>
  <c r="O258" i="12"/>
  <c r="O227" i="17"/>
  <c r="O228" i="17" s="1"/>
  <c r="O1345" i="17"/>
  <c r="O1355" i="17" s="1"/>
  <c r="O40" i="12"/>
  <c r="P139" i="11"/>
  <c r="P180" i="11" s="1"/>
  <c r="P138" i="11"/>
  <c r="P179" i="11" s="1"/>
  <c r="O155" i="10"/>
  <c r="O157" i="10"/>
  <c r="O156" i="10"/>
  <c r="O289" i="12"/>
  <c r="O307" i="17" l="1"/>
  <c r="O308" i="17" s="1"/>
  <c r="O177" i="17"/>
  <c r="O178" i="17" s="1"/>
  <c r="O236" i="12"/>
  <c r="O77" i="12"/>
  <c r="O191" i="12"/>
  <c r="O302" i="17"/>
  <c r="O303" i="17" s="1"/>
  <c r="P70" i="10"/>
  <c r="P72" i="10" s="1"/>
  <c r="P81" i="10" s="1"/>
  <c r="P25" i="11"/>
  <c r="P110" i="9"/>
  <c r="P112" i="9" s="1"/>
  <c r="P903" i="16"/>
  <c r="P36" i="13"/>
  <c r="P37" i="13" s="1"/>
  <c r="P42" i="13" s="1"/>
  <c r="P418" i="15"/>
  <c r="P46" i="10"/>
  <c r="P71" i="12"/>
  <c r="P82" i="9"/>
  <c r="P86" i="10" l="1"/>
  <c r="P1364" i="17"/>
  <c r="P531" i="17"/>
  <c r="P532" i="17" s="1"/>
  <c r="O1341" i="17"/>
  <c r="O1340" i="17"/>
  <c r="O876" i="16"/>
  <c r="O187" i="17"/>
  <c r="O188" i="17" s="1"/>
  <c r="O269" i="12"/>
  <c r="O22" i="12"/>
  <c r="O79" i="12"/>
  <c r="O23" i="12"/>
  <c r="O82" i="12"/>
  <c r="O68" i="9"/>
  <c r="O69" i="9" s="1"/>
  <c r="O397" i="17" s="1"/>
  <c r="O398" i="17" s="1"/>
  <c r="O1343" i="17"/>
  <c r="O1354" i="17" s="1"/>
  <c r="O1328" i="17"/>
  <c r="P907" i="16"/>
  <c r="P49" i="13"/>
  <c r="P421" i="15"/>
  <c r="P82" i="13"/>
  <c r="P48" i="13"/>
  <c r="P906" i="16"/>
  <c r="P422" i="15"/>
  <c r="O387" i="17" l="1"/>
  <c r="O388" i="17" s="1"/>
  <c r="O26" i="12"/>
  <c r="O27" i="12"/>
  <c r="O66" i="9"/>
  <c r="O273" i="12"/>
  <c r="O192" i="17"/>
  <c r="O193" i="17" s="1"/>
  <c r="P129" i="10"/>
  <c r="P87" i="10"/>
  <c r="O24" i="12"/>
  <c r="O207" i="17" l="1"/>
  <c r="O208" i="17" s="1"/>
  <c r="O31" i="12"/>
  <c r="O30" i="12"/>
  <c r="P88" i="10"/>
  <c r="P39" i="9"/>
  <c r="O1329" i="17"/>
  <c r="O392" i="17"/>
  <c r="O393" i="17" s="1"/>
  <c r="O71" i="9"/>
  <c r="O28" i="12"/>
  <c r="O407" i="17" l="1"/>
  <c r="O408" i="17" s="1"/>
  <c r="O280" i="12"/>
  <c r="O42" i="12"/>
  <c r="O43" i="12"/>
  <c r="O60" i="10"/>
  <c r="O72" i="9"/>
  <c r="O73" i="9"/>
  <c r="O76" i="9" s="1"/>
  <c r="P43" i="9"/>
  <c r="P21" i="11" s="1"/>
  <c r="P168" i="10"/>
  <c r="P227" i="11"/>
  <c r="Q40" i="9"/>
  <c r="Q228" i="11" s="1"/>
  <c r="P41" i="9"/>
  <c r="P89" i="10"/>
  <c r="P90" i="9" s="1"/>
  <c r="O32" i="12"/>
  <c r="O412" i="17" l="1"/>
  <c r="O413" i="17" s="1"/>
  <c r="O259" i="12"/>
  <c r="P90" i="10"/>
  <c r="P200" i="11"/>
  <c r="Q38" i="9"/>
  <c r="P108" i="9"/>
  <c r="P44" i="9"/>
  <c r="P581" i="17"/>
  <c r="P582" i="17" s="1"/>
  <c r="P1369" i="17"/>
  <c r="P1375" i="17" s="1"/>
  <c r="P238" i="11"/>
  <c r="P902" i="16"/>
  <c r="P23" i="11"/>
  <c r="O281" i="12"/>
  <c r="O237" i="17" s="1"/>
  <c r="O238" i="17" s="1"/>
  <c r="O61" i="10"/>
  <c r="O62" i="10" s="1"/>
  <c r="O77" i="9"/>
  <c r="P721" i="17"/>
  <c r="P722" i="17" s="1"/>
  <c r="P161" i="10"/>
  <c r="P163" i="10" s="1"/>
  <c r="P37" i="12"/>
  <c r="P91" i="9"/>
  <c r="P93" i="9" s="1"/>
  <c r="P226" i="11"/>
  <c r="P92" i="9"/>
  <c r="P104" i="9"/>
  <c r="P95" i="10"/>
  <c r="O44" i="12"/>
  <c r="P91" i="10"/>
  <c r="O287" i="12" l="1"/>
  <c r="O282" i="12"/>
  <c r="O1346" i="17"/>
  <c r="O1356" i="17" s="1"/>
  <c r="Q42" i="9"/>
  <c r="O1348" i="17"/>
  <c r="O1347" i="17"/>
  <c r="O46" i="12"/>
  <c r="P36" i="10"/>
  <c r="O64" i="10"/>
  <c r="O241" i="12"/>
  <c r="P60" i="9"/>
  <c r="O47" i="12"/>
  <c r="P164" i="10"/>
  <c r="P166" i="10"/>
  <c r="P165" i="10"/>
  <c r="P917" i="16"/>
  <c r="P203" i="11"/>
  <c r="P641" i="17"/>
  <c r="P642" i="17" s="1"/>
  <c r="P207" i="11"/>
  <c r="P576" i="17"/>
  <c r="P577" i="17" s="1"/>
  <c r="P1370" i="17"/>
  <c r="P1380" i="17" s="1"/>
  <c r="P1376" i="17"/>
  <c r="P1377" i="17"/>
  <c r="P99" i="9"/>
  <c r="P751" i="17" s="1"/>
  <c r="P752" i="17" s="1"/>
  <c r="O261" i="12"/>
  <c r="O78" i="9"/>
  <c r="O242" i="17"/>
  <c r="O243" i="17" s="1"/>
  <c r="O283" i="12"/>
  <c r="O312" i="17"/>
  <c r="O313" i="17" s="1"/>
  <c r="O260" i="12"/>
  <c r="P1363" i="17"/>
  <c r="P521" i="17"/>
  <c r="P522" i="17" s="1"/>
  <c r="P24" i="11"/>
  <c r="O1357" i="17" l="1"/>
  <c r="O1358" i="17"/>
  <c r="O317" i="17"/>
  <c r="O318" i="17" s="1"/>
  <c r="O262" i="12"/>
  <c r="O247" i="17"/>
  <c r="O248" i="17" s="1"/>
  <c r="O284" i="12"/>
  <c r="P656" i="17"/>
  <c r="P657" i="17" s="1"/>
  <c r="P73" i="12"/>
  <c r="P187" i="12" s="1"/>
  <c r="P48" i="10"/>
  <c r="P227" i="12"/>
  <c r="P228" i="12" s="1"/>
  <c r="O257" i="17"/>
  <c r="O258" i="17" s="1"/>
  <c r="O887" i="16"/>
  <c r="O891" i="16" s="1"/>
  <c r="O246" i="12"/>
  <c r="O266" i="12"/>
  <c r="P651" i="17"/>
  <c r="P652" i="17" s="1"/>
  <c r="P526" i="17"/>
  <c r="P527" i="17" s="1"/>
  <c r="P26" i="11"/>
  <c r="P185" i="11"/>
  <c r="P140" i="11"/>
  <c r="O48" i="12"/>
  <c r="Q78" i="10"/>
  <c r="Q20" i="11"/>
  <c r="Q111" i="9"/>
  <c r="P188" i="12" l="1"/>
  <c r="P1365" i="17"/>
  <c r="P1366" i="17"/>
  <c r="P904" i="16"/>
  <c r="P21" i="12"/>
  <c r="P28" i="11"/>
  <c r="P536" i="17"/>
  <c r="P537" i="17" s="1"/>
  <c r="P218" i="11"/>
  <c r="P31" i="11"/>
  <c r="P1368" i="17"/>
  <c r="P1379" i="17" s="1"/>
  <c r="P97" i="9"/>
  <c r="P98" i="9" s="1"/>
  <c r="P746" i="17" s="1"/>
  <c r="P747" i="17" s="1"/>
  <c r="O252" i="17"/>
  <c r="O253" i="17" s="1"/>
  <c r="O286" i="12"/>
  <c r="O282" i="17"/>
  <c r="O283" i="17" s="1"/>
  <c r="O263" i="12"/>
  <c r="O265" i="12" l="1"/>
  <c r="O264" i="12"/>
  <c r="O322" i="17" s="1"/>
  <c r="O323" i="17" s="1"/>
  <c r="O892" i="16"/>
  <c r="O893" i="16" s="1"/>
  <c r="P541" i="17"/>
  <c r="P542" i="17" s="1"/>
  <c r="P222" i="11"/>
  <c r="P736" i="17"/>
  <c r="P737" i="17" s="1"/>
  <c r="P95" i="9"/>
  <c r="P25" i="12"/>
  <c r="P190" i="12"/>
  <c r="P231" i="12" s="1"/>
  <c r="P189" i="12"/>
  <c r="P230" i="12" l="1"/>
  <c r="P1313" i="17"/>
  <c r="P36" i="14"/>
  <c r="P37" i="14" s="1"/>
  <c r="P42" i="14" s="1"/>
  <c r="P407" i="15"/>
  <c r="P741" i="17"/>
  <c r="P742" i="17" s="1"/>
  <c r="P100" i="9"/>
  <c r="P556" i="17"/>
  <c r="P557" i="17" s="1"/>
  <c r="P29" i="12"/>
  <c r="P756" i="17" l="1"/>
  <c r="P757" i="17" s="1"/>
  <c r="P41" i="12"/>
  <c r="P229" i="11"/>
  <c r="P101" i="9"/>
  <c r="P92" i="10"/>
  <c r="P102" i="9"/>
  <c r="P105" i="9" s="1"/>
  <c r="P878" i="16"/>
  <c r="P879" i="16"/>
  <c r="P49" i="14"/>
  <c r="P82" i="14"/>
  <c r="P48" i="14"/>
  <c r="P410" i="15"/>
  <c r="P411" i="15" s="1"/>
  <c r="P115" i="14"/>
  <c r="P38" i="10"/>
  <c r="P40" i="10" s="1"/>
  <c r="P49" i="10" s="1"/>
  <c r="P76" i="12"/>
  <c r="P81" i="9"/>
  <c r="P83" i="9" s="1"/>
  <c r="P875" i="16"/>
  <c r="P230" i="11" l="1"/>
  <c r="P586" i="17" s="1"/>
  <c r="P587" i="17" s="1"/>
  <c r="P93" i="10"/>
  <c r="P94" i="10" s="1"/>
  <c r="P106" i="9"/>
  <c r="P761" i="17"/>
  <c r="P762" i="17" s="1"/>
  <c r="P208" i="11"/>
  <c r="P107" i="9"/>
  <c r="P1339" i="17"/>
  <c r="P182" i="17"/>
  <c r="P183" i="17" s="1"/>
  <c r="P54" i="10"/>
  <c r="P1371" i="17"/>
  <c r="P1381" i="17" s="1"/>
  <c r="P231" i="11"/>
  <c r="P661" i="17" l="1"/>
  <c r="P662" i="17" s="1"/>
  <c r="P209" i="11"/>
  <c r="P128" i="10"/>
  <c r="P55" i="10"/>
  <c r="P1373" i="17"/>
  <c r="P1372" i="17"/>
  <c r="Q89" i="9"/>
  <c r="P96" i="10"/>
  <c r="Q68" i="10"/>
  <c r="P190" i="11"/>
  <c r="P45" i="12"/>
  <c r="P236" i="11"/>
  <c r="P210" i="11"/>
  <c r="P591" i="17"/>
  <c r="P592" i="17" s="1"/>
  <c r="P232" i="11"/>
  <c r="P915" i="16" l="1"/>
  <c r="P919" i="16" s="1"/>
  <c r="P606" i="17"/>
  <c r="P607" i="17" s="1"/>
  <c r="P195" i="11"/>
  <c r="P215" i="11"/>
  <c r="Q22" i="11"/>
  <c r="Q136" i="11" s="1"/>
  <c r="Q80" i="10"/>
  <c r="Q176" i="11"/>
  <c r="Q177" i="11" s="1"/>
  <c r="P56" i="10"/>
  <c r="P31" i="9"/>
  <c r="P596" i="17"/>
  <c r="P597" i="17" s="1"/>
  <c r="P233" i="11"/>
  <c r="P1383" i="17"/>
  <c r="P1382" i="17"/>
  <c r="P666" i="17"/>
  <c r="P667" i="17" s="1"/>
  <c r="P211" i="11"/>
  <c r="P57" i="10" l="1"/>
  <c r="P61" i="9" s="1"/>
  <c r="P601" i="17"/>
  <c r="P602" i="17" s="1"/>
  <c r="P235" i="11"/>
  <c r="P278" i="12"/>
  <c r="P159" i="10"/>
  <c r="P35" i="9"/>
  <c r="P72" i="12" s="1"/>
  <c r="Q32" i="9"/>
  <c r="Q279" i="12" s="1"/>
  <c r="P33" i="9"/>
  <c r="Q137" i="11"/>
  <c r="P631" i="17"/>
  <c r="P632" i="17" s="1"/>
  <c r="P212" i="11"/>
  <c r="P372" i="17" l="1"/>
  <c r="P373" i="17" s="1"/>
  <c r="P62" i="9"/>
  <c r="P64" i="9" s="1"/>
  <c r="P38" i="12"/>
  <c r="P39" i="12"/>
  <c r="P277" i="12"/>
  <c r="P152" i="10"/>
  <c r="P154" i="10" s="1"/>
  <c r="P75" i="9"/>
  <c r="P63" i="9"/>
  <c r="Q139" i="11"/>
  <c r="Q180" i="11" s="1"/>
  <c r="Q138" i="11"/>
  <c r="Q179" i="11" s="1"/>
  <c r="Q30" i="9"/>
  <c r="P251" i="12"/>
  <c r="P79" i="9"/>
  <c r="P36" i="9"/>
  <c r="P874" i="16"/>
  <c r="P74" i="12"/>
  <c r="P232" i="17"/>
  <c r="P233" i="17" s="1"/>
  <c r="P1344" i="17"/>
  <c r="P1350" i="17" s="1"/>
  <c r="P213" i="11"/>
  <c r="P671" i="17" s="1"/>
  <c r="P672" i="17" s="1"/>
  <c r="P214" i="11"/>
  <c r="P920" i="16"/>
  <c r="P921" i="16" s="1"/>
  <c r="P58" i="10"/>
  <c r="P63" i="10" s="1"/>
  <c r="P59" i="10"/>
  <c r="P70" i="9" l="1"/>
  <c r="P402" i="17" s="1"/>
  <c r="P403" i="17" s="1"/>
  <c r="P292" i="17"/>
  <c r="P293" i="17" s="1"/>
  <c r="P889" i="16"/>
  <c r="P254" i="12"/>
  <c r="Q36" i="13"/>
  <c r="Q37" i="13" s="1"/>
  <c r="Q42" i="13" s="1"/>
  <c r="Q418" i="15"/>
  <c r="Q70" i="10"/>
  <c r="Q72" i="10" s="1"/>
  <c r="Q81" i="10" s="1"/>
  <c r="Q25" i="11"/>
  <c r="Q110" i="9"/>
  <c r="Q112" i="9" s="1"/>
  <c r="Q903" i="16"/>
  <c r="P289" i="12"/>
  <c r="P155" i="10"/>
  <c r="P157" i="10"/>
  <c r="P156" i="10"/>
  <c r="P1351" i="17"/>
  <c r="P1352" i="17"/>
  <c r="Q34" i="9"/>
  <c r="P258" i="12"/>
  <c r="P227" i="17"/>
  <c r="P228" i="17" s="1"/>
  <c r="P1345" i="17"/>
  <c r="P1355" i="17" s="1"/>
  <c r="P40" i="12"/>
  <c r="P1338" i="17"/>
  <c r="P172" i="17"/>
  <c r="P173" i="17" s="1"/>
  <c r="P75" i="12"/>
  <c r="Q906" i="16" l="1"/>
  <c r="P302" i="17"/>
  <c r="P303" i="17" s="1"/>
  <c r="P307" i="17"/>
  <c r="P308" i="17" s="1"/>
  <c r="Q86" i="10"/>
  <c r="Q1364" i="17"/>
  <c r="Q531" i="17"/>
  <c r="Q532" i="17" s="1"/>
  <c r="Q907" i="16"/>
  <c r="Q48" i="13"/>
  <c r="Q49" i="13"/>
  <c r="Q421" i="15"/>
  <c r="Q422" i="15" s="1"/>
  <c r="Q82" i="13"/>
  <c r="Q46" i="10"/>
  <c r="Q71" i="12"/>
  <c r="Q82" i="9"/>
  <c r="P77" i="12"/>
  <c r="P177" i="17"/>
  <c r="P178" i="17" s="1"/>
  <c r="P236" i="12"/>
  <c r="P191" i="12"/>
  <c r="Q87" i="10" l="1"/>
  <c r="Q129" i="10"/>
  <c r="P1341" i="17"/>
  <c r="P1340" i="17"/>
  <c r="P187" i="17"/>
  <c r="P188" i="17" s="1"/>
  <c r="P269" i="12"/>
  <c r="P79" i="12"/>
  <c r="P22" i="12"/>
  <c r="P876" i="16"/>
  <c r="P23" i="12"/>
  <c r="P82" i="12"/>
  <c r="P1343" i="17"/>
  <c r="P1354" i="17" s="1"/>
  <c r="P68" i="9"/>
  <c r="P69" i="9" s="1"/>
  <c r="P397" i="17" s="1"/>
  <c r="P398" i="17" s="1"/>
  <c r="P1328" i="17"/>
  <c r="P387" i="17" l="1"/>
  <c r="P388" i="17" s="1"/>
  <c r="P27" i="12"/>
  <c r="P26" i="12"/>
  <c r="P66" i="9"/>
  <c r="P273" i="12"/>
  <c r="P192" i="17"/>
  <c r="P193" i="17" s="1"/>
  <c r="P24" i="12"/>
  <c r="Q88" i="10"/>
  <c r="Q39" i="9"/>
  <c r="P28" i="12" l="1"/>
  <c r="Q89" i="10"/>
  <c r="Q90" i="9" s="1"/>
  <c r="Q43" i="9"/>
  <c r="Q21" i="11" s="1"/>
  <c r="Q168" i="10"/>
  <c r="Q227" i="11"/>
  <c r="R40" i="9"/>
  <c r="R228" i="11" s="1"/>
  <c r="Q41" i="9"/>
  <c r="Q44" i="9"/>
  <c r="P207" i="17"/>
  <c r="P208" i="17" s="1"/>
  <c r="P30" i="12"/>
  <c r="P31" i="12"/>
  <c r="P1329" i="17"/>
  <c r="P392" i="17"/>
  <c r="P393" i="17" s="1"/>
  <c r="P71" i="9"/>
  <c r="Q90" i="10" l="1"/>
  <c r="Q95" i="10" s="1"/>
  <c r="P32" i="12"/>
  <c r="Q200" i="11"/>
  <c r="Q238" i="11" s="1"/>
  <c r="R38" i="9"/>
  <c r="Q108" i="9"/>
  <c r="Q37" i="12"/>
  <c r="Q161" i="10"/>
  <c r="Q163" i="10" s="1"/>
  <c r="Q721" i="17"/>
  <c r="Q722" i="17" s="1"/>
  <c r="Q226" i="11"/>
  <c r="Q91" i="9"/>
  <c r="Q93" i="9" s="1"/>
  <c r="Q92" i="9"/>
  <c r="Q104" i="9"/>
  <c r="Q581" i="17"/>
  <c r="Q582" i="17" s="1"/>
  <c r="Q1369" i="17"/>
  <c r="Q1375" i="17" s="1"/>
  <c r="Q902" i="16"/>
  <c r="Q23" i="11"/>
  <c r="P407" i="17"/>
  <c r="P408" i="17" s="1"/>
  <c r="P42" i="12"/>
  <c r="P43" i="12"/>
  <c r="P60" i="10"/>
  <c r="P72" i="9"/>
  <c r="P280" i="12"/>
  <c r="P73" i="9"/>
  <c r="P76" i="9" s="1"/>
  <c r="Q91" i="10"/>
  <c r="P412" i="17" l="1"/>
  <c r="P413" i="17" s="1"/>
  <c r="P259" i="12"/>
  <c r="Q207" i="11"/>
  <c r="Q917" i="16"/>
  <c r="Q641" i="17"/>
  <c r="Q642" i="17" s="1"/>
  <c r="Q203" i="11"/>
  <c r="Q99" i="9"/>
  <c r="Q751" i="17" s="1"/>
  <c r="Q752" i="17" s="1"/>
  <c r="P281" i="12"/>
  <c r="P287" i="12" s="1"/>
  <c r="P61" i="10"/>
  <c r="P62" i="10" s="1"/>
  <c r="P77" i="9"/>
  <c r="P237" i="17"/>
  <c r="P238" i="17" s="1"/>
  <c r="P1346" i="17"/>
  <c r="P1356" i="17" s="1"/>
  <c r="P282" i="12"/>
  <c r="Q576" i="17"/>
  <c r="Q577" i="17" s="1"/>
  <c r="Q1370" i="17"/>
  <c r="Q1380" i="17" s="1"/>
  <c r="Q164" i="10"/>
  <c r="Q166" i="10"/>
  <c r="Q165" i="10"/>
  <c r="P44" i="12"/>
  <c r="Q1377" i="17"/>
  <c r="Q1376" i="17"/>
  <c r="R42" i="9"/>
  <c r="Q1363" i="17"/>
  <c r="Q521" i="17"/>
  <c r="Q522" i="17" s="1"/>
  <c r="Q24" i="11"/>
  <c r="P1348" i="17" l="1"/>
  <c r="P1347" i="17"/>
  <c r="P64" i="10"/>
  <c r="P241" i="12"/>
  <c r="P47" i="12"/>
  <c r="Q60" i="9"/>
  <c r="P46" i="12"/>
  <c r="P48" i="12" s="1"/>
  <c r="Q36" i="10"/>
  <c r="R78" i="10"/>
  <c r="R20" i="11"/>
  <c r="R111" i="9"/>
  <c r="P312" i="17"/>
  <c r="P313" i="17" s="1"/>
  <c r="P260" i="12"/>
  <c r="P242" i="17"/>
  <c r="P243" i="17" s="1"/>
  <c r="P283" i="12"/>
  <c r="Q651" i="17"/>
  <c r="Q652" i="17" s="1"/>
  <c r="Q526" i="17"/>
  <c r="Q527" i="17" s="1"/>
  <c r="Q26" i="11"/>
  <c r="Q185" i="11"/>
  <c r="Q140" i="11"/>
  <c r="P261" i="12"/>
  <c r="Q656" i="17"/>
  <c r="Q657" i="17" s="1"/>
  <c r="P78" i="9"/>
  <c r="Q1365" i="17" l="1"/>
  <c r="Q1366" i="17"/>
  <c r="Q536" i="17"/>
  <c r="Q537" i="17" s="1"/>
  <c r="Q904" i="16"/>
  <c r="Q21" i="12"/>
  <c r="Q28" i="11"/>
  <c r="Q218" i="11"/>
  <c r="Q31" i="11"/>
  <c r="Q97" i="9"/>
  <c r="Q98" i="9" s="1"/>
  <c r="Q746" i="17" s="1"/>
  <c r="Q747" i="17" s="1"/>
  <c r="Q1368" i="17"/>
  <c r="Q1379" i="17" s="1"/>
  <c r="P247" i="17"/>
  <c r="P248" i="17" s="1"/>
  <c r="P284" i="12"/>
  <c r="Q48" i="10"/>
  <c r="Q73" i="12"/>
  <c r="Q187" i="12" s="1"/>
  <c r="Q227" i="12"/>
  <c r="Q228" i="12" s="1"/>
  <c r="P246" i="12"/>
  <c r="P887" i="16"/>
  <c r="P891" i="16" s="1"/>
  <c r="P257" i="17"/>
  <c r="P258" i="17" s="1"/>
  <c r="P266" i="12"/>
  <c r="P1358" i="17"/>
  <c r="P1357" i="17"/>
  <c r="P317" i="17"/>
  <c r="P318" i="17" s="1"/>
  <c r="P262" i="12"/>
  <c r="P252" i="17" l="1"/>
  <c r="P253" i="17" s="1"/>
  <c r="P286" i="12"/>
  <c r="Q541" i="17"/>
  <c r="Q542" i="17" s="1"/>
  <c r="Q222" i="11"/>
  <c r="Q736" i="17"/>
  <c r="Q737" i="17" s="1"/>
  <c r="Q25" i="12"/>
  <c r="Q95" i="9"/>
  <c r="P282" i="17"/>
  <c r="P283" i="17" s="1"/>
  <c r="P263" i="12"/>
  <c r="Q188" i="12"/>
  <c r="Q190" i="12" l="1"/>
  <c r="Q231" i="12" s="1"/>
  <c r="Q189" i="12"/>
  <c r="P264" i="12"/>
  <c r="P322" i="17" s="1"/>
  <c r="P323" i="17" s="1"/>
  <c r="P265" i="12"/>
  <c r="P892" i="16"/>
  <c r="P893" i="16" s="1"/>
  <c r="Q556" i="17"/>
  <c r="Q557" i="17" s="1"/>
  <c r="Q29" i="12"/>
  <c r="Q741" i="17"/>
  <c r="Q742" i="17" s="1"/>
  <c r="Q100" i="9"/>
  <c r="Q756" i="17" l="1"/>
  <c r="Q757" i="17" s="1"/>
  <c r="Q41" i="12"/>
  <c r="Q101" i="9"/>
  <c r="Q92" i="10"/>
  <c r="Q229" i="11"/>
  <c r="Q102" i="9"/>
  <c r="Q105" i="9" s="1"/>
  <c r="Q230" i="12"/>
  <c r="Q1313" i="17"/>
  <c r="Q36" i="14"/>
  <c r="Q37" i="14" s="1"/>
  <c r="Q42" i="14" s="1"/>
  <c r="Q407" i="15"/>
  <c r="Q878" i="16" l="1"/>
  <c r="Q76" i="12"/>
  <c r="Q38" i="10"/>
  <c r="Q40" i="10" s="1"/>
  <c r="Q49" i="10" s="1"/>
  <c r="Q81" i="9"/>
  <c r="Q83" i="9" s="1"/>
  <c r="Q875" i="16"/>
  <c r="Q1371" i="17"/>
  <c r="Q1381" i="17" s="1"/>
  <c r="Q231" i="11"/>
  <c r="Q236" i="11"/>
  <c r="Q879" i="16"/>
  <c r="Q48" i="14"/>
  <c r="Q410" i="15"/>
  <c r="Q411" i="15" s="1"/>
  <c r="Q49" i="14"/>
  <c r="Q82" i="14"/>
  <c r="Q115" i="14"/>
  <c r="Q761" i="17"/>
  <c r="Q762" i="17" s="1"/>
  <c r="Q208" i="11"/>
  <c r="Q93" i="10"/>
  <c r="Q230" i="11"/>
  <c r="Q586" i="17" s="1"/>
  <c r="Q587" i="17" s="1"/>
  <c r="Q106" i="9"/>
  <c r="Q94" i="10"/>
  <c r="Q210" i="11" l="1"/>
  <c r="Q1372" i="17"/>
  <c r="R89" i="9"/>
  <c r="Q96" i="10"/>
  <c r="R68" i="10"/>
  <c r="Q190" i="11"/>
  <c r="Q45" i="12"/>
  <c r="Q1373" i="17"/>
  <c r="Q591" i="17"/>
  <c r="Q592" i="17" s="1"/>
  <c r="Q232" i="11"/>
  <c r="Q107" i="9"/>
  <c r="Q54" i="10"/>
  <c r="Q661" i="17"/>
  <c r="Q662" i="17" s="1"/>
  <c r="Q209" i="11"/>
  <c r="Q1339" i="17"/>
  <c r="Q182" i="17"/>
  <c r="Q183" i="17" s="1"/>
  <c r="Q596" i="17" l="1"/>
  <c r="Q597" i="17" s="1"/>
  <c r="Q233" i="11"/>
  <c r="R22" i="11"/>
  <c r="R136" i="11" s="1"/>
  <c r="R80" i="10"/>
  <c r="R176" i="11"/>
  <c r="R177" i="11" s="1"/>
  <c r="Q128" i="10"/>
  <c r="Q55" i="10"/>
  <c r="Q606" i="17"/>
  <c r="Q607" i="17" s="1"/>
  <c r="Q915" i="16"/>
  <c r="Q919" i="16" s="1"/>
  <c r="Q195" i="11"/>
  <c r="Q215" i="11"/>
  <c r="Q1382" i="17"/>
  <c r="Q1383" i="17"/>
  <c r="Q666" i="17"/>
  <c r="Q667" i="17" s="1"/>
  <c r="Q211" i="11"/>
  <c r="Q631" i="17" l="1"/>
  <c r="Q632" i="17" s="1"/>
  <c r="Q212" i="11"/>
  <c r="Q56" i="10"/>
  <c r="Q31" i="9"/>
  <c r="Q601" i="17"/>
  <c r="Q602" i="17" s="1"/>
  <c r="Q235" i="11"/>
  <c r="R137" i="11"/>
  <c r="Q278" i="12" l="1"/>
  <c r="Q35" i="9"/>
  <c r="Q72" i="12" s="1"/>
  <c r="Q159" i="10"/>
  <c r="R32" i="9"/>
  <c r="R279" i="12" s="1"/>
  <c r="Q33" i="9"/>
  <c r="R139" i="11"/>
  <c r="R180" i="11" s="1"/>
  <c r="R138" i="11"/>
  <c r="R179" i="11" s="1"/>
  <c r="Q57" i="10"/>
  <c r="Q61" i="9" s="1"/>
  <c r="Q58" i="10"/>
  <c r="Q63" i="10" s="1"/>
  <c r="Q213" i="11"/>
  <c r="Q671" i="17" s="1"/>
  <c r="Q672" i="17" s="1"/>
  <c r="Q214" i="11"/>
  <c r="Q920" i="16"/>
  <c r="Q921" i="16" s="1"/>
  <c r="Q372" i="17" l="1"/>
  <c r="Q373" i="17" s="1"/>
  <c r="Q152" i="10"/>
  <c r="Q154" i="10" s="1"/>
  <c r="Q62" i="9"/>
  <c r="Q64" i="9" s="1"/>
  <c r="Q38" i="12"/>
  <c r="Q39" i="12"/>
  <c r="Q277" i="12"/>
  <c r="Q63" i="9"/>
  <c r="Q75" i="9"/>
  <c r="R70" i="10"/>
  <c r="R72" i="10" s="1"/>
  <c r="R81" i="10" s="1"/>
  <c r="R25" i="11"/>
  <c r="R110" i="9"/>
  <c r="R112" i="9" s="1"/>
  <c r="R903" i="16"/>
  <c r="R30" i="9"/>
  <c r="Q251" i="12"/>
  <c r="Q289" i="12" s="1"/>
  <c r="Q79" i="9"/>
  <c r="Q874" i="16"/>
  <c r="Q74" i="12"/>
  <c r="Q59" i="10"/>
  <c r="R36" i="13"/>
  <c r="R37" i="13" s="1"/>
  <c r="R42" i="13" s="1"/>
  <c r="R418" i="15"/>
  <c r="Q36" i="9"/>
  <c r="Q232" i="17"/>
  <c r="Q233" i="17" s="1"/>
  <c r="Q1344" i="17"/>
  <c r="Q1350" i="17" s="1"/>
  <c r="R86" i="10" l="1"/>
  <c r="Q258" i="12"/>
  <c r="Q227" i="17"/>
  <c r="Q228" i="17" s="1"/>
  <c r="Q1345" i="17"/>
  <c r="Q1355" i="17" s="1"/>
  <c r="Q889" i="16"/>
  <c r="Q292" i="17"/>
  <c r="Q293" i="17" s="1"/>
  <c r="Q254" i="12"/>
  <c r="R34" i="9"/>
  <c r="R1364" i="17"/>
  <c r="R531" i="17"/>
  <c r="R532" i="17" s="1"/>
  <c r="R907" i="16"/>
  <c r="R421" i="15"/>
  <c r="R422" i="15" s="1"/>
  <c r="R48" i="13"/>
  <c r="R49" i="13"/>
  <c r="R82" i="13"/>
  <c r="Q172" i="17"/>
  <c r="Q173" i="17" s="1"/>
  <c r="Q1338" i="17"/>
  <c r="Q75" i="12"/>
  <c r="Q155" i="10"/>
  <c r="Q157" i="10"/>
  <c r="Q156" i="10"/>
  <c r="R906" i="16"/>
  <c r="Q70" i="9"/>
  <c r="Q402" i="17" s="1"/>
  <c r="Q403" i="17" s="1"/>
  <c r="Q40" i="12"/>
  <c r="Q1351" i="17"/>
  <c r="Q1352" i="17"/>
  <c r="Q177" i="17" l="1"/>
  <c r="Q178" i="17" s="1"/>
  <c r="Q77" i="12"/>
  <c r="Q236" i="12"/>
  <c r="Q191" i="12"/>
  <c r="Q302" i="17"/>
  <c r="Q303" i="17" s="1"/>
  <c r="R87" i="10"/>
  <c r="R129" i="10"/>
  <c r="Q307" i="17"/>
  <c r="Q308" i="17" s="1"/>
  <c r="R46" i="10"/>
  <c r="R71" i="12"/>
  <c r="R82" i="9"/>
  <c r="R88" i="10" l="1"/>
  <c r="R39" i="9"/>
  <c r="Q1340" i="17"/>
  <c r="Q1341" i="17"/>
  <c r="Q187" i="17"/>
  <c r="Q188" i="17" s="1"/>
  <c r="Q876" i="16"/>
  <c r="Q269" i="12"/>
  <c r="Q79" i="12"/>
  <c r="Q22" i="12"/>
  <c r="Q23" i="12"/>
  <c r="Q82" i="12"/>
  <c r="Q1343" i="17"/>
  <c r="Q1354" i="17" s="1"/>
  <c r="Q68" i="9"/>
  <c r="Q69" i="9" s="1"/>
  <c r="Q397" i="17" s="1"/>
  <c r="Q398" i="17" s="1"/>
  <c r="Q1328" i="17"/>
  <c r="Q24" i="12" l="1"/>
  <c r="Q192" i="17"/>
  <c r="Q193" i="17" s="1"/>
  <c r="Q273" i="12"/>
  <c r="R168" i="10"/>
  <c r="R43" i="9"/>
  <c r="R21" i="11" s="1"/>
  <c r="R227" i="11"/>
  <c r="S40" i="9"/>
  <c r="S228" i="11" s="1"/>
  <c r="R41" i="9"/>
  <c r="Q387" i="17"/>
  <c r="Q388" i="17" s="1"/>
  <c r="Q27" i="12"/>
  <c r="Q26" i="12"/>
  <c r="Q28" i="12" s="1"/>
  <c r="Q66" i="9"/>
  <c r="R89" i="10"/>
  <c r="R90" i="9" s="1"/>
  <c r="R90" i="10" l="1"/>
  <c r="R95" i="10" s="1"/>
  <c r="R91" i="10"/>
  <c r="R99" i="9"/>
  <c r="R751" i="17" s="1"/>
  <c r="R752" i="17" s="1"/>
  <c r="R200" i="11"/>
  <c r="S38" i="9"/>
  <c r="R108" i="9"/>
  <c r="Q1329" i="17"/>
  <c r="Q392" i="17"/>
  <c r="Q393" i="17" s="1"/>
  <c r="Q71" i="9"/>
  <c r="R44" i="9"/>
  <c r="R902" i="16"/>
  <c r="R23" i="11"/>
  <c r="Q30" i="12"/>
  <c r="Q207" i="17"/>
  <c r="Q208" i="17" s="1"/>
  <c r="Q31" i="12"/>
  <c r="R581" i="17"/>
  <c r="R582" i="17" s="1"/>
  <c r="R1369" i="17"/>
  <c r="R1375" i="17" s="1"/>
  <c r="R238" i="11"/>
  <c r="R721" i="17"/>
  <c r="R722" i="17" s="1"/>
  <c r="R37" i="12"/>
  <c r="R226" i="11"/>
  <c r="R161" i="10"/>
  <c r="R163" i="10" s="1"/>
  <c r="R91" i="9"/>
  <c r="R93" i="9" s="1"/>
  <c r="R92" i="9"/>
  <c r="R104" i="9"/>
  <c r="Q32" i="12" l="1"/>
  <c r="R164" i="10"/>
  <c r="R166" i="10"/>
  <c r="R165" i="10"/>
  <c r="Q407" i="17"/>
  <c r="Q408" i="17" s="1"/>
  <c r="Q42" i="12"/>
  <c r="Q43" i="12"/>
  <c r="Q60" i="10"/>
  <c r="Q72" i="9"/>
  <c r="Q280" i="12"/>
  <c r="Q73" i="9"/>
  <c r="R1377" i="17"/>
  <c r="R1376" i="17"/>
  <c r="R207" i="11"/>
  <c r="R1363" i="17"/>
  <c r="R521" i="17"/>
  <c r="R522" i="17" s="1"/>
  <c r="R24" i="11"/>
  <c r="R576" i="17"/>
  <c r="R577" i="17" s="1"/>
  <c r="R1370" i="17"/>
  <c r="R1380" i="17" s="1"/>
  <c r="S42" i="9"/>
  <c r="R641" i="17"/>
  <c r="R642" i="17" s="1"/>
  <c r="R203" i="11"/>
  <c r="R917" i="16"/>
  <c r="Q281" i="12" l="1"/>
  <c r="Q237" i="17" s="1"/>
  <c r="Q238" i="17" s="1"/>
  <c r="Q61" i="10"/>
  <c r="Q62" i="10" s="1"/>
  <c r="Q77" i="9"/>
  <c r="S78" i="10"/>
  <c r="S20" i="11"/>
  <c r="S111" i="9"/>
  <c r="R526" i="17"/>
  <c r="R527" i="17" s="1"/>
  <c r="R26" i="11"/>
  <c r="R185" i="11"/>
  <c r="R140" i="11"/>
  <c r="R656" i="17"/>
  <c r="R657" i="17" s="1"/>
  <c r="Q76" i="9"/>
  <c r="Q44" i="12"/>
  <c r="R651" i="17"/>
  <c r="R652" i="17" s="1"/>
  <c r="Q282" i="12" l="1"/>
  <c r="Q283" i="12" s="1"/>
  <c r="Q1346" i="17"/>
  <c r="Q1356" i="17" s="1"/>
  <c r="Q1348" i="17"/>
  <c r="Q241" i="12"/>
  <c r="Q47" i="12"/>
  <c r="Q46" i="12"/>
  <c r="Q48" i="12" s="1"/>
  <c r="R36" i="10"/>
  <c r="Q64" i="10"/>
  <c r="R60" i="9"/>
  <c r="Q412" i="17"/>
  <c r="Q413" i="17" s="1"/>
  <c r="Q259" i="12"/>
  <c r="Q78" i="9"/>
  <c r="Q261" i="12"/>
  <c r="R1365" i="17"/>
  <c r="R1366" i="17"/>
  <c r="R536" i="17"/>
  <c r="R537" i="17" s="1"/>
  <c r="R28" i="11"/>
  <c r="R904" i="16"/>
  <c r="R218" i="11"/>
  <c r="R21" i="12"/>
  <c r="R31" i="11"/>
  <c r="R97" i="9"/>
  <c r="R98" i="9" s="1"/>
  <c r="R746" i="17" s="1"/>
  <c r="R747" i="17" s="1"/>
  <c r="R1368" i="17"/>
  <c r="R1379" i="17" s="1"/>
  <c r="Q242" i="17" l="1"/>
  <c r="Q243" i="17" s="1"/>
  <c r="Q1347" i="17"/>
  <c r="Q312" i="17"/>
  <c r="Q313" i="17" s="1"/>
  <c r="Q260" i="12"/>
  <c r="Q287" i="12"/>
  <c r="R541" i="17"/>
  <c r="R542" i="17" s="1"/>
  <c r="R222" i="11"/>
  <c r="R73" i="12"/>
  <c r="R187" i="12" s="1"/>
  <c r="R48" i="10"/>
  <c r="R227" i="12"/>
  <c r="R228" i="12" s="1"/>
  <c r="R736" i="17"/>
  <c r="R737" i="17" s="1"/>
  <c r="R95" i="9"/>
  <c r="R25" i="12"/>
  <c r="Q257" i="17"/>
  <c r="Q258" i="17" s="1"/>
  <c r="Q887" i="16"/>
  <c r="Q891" i="16" s="1"/>
  <c r="Q246" i="12"/>
  <c r="Q266" i="12"/>
  <c r="Q247" i="17"/>
  <c r="Q248" i="17" s="1"/>
  <c r="Q284" i="12"/>
  <c r="Q252" i="17" l="1"/>
  <c r="Q253" i="17" s="1"/>
  <c r="Q286" i="12"/>
  <c r="R556" i="17"/>
  <c r="R557" i="17" s="1"/>
  <c r="R29" i="12"/>
  <c r="Q1357" i="17"/>
  <c r="Q1358" i="17"/>
  <c r="Q317" i="17"/>
  <c r="Q318" i="17" s="1"/>
  <c r="Q262" i="12"/>
  <c r="Q263" i="12" s="1"/>
  <c r="R741" i="17"/>
  <c r="R742" i="17" s="1"/>
  <c r="R100" i="9"/>
  <c r="R188" i="12"/>
  <c r="Q282" i="17"/>
  <c r="Q283" i="17" s="1"/>
  <c r="Q264" i="12" l="1"/>
  <c r="Q322" i="17" s="1"/>
  <c r="Q323" i="17" s="1"/>
  <c r="Q265" i="12"/>
  <c r="Q892" i="16"/>
  <c r="Q893" i="16" s="1"/>
  <c r="R190" i="12"/>
  <c r="R231" i="12" s="1"/>
  <c r="R189" i="12"/>
  <c r="R756" i="17"/>
  <c r="R757" i="17" s="1"/>
  <c r="R229" i="11"/>
  <c r="R101" i="9"/>
  <c r="R92" i="10"/>
  <c r="R41" i="12"/>
  <c r="R102" i="9"/>
  <c r="R105" i="9" s="1"/>
  <c r="R761" i="17" l="1"/>
  <c r="R762" i="17" s="1"/>
  <c r="R208" i="11"/>
  <c r="R230" i="11"/>
  <c r="R586" i="17" s="1"/>
  <c r="R587" i="17" s="1"/>
  <c r="R93" i="10"/>
  <c r="R94" i="10" s="1"/>
  <c r="R106" i="9"/>
  <c r="R107" i="9" s="1"/>
  <c r="R230" i="12"/>
  <c r="R1313" i="17"/>
  <c r="R36" i="14"/>
  <c r="R37" i="14" s="1"/>
  <c r="R42" i="14" s="1"/>
  <c r="R407" i="15"/>
  <c r="R1371" i="17" l="1"/>
  <c r="R1381" i="17" s="1"/>
  <c r="R1373" i="17"/>
  <c r="S68" i="10"/>
  <c r="S89" i="9"/>
  <c r="R190" i="11"/>
  <c r="R96" i="10"/>
  <c r="R45" i="12"/>
  <c r="R76" i="12"/>
  <c r="R38" i="10"/>
  <c r="R40" i="10" s="1"/>
  <c r="R49" i="10" s="1"/>
  <c r="R81" i="9"/>
  <c r="R83" i="9" s="1"/>
  <c r="R875" i="16"/>
  <c r="R878" i="16"/>
  <c r="R879" i="16"/>
  <c r="R410" i="15"/>
  <c r="R411" i="15" s="1"/>
  <c r="R48" i="14"/>
  <c r="R49" i="14"/>
  <c r="R115" i="14"/>
  <c r="R82" i="14"/>
  <c r="R661" i="17"/>
  <c r="R662" i="17" s="1"/>
  <c r="R209" i="11"/>
  <c r="R210" i="11"/>
  <c r="R236" i="11"/>
  <c r="R231" i="11"/>
  <c r="R1372" i="17" l="1"/>
  <c r="R54" i="10"/>
  <c r="R1382" i="17"/>
  <c r="R1383" i="17"/>
  <c r="R666" i="17"/>
  <c r="R667" i="17" s="1"/>
  <c r="R211" i="11"/>
  <c r="R591" i="17"/>
  <c r="R592" i="17" s="1"/>
  <c r="R232" i="11"/>
  <c r="R1339" i="17"/>
  <c r="R182" i="17"/>
  <c r="R183" i="17" s="1"/>
  <c r="R606" i="17"/>
  <c r="R607" i="17" s="1"/>
  <c r="R915" i="16"/>
  <c r="R919" i="16" s="1"/>
  <c r="R195" i="11"/>
  <c r="R215" i="11"/>
  <c r="S22" i="11"/>
  <c r="S136" i="11" s="1"/>
  <c r="S80" i="10"/>
  <c r="S176" i="11"/>
  <c r="S177" i="11" s="1"/>
  <c r="S137" i="11" l="1"/>
  <c r="R55" i="10"/>
  <c r="R128" i="10"/>
  <c r="R596" i="17"/>
  <c r="R597" i="17" s="1"/>
  <c r="R233" i="11"/>
  <c r="R631" i="17"/>
  <c r="R632" i="17" s="1"/>
  <c r="R212" i="11"/>
  <c r="R213" i="11" l="1"/>
  <c r="R671" i="17" s="1"/>
  <c r="R672" i="17" s="1"/>
  <c r="R214" i="11"/>
  <c r="R920" i="16"/>
  <c r="R921" i="16" s="1"/>
  <c r="R601" i="17"/>
  <c r="R602" i="17" s="1"/>
  <c r="R235" i="11"/>
  <c r="R56" i="10"/>
  <c r="R31" i="9"/>
  <c r="S139" i="11"/>
  <c r="S180" i="11" s="1"/>
  <c r="S138" i="11"/>
  <c r="S179" i="11" s="1"/>
  <c r="S25" i="11" l="1"/>
  <c r="S70" i="10"/>
  <c r="S72" i="10" s="1"/>
  <c r="S81" i="10" s="1"/>
  <c r="S110" i="9"/>
  <c r="S112" i="9" s="1"/>
  <c r="S903" i="16"/>
  <c r="R35" i="9"/>
  <c r="R72" i="12" s="1"/>
  <c r="R159" i="10"/>
  <c r="R278" i="12"/>
  <c r="S32" i="9"/>
  <c r="S279" i="12" s="1"/>
  <c r="R33" i="9"/>
  <c r="S36" i="13"/>
  <c r="S37" i="13" s="1"/>
  <c r="S42" i="13" s="1"/>
  <c r="S418" i="15"/>
  <c r="R57" i="10"/>
  <c r="R61" i="9" s="1"/>
  <c r="R58" i="10" l="1"/>
  <c r="R63" i="10" s="1"/>
  <c r="R59" i="10"/>
  <c r="S906" i="16"/>
  <c r="R70" i="9"/>
  <c r="R402" i="17" s="1"/>
  <c r="R403" i="17" s="1"/>
  <c r="R251" i="12"/>
  <c r="R289" i="12" s="1"/>
  <c r="S30" i="9"/>
  <c r="R79" i="9"/>
  <c r="S907" i="16"/>
  <c r="S421" i="15"/>
  <c r="S422" i="15" s="1"/>
  <c r="S48" i="13"/>
  <c r="S49" i="13"/>
  <c r="S82" i="13"/>
  <c r="R36" i="9"/>
  <c r="R874" i="16"/>
  <c r="R74" i="12"/>
  <c r="R232" i="17"/>
  <c r="R233" i="17" s="1"/>
  <c r="R1344" i="17"/>
  <c r="R1350" i="17" s="1"/>
  <c r="R372" i="17"/>
  <c r="R373" i="17" s="1"/>
  <c r="R62" i="9"/>
  <c r="R64" i="9" s="1"/>
  <c r="R39" i="12"/>
  <c r="R38" i="12"/>
  <c r="R40" i="12" s="1"/>
  <c r="R152" i="10"/>
  <c r="R154" i="10" s="1"/>
  <c r="R277" i="12"/>
  <c r="R63" i="9"/>
  <c r="R75" i="9"/>
  <c r="S86" i="10"/>
  <c r="S1364" i="17"/>
  <c r="S531" i="17"/>
  <c r="S532" i="17" s="1"/>
  <c r="R258" i="12" l="1"/>
  <c r="R155" i="10"/>
  <c r="R157" i="10"/>
  <c r="R156" i="10"/>
  <c r="S34" i="9"/>
  <c r="R172" i="17"/>
  <c r="R173" i="17" s="1"/>
  <c r="R1338" i="17"/>
  <c r="R75" i="12"/>
  <c r="R227" i="17"/>
  <c r="R228" i="17" s="1"/>
  <c r="R1345" i="17"/>
  <c r="R1355" i="17" s="1"/>
  <c r="R1352" i="17"/>
  <c r="R1351" i="17"/>
  <c r="R889" i="16"/>
  <c r="R292" i="17"/>
  <c r="R293" i="17" s="1"/>
  <c r="R254" i="12"/>
  <c r="S87" i="10"/>
  <c r="S129" i="10"/>
  <c r="R77" i="12" l="1"/>
  <c r="R236" i="12"/>
  <c r="R177" i="17"/>
  <c r="R178" i="17" s="1"/>
  <c r="R191" i="12"/>
  <c r="R302" i="17"/>
  <c r="R303" i="17" s="1"/>
  <c r="S46" i="10"/>
  <c r="S71" i="12"/>
  <c r="S82" i="9"/>
  <c r="S88" i="10"/>
  <c r="S39" i="9"/>
  <c r="R307" i="17"/>
  <c r="R308" i="17" s="1"/>
  <c r="S43" i="9" l="1"/>
  <c r="S21" i="11" s="1"/>
  <c r="S168" i="10"/>
  <c r="S227" i="11"/>
  <c r="T40" i="9"/>
  <c r="T228" i="11" s="1"/>
  <c r="S41" i="9"/>
  <c r="S44" i="9"/>
  <c r="S89" i="10"/>
  <c r="S90" i="9" s="1"/>
  <c r="R1341" i="17"/>
  <c r="R1340" i="17"/>
  <c r="R187" i="17"/>
  <c r="R188" i="17" s="1"/>
  <c r="R269" i="12"/>
  <c r="R79" i="12"/>
  <c r="R22" i="12"/>
  <c r="R876" i="16"/>
  <c r="R23" i="12"/>
  <c r="R82" i="12"/>
  <c r="R1343" i="17"/>
  <c r="R1354" i="17" s="1"/>
  <c r="R68" i="9"/>
  <c r="R69" i="9" s="1"/>
  <c r="R397" i="17" s="1"/>
  <c r="R398" i="17" s="1"/>
  <c r="R1328" i="17"/>
  <c r="S721" i="17" l="1"/>
  <c r="S722" i="17" s="1"/>
  <c r="S91" i="9"/>
  <c r="S93" i="9" s="1"/>
  <c r="S226" i="11"/>
  <c r="S37" i="12"/>
  <c r="S161" i="10"/>
  <c r="S163" i="10" s="1"/>
  <c r="S104" i="9"/>
  <c r="S92" i="9"/>
  <c r="S90" i="10"/>
  <c r="S95" i="10"/>
  <c r="S91" i="10"/>
  <c r="T38" i="9"/>
  <c r="S200" i="11"/>
  <c r="S108" i="9"/>
  <c r="S581" i="17"/>
  <c r="S582" i="17" s="1"/>
  <c r="S1369" i="17"/>
  <c r="S1375" i="17" s="1"/>
  <c r="R24" i="12"/>
  <c r="R387" i="17"/>
  <c r="R388" i="17" s="1"/>
  <c r="R27" i="12"/>
  <c r="R26" i="12"/>
  <c r="R28" i="12" s="1"/>
  <c r="R66" i="9"/>
  <c r="S902" i="16"/>
  <c r="S23" i="11"/>
  <c r="R192" i="17"/>
  <c r="R193" i="17" s="1"/>
  <c r="R273" i="12"/>
  <c r="R207" i="17" l="1"/>
  <c r="R208" i="17" s="1"/>
  <c r="R30" i="12"/>
  <c r="R31" i="12"/>
  <c r="S1376" i="17"/>
  <c r="S1377" i="17"/>
  <c r="S203" i="11"/>
  <c r="S917" i="16"/>
  <c r="S641" i="17"/>
  <c r="S642" i="17" s="1"/>
  <c r="S1363" i="17"/>
  <c r="S521" i="17"/>
  <c r="S522" i="17" s="1"/>
  <c r="S24" i="11"/>
  <c r="S99" i="9"/>
  <c r="S751" i="17" s="1"/>
  <c r="S752" i="17" s="1"/>
  <c r="T42" i="9"/>
  <c r="R1329" i="17"/>
  <c r="R392" i="17"/>
  <c r="R393" i="17" s="1"/>
  <c r="R71" i="9"/>
  <c r="S207" i="11"/>
  <c r="S164" i="10"/>
  <c r="S166" i="10"/>
  <c r="S165" i="10"/>
  <c r="S238" i="11"/>
  <c r="S576" i="17"/>
  <c r="S577" i="17" s="1"/>
  <c r="S1370" i="17"/>
  <c r="S1380" i="17" s="1"/>
  <c r="S526" i="17" l="1"/>
  <c r="S527" i="17" s="1"/>
  <c r="S185" i="11"/>
  <c r="S26" i="11"/>
  <c r="S140" i="11"/>
  <c r="R407" i="17"/>
  <c r="R408" i="17" s="1"/>
  <c r="R43" i="12"/>
  <c r="R42" i="12"/>
  <c r="R44" i="12" s="1"/>
  <c r="R60" i="10"/>
  <c r="R72" i="9"/>
  <c r="R280" i="12"/>
  <c r="R73" i="9"/>
  <c r="R76" i="9" s="1"/>
  <c r="S651" i="17"/>
  <c r="S652" i="17" s="1"/>
  <c r="T78" i="10"/>
  <c r="T20" i="11"/>
  <c r="T111" i="9"/>
  <c r="T112" i="9" s="1"/>
  <c r="R32" i="12"/>
  <c r="S656" i="17"/>
  <c r="S657" i="17" s="1"/>
  <c r="R412" i="17" l="1"/>
  <c r="R413" i="17" s="1"/>
  <c r="R259" i="12"/>
  <c r="R281" i="12"/>
  <c r="R1346" i="17" s="1"/>
  <c r="R1356" i="17" s="1"/>
  <c r="R61" i="10"/>
  <c r="R77" i="9"/>
  <c r="R62" i="10"/>
  <c r="E114" i="9"/>
  <c r="E113" i="9"/>
  <c r="S1365" i="17"/>
  <c r="S1366" i="17"/>
  <c r="S536" i="17"/>
  <c r="S537" i="17" s="1"/>
  <c r="S28" i="11"/>
  <c r="S904" i="16"/>
  <c r="S218" i="11"/>
  <c r="S21" i="12"/>
  <c r="S31" i="11"/>
  <c r="S97" i="9"/>
  <c r="S98" i="9" s="1"/>
  <c r="S746" i="17" s="1"/>
  <c r="S747" i="17" s="1"/>
  <c r="S1368" i="17"/>
  <c r="S1379" i="17" s="1"/>
  <c r="R282" i="12" l="1"/>
  <c r="R1347" i="17"/>
  <c r="R1348" i="17"/>
  <c r="R47" i="12"/>
  <c r="R46" i="12"/>
  <c r="R64" i="10"/>
  <c r="S60" i="9"/>
  <c r="R241" i="12"/>
  <c r="S36" i="10"/>
  <c r="R261" i="12"/>
  <c r="S736" i="17"/>
  <c r="S737" i="17" s="1"/>
  <c r="S95" i="9"/>
  <c r="S25" i="12"/>
  <c r="R237" i="17"/>
  <c r="R238" i="17" s="1"/>
  <c r="R312" i="17"/>
  <c r="R313" i="17" s="1"/>
  <c r="R260" i="12"/>
  <c r="R287" i="12"/>
  <c r="S541" i="17"/>
  <c r="S542" i="17" s="1"/>
  <c r="S222" i="11"/>
  <c r="R78" i="9"/>
  <c r="R887" i="16" l="1"/>
  <c r="R891" i="16" s="1"/>
  <c r="R246" i="12"/>
  <c r="R257" i="17"/>
  <c r="R258" i="17" s="1"/>
  <c r="R266" i="12"/>
  <c r="S556" i="17"/>
  <c r="S557" i="17" s="1"/>
  <c r="S29" i="12"/>
  <c r="S73" i="12"/>
  <c r="S187" i="12" s="1"/>
  <c r="S48" i="10"/>
  <c r="S227" i="12"/>
  <c r="S228" i="12" s="1"/>
  <c r="R1358" i="17"/>
  <c r="R1357" i="17"/>
  <c r="R317" i="17"/>
  <c r="R318" i="17" s="1"/>
  <c r="R262" i="12"/>
  <c r="R48" i="12"/>
  <c r="R242" i="17"/>
  <c r="R243" i="17" s="1"/>
  <c r="R283" i="12"/>
  <c r="S741" i="17"/>
  <c r="S742" i="17" s="1"/>
  <c r="S100" i="9"/>
  <c r="S756" i="17" l="1"/>
  <c r="S757" i="17" s="1"/>
  <c r="S92" i="10"/>
  <c r="S101" i="9"/>
  <c r="S41" i="12"/>
  <c r="S229" i="11"/>
  <c r="S102" i="9"/>
  <c r="S188" i="12"/>
  <c r="R247" i="17"/>
  <c r="R248" i="17" s="1"/>
  <c r="R284" i="12"/>
  <c r="R282" i="17"/>
  <c r="R283" i="17" s="1"/>
  <c r="R263" i="12"/>
  <c r="S230" i="11" l="1"/>
  <c r="S93" i="10"/>
  <c r="S94" i="10" s="1"/>
  <c r="S106" i="9"/>
  <c r="R264" i="12"/>
  <c r="R322" i="17" s="1"/>
  <c r="R323" i="17" s="1"/>
  <c r="R265" i="12"/>
  <c r="R892" i="16"/>
  <c r="R893" i="16" s="1"/>
  <c r="R252" i="17"/>
  <c r="R253" i="17" s="1"/>
  <c r="R286" i="12"/>
  <c r="S190" i="12"/>
  <c r="S231" i="12" s="1"/>
  <c r="S189" i="12"/>
  <c r="S105" i="9"/>
  <c r="S586" i="17"/>
  <c r="S587" i="17" s="1"/>
  <c r="S1371" i="17"/>
  <c r="S1381" i="17" s="1"/>
  <c r="S231" i="11"/>
  <c r="S230" i="12" l="1"/>
  <c r="S1313" i="17"/>
  <c r="S761" i="17"/>
  <c r="S762" i="17" s="1"/>
  <c r="S208" i="11"/>
  <c r="S107" i="9"/>
  <c r="S1372" i="17"/>
  <c r="S1373" i="17"/>
  <c r="T89" i="9"/>
  <c r="S96" i="10"/>
  <c r="T68" i="10"/>
  <c r="S45" i="12"/>
  <c r="S190" i="11"/>
  <c r="S36" i="14"/>
  <c r="S37" i="14" s="1"/>
  <c r="S42" i="14" s="1"/>
  <c r="S407" i="15"/>
  <c r="S210" i="11"/>
  <c r="S591" i="17"/>
  <c r="S592" i="17" s="1"/>
  <c r="S232" i="11"/>
  <c r="S879" i="16" l="1"/>
  <c r="S410" i="15"/>
  <c r="S48" i="14"/>
  <c r="S49" i="14"/>
  <c r="S115" i="14"/>
  <c r="S82" i="14"/>
  <c r="S661" i="17"/>
  <c r="S662" i="17" s="1"/>
  <c r="S209" i="11"/>
  <c r="S236" i="11"/>
  <c r="S915" i="16"/>
  <c r="S919" i="16" s="1"/>
  <c r="S606" i="17"/>
  <c r="S607" i="17" s="1"/>
  <c r="S195" i="11"/>
  <c r="S215" i="11"/>
  <c r="T22" i="11"/>
  <c r="T136" i="11" s="1"/>
  <c r="T80" i="10"/>
  <c r="T176" i="11"/>
  <c r="T177" i="11" s="1"/>
  <c r="S596" i="17"/>
  <c r="S597" i="17" s="1"/>
  <c r="S233" i="11"/>
  <c r="S878" i="16"/>
  <c r="S411" i="15"/>
  <c r="S76" i="12"/>
  <c r="S38" i="10"/>
  <c r="S40" i="10" s="1"/>
  <c r="S49" i="10" s="1"/>
  <c r="S81" i="9"/>
  <c r="S83" i="9" s="1"/>
  <c r="S875" i="16"/>
  <c r="S54" i="10" l="1"/>
  <c r="S1383" i="17"/>
  <c r="S1382" i="17"/>
  <c r="S666" i="17"/>
  <c r="S667" i="17" s="1"/>
  <c r="S211" i="11"/>
  <c r="S212" i="11" s="1"/>
  <c r="S1339" i="17"/>
  <c r="S182" i="17"/>
  <c r="S183" i="17" s="1"/>
  <c r="S601" i="17"/>
  <c r="S602" i="17" s="1"/>
  <c r="S235" i="11"/>
  <c r="T137" i="11"/>
  <c r="S631" i="17"/>
  <c r="S632" i="17" s="1"/>
  <c r="S213" i="11" l="1"/>
  <c r="S671" i="17" s="1"/>
  <c r="S672" i="17" s="1"/>
  <c r="S214" i="11"/>
  <c r="S920" i="16"/>
  <c r="S921" i="16" s="1"/>
  <c r="T139" i="11"/>
  <c r="T180" i="11" s="1"/>
  <c r="T138" i="11"/>
  <c r="T179" i="11" s="1"/>
  <c r="S128" i="10"/>
  <c r="S55" i="10"/>
  <c r="T36" i="13" l="1"/>
  <c r="T37" i="13" s="1"/>
  <c r="T42" i="13" s="1"/>
  <c r="T418" i="15"/>
  <c r="S56" i="10"/>
  <c r="S31" i="9"/>
  <c r="T25" i="11"/>
  <c r="T70" i="10"/>
  <c r="T72" i="10" s="1"/>
  <c r="T81" i="10" s="1"/>
  <c r="T110" i="9"/>
  <c r="T903" i="16"/>
  <c r="S57" i="10" l="1"/>
  <c r="S61" i="9" s="1"/>
  <c r="T86" i="10"/>
  <c r="T1364" i="17"/>
  <c r="T531" i="17"/>
  <c r="S35" i="9"/>
  <c r="S72" i="12" s="1"/>
  <c r="S159" i="10"/>
  <c r="S278" i="12"/>
  <c r="T32" i="9"/>
  <c r="T279" i="12" s="1"/>
  <c r="S33" i="9"/>
  <c r="T906" i="16"/>
  <c r="E424" i="15"/>
  <c r="T907" i="16"/>
  <c r="T421" i="15"/>
  <c r="T422" i="15" s="1"/>
  <c r="E1428" i="17" s="1"/>
  <c r="T48" i="13"/>
  <c r="T49" i="13"/>
  <c r="E65" i="13" s="1"/>
  <c r="E67" i="13" s="1"/>
  <c r="E74" i="13" s="1"/>
  <c r="E75" i="13" s="1"/>
  <c r="T82" i="13"/>
  <c r="E113" i="13"/>
  <c r="D19" i="13" l="1"/>
  <c r="F55" i="2"/>
  <c r="T532" i="17"/>
  <c r="E531" i="17"/>
  <c r="S251" i="12"/>
  <c r="T30" i="9"/>
  <c r="S79" i="9"/>
  <c r="S36" i="9"/>
  <c r="S232" i="17"/>
  <c r="S233" i="17" s="1"/>
  <c r="S1344" i="17"/>
  <c r="S1350" i="17" s="1"/>
  <c r="S289" i="12"/>
  <c r="S874" i="16"/>
  <c r="S74" i="12"/>
  <c r="F93" i="13"/>
  <c r="F91" i="13"/>
  <c r="F89" i="13"/>
  <c r="F92" i="13"/>
  <c r="F90" i="13"/>
  <c r="S372" i="17"/>
  <c r="S373" i="17" s="1"/>
  <c r="S62" i="9"/>
  <c r="S64" i="9" s="1"/>
  <c r="S38" i="12"/>
  <c r="S152" i="10"/>
  <c r="S154" i="10" s="1"/>
  <c r="S39" i="12"/>
  <c r="S277" i="12"/>
  <c r="S75" i="9"/>
  <c r="S63" i="9"/>
  <c r="E112" i="13"/>
  <c r="D22" i="13" s="1"/>
  <c r="E50" i="12"/>
  <c r="D17" i="13"/>
  <c r="D20" i="1"/>
  <c r="C173" i="1"/>
  <c r="E76" i="13"/>
  <c r="D20" i="13" s="1"/>
  <c r="E111" i="13"/>
  <c r="D21" i="13" s="1"/>
  <c r="T129" i="10"/>
  <c r="T87" i="10"/>
  <c r="F13" i="10"/>
  <c r="F14" i="10"/>
  <c r="D25" i="1" s="1"/>
  <c r="F15" i="10"/>
  <c r="E104" i="13"/>
  <c r="E105" i="13" s="1"/>
  <c r="E106" i="13" s="1"/>
  <c r="D50" i="17" s="1"/>
  <c r="F50" i="17" s="1"/>
  <c r="E425" i="15"/>
  <c r="E426" i="15" s="1"/>
  <c r="D48" i="17" s="1"/>
  <c r="F48" i="17" s="1"/>
  <c r="S58" i="10"/>
  <c r="S63" i="10" s="1"/>
  <c r="S59" i="10"/>
  <c r="T88" i="10" l="1"/>
  <c r="T39" i="9"/>
  <c r="S155" i="10"/>
  <c r="S157" i="10"/>
  <c r="S156" i="10"/>
  <c r="S40" i="12"/>
  <c r="K90" i="13"/>
  <c r="J90" i="13"/>
  <c r="I90" i="13"/>
  <c r="H90" i="13"/>
  <c r="L90" i="13"/>
  <c r="S889" i="16"/>
  <c r="S292" i="17"/>
  <c r="S293" i="17" s="1"/>
  <c r="S254" i="12"/>
  <c r="S227" i="17"/>
  <c r="S228" i="17" s="1"/>
  <c r="S1345" i="17"/>
  <c r="S1355" i="17" s="1"/>
  <c r="H92" i="13"/>
  <c r="L92" i="13"/>
  <c r="K92" i="13"/>
  <c r="J92" i="13"/>
  <c r="I92" i="13"/>
  <c r="G533" i="17"/>
  <c r="D18" i="13"/>
  <c r="E53" i="12"/>
  <c r="C176" i="1"/>
  <c r="D21" i="1"/>
  <c r="S258" i="12"/>
  <c r="S1352" i="17"/>
  <c r="S1351" i="17"/>
  <c r="S70" i="9"/>
  <c r="S402" i="17" s="1"/>
  <c r="S403" i="17" s="1"/>
  <c r="T34" i="9"/>
  <c r="L89" i="13"/>
  <c r="K89" i="13"/>
  <c r="H89" i="13"/>
  <c r="J89" i="13"/>
  <c r="I89" i="13"/>
  <c r="E532" i="17"/>
  <c r="E529" i="17"/>
  <c r="E777" i="17" s="1"/>
  <c r="F529" i="17"/>
  <c r="F777" i="17" s="1"/>
  <c r="L93" i="13"/>
  <c r="K93" i="13"/>
  <c r="H93" i="13"/>
  <c r="I93" i="13"/>
  <c r="J93" i="13"/>
  <c r="S1338" i="17"/>
  <c r="S172" i="17"/>
  <c r="S173" i="17" s="1"/>
  <c r="S75" i="12"/>
  <c r="L91" i="13"/>
  <c r="K91" i="13"/>
  <c r="J91" i="13"/>
  <c r="E94" i="13" s="1"/>
  <c r="D52" i="17" s="1"/>
  <c r="F52" i="17" s="1"/>
  <c r="I91" i="13"/>
  <c r="H91" i="13"/>
  <c r="S177" i="17" l="1"/>
  <c r="S178" i="17" s="1"/>
  <c r="S236" i="12"/>
  <c r="S77" i="12"/>
  <c r="S191" i="12"/>
  <c r="S302" i="17"/>
  <c r="S303" i="17" s="1"/>
  <c r="T168" i="10"/>
  <c r="T43" i="9"/>
  <c r="T21" i="11" s="1"/>
  <c r="T227" i="11"/>
  <c r="F16" i="10"/>
  <c r="T41" i="9"/>
  <c r="T44" i="9" s="1"/>
  <c r="E1403" i="17" s="1"/>
  <c r="D22" i="1"/>
  <c r="S307" i="17"/>
  <c r="S308" i="17" s="1"/>
  <c r="T46" i="10"/>
  <c r="T71" i="12"/>
  <c r="T82" i="9"/>
  <c r="T83" i="9" s="1"/>
  <c r="T89" i="10"/>
  <c r="E85" i="9" l="1"/>
  <c r="E84" i="9"/>
  <c r="D84" i="17" s="1"/>
  <c r="F84" i="17" s="1"/>
  <c r="T90" i="9"/>
  <c r="F19" i="10"/>
  <c r="T90" i="10"/>
  <c r="F25" i="10" s="1"/>
  <c r="D82" i="17" s="1"/>
  <c r="F82" i="17" s="1"/>
  <c r="T91" i="10"/>
  <c r="T581" i="17"/>
  <c r="T1369" i="17"/>
  <c r="T1375" i="17" s="1"/>
  <c r="T200" i="11"/>
  <c r="T108" i="9"/>
  <c r="T902" i="16"/>
  <c r="T23" i="11"/>
  <c r="S1341" i="17"/>
  <c r="S1340" i="17"/>
  <c r="S187" i="17"/>
  <c r="S188" i="17" s="1"/>
  <c r="S22" i="12"/>
  <c r="S23" i="12"/>
  <c r="S269" i="12"/>
  <c r="S876" i="16"/>
  <c r="S79" i="12"/>
  <c r="S82" i="12"/>
  <c r="S68" i="9"/>
  <c r="S69" i="9" s="1"/>
  <c r="S397" i="17" s="1"/>
  <c r="S398" i="17" s="1"/>
  <c r="S1343" i="17"/>
  <c r="S1354" i="17" s="1"/>
  <c r="S1328" i="17"/>
  <c r="T917" i="16" l="1"/>
  <c r="T203" i="11"/>
  <c r="T641" i="17"/>
  <c r="T1376" i="17"/>
  <c r="T1377" i="17"/>
  <c r="T238" i="11"/>
  <c r="E1402" i="17" s="1"/>
  <c r="D38" i="17" s="1"/>
  <c r="F38" i="17" s="1"/>
  <c r="S192" i="17"/>
  <c r="S193" i="17" s="1"/>
  <c r="S273" i="12"/>
  <c r="T1363" i="17"/>
  <c r="T521" i="17"/>
  <c r="T24" i="11"/>
  <c r="S387" i="17"/>
  <c r="S388" i="17" s="1"/>
  <c r="S27" i="12"/>
  <c r="S66" i="9"/>
  <c r="S26" i="12"/>
  <c r="E581" i="17"/>
  <c r="T582" i="17"/>
  <c r="T99" i="9"/>
  <c r="T751" i="17" s="1"/>
  <c r="S24" i="12"/>
  <c r="T95" i="10"/>
  <c r="E1405" i="17" s="1"/>
  <c r="T721" i="17"/>
  <c r="T37" i="12"/>
  <c r="T226" i="11"/>
  <c r="T161" i="10"/>
  <c r="T163" i="10" s="1"/>
  <c r="T91" i="9"/>
  <c r="T93" i="9" s="1"/>
  <c r="T104" i="9"/>
  <c r="T92" i="9"/>
  <c r="S28" i="12" l="1"/>
  <c r="T576" i="17"/>
  <c r="T1370" i="17"/>
  <c r="T1380" i="17" s="1"/>
  <c r="T526" i="17"/>
  <c r="T185" i="11"/>
  <c r="T26" i="11"/>
  <c r="T140" i="11"/>
  <c r="E1408" i="17" s="1"/>
  <c r="D42" i="17" s="1"/>
  <c r="F42" i="17" s="1"/>
  <c r="E721" i="17"/>
  <c r="T722" i="17"/>
  <c r="T522" i="17"/>
  <c r="E521" i="17"/>
  <c r="E582" i="17"/>
  <c r="G583" i="17" s="1"/>
  <c r="E579" i="17"/>
  <c r="E787" i="17" s="1"/>
  <c r="F579" i="17"/>
  <c r="F787" i="17" s="1"/>
  <c r="S207" i="17"/>
  <c r="S208" i="17" s="1"/>
  <c r="S30" i="12"/>
  <c r="S31" i="12"/>
  <c r="T752" i="17"/>
  <c r="E751" i="17"/>
  <c r="E641" i="17"/>
  <c r="T642" i="17"/>
  <c r="T207" i="11"/>
  <c r="S1329" i="17"/>
  <c r="S392" i="17"/>
  <c r="S393" i="17" s="1"/>
  <c r="S71" i="9"/>
  <c r="T651" i="17"/>
  <c r="T164" i="10"/>
  <c r="F22" i="10" s="1"/>
  <c r="F26" i="10" s="1"/>
  <c r="D89" i="17" s="1"/>
  <c r="F89" i="17" s="1"/>
  <c r="T166" i="10"/>
  <c r="F24" i="10" s="1"/>
  <c r="C166" i="1" s="1"/>
  <c r="F21" i="10"/>
  <c r="F23" i="10"/>
  <c r="D24" i="1" s="1"/>
  <c r="T165" i="10"/>
  <c r="E642" i="17" l="1"/>
  <c r="F639" i="17"/>
  <c r="F799" i="17" s="1"/>
  <c r="E639" i="17"/>
  <c r="E799" i="17" s="1"/>
  <c r="G643" i="17"/>
  <c r="E722" i="17"/>
  <c r="E719" i="17"/>
  <c r="E815" i="17" s="1"/>
  <c r="F719" i="17"/>
  <c r="F815" i="17" s="1"/>
  <c r="G723" i="17"/>
  <c r="T656" i="17"/>
  <c r="E522" i="17"/>
  <c r="G523" i="17" s="1"/>
  <c r="F519" i="17"/>
  <c r="F775" i="17" s="1"/>
  <c r="E519" i="17"/>
  <c r="E775" i="17" s="1"/>
  <c r="D23" i="1"/>
  <c r="C165" i="1"/>
  <c r="E752" i="17"/>
  <c r="E749" i="17"/>
  <c r="E821" i="17" s="1"/>
  <c r="F749" i="17"/>
  <c r="F821" i="17" s="1"/>
  <c r="T1366" i="17"/>
  <c r="T536" i="17"/>
  <c r="T1365" i="17"/>
  <c r="T904" i="16"/>
  <c r="T218" i="11"/>
  <c r="T28" i="11"/>
  <c r="T21" i="12"/>
  <c r="T31" i="11"/>
  <c r="T1368" i="17"/>
  <c r="T1379" i="17" s="1"/>
  <c r="T97" i="9"/>
  <c r="T98" i="9" s="1"/>
  <c r="T746" i="17" s="1"/>
  <c r="T527" i="17"/>
  <c r="E526" i="17"/>
  <c r="S32" i="12"/>
  <c r="T652" i="17"/>
  <c r="E651" i="17"/>
  <c r="S407" i="17"/>
  <c r="S408" i="17" s="1"/>
  <c r="S72" i="9"/>
  <c r="S42" i="12"/>
  <c r="S60" i="10"/>
  <c r="S280" i="12"/>
  <c r="S43" i="12"/>
  <c r="S73" i="9"/>
  <c r="S76" i="9"/>
  <c r="T577" i="17"/>
  <c r="E576" i="17"/>
  <c r="G753" i="17" l="1"/>
  <c r="S44" i="12"/>
  <c r="T541" i="17"/>
  <c r="T222" i="11"/>
  <c r="G578" i="17"/>
  <c r="E527" i="17"/>
  <c r="E524" i="17"/>
  <c r="E776" i="17" s="1"/>
  <c r="F524" i="17"/>
  <c r="F776" i="17" s="1"/>
  <c r="T736" i="17"/>
  <c r="T95" i="9"/>
  <c r="T25" i="12"/>
  <c r="E656" i="17"/>
  <c r="T657" i="17"/>
  <c r="E652" i="17"/>
  <c r="G653" i="17" s="1"/>
  <c r="F649" i="17"/>
  <c r="F801" i="17" s="1"/>
  <c r="E649" i="17"/>
  <c r="E801" i="17" s="1"/>
  <c r="E536" i="17"/>
  <c r="T537" i="17"/>
  <c r="E577" i="17"/>
  <c r="E574" i="17"/>
  <c r="E786" i="17" s="1"/>
  <c r="F574" i="17"/>
  <c r="F786" i="17" s="1"/>
  <c r="S412" i="17"/>
  <c r="S413" i="17" s="1"/>
  <c r="S259" i="12"/>
  <c r="S281" i="12"/>
  <c r="S237" i="17" s="1"/>
  <c r="S238" i="17" s="1"/>
  <c r="S61" i="10"/>
  <c r="S62" i="10" s="1"/>
  <c r="S77" i="9"/>
  <c r="S78" i="9" s="1"/>
  <c r="T747" i="17"/>
  <c r="E746" i="17"/>
  <c r="G528" i="17" l="1"/>
  <c r="S1348" i="17"/>
  <c r="S64" i="10"/>
  <c r="T60" i="9"/>
  <c r="S241" i="12"/>
  <c r="S46" i="12"/>
  <c r="T36" i="10"/>
  <c r="S47" i="12"/>
  <c r="T556" i="17"/>
  <c r="T29" i="12"/>
  <c r="T737" i="17"/>
  <c r="E736" i="17"/>
  <c r="S287" i="12"/>
  <c r="E537" i="17"/>
  <c r="E534" i="17"/>
  <c r="E778" i="17" s="1"/>
  <c r="F534" i="17"/>
  <c r="F778" i="17" s="1"/>
  <c r="S282" i="12"/>
  <c r="S1346" i="17"/>
  <c r="S1356" i="17" s="1"/>
  <c r="S261" i="12"/>
  <c r="E657" i="17"/>
  <c r="F654" i="17"/>
  <c r="F802" i="17" s="1"/>
  <c r="E654" i="17"/>
  <c r="E802" i="17" s="1"/>
  <c r="G658" i="17"/>
  <c r="S312" i="17"/>
  <c r="S313" i="17" s="1"/>
  <c r="S260" i="12"/>
  <c r="T741" i="17"/>
  <c r="T100" i="9"/>
  <c r="E541" i="17"/>
  <c r="T542" i="17"/>
  <c r="E747" i="17"/>
  <c r="F744" i="17"/>
  <c r="F820" i="17" s="1"/>
  <c r="E744" i="17"/>
  <c r="E820" i="17" s="1"/>
  <c r="G748" i="17" l="1"/>
  <c r="G538" i="17"/>
  <c r="T756" i="17"/>
  <c r="T92" i="10"/>
  <c r="T101" i="9"/>
  <c r="T41" i="12"/>
  <c r="T229" i="11"/>
  <c r="F30" i="10"/>
  <c r="T102" i="9"/>
  <c r="T105" i="9" s="1"/>
  <c r="E741" i="17"/>
  <c r="T742" i="17"/>
  <c r="S1358" i="17"/>
  <c r="S1357" i="17"/>
  <c r="S317" i="17"/>
  <c r="S318" i="17" s="1"/>
  <c r="S262" i="12"/>
  <c r="E737" i="17"/>
  <c r="G738" i="17" s="1"/>
  <c r="F734" i="17"/>
  <c r="F818" i="17" s="1"/>
  <c r="E734" i="17"/>
  <c r="E818" i="17" s="1"/>
  <c r="T557" i="17"/>
  <c r="E556" i="17"/>
  <c r="S887" i="16"/>
  <c r="S891" i="16" s="1"/>
  <c r="S257" i="17"/>
  <c r="S258" i="17" s="1"/>
  <c r="S246" i="12"/>
  <c r="S266" i="12"/>
  <c r="E542" i="17"/>
  <c r="G543" i="17" s="1"/>
  <c r="F539" i="17"/>
  <c r="F779" i="17" s="1"/>
  <c r="E539" i="17"/>
  <c r="E779" i="17" s="1"/>
  <c r="S48" i="12"/>
  <c r="S242" i="17"/>
  <c r="S243" i="17" s="1"/>
  <c r="S283" i="12"/>
  <c r="T48" i="10"/>
  <c r="T73" i="12"/>
  <c r="T187" i="12" s="1"/>
  <c r="T227" i="12"/>
  <c r="T228" i="12" s="1"/>
  <c r="S1347" i="17"/>
  <c r="S282" i="17" l="1"/>
  <c r="S283" i="17" s="1"/>
  <c r="S263" i="12"/>
  <c r="T761" i="17"/>
  <c r="T208" i="11"/>
  <c r="E557" i="17"/>
  <c r="G558" i="17" s="1"/>
  <c r="F554" i="17"/>
  <c r="F782" i="17" s="1"/>
  <c r="E554" i="17"/>
  <c r="E782" i="17" s="1"/>
  <c r="T188" i="12"/>
  <c r="T94" i="10"/>
  <c r="E756" i="17"/>
  <c r="T757" i="17"/>
  <c r="E742" i="17"/>
  <c r="G743" i="17" s="1"/>
  <c r="F739" i="17"/>
  <c r="F819" i="17" s="1"/>
  <c r="E739" i="17"/>
  <c r="E819" i="17" s="1"/>
  <c r="T93" i="10"/>
  <c r="T230" i="11"/>
  <c r="T106" i="9"/>
  <c r="T210" i="11" s="1"/>
  <c r="T586" i="17"/>
  <c r="T1371" i="17"/>
  <c r="T1381" i="17" s="1"/>
  <c r="T231" i="11"/>
  <c r="T236" i="11"/>
  <c r="E1393" i="17" s="1"/>
  <c r="D34" i="17" s="1"/>
  <c r="F34" i="17" s="1"/>
  <c r="S247" i="17"/>
  <c r="S248" i="17" s="1"/>
  <c r="S284" i="12"/>
  <c r="T591" i="17" l="1"/>
  <c r="T232" i="11"/>
  <c r="T1372" i="17"/>
  <c r="T1373" i="17"/>
  <c r="T45" i="12"/>
  <c r="T96" i="10"/>
  <c r="D40" i="17" s="1"/>
  <c r="F40" i="17" s="1"/>
  <c r="T190" i="11"/>
  <c r="F28" i="10"/>
  <c r="F29" i="10"/>
  <c r="T190" i="12"/>
  <c r="T231" i="12" s="1"/>
  <c r="T189" i="12"/>
  <c r="T587" i="17"/>
  <c r="E586" i="17"/>
  <c r="T107" i="9"/>
  <c r="T661" i="17"/>
  <c r="T209" i="11"/>
  <c r="T762" i="17"/>
  <c r="E761" i="17"/>
  <c r="S265" i="12"/>
  <c r="S264" i="12"/>
  <c r="S322" i="17" s="1"/>
  <c r="S323" i="17" s="1"/>
  <c r="S892" i="16"/>
  <c r="S893" i="16" s="1"/>
  <c r="S252" i="17"/>
  <c r="S253" i="17" s="1"/>
  <c r="S286" i="12"/>
  <c r="E757" i="17"/>
  <c r="G758" i="17" s="1"/>
  <c r="F754" i="17"/>
  <c r="F822" i="17" s="1"/>
  <c r="E754" i="17"/>
  <c r="E822" i="17" s="1"/>
  <c r="E587" i="17" l="1"/>
  <c r="E584" i="17"/>
  <c r="E788" i="17" s="1"/>
  <c r="F584" i="17"/>
  <c r="F788" i="17" s="1"/>
  <c r="T1382" i="17"/>
  <c r="T1383" i="17"/>
  <c r="T666" i="17"/>
  <c r="T211" i="11"/>
  <c r="T915" i="16"/>
  <c r="T919" i="16" s="1"/>
  <c r="T606" i="17"/>
  <c r="T195" i="11"/>
  <c r="T215" i="11"/>
  <c r="E762" i="17"/>
  <c r="G763" i="17" s="1"/>
  <c r="F759" i="17"/>
  <c r="F823" i="17" s="1"/>
  <c r="E759" i="17"/>
  <c r="E823" i="17" s="1"/>
  <c r="G588" i="17"/>
  <c r="T230" i="12"/>
  <c r="T1313" i="17"/>
  <c r="T36" i="14"/>
  <c r="T37" i="14" s="1"/>
  <c r="T42" i="14" s="1"/>
  <c r="T407" i="15"/>
  <c r="E1384" i="17"/>
  <c r="D78" i="17" s="1"/>
  <c r="F78" i="17" s="1"/>
  <c r="T662" i="17"/>
  <c r="E661" i="17"/>
  <c r="T596" i="17"/>
  <c r="T233" i="11"/>
  <c r="E591" i="17"/>
  <c r="T592" i="17"/>
  <c r="T667" i="17" l="1"/>
  <c r="E666" i="17"/>
  <c r="T38" i="10"/>
  <c r="T40" i="10" s="1"/>
  <c r="T49" i="10" s="1"/>
  <c r="T76" i="12"/>
  <c r="T81" i="9"/>
  <c r="T875" i="16"/>
  <c r="T601" i="17"/>
  <c r="T235" i="11"/>
  <c r="E1391" i="17" s="1"/>
  <c r="D32" i="17" s="1"/>
  <c r="F32" i="17" s="1"/>
  <c r="T879" i="16"/>
  <c r="T49" i="14"/>
  <c r="E65" i="14" s="1"/>
  <c r="E67" i="14" s="1"/>
  <c r="T115" i="14"/>
  <c r="T410" i="15"/>
  <c r="T411" i="15" s="1"/>
  <c r="E1427" i="17" s="1"/>
  <c r="T82" i="14"/>
  <c r="T48" i="14"/>
  <c r="E113" i="14"/>
  <c r="E596" i="17"/>
  <c r="T597" i="17"/>
  <c r="T631" i="17"/>
  <c r="T212" i="11"/>
  <c r="T607" i="17"/>
  <c r="E606" i="17"/>
  <c r="E662" i="17"/>
  <c r="G663" i="17" s="1"/>
  <c r="E659" i="17"/>
  <c r="E803" i="17" s="1"/>
  <c r="F659" i="17"/>
  <c r="F803" i="17" s="1"/>
  <c r="T878" i="16"/>
  <c r="E413" i="15"/>
  <c r="E592" i="17"/>
  <c r="G593" i="17" s="1"/>
  <c r="F589" i="17"/>
  <c r="F789" i="17" s="1"/>
  <c r="E589" i="17"/>
  <c r="E789" i="17" s="1"/>
  <c r="E52" i="12" l="1"/>
  <c r="E74" i="14"/>
  <c r="C174" i="1"/>
  <c r="C20" i="1"/>
  <c r="D17" i="14"/>
  <c r="E76" i="14"/>
  <c r="D20" i="14" s="1"/>
  <c r="E116" i="14"/>
  <c r="E112" i="14"/>
  <c r="D22" i="14" s="1"/>
  <c r="E111" i="14"/>
  <c r="D21" i="14" s="1"/>
  <c r="E607" i="17"/>
  <c r="F604" i="17"/>
  <c r="F792" i="17" s="1"/>
  <c r="E604" i="17"/>
  <c r="E792" i="17" s="1"/>
  <c r="T214" i="11"/>
  <c r="E1389" i="17" s="1"/>
  <c r="D30" i="17" s="1"/>
  <c r="F30" i="17" s="1"/>
  <c r="T213" i="11"/>
  <c r="T671" i="17" s="1"/>
  <c r="T920" i="16"/>
  <c r="T921" i="16" s="1"/>
  <c r="E1434" i="17" s="1"/>
  <c r="D61" i="17" s="1"/>
  <c r="F61" i="17" s="1"/>
  <c r="T602" i="17"/>
  <c r="E601" i="17"/>
  <c r="E631" i="17"/>
  <c r="T632" i="17"/>
  <c r="E597" i="17"/>
  <c r="E594" i="17"/>
  <c r="E790" i="17" s="1"/>
  <c r="F594" i="17"/>
  <c r="F790" i="17" s="1"/>
  <c r="G598" i="17"/>
  <c r="T1339" i="17"/>
  <c r="T182" i="17"/>
  <c r="F90" i="14"/>
  <c r="F93" i="14"/>
  <c r="F92" i="14"/>
  <c r="F91" i="14"/>
  <c r="F89" i="14"/>
  <c r="E104" i="14"/>
  <c r="E105" i="14" s="1"/>
  <c r="E106" i="14" s="1"/>
  <c r="D49" i="17" s="1"/>
  <c r="F49" i="17" s="1"/>
  <c r="E414" i="15"/>
  <c r="E415" i="15" s="1"/>
  <c r="D47" i="17" s="1"/>
  <c r="F47" i="17" s="1"/>
  <c r="T54" i="10"/>
  <c r="E667" i="17"/>
  <c r="F664" i="17"/>
  <c r="F804" i="17" s="1"/>
  <c r="E664" i="17"/>
  <c r="E804" i="17" s="1"/>
  <c r="G668" i="17" l="1"/>
  <c r="G608" i="17"/>
  <c r="E632" i="17"/>
  <c r="E629" i="17"/>
  <c r="E797" i="17" s="1"/>
  <c r="F629" i="17"/>
  <c r="F797" i="17" s="1"/>
  <c r="C26" i="1"/>
  <c r="E51" i="12"/>
  <c r="C183" i="1"/>
  <c r="E117" i="14"/>
  <c r="D55" i="17" s="1"/>
  <c r="F55" i="17" s="1"/>
  <c r="L89" i="14"/>
  <c r="K89" i="14"/>
  <c r="J89" i="14"/>
  <c r="I89" i="14"/>
  <c r="H89" i="14"/>
  <c r="I93" i="14"/>
  <c r="H93" i="14"/>
  <c r="L93" i="14"/>
  <c r="K93" i="14"/>
  <c r="J93" i="14"/>
  <c r="E671" i="17"/>
  <c r="T672" i="17"/>
  <c r="E55" i="12"/>
  <c r="C177" i="1"/>
  <c r="E75" i="14"/>
  <c r="D18" i="14"/>
  <c r="E118" i="14"/>
  <c r="C21" i="1"/>
  <c r="T128" i="10"/>
  <c r="T55" i="10"/>
  <c r="E13" i="10"/>
  <c r="E14" i="10"/>
  <c r="C25" i="1" s="1"/>
  <c r="E15" i="10"/>
  <c r="H91" i="14"/>
  <c r="I91" i="14"/>
  <c r="L91" i="14"/>
  <c r="K91" i="14"/>
  <c r="J91" i="14"/>
  <c r="E94" i="14" s="1"/>
  <c r="D51" i="17" s="1"/>
  <c r="F51" i="17" s="1"/>
  <c r="G633" i="17"/>
  <c r="E602" i="17"/>
  <c r="E599" i="17"/>
  <c r="E791" i="17" s="1"/>
  <c r="F599" i="17"/>
  <c r="F791" i="17" s="1"/>
  <c r="K92" i="14"/>
  <c r="J92" i="14"/>
  <c r="I92" i="14"/>
  <c r="L92" i="14"/>
  <c r="H92" i="14"/>
  <c r="K90" i="14"/>
  <c r="J90" i="14"/>
  <c r="I90" i="14"/>
  <c r="H90" i="14"/>
  <c r="L90" i="14"/>
  <c r="T183" i="17"/>
  <c r="E182" i="17"/>
  <c r="G603" i="17" l="1"/>
  <c r="E672" i="17"/>
  <c r="E669" i="17"/>
  <c r="E805" i="17" s="1"/>
  <c r="E824" i="17" s="1"/>
  <c r="F669" i="17"/>
  <c r="F805" i="17" s="1"/>
  <c r="E829" i="17" s="1"/>
  <c r="G669" i="17"/>
  <c r="G805" i="17" s="1"/>
  <c r="E830" i="17" s="1"/>
  <c r="E827" i="17"/>
  <c r="G673" i="17"/>
  <c r="E183" i="17"/>
  <c r="G184" i="17" s="1"/>
  <c r="E180" i="17"/>
  <c r="E428" i="17" s="1"/>
  <c r="F180" i="17"/>
  <c r="F428" i="17" s="1"/>
  <c r="T31" i="9"/>
  <c r="T56" i="10"/>
  <c r="E828" i="17"/>
  <c r="E119" i="14"/>
  <c r="D24" i="14"/>
  <c r="E54" i="12"/>
  <c r="C184" i="1"/>
  <c r="C22" i="1"/>
  <c r="D19" i="14"/>
  <c r="E825" i="17"/>
  <c r="E826" i="17"/>
  <c r="T278" i="12" l="1"/>
  <c r="T159" i="10"/>
  <c r="T35" i="9"/>
  <c r="T72" i="12" s="1"/>
  <c r="E16" i="10"/>
  <c r="T33" i="9"/>
  <c r="D70" i="17"/>
  <c r="F70" i="17" s="1"/>
  <c r="T57" i="10"/>
  <c r="C207" i="1"/>
  <c r="D72" i="17"/>
  <c r="F72" i="17" s="1"/>
  <c r="T61" i="9" l="1"/>
  <c r="E19" i="10"/>
  <c r="T251" i="12"/>
  <c r="T79" i="9"/>
  <c r="T58" i="10"/>
  <c r="E25" i="10" s="1"/>
  <c r="D81" i="17" s="1"/>
  <c r="F81" i="17" s="1"/>
  <c r="T59" i="10"/>
  <c r="T36" i="9"/>
  <c r="E1399" i="17" s="1"/>
  <c r="T874" i="16"/>
  <c r="T74" i="12"/>
  <c r="T232" i="17"/>
  <c r="T1344" i="17"/>
  <c r="T1350" i="17" s="1"/>
  <c r="T289" i="12"/>
  <c r="E1398" i="17" s="1"/>
  <c r="D37" i="17" s="1"/>
  <c r="F37" i="17" s="1"/>
  <c r="T1338" i="17" l="1"/>
  <c r="T172" i="17"/>
  <c r="T75" i="12"/>
  <c r="T233" i="17"/>
  <c r="E232" i="17"/>
  <c r="T70" i="9"/>
  <c r="T402" i="17" s="1"/>
  <c r="T63" i="10"/>
  <c r="E1404" i="17" s="1"/>
  <c r="T1352" i="17"/>
  <c r="T1351" i="17"/>
  <c r="T254" i="12"/>
  <c r="T292" i="17"/>
  <c r="T889" i="16"/>
  <c r="T372" i="17"/>
  <c r="T38" i="12"/>
  <c r="T152" i="10"/>
  <c r="T154" i="10" s="1"/>
  <c r="T62" i="9"/>
  <c r="T64" i="9" s="1"/>
  <c r="T39" i="12"/>
  <c r="T277" i="12"/>
  <c r="T63" i="9"/>
  <c r="T75" i="9"/>
  <c r="T258" i="12" l="1"/>
  <c r="T155" i="10"/>
  <c r="E22" i="10" s="1"/>
  <c r="E26" i="10" s="1"/>
  <c r="T157" i="10"/>
  <c r="E24" i="10" s="1"/>
  <c r="E21" i="10"/>
  <c r="E23" i="10"/>
  <c r="C24" i="1" s="1"/>
  <c r="T156" i="10"/>
  <c r="E402" i="17"/>
  <c r="T403" i="17"/>
  <c r="T40" i="12"/>
  <c r="E1419" i="17" s="1"/>
  <c r="E233" i="17"/>
  <c r="G234" i="17" s="1"/>
  <c r="E230" i="17"/>
  <c r="E438" i="17" s="1"/>
  <c r="F230" i="17"/>
  <c r="F438" i="17" s="1"/>
  <c r="E372" i="17"/>
  <c r="T373" i="17"/>
  <c r="T227" i="17"/>
  <c r="T1345" i="17"/>
  <c r="T1355" i="17" s="1"/>
  <c r="T236" i="12"/>
  <c r="T77" i="12"/>
  <c r="T177" i="17"/>
  <c r="T191" i="12"/>
  <c r="E1406" i="17" s="1"/>
  <c r="D41" i="17" s="1"/>
  <c r="F41" i="17" s="1"/>
  <c r="T293" i="17"/>
  <c r="E292" i="17"/>
  <c r="T173" i="17"/>
  <c r="E172" i="17"/>
  <c r="T302" i="17"/>
  <c r="E173" i="17" l="1"/>
  <c r="F170" i="17"/>
  <c r="F426" i="17" s="1"/>
  <c r="E170" i="17"/>
  <c r="E426" i="17" s="1"/>
  <c r="E177" i="17"/>
  <c r="T178" i="17"/>
  <c r="E403" i="17"/>
  <c r="E400" i="17"/>
  <c r="E472" i="17" s="1"/>
  <c r="F400" i="17"/>
  <c r="F472" i="17" s="1"/>
  <c r="T1341" i="17"/>
  <c r="T1340" i="17"/>
  <c r="T187" i="17"/>
  <c r="T876" i="16"/>
  <c r="T269" i="12"/>
  <c r="T79" i="12"/>
  <c r="T23" i="12"/>
  <c r="T22" i="12"/>
  <c r="T82" i="12"/>
  <c r="T68" i="9"/>
  <c r="T69" i="9" s="1"/>
  <c r="T397" i="17" s="1"/>
  <c r="T1343" i="17"/>
  <c r="T1354" i="17" s="1"/>
  <c r="T1328" i="17"/>
  <c r="G404" i="17"/>
  <c r="G174" i="17"/>
  <c r="E293" i="17"/>
  <c r="G294" i="17" s="1"/>
  <c r="E290" i="17"/>
  <c r="E450" i="17" s="1"/>
  <c r="F290" i="17"/>
  <c r="F450" i="17" s="1"/>
  <c r="C23" i="1"/>
  <c r="C164" i="1"/>
  <c r="E227" i="17"/>
  <c r="T228" i="17"/>
  <c r="T307" i="17"/>
  <c r="E302" i="17"/>
  <c r="T303" i="17"/>
  <c r="E373" i="17"/>
  <c r="G374" i="17" s="1"/>
  <c r="F370" i="17"/>
  <c r="F466" i="17" s="1"/>
  <c r="E370" i="17"/>
  <c r="E466" i="17" s="1"/>
  <c r="T24" i="12" l="1"/>
  <c r="E1415" i="17" s="1"/>
  <c r="E303" i="17"/>
  <c r="E300" i="17"/>
  <c r="E452" i="17" s="1"/>
  <c r="F300" i="17"/>
  <c r="F452" i="17" s="1"/>
  <c r="T398" i="17"/>
  <c r="E397" i="17"/>
  <c r="E228" i="17"/>
  <c r="E225" i="17"/>
  <c r="E437" i="17" s="1"/>
  <c r="F225" i="17"/>
  <c r="F437" i="17" s="1"/>
  <c r="G229" i="17"/>
  <c r="T188" i="17"/>
  <c r="E187" i="17"/>
  <c r="G304" i="17"/>
  <c r="E178" i="17"/>
  <c r="G179" i="17" s="1"/>
  <c r="F175" i="17"/>
  <c r="F427" i="17" s="1"/>
  <c r="E175" i="17"/>
  <c r="E427" i="17" s="1"/>
  <c r="E307" i="17"/>
  <c r="T308" i="17"/>
  <c r="T387" i="17"/>
  <c r="T26" i="12"/>
  <c r="T27" i="12"/>
  <c r="T66" i="9"/>
  <c r="T192" i="17"/>
  <c r="T273" i="12"/>
  <c r="E188" i="17" l="1"/>
  <c r="G189" i="17" s="1"/>
  <c r="F185" i="17"/>
  <c r="F429" i="17" s="1"/>
  <c r="E185" i="17"/>
  <c r="E429" i="17" s="1"/>
  <c r="E308" i="17"/>
  <c r="E305" i="17"/>
  <c r="E453" i="17" s="1"/>
  <c r="F305" i="17"/>
  <c r="F453" i="17" s="1"/>
  <c r="T207" i="17"/>
  <c r="T31" i="12"/>
  <c r="T30" i="12"/>
  <c r="T32" i="12" s="1"/>
  <c r="E1417" i="17" s="1"/>
  <c r="E398" i="17"/>
  <c r="G399" i="17" s="1"/>
  <c r="F395" i="17"/>
  <c r="F471" i="17" s="1"/>
  <c r="E395" i="17"/>
  <c r="E471" i="17" s="1"/>
  <c r="T388" i="17"/>
  <c r="E387" i="17"/>
  <c r="T193" i="17"/>
  <c r="E192" i="17"/>
  <c r="T1329" i="17"/>
  <c r="T392" i="17"/>
  <c r="T71" i="9"/>
  <c r="T28" i="12"/>
  <c r="E1416" i="17" s="1"/>
  <c r="G309" i="17" l="1"/>
  <c r="E193" i="17"/>
  <c r="E190" i="17"/>
  <c r="E430" i="17" s="1"/>
  <c r="F190" i="17"/>
  <c r="F430" i="17" s="1"/>
  <c r="T407" i="17"/>
  <c r="T43" i="12"/>
  <c r="T280" i="12"/>
  <c r="T72" i="9"/>
  <c r="T42" i="12"/>
  <c r="T44" i="12" s="1"/>
  <c r="E1420" i="17" s="1"/>
  <c r="T60" i="10"/>
  <c r="E30" i="10"/>
  <c r="T73" i="9"/>
  <c r="T76" i="9" s="1"/>
  <c r="E392" i="17"/>
  <c r="T393" i="17"/>
  <c r="T208" i="17"/>
  <c r="E207" i="17"/>
  <c r="E388" i="17"/>
  <c r="E385" i="17"/>
  <c r="E469" i="17" s="1"/>
  <c r="F385" i="17"/>
  <c r="F469" i="17" s="1"/>
  <c r="G194" i="17"/>
  <c r="G389" i="17"/>
  <c r="T412" i="17" l="1"/>
  <c r="T259" i="12"/>
  <c r="E393" i="17"/>
  <c r="F390" i="17"/>
  <c r="F470" i="17" s="1"/>
  <c r="E390" i="17"/>
  <c r="E470" i="17" s="1"/>
  <c r="G394" i="17"/>
  <c r="T61" i="10"/>
  <c r="T62" i="10" s="1"/>
  <c r="T281" i="12"/>
  <c r="T237" i="17" s="1"/>
  <c r="T77" i="9"/>
  <c r="T261" i="12" s="1"/>
  <c r="T408" i="17"/>
  <c r="E407" i="17"/>
  <c r="E208" i="17"/>
  <c r="E205" i="17"/>
  <c r="E433" i="17" s="1"/>
  <c r="F205" i="17"/>
  <c r="F433" i="17" s="1"/>
  <c r="G209" i="17" l="1"/>
  <c r="T282" i="12"/>
  <c r="T242" i="17" s="1"/>
  <c r="T1346" i="17"/>
  <c r="T1356" i="17" s="1"/>
  <c r="T78" i="9"/>
  <c r="D85" i="17" s="1"/>
  <c r="F85" i="17" s="1"/>
  <c r="C13" i="17" s="1"/>
  <c r="C12" i="1" s="1"/>
  <c r="T287" i="12"/>
  <c r="E1392" i="17" s="1"/>
  <c r="D33" i="17" s="1"/>
  <c r="F33" i="17" s="1"/>
  <c r="T1348" i="17"/>
  <c r="T1347" i="17"/>
  <c r="T241" i="12"/>
  <c r="T64" i="10"/>
  <c r="D39" i="17" s="1"/>
  <c r="F39" i="17" s="1"/>
  <c r="T47" i="12"/>
  <c r="T46" i="12"/>
  <c r="T48" i="12" s="1"/>
  <c r="E1421" i="17" s="1"/>
  <c r="D44" i="17" s="1"/>
  <c r="F44" i="17" s="1"/>
  <c r="E28" i="10"/>
  <c r="E29" i="10"/>
  <c r="T312" i="17"/>
  <c r="T260" i="12"/>
  <c r="E412" i="17"/>
  <c r="T413" i="17"/>
  <c r="E408" i="17"/>
  <c r="E405" i="17"/>
  <c r="E473" i="17" s="1"/>
  <c r="F405" i="17"/>
  <c r="F473" i="17" s="1"/>
  <c r="T238" i="17"/>
  <c r="E237" i="17"/>
  <c r="T283" i="12" l="1"/>
  <c r="G409" i="17"/>
  <c r="T247" i="17"/>
  <c r="T284" i="12"/>
  <c r="E413" i="17"/>
  <c r="F410" i="17"/>
  <c r="F474" i="17" s="1"/>
  <c r="E410" i="17"/>
  <c r="E474" i="17" s="1"/>
  <c r="G414" i="17"/>
  <c r="T1357" i="17"/>
  <c r="E1359" i="17" s="1"/>
  <c r="T1358" i="17"/>
  <c r="T317" i="17"/>
  <c r="T262" i="12"/>
  <c r="T313" i="17"/>
  <c r="E312" i="17"/>
  <c r="E238" i="17"/>
  <c r="G239" i="17" s="1"/>
  <c r="E235" i="17"/>
  <c r="E439" i="17" s="1"/>
  <c r="F235" i="17"/>
  <c r="F439" i="17" s="1"/>
  <c r="T243" i="17"/>
  <c r="E242" i="17"/>
  <c r="T887" i="16"/>
  <c r="T891" i="16" s="1"/>
  <c r="T257" i="17"/>
  <c r="T246" i="12"/>
  <c r="T266" i="12"/>
  <c r="D77" i="17" l="1"/>
  <c r="F77" i="17" s="1"/>
  <c r="C9" i="17"/>
  <c r="C10" i="1" s="1"/>
  <c r="C208" i="1"/>
  <c r="E317" i="17"/>
  <c r="T318" i="17"/>
  <c r="T282" i="17"/>
  <c r="T263" i="12"/>
  <c r="E257" i="17"/>
  <c r="T258" i="17"/>
  <c r="E243" i="17"/>
  <c r="F240" i="17"/>
  <c r="F440" i="17" s="1"/>
  <c r="E240" i="17"/>
  <c r="E440" i="17" s="1"/>
  <c r="T252" i="17"/>
  <c r="T286" i="12"/>
  <c r="E1390" i="17" s="1"/>
  <c r="D31" i="17" s="1"/>
  <c r="F31" i="17" s="1"/>
  <c r="E313" i="17"/>
  <c r="F310" i="17"/>
  <c r="F454" i="17" s="1"/>
  <c r="E310" i="17"/>
  <c r="E454" i="17" s="1"/>
  <c r="G314" i="17"/>
  <c r="T248" i="17"/>
  <c r="E247" i="17"/>
  <c r="G244" i="17" l="1"/>
  <c r="E248" i="17"/>
  <c r="G249" i="17" s="1"/>
  <c r="E245" i="17"/>
  <c r="E441" i="17" s="1"/>
  <c r="F245" i="17"/>
  <c r="F441" i="17" s="1"/>
  <c r="T283" i="17"/>
  <c r="E282" i="17"/>
  <c r="T264" i="12"/>
  <c r="T322" i="17" s="1"/>
  <c r="T265" i="12"/>
  <c r="E1388" i="17" s="1"/>
  <c r="D29" i="17" s="1"/>
  <c r="F29" i="17" s="1"/>
  <c r="T892" i="16"/>
  <c r="T893" i="16" s="1"/>
  <c r="E1433" i="17" s="1"/>
  <c r="D60" i="17" s="1"/>
  <c r="F60" i="17" s="1"/>
  <c r="E318" i="17"/>
  <c r="G319" i="17" s="1"/>
  <c r="F315" i="17"/>
  <c r="F455" i="17" s="1"/>
  <c r="E315" i="17"/>
  <c r="E455" i="17" s="1"/>
  <c r="E258" i="17"/>
  <c r="F255" i="17"/>
  <c r="F443" i="17" s="1"/>
  <c r="E255" i="17"/>
  <c r="E443" i="17" s="1"/>
  <c r="E252" i="17"/>
  <c r="T253" i="17"/>
  <c r="C12" i="17" l="1"/>
  <c r="C11" i="1" s="1"/>
  <c r="G259" i="17"/>
  <c r="E322" i="17"/>
  <c r="T323" i="17"/>
  <c r="E283" i="17"/>
  <c r="F280" i="17"/>
  <c r="F448" i="17" s="1"/>
  <c r="E280" i="17"/>
  <c r="E448" i="17" s="1"/>
  <c r="E253" i="17"/>
  <c r="E250" i="17"/>
  <c r="E442" i="17" s="1"/>
  <c r="F250" i="17"/>
  <c r="F442" i="17" s="1"/>
  <c r="G284" i="17"/>
  <c r="G254" i="17"/>
  <c r="E323" i="17" l="1"/>
  <c r="G324" i="17" s="1"/>
  <c r="E320" i="17"/>
  <c r="E456" i="17" s="1"/>
  <c r="E476" i="17" s="1"/>
  <c r="G320" i="17"/>
  <c r="G456" i="17" s="1"/>
  <c r="E481" i="17" s="1"/>
  <c r="F320" i="17"/>
  <c r="F456" i="17" s="1"/>
  <c r="E480" i="17" s="1"/>
  <c r="C206" i="1" l="1"/>
  <c r="D71" i="17"/>
  <c r="F71" i="17" s="1"/>
  <c r="E475" i="17"/>
  <c r="E477" i="17"/>
  <c r="E479" i="17"/>
  <c r="E478" i="17"/>
  <c r="D69" i="17" l="1"/>
  <c r="F69" i="17" s="1"/>
  <c r="C10" i="17" s="1"/>
  <c r="C7" i="17"/>
  <c r="C8" i="1" s="1"/>
</calcChain>
</file>

<file path=xl/sharedStrings.xml><?xml version="1.0" encoding="utf-8"?>
<sst xmlns="http://schemas.openxmlformats.org/spreadsheetml/2006/main" count="18432" uniqueCount="5372">
  <si>
    <t>ALUR MODEL (MODEL FLOW) - panduan praktis model keuangan FSL tanpa Sapphire, direvisi dari workbook v29 asli</t>
  </si>
  <si>
    <t>Semua angka di lembar ini adalah rumus yang membaca sel model (bukan ketikan). Klik teks biru bergaris bawah untuk melompat ke sel yang dimaksud. Nama lembar, nomor bagian dan alamat sel ditulis apa adanya (bahasa Inggris).</t>
  </si>
  <si>
    <t>Go to sheet:</t>
  </si>
  <si>
    <t>[Model Flow]</t>
  </si>
  <si>
    <t>Inputs</t>
  </si>
  <si>
    <t>FS Request</t>
  </si>
  <si>
    <t>Revenue</t>
  </si>
  <si>
    <t>Costs</t>
  </si>
  <si>
    <t>BUMN Synergy</t>
  </si>
  <si>
    <t>Capex</t>
  </si>
  <si>
    <t>Work. cap.</t>
  </si>
  <si>
    <t>Financing</t>
  </si>
  <si>
    <t>Funding</t>
  </si>
  <si>
    <t>Out: w/o BUMN</t>
  </si>
  <si>
    <t>Out: With BUMN</t>
  </si>
  <si>
    <t>Val: w/o BUMN</t>
  </si>
  <si>
    <t>Val: With BUMN</t>
  </si>
  <si>
    <t>Proj. CF</t>
  </si>
  <si>
    <t>Proj. Summary</t>
  </si>
  <si>
    <t>Checks</t>
  </si>
  <si>
    <t>Source Data</t>
  </si>
  <si>
    <t>1.  MULAI DARI MANA - status model dan hasil utama (rumus hidup)</t>
  </si>
  <si>
    <t>Lembar Checks &amp; Reconciliation bagian A menjawab tiga pertanyaan. Model ini adalah BASELINE REVISI: semua asumsi v29 dipertahankan kecuali perubahan yang diminta (tanggal valuasi, pinjaman LT, capex %, Badas, pendanaan). Karena itu sebagian baris sengaja berbeda dari v29; statusnya "Differs - requested change" dan setiap selisih dijelaskan (bagian D dan G).</t>
  </si>
  <si>
    <t>1. Apakah model mereproduksi v29, selain perubahan yang diminta?</t>
  </si>
  <si>
    <t>Checks &amp; Reconciliation A</t>
  </si>
  <si>
    <t xml:space="preserve">    Tingkat proyek: 16 blok bisnis v29</t>
  </si>
  <si>
    <t xml:space="preserve">    Jembatan v29 -&gt; baseline revisi</t>
  </si>
  <si>
    <t>2. Apakah model lolos pemeriksaan integritas akuntansi dan keuangan?</t>
  </si>
  <si>
    <t xml:space="preserve">    Peringatan tentang hasil</t>
  </si>
  <si>
    <t>3. Apakah ada masalah data sumber yang belum terselesaikan?</t>
  </si>
  <si>
    <t xml:space="preserve">    Item yang perlu dikonfirmasi</t>
  </si>
  <si>
    <t>Perubahan yang aktif dan perubahan input Anda</t>
  </si>
  <si>
    <t>Kasus yang sedang berlaku</t>
  </si>
  <si>
    <t>Hasil utama (IDR miliar; tanggal valuasi 31-Des-2026). Nilai ekuitas = nilai; kebutuhan ekuitas = kas yang harus disetor pemegang saham. Keduanya BERBEDA.</t>
  </si>
  <si>
    <t>Hasil</t>
  </si>
  <si>
    <t>Dengan BUMN</t>
  </si>
  <si>
    <t>Tanpa BUMN</t>
  </si>
  <si>
    <t>Sel (Dengan BUMN)</t>
  </si>
  <si>
    <t>Sel (Tanpa BUMN)</t>
  </si>
  <si>
    <t>Nilai perusahaan (EV, 100%)</t>
  </si>
  <si>
    <t>Valuation — With BUMN!E67</t>
  </si>
  <si>
    <t>Valuation — Without BUMN!E67</t>
  </si>
  <si>
    <t>Nilai ekuitas untuk pemegang saham FSL</t>
  </si>
  <si>
    <t>Valuation — With BUMN!E74</t>
  </si>
  <si>
    <t>Valuation — Without BUMN!E74</t>
  </si>
  <si>
    <t>Nilai ekuitas (USD juta, kurs tahun valuasi)</t>
  </si>
  <si>
    <t>Valuation — With BUMN!E75</t>
  </si>
  <si>
    <t>Valuation — Without BUMN!E75</t>
  </si>
  <si>
    <t>Total kebutuhan ekuitas (kas yang harus disetor, semua tahun)</t>
  </si>
  <si>
    <t>Funding Requirement!E21</t>
  </si>
  <si>
    <t>Funding Requirement!F21</t>
  </si>
  <si>
    <t>Tahun pertama ekuitas dibutuhkan</t>
  </si>
  <si>
    <t>Funding Requirement!E23</t>
  </si>
  <si>
    <t>Funding Requirement!F23</t>
  </si>
  <si>
    <t>Kesenjangan pendanaan terbesar dalam satu tahun</t>
  </si>
  <si>
    <t>Funding Requirement!E14</t>
  </si>
  <si>
    <t>Funding Requirement!F14</t>
  </si>
  <si>
    <t>Nilai skema BUMN yang menjadi hak FSL (EV Dengan - Tanpa BUMN)</t>
  </si>
  <si>
    <t>IDR miliar</t>
  </si>
  <si>
    <t>Valuation — With BUMN!E116</t>
  </si>
  <si>
    <t>Badas (ilustratif, input DUMMY): NPV 100% pada tanggal valuasi</t>
  </si>
  <si>
    <t>Project Cash Flows!E379</t>
  </si>
  <si>
    <t>Dua kasus dan jembatan di antara keduanya (FY2026, IDR miliar). Angka referensi: 494,571 (FSL tanpa BUMN) + 127,494 (kontribusi BUMN) = 622,065 (v29 Output_FSL!L44) - tidak berubah oleh revisi.</t>
  </si>
  <si>
    <t>Pendapatan FY2026 - kasus Tanpa BUMN</t>
  </si>
  <si>
    <t>FSL Output - Without BUMN!J9</t>
  </si>
  <si>
    <t>Kontribusi BUMN FY2026 = pendapatan hak FSL dari skema operatorship P12-P14</t>
  </si>
  <si>
    <t>BUMN Synergy Calculation!J98</t>
  </si>
  <si>
    <t>Pendapatan FY2026 - kasus Dengan BUMN</t>
  </si>
  <si>
    <t>FSL Output - With BUMN!J59</t>
  </si>
  <si>
    <t>Urutan lembar dan fungsinya (nama lembar persis seperti di tab):</t>
  </si>
  <si>
    <t>Semua asumsi dan kontrol - satu-satunya lembar yang diedit. Kolom D = tipe (v29 / Derived / CHANGE / DUMMY / TO CONFIRM / Control / Placeholder); kolom U menandai nilai yang berbeda dari nilai yang diserahkan (Source Data, baris sama).</t>
  </si>
  <si>
    <t>FS Data Request</t>
  </si>
  <si>
    <t>Daftar data yang diminta dari studi kelayakan Badas (dan proyek funding-only / placeholder): definisi, satuan, status, sel Inputs tempat mengisi, baris perhitungan yang memakainya.</t>
  </si>
  <si>
    <t>Revenue Calculation</t>
  </si>
  <si>
    <t>Volume x tarif per bisnis dan proyek (E1-E4, P01-P11, P15-P19). A: tahun mulai dan bendera operasi. E: Badas (template).</t>
  </si>
  <si>
    <t>Cost Calculation</t>
  </si>
  <si>
    <t>Biaya pokok, beban usaha dan EBITDA per bisnis; D: Badas; E: ringkasan per kasus.</t>
  </si>
  <si>
    <t>BUMN Synergy Calculation</t>
  </si>
  <si>
    <t>Skema operatorship P12-P14: ekonomi per ton, hak FSL, bagian yang tetap di BUMN (informasi saja).</t>
  </si>
  <si>
    <t>Capex &amp; Depreciation</t>
  </si>
  <si>
    <t>A: capex USD = total investasi x % belanja per tahun; A2: ringkasan sebelum / sesudah tanggal valuasi; B-C: kurs dan IDR; D-E: penyusutan; G: per bisnis (termasuk nilai buku); J: capex di luar laporan (funding request); K: tangkapan layar daftar proyek.</t>
  </si>
  <si>
    <t>Working Capital</t>
  </si>
  <si>
    <t>Piutang, persediaan, utang usaha per bisnis dan per kasus (metode v29).</t>
  </si>
  <si>
    <t>Pinjaman lama (termasuk pinjaman LT 12 USD juta yang dilunasi 2027), fasilitas utang baru, utang proyek Badas, dividen (aturan v29), ekuitas, DSCR.</t>
  </si>
  <si>
    <t>Funding Requirement</t>
  </si>
  <si>
    <t>Arus kas (sumber dan penggunaan dana), kesenjangan pendanaan, utang, ekuitas residual, proyek capex-only, total kebutuhan ekuitas dan waktunya.</t>
  </si>
  <si>
    <t>FSL Output - Without BUMN</t>
  </si>
  <si>
    <t>Laba rugi, pajak, neraca, arus kas FSL tanpa skema BUMN; referensi FCFF / IRR v29.</t>
  </si>
  <si>
    <t>FSL Output - With BUMN</t>
  </si>
  <si>
    <t>Sama dengan skema BUMN P12-P14; bagian A: jembatan Tanpa BUMN + kontribusi BUMN = Dengan BUMN.</t>
  </si>
  <si>
    <t>Valuation — Without BUMN</t>
  </si>
  <si>
    <t>DCF kasus Tanpa BUMN pada 31-Des-2026 (FCFF FY2027+), jembatan EV -&gt; nilai ekuitas, sensitivitas.</t>
  </si>
  <si>
    <t>Valuation — With BUMN</t>
  </si>
  <si>
    <t>DCF kasus Dengan BUMN dengan tata letak yang sama + nilai skema BUMN yang menjadi hak FSL (bagian H).</t>
  </si>
  <si>
    <t>Project Cash Flows</t>
  </si>
  <si>
    <t>Laba, arus kas tanpa leverage, NPV, IRR (seluruh umur dan dari FY2027), payback, kebutuhan pendanaan per bisnis; Badas ilustratif; rekonsiliasi ke EV.</t>
  </si>
  <si>
    <t>Project Summary</t>
  </si>
  <si>
    <t>Satu bagian per proyek (konsep v29 Output_Standalone): driver, laba rugi, neraca, arus kas, capex dan pendanaan, imbal hasil; jembatan ke total FSL.</t>
  </si>
  <si>
    <t>Checks &amp; Reconciliation</t>
  </si>
  <si>
    <t>Status (A), peringatan (B), item TO CONFIRM (C), rekonsiliasi per baris ke v29 (D), per blok (E), koreksi opsional (F), jembatan v29 -&gt; revisi (G).</t>
  </si>
  <si>
    <t>Nilai input yang diserahkan (cermin Inputs 1-16), neraca Des-23 (17), tolok ukur v29 kedua kasus (18), blok bisnis v29 (19), daftar masalah sumber (20). Jangan diedit.</t>
  </si>
  <si>
    <t>2.  PERUBAHAN TERHADAP v29 YANG DIMINTA (dan cara kembali ke v29)</t>
  </si>
  <si>
    <t>a) Tanggal valuasi 31-Des-2026. DCF hanya memakai FCFF FY2027 dan seterusnya; FY2024-26 berada sebelum tanggal valuasi. Konvensi akhir tahun: FCFF FY2027 didiskonto satu tahun penuh dari 31-Des-2026. Kas, utang dan penyesuaian lain di jembatan nilai ekuitas memakai saldo proyeksi 31-Des-2026 (belum ada aktual FY2024-26).</t>
  </si>
  <si>
    <t>Tanggal valuasi (Inputs 3)</t>
  </si>
  <si>
    <t>Inputs!E93</t>
  </si>
  <si>
    <t>Periode diskonto FY2027 (Valuation - Dengan BUMN bagian C)</t>
  </si>
  <si>
    <t>tahun</t>
  </si>
  <si>
    <t>Valuation — With BUMN!K46</t>
  </si>
  <si>
    <t>Faktor diskonto FY2027</t>
  </si>
  <si>
    <t>Valuation — With BUMN!K47</t>
  </si>
  <si>
    <t>b) Pinjaman LT 12 USD juta (195,18 IDR miliar) tidak dilunasi 2025 seperti di v29: saldo tetap sampai 31-Des-2026 dan dilunasi 2027 (tanggal sementara 30-Jun-2027, dapat diubah). Bunga dihitung sampai tanggal pelunasan dengan tarif tersirat v29 (7,83%), dibagi ke baris pajak v29 Cigading existing / Wharf 2. Pinjaman lain (29,3) tetap dilunasi FY2024.</t>
  </si>
  <si>
    <t>Saldo pinjaman LT 31-Des-2026 (Financing A)</t>
  </si>
  <si>
    <t>Financing!J14</t>
  </si>
  <si>
    <t>Bunga pinjaman LT FY2026</t>
  </si>
  <si>
    <t>Financing!J16</t>
  </si>
  <si>
    <t>Bunga pinjaman LT FY2027 (sampai tanggal pelunasan)</t>
  </si>
  <si>
    <t>Financing!K16</t>
  </si>
  <si>
    <t>Pelunasan FY2027</t>
  </si>
  <si>
    <t>Financing!K13</t>
  </si>
  <si>
    <t>Tanggal pelunasan (Inputs 10; CHANGE, TO CONFIRM)</t>
  </si>
  <si>
    <t>Inputs!E494</t>
  </si>
  <si>
    <t>c) Capex setiap proyek = total investasi (USD juta) x % belanja per periode (kolom pra-2024 = sudah dibelanjakan / sunk). Persentase awal = waktu v29, sehingga angka capex tidak berubah. Kontrol "tahun mulai" capex yang lama dihapus; tahun mulai operasi (pendapatan) tetap terpisah di Inputs 2.</t>
  </si>
  <si>
    <t>d) Badas (P19) ditambahkan sebagai template proyek lengkap dengan input DUMMY (warna emas, "DUMMY - REPLACE WITH FS DATA"). Hasilnya selalu terlihat (ilustratif) tetapi TIDAK masuk valuasi (saklar OFF); capex-nya masuk permintaan pendanaan (kontrol terpisah).</t>
  </si>
  <si>
    <t>e) Pendanaan: ekuitas baru = kebutuhan residual setelah kas internal, pendanaan yang sudah dikomitmenkan dan utang (Funding Requirement), bukan jadwal v29 (ekuitas = capex FY2026-27, 35,6 USD juta). Lima proyek funding-only (F01-F05) dapat diisi capex saja.</t>
  </si>
  <si>
    <t>Untuk mereproduksi v29 persis (semua baris "Matches v29"): Inputs 10 tanggal pelunasan pinjaman LT = 31-Des-2025 dan Inputs 1 basis ekuitas = 2. Tanggal valuasi dan struktur capex % tidak mengubah baris laporan (diuji).</t>
  </si>
  <si>
    <t>Lompat ke kontrol</t>
  </si>
  <si>
    <t>Inputs 10 - tanggal pelunasan</t>
  </si>
  <si>
    <t>Inputs 1 - basis ekuitas</t>
  </si>
  <si>
    <t>Checks G - jembatan</t>
  </si>
  <si>
    <t>3.  APA YANG BOLEH DIUBAH - hanya sel biru berlatar warna di lembar Inputs</t>
  </si>
  <si>
    <t>Warna tipe: abu-abu = nilai v29; hijau = turunan v29; biru muda = CHANGE (perubahan yang diminta; nilai v29 di kolom F); emas = DUMMY (ganti dengan data FS); oranye = TO CONFIRM (provisional); kuning = kontrol / saklar; ungu = placeholder (sengaja kosong). Teks hitam = rumus, jangan diedit; teks hijau = link dari lembar lain.</t>
  </si>
  <si>
    <t>Asumsi tahunan mempunyai satu sel per tahun (kolom H:T; G = pra-2024 / Des-23). Mengubah FY2028 hanya mengubah FY2028; baris pertumbuhan membawa efeknya ke tahun berikutnya. Kolom E = parameter yang memang bukan tahunan.</t>
  </si>
  <si>
    <t>Kontrol (Inputs)</t>
  </si>
  <si>
    <t>Nilai sekarang</t>
  </si>
  <si>
    <t>Diserahkan</t>
  </si>
  <si>
    <t>Sel</t>
  </si>
  <si>
    <t>Pemilih skenario: 1 = bisnis lama + proyek yang ON; 2 = bisnis lama saja</t>
  </si>
  <si>
    <t>Inputs!E42</t>
  </si>
  <si>
    <t>Skema operatorship BUMN (P12-P14) masuk kasus Dengan BUMN: 1 = ya, 0 = tidak</t>
  </si>
  <si>
    <t>Inputs!E43</t>
  </si>
  <si>
    <t>Basis ekuitas: 1 = kebutuhan residual (revisi), 2 = jadwal v29</t>
  </si>
  <si>
    <t>Inputs!E44</t>
  </si>
  <si>
    <t>Tuas volume / tarif / biaya / capex (% perubahan)</t>
  </si>
  <si>
    <t>Inputs!E45</t>
  </si>
  <si>
    <t>Badas masuk valuasi (Inputs 2, saklar P19; OFF)</t>
  </si>
  <si>
    <t>Inputs!E82</t>
  </si>
  <si>
    <t>Capex Badas masuk permintaan pendanaan saat di luar valuasi (Inputs 13)</t>
  </si>
  <si>
    <t>Inputs!E568</t>
  </si>
  <si>
    <t>Tahun yang dijelaskan dengan kalimat di Checks &amp; Reconciliation D</t>
  </si>
  <si>
    <t>Inputs!E49</t>
  </si>
  <si>
    <t>Toleransi kecocokan dengan v29 (IDR miliar per baris dan tahun)</t>
  </si>
  <si>
    <t>Inputs!E50</t>
  </si>
  <si>
    <t>Setelah mengubah input: Checks &amp; Reconciliation A menunjukkan "Differs - inputs changed" dan bagian D menunjukkan baris dan tahun mana yang berubah. Untuk kembali: kembalikan sel yang ditandai di kolom U Inputs (nilai asli ada di Source Data, baris yang sama).</t>
  </si>
  <si>
    <t>4.  BAGAIMANA SETIAP PROYEK DIHITUNG - rantai perhitungan yang sama untuk semua bisnis</t>
  </si>
  <si>
    <t>Volume dasar, pertumbuhan, tarif, rasio biaya, total investasi dan % belanja per tahun, porsi bangunan / peralatan dan umur aset, saklar dan tahun mulai.</t>
  </si>
  <si>
    <t>A: bendera operasi (1 dari tahun mulai). Volume = dasar x indeks x tuas volume; tarif = input tahunan x tuas tarif; pendapatan = volume x tarif / 1e9 (IDR miliar).</t>
  </si>
  <si>
    <t>Biaya pokok (per ton x volume, atau % pendapatan, plus asuransi % x total investasi x kurs), beban usaha, EBITDA per bisnis.</t>
  </si>
  <si>
    <t>A: capex USD = total x % x tuas capex x saklar. B-C: kurs dan IDR. D: penyusutan metode v29 (capex x porsi / umur mulai tahun mulai). G: D&amp;A, capex dan nilai buku per bisnis.</t>
  </si>
  <si>
    <t>Piutang = pendapatan x hari piutang / hari; utang = biaya pokok x hari utang / hari; persediaan per v29.</t>
  </si>
  <si>
    <t>FSL Output - Without BUMN  /  FSL Output - With BUMN</t>
  </si>
  <si>
    <t>Laba rugi, pajak metode baris v29 (22% x MAX(0, laba) per blok bisnis), neraca, arus kas per kasus; nomor baris v29 Output_FSL di setiap label.</t>
  </si>
  <si>
    <t>Financing  /  Funding Requirement</t>
  </si>
  <si>
    <t>Kas sebelum dana baru -&gt; kesenjangan terhadap kas minimum -&gt; pendanaan komitmen, utang, ekuitas residual -&gt; dividen (aturan v29) -&gt; kas akhir.</t>
  </si>
  <si>
    <t>Valuation - Tanpa / Dengan BUMN</t>
  </si>
  <si>
    <t>FCFF = NOPAT + D&amp;A - capex - kenaikan modal kerja; hanya FY2027+; nilai terminal; EV -&gt; nilai ekuitas pada 31-Des-2026.</t>
  </si>
  <si>
    <t>Project Cash Flows  /  Project Summary</t>
  </si>
  <si>
    <t>Per bisnis: laba sendiri, arus kas tanpa leverage, NPV, IRR, payback, kebutuhan pendanaan; ringkasan satu bagian per proyek dengan jembatan ke total FSL.</t>
  </si>
  <si>
    <t>Daftar proyek: baris pendapatan, EBITDA, capex / D&amp;A dan bagian ringkasan setiap bisnis (klik untuk melompat). Kolom C = masuk valuasi saat ini (1 = ya); kolom D = tahun mulai operasi.</t>
  </si>
  <si>
    <t>Bisnis / proyek</t>
  </si>
  <si>
    <t>Valuasi</t>
  </si>
  <si>
    <t>Mulai</t>
  </si>
  <si>
    <t>Pendapatan</t>
  </si>
  <si>
    <t>Biaya / EBITDA</t>
  </si>
  <si>
    <t>Capex / D&amp;A</t>
  </si>
  <si>
    <t>Sumber v29</t>
  </si>
  <si>
    <t>E1  Teluk Lamong cargodoring &amp; delivery (NPLOG)  [Existing]</t>
  </si>
  <si>
    <t>lama</t>
  </si>
  <si>
    <t>Revenue row 41</t>
  </si>
  <si>
    <t>Costs row 35</t>
  </si>
  <si>
    <t>Capex row 231 (D&amp;A)</t>
  </si>
  <si>
    <t>NPLOG - Teluk Lamong existing</t>
  </si>
  <si>
    <t>E2  Cigading existing terminal (SGT 2)  [Existing]</t>
  </si>
  <si>
    <t>Revenue row 47</t>
  </si>
  <si>
    <t>Costs row 66</t>
  </si>
  <si>
    <t>Capex row 232 (D&amp;A)</t>
  </si>
  <si>
    <t>Cigading Existing</t>
  </si>
  <si>
    <t>E3  Belawan existing (conveyor &amp; warehouse)  [Existing]</t>
  </si>
  <si>
    <t>Revenue row 53</t>
  </si>
  <si>
    <t>Costs row 94</t>
  </si>
  <si>
    <t>Capex row 233 (D&amp;A)</t>
  </si>
  <si>
    <t>Belawan (existing part of the Belawan block)</t>
  </si>
  <si>
    <t>E4  WIN stevedoring (Cilegon, Makassar, Surabaya, Medan)  [Existing]</t>
  </si>
  <si>
    <t>Revenue row 92</t>
  </si>
  <si>
    <t>Costs row 131</t>
  </si>
  <si>
    <t>Capex row 234 (D&amp;A)</t>
  </si>
  <si>
    <t>Stevedoring WIN combine</t>
  </si>
  <si>
    <t>P01  Cigading Wharf 2  [Committed]</t>
  </si>
  <si>
    <t>Revenue row 99</t>
  </si>
  <si>
    <t>Costs row 137</t>
  </si>
  <si>
    <t>Capex row 56</t>
  </si>
  <si>
    <t>Cigading Expansion: Wharf 2</t>
  </si>
  <si>
    <t>P02  Cigading extended conveyor  [Committed]</t>
  </si>
  <si>
    <t>Revenue row 104</t>
  </si>
  <si>
    <t>Costs row 141</t>
  </si>
  <si>
    <t>Capex row 57</t>
  </si>
  <si>
    <t>Cigading Expansion: Extended Conveyor</t>
  </si>
  <si>
    <t>P03  KBS warehouse revitalisation (FSL 49% revenue share)  [Planned]</t>
  </si>
  <si>
    <t>Revenue row 111</t>
  </si>
  <si>
    <t>Costs row 145</t>
  </si>
  <si>
    <t>Capex row 58</t>
  </si>
  <si>
    <t>Cigading Expansion: KBS Warehouse Revitalization</t>
  </si>
  <si>
    <t>P04  Teluk Lamong silo  [Planned]</t>
  </si>
  <si>
    <t>Revenue row 115</t>
  </si>
  <si>
    <t>Costs row 149</t>
  </si>
  <si>
    <t>Capex row 59</t>
  </si>
  <si>
    <t>Teluk Lamong - Silo (TTL Silo)</t>
  </si>
  <si>
    <t>P05  Dumai bagging &amp; weighbridge  [Planned]</t>
  </si>
  <si>
    <t>Revenue row 122</t>
  </si>
  <si>
    <t>Costs row 153</t>
  </si>
  <si>
    <t>Capex row 60</t>
  </si>
  <si>
    <t>Dumai (bagging and weighbridge)</t>
  </si>
  <si>
    <t>P06  Ciwandan expansion (FSL 52% tariff share)  [Planned]</t>
  </si>
  <si>
    <t>Revenue row 129</t>
  </si>
  <si>
    <t>Costs row 157</t>
  </si>
  <si>
    <t>Capex row 61</t>
  </si>
  <si>
    <t>Ciwandan Expansion</t>
  </si>
  <si>
    <t>P07  Belawan expansion (additional volume)  [Planned]</t>
  </si>
  <si>
    <t>Revenue row 133</t>
  </si>
  <si>
    <t>Costs row 161</t>
  </si>
  <si>
    <t>Capex row 62</t>
  </si>
  <si>
    <t>Belawan (incl. Belawan expansion)</t>
  </si>
  <si>
    <t>P08  DMS trucking fee - Teluk Lamong  [Planned]</t>
  </si>
  <si>
    <t>Revenue row 137</t>
  </si>
  <si>
    <t>Costs row 165</t>
  </si>
  <si>
    <t>Capex row 68</t>
  </si>
  <si>
    <t>Trucking DMS Teluk Lamong</t>
  </si>
  <si>
    <t>P09  DMS trucking fee - Cigading  [Planned]</t>
  </si>
  <si>
    <t>Revenue row 140</t>
  </si>
  <si>
    <t>Costs row 168</t>
  </si>
  <si>
    <t>Capex row 69</t>
  </si>
  <si>
    <t>Trucking DMS Cigading</t>
  </si>
  <si>
    <t>P10  DMS trucking fee - Ciwandan  [Planned]</t>
  </si>
  <si>
    <t>Revenue row 143</t>
  </si>
  <si>
    <t>Costs row 171</t>
  </si>
  <si>
    <t>Capex row 70</t>
  </si>
  <si>
    <t>Trucking DMS Ciwandan</t>
  </si>
  <si>
    <t>P11  DMS trucking fee - Belawan  [Planned]</t>
  </si>
  <si>
    <t>Revenue row 146</t>
  </si>
  <si>
    <t>Costs row 174</t>
  </si>
  <si>
    <t>Capex row 71</t>
  </si>
  <si>
    <t>Trucking DMS Belawan</t>
  </si>
  <si>
    <t>P12  BUMN synergy - Pelindo Teluk Lamong operatorship  [BUMN synergy]</t>
  </si>
  <si>
    <t>BUMN Synergy row 34</t>
  </si>
  <si>
    <t>BUMN Synergy row 37</t>
  </si>
  <si>
    <t>Capex row 77</t>
  </si>
  <si>
    <t>Operatorship with BUMN - Pelindo Teluk Lamong</t>
  </si>
  <si>
    <t>P13  BUMN synergy - KBS Cigading operatorship  [BUMN synergy]</t>
  </si>
  <si>
    <t>BUMN Synergy row 59</t>
  </si>
  <si>
    <t>BUMN Synergy row 62</t>
  </si>
  <si>
    <t>Capex row 78</t>
  </si>
  <si>
    <t>Operatorship with BUMN - KBS Cigading</t>
  </si>
  <si>
    <t>P14  BUMN synergy - Pelindo Belawan operatorship  [BUMN synergy]</t>
  </si>
  <si>
    <t>BUMN Synergy row 81</t>
  </si>
  <si>
    <t>BUMN Synergy row 84</t>
  </si>
  <si>
    <t>Capex row 79</t>
  </si>
  <si>
    <t>Operatorship with BUMN - Pelindo Belawan</t>
  </si>
  <si>
    <t>P15  TBM (land lease, warehousing, cargo handling)  [Pipeline]</t>
  </si>
  <si>
    <t>Revenue row 157</t>
  </si>
  <si>
    <t>Costs row 178</t>
  </si>
  <si>
    <t>Capex row 63</t>
  </si>
  <si>
    <t>TBM (business flag Output_FSL!G40 = 0)</t>
  </si>
  <si>
    <t>Revenue row 163</t>
  </si>
  <si>
    <t>Costs row 186</t>
  </si>
  <si>
    <t>Capex row 72</t>
  </si>
  <si>
    <t>not in v29</t>
  </si>
  <si>
    <t>Revenue row 167</t>
  </si>
  <si>
    <t>Costs row 192</t>
  </si>
  <si>
    <t>Capex row 73</t>
  </si>
  <si>
    <t>Revenue row 171</t>
  </si>
  <si>
    <t>Costs row 198</t>
  </si>
  <si>
    <t>Capex row 74</t>
  </si>
  <si>
    <t>P19  Badas (project template - DUMMY FS data)  [Pipeline - FS pending]</t>
  </si>
  <si>
    <t>Revenue row 185</t>
  </si>
  <si>
    <t>Costs row 210</t>
  </si>
  <si>
    <t>Capex row 27</t>
  </si>
  <si>
    <t>not in v29 (board deck Stage 2)</t>
  </si>
  <si>
    <t>5.  CONTOH LENGKAP - P02 CIGADING EXTENDED CONVEYOR: dari input sampai valuasi (semua angka hidup)</t>
  </si>
  <si>
    <t>Langkah 1 - Input (Inputs bagian 5, blok P02). Total investasi 8,0 USD juta (v29 Input!J452:L452 = 2,2 + 5,4 + 0,4) dan % belanja per periode: pra-2024 27,5% (sudah dibelanjakan), FY2024 67,5%, FY2025 5,0%. Jumlah % harus 100% (kolom E baris %).</t>
  </si>
  <si>
    <t>Total investasi P02 (USD juta)</t>
  </si>
  <si>
    <t>USD juta</t>
  </si>
  <si>
    <t>Inputs!E210</t>
  </si>
  <si>
    <t>% belanja pra-2024 (kolom G)</t>
  </si>
  <si>
    <t>%</t>
  </si>
  <si>
    <t>Inputs!G211</t>
  </si>
  <si>
    <t>% belanja FY2024 (kolom H)</t>
  </si>
  <si>
    <t>Inputs!H211</t>
  </si>
  <si>
    <t>% belanja FY2025 (kolom I)</t>
  </si>
  <si>
    <t>Inputs!I211</t>
  </si>
  <si>
    <t>Volume tahun pertama (v29 Input!L439 = 2,1 juta ton)</t>
  </si>
  <si>
    <t>ton</t>
  </si>
  <si>
    <t>Inputs!E204</t>
  </si>
  <si>
    <t>Tahun mulai operasi (Inputs bagian 2, kolom G; v29: 2025) - terpisah dari waktu capex</t>
  </si>
  <si>
    <t>Inputs!G65</t>
  </si>
  <si>
    <t>Langkah 2 - Capex (Capex &amp; Depreciation A-C). USD tahun itu = total x % x tuas capex x saklar; IDR = USD x kurs tahun itu / 1.000. Pada kurs v29 16.265: 5,4 x 16.265 / 1.000 = 87,831 IDR miliar di FY2024.</t>
  </si>
  <si>
    <t>Capex USD FY2024 (bagian A, baris P02)</t>
  </si>
  <si>
    <t>Capex &amp; Depreciation!H9</t>
  </si>
  <si>
    <t>Kurs FY2024 (bagian B)</t>
  </si>
  <si>
    <t>IDR/USD</t>
  </si>
  <si>
    <t>Capex &amp; Depreciation!H51</t>
  </si>
  <si>
    <t>Capex IDR FY2024 (bagian C)</t>
  </si>
  <si>
    <t>Capex &amp; Depreciation!H57</t>
  </si>
  <si>
    <t>Capex P02 setelah tanggal valuasi (masuk DCF; bagian A2)</t>
  </si>
  <si>
    <t>Capex &amp; Depreciation!J34</t>
  </si>
  <si>
    <t>Langkah 3 - Penyusutan metode v29 (bagian D): dasar = capex pada kurs tahun belanja; beban = dasar x (porsi bangunan / 20 + porsi peralatan / 8) mulai tahun mulai (v29 Calculation_FSL!J414:V419). Saklar C03 menggantinya dengan metode vintage.</t>
  </si>
  <si>
    <t>Dasar penyusutan v29 (IDR miliar)</t>
  </si>
  <si>
    <t>Capex &amp; Depreciation!E93</t>
  </si>
  <si>
    <t>Penyusutan FY2026</t>
  </si>
  <si>
    <t>Capex &amp; Depreciation!J98</t>
  </si>
  <si>
    <t>Langkah 4 - Pendapatan, biaya, laba (Revenue C, Cost B, Project Cash Flows C).</t>
  </si>
  <si>
    <t>Pendapatan P02 FY2026</t>
  </si>
  <si>
    <t>Revenue Calculation!J104</t>
  </si>
  <si>
    <t>EBITDA P02 FY2026</t>
  </si>
  <si>
    <t>Cost Calculation!J141</t>
  </si>
  <si>
    <t>Laba bersih P02 FY2026 (bisnis sendiri, pajak 22% atas labanya)</t>
  </si>
  <si>
    <t>Project Cash Flows!J124</t>
  </si>
  <si>
    <t>Langkah 5 - Nilai dan imbal hasil (Project Cash Flows A; Project Summary bagian P02).</t>
  </si>
  <si>
    <t>Arus kas bebas P02 FY2027</t>
  </si>
  <si>
    <t>Project Cash Flows!K128</t>
  </si>
  <si>
    <t>Nilai P02 (NPV FY2027+ termasuk nilai terminal)</t>
  </si>
  <si>
    <t>Project Cash Flows!E12</t>
  </si>
  <si>
    <t>IRR seluruh umur P02 (termasuk belanja pra-2024)</t>
  </si>
  <si>
    <t>Project Cash Flows!H12</t>
  </si>
  <si>
    <t>Di v29: Input baris 439-461 (asumsi), Calculation_FSL baris 400-419 (perhitungan), baris 1476 (capex), Output_Standalone (IDR) blok baris 160 (laba rugi baris).</t>
  </si>
  <si>
    <t>6.  CAPEX - kapan setiap proyek membelanjakan capex (Capex &amp; Depreciation A, A2, J)</t>
  </si>
  <si>
    <t>Untuk memindahkan belanja antar tahun: ubah % di Inputs (misalnya pindahkan 10% dari FY2026 ke FY2027). Kolom E baris % harus tetap 100%; bila kurang, sisanya tampil sebagai "unallocated" (tidak dibelanjakan, tidak disusutkan) dan peringatan W7 muncul.</t>
  </si>
  <si>
    <t>Tabel A2 memisahkan setiap proyek: total investasi | pra-2024 (sunk, sudah di neraca Des-23) | FY2024 s.d. tanggal valuasi (ESTIMASI - proyeksi v29, belum aktual) | setelah tanggal valuasi (masa depan, masuk DCF) | unallocated | cek.</t>
  </si>
  <si>
    <t>Capex semua proyek dalam laporan, USD juta FY2026</t>
  </si>
  <si>
    <t>Capex &amp; Depreciation!J24</t>
  </si>
  <si>
    <t>Total investasi P01-P07 (sama dengan v29 56,446) - cek (harus 0)</t>
  </si>
  <si>
    <t>Capex &amp; Depreciation!E375</t>
  </si>
  <si>
    <t>Proyek dengan % belanja tidak 100% (hitungan)</t>
  </si>
  <si>
    <t>Capex &amp; Depreciation!E46</t>
  </si>
  <si>
    <t>Bagian J: capex yang didanai di luar laporan FSL (Badas saat di luar valuasi; proyek funding-only F01-F05). Bagian K: setiap baris tangkapan layar daftar proyek dibandingkan dengan total investasi model (selisih hanya pembulatan; "Ciwadan Expansion" = P06 + P03 INFERRED - TO CONFIRM).</t>
  </si>
  <si>
    <t>Capex di luar laporan FY2027 (Badas DUMMY + F01-F05)</t>
  </si>
  <si>
    <t>Capex &amp; Depreciation!K354</t>
  </si>
  <si>
    <t>7.  KEBUTUHAN PENDANAAN - berapa ekuitas yang dibutuhkan dan kapan (Funding Requirement)</t>
  </si>
  <si>
    <t>Bagian B / C (per kasus) adalah arus kas lengkap: kas awal + arus kas operasi - capex - bunga dan pelunasan pinjaman (termasuk pinjaman LT 195,18 di 2027) = kas sebelum dana baru. Bila di bawah kas minimum, selisihnya adalah KESENJANGAN PENDANAAN, dipenuhi oleh pendanaan komitmen, utang baru (porsi utang; 0% seperti v29), lalu EKUITAS RESIDUAL.</t>
  </si>
  <si>
    <t>Bagian E: proyek capex-only (Badas saat di luar valuasi - DUMMY; F01-F05 bila diisi) dipecah menjadi utang proyek dan permintaan ekuitas. Bagian F: total kebutuhan ekuitas per tahun = ekuitas proyek dalam valuasi + ekuitas proyek capex-only, dengan porsi yang bergantung pada input DUMMY / provisional.</t>
  </si>
  <si>
    <t>Kesenjangan pendanaan FY2027 - Tanpa BUMN</t>
  </si>
  <si>
    <t>Funding Requirement!K86</t>
  </si>
  <si>
    <t>Kesenjangan pendanaan FY2027 - Dengan BUMN</t>
  </si>
  <si>
    <t>Funding Requirement!K54</t>
  </si>
  <si>
    <t>Ekuitas residual FY2027 - Tanpa BUMN</t>
  </si>
  <si>
    <t>Funding Requirement!K89</t>
  </si>
  <si>
    <t>Permintaan ekuitas Badas (capex-only, DUMMY) FY2027</t>
  </si>
  <si>
    <t>Funding Requirement!K135</t>
  </si>
  <si>
    <t>Total kebutuhan ekuitas - Dengan BUMN (semua tahun)</t>
  </si>
  <si>
    <t>Total kebutuhan ekuitas - Tanpa BUMN (semua tahun)</t>
  </si>
  <si>
    <t xml:space="preserve">   di antaranya bergantung pada input DUMMY / provisional - Tanpa BUMN</t>
  </si>
  <si>
    <t>Funding Requirement!F24</t>
  </si>
  <si>
    <t>PENTING: kebutuhan ekuitas (kas yang harus disetor) BUKAN nilai ekuitas FSL. Nilai ekuitas ada di lembar Valuation; kebutuhan ekuitas di Funding Requirement.</t>
  </si>
  <si>
    <t>8.  DUA LEMBAR VALUASI - Valuation — Without BUMN dan Valuation — With BUMN (tata letak sama, hasil masing-masing)</t>
  </si>
  <si>
    <t>Bagian atas setiap lembar menampilkan tanggal valuasi, mata uang, konvensi diskonto, WACC, pertumbuhan terminal dan hasil (EV, nilai ekuitas, USD). A: proyeksi operasi. B: FCFF. C: diskonto (hanya tahun setelah tanggal valuasi; cek bahwa FY2024-26 = 0). D: nilai terminal. E: EV -&gt; nilai ekuitas dengan saldo proyeksi 31-Des-2026 (termasuk pinjaman LT). F: sensitivitas WACC x g. G: nilai per kelompok bisnis. H: cek silang (+ nilai skema BUMN di lembar Dengan BUMN).</t>
  </si>
  <si>
    <t>WACC (Inputs 12, turunan)</t>
  </si>
  <si>
    <t>Inputs!E558</t>
  </si>
  <si>
    <t>Pertumbuhan terminal</t>
  </si>
  <si>
    <t>Inputs!E559</t>
  </si>
  <si>
    <t>Nilai perusahaan - Tanpa BUMN</t>
  </si>
  <si>
    <t>Nilai perusahaan - Dengan BUMN</t>
  </si>
  <si>
    <t>Utang pada tanggal valuasi (termasuk pinjaman LT) - Dengan BUMN</t>
  </si>
  <si>
    <t>Valuation — With BUMN!D23</t>
  </si>
  <si>
    <t>Nilai ekuitas - Tanpa BUMN</t>
  </si>
  <si>
    <t>Nilai ekuitas - Dengan BUMN</t>
  </si>
  <si>
    <t>Parameter WACC, pertumbuhan terminal dan reinvestasi normal adalah provisional (TO CONFIRM); tidak mengubah laporan keuangan.</t>
  </si>
  <si>
    <t>9.  KONTRIBUSI BUMN (P12-P14) - hak FSL saja, tanpa penghitungan ganda</t>
  </si>
  <si>
    <t>Skema operatorship dengan BUMN (Pelindo Teluk Lamong, KBS Cigading, Pelindo Belawan) mengalihkan sebagian tarif BUMN (hak / entitlement FSL) ke FSL, yang mengambil alih O&amp;M. Hanya hak FSL dikurangi biaya O&amp;M yang masuk ke FSL; manfaat yang tetap di BUMN hanya informasi (BUMN Synergy D) dan tidak pernah ditambahkan. Cek A10-A11.</t>
  </si>
  <si>
    <t>Pendapatan hak FSL FY2027 (P12 + P13 + P14)</t>
  </si>
  <si>
    <t>BUMN Synergy Calculation!K98</t>
  </si>
  <si>
    <t>Nilai skema BUMN yang menjadi hak FSL = EV Dengan - Tanpa BUMN (Valuation - Dengan BUMN H)</t>
  </si>
  <si>
    <t>Nilai ekuitas tambahan untuk pemegang saham FSL</t>
  </si>
  <si>
    <t>Valuation — With BUMN!E118</t>
  </si>
  <si>
    <t>10.  BADAS (P19) DAN FS DATA REQUEST - template proyek dengan data DUMMY</t>
  </si>
  <si>
    <t>Badas dibangun seperti Dumai / Ciwandan: kapasitas x utilisasi -&gt; throughput; tarif handling, penyimpanan dan layanan tambahan -&gt; pendapatan x bagi hasil FSL; biaya variabel, staf, tetap, pemeliharaan, asuransi, konsesi; capex per tahun; penyusutan; modal kerja; utang proyek; kepemilikan. Semua input operasi DUMMY (emas).</t>
  </si>
  <si>
    <t>Cara mengganti: buka FS Data Request, setiap item menunjuk satu sel Inputs (bagian 13) - isi data FS di sana saja (satu lokasi resmi, jangan menempel di atas rumus). Status berubah menjadi "Updated". Untuk memasukkan Badas ke valuasi: Inputs 2 saklar P19 = 1 (maka capex-nya pindah dari permintaan capex-only ke arus kas FSL, tanpa penghitungan ganda).</t>
  </si>
  <si>
    <t>Item Badas yang masih DUMMY / provisional (dari 30)</t>
  </si>
  <si>
    <t>FS Data Request!E5</t>
  </si>
  <si>
    <t>Pendapatan Badas FY2030 (ilustratif)</t>
  </si>
  <si>
    <t>Revenue Calculation!N185</t>
  </si>
  <si>
    <t>EBITDA Badas FY2030 (ilustratif)</t>
  </si>
  <si>
    <t>Cost Calculation!N210</t>
  </si>
  <si>
    <t>IRR proyek Badas (ilustratif)</t>
  </si>
  <si>
    <t>Project Cash Flows!E380</t>
  </si>
  <si>
    <t>IRR ekuitas Badas (dengan utang proyek DUMMY)</t>
  </si>
  <si>
    <t>Project Cash Flows!E382</t>
  </si>
  <si>
    <t>Lompat ke</t>
  </si>
  <si>
    <t>Inputs 13 - Badas</t>
  </si>
  <si>
    <t>11.  PROYEK PLACEHOLDER (P16 LAMPUNG, P17, P18) DAN PROYEK FUNDING-ONLY (F01-F05)</t>
  </si>
  <si>
    <t>Placeholder: terhubung penuh ke semua lembar tetapi kosong dan OFF. Isi setiap input wajib di Inputs bagian 14, lalu set saklar di bagian 2 = 1. Bila saklar ON tetapi input belum lengkap, proyek tetap dikeluarkan dan statusnya menyebutkan input yang kurang (W3).</t>
  </si>
  <si>
    <t>Inputs!E605</t>
  </si>
  <si>
    <t>Inputs!E639</t>
  </si>
  <si>
    <t>Inputs!E673</t>
  </si>
  <si>
    <t>Funding-only (Inputs 15): isi nama, total capex (USD juta) dan % belanja per tahun. Proyek ini hanya menambah permintaan pendanaan (Funding Requirement E) - tidak pernah masuk laporan keuangan atau valuasi, tidak ada pendapatan yang dikarang ("FS not available"). Baris kosong = nol, tanpa error.</t>
  </si>
  <si>
    <t>12.  REKONSILIASI DAN PEMERIKSAAN - membaca Checks &amp; Reconciliation</t>
  </si>
  <si>
    <t>Bagian D: setiap baris laporan kedua kasus (IS, CF, BS, FCFF v29, jadwal) dibandingkan dengan v29 setiap tahun. Status: "Matches v29"; "Differs - requested change: ..." (hanya karena perubahan yang diminta: pinjaman LT, basis ekuitas); "Differs - inputs changed"; "UNEXPLAINED" (tidak boleh ada). Kolom G baris judul = selisih yang TIDAK dijelaskan (harus dalam toleransi).</t>
  </si>
  <si>
    <t>Bagian G: jembatan hidup v29 -&gt; revisi untuk laba bersih (bunga, efek pajak), kas (laba, pelunasan pinjaman, ekuitas, dividen), utang dan ekuitas; baris "other" harus nol. Bagian E: 16 blok bisnis v29 - hanya blok E2 dan P01 yang berbeda (bunga pinjaman LT FY2026-27).</t>
  </si>
  <si>
    <t>Selisih terbesar pada baris yang tidak terpengaruh perubahan - Dengan BUMN</t>
  </si>
  <si>
    <t>Checks &amp; Reconciliation!E481</t>
  </si>
  <si>
    <t>Selisih terbesar pada baris yang tidak terpengaruh perubahan - Tanpa BUMN</t>
  </si>
  <si>
    <t>Checks &amp; Reconciliation!E830</t>
  </si>
  <si>
    <t>Sisa yang tidak dijelaskan dalam jembatan v29 -&gt; revisi - Dengan BUMN</t>
  </si>
  <si>
    <t>Checks &amp; Reconciliation!E1359</t>
  </si>
  <si>
    <t>Residu neraca v29 yang diwarisi (masalah sumber C10; nihil bila C10 = 1)</t>
  </si>
  <si>
    <t>Source Data!E813</t>
  </si>
  <si>
    <t>With-IS01</t>
  </si>
  <si>
    <t>Jembatan G</t>
  </si>
  <si>
    <t>Source Data 20 - masalah sumber</t>
  </si>
  <si>
    <t>13.  PENGUJIAN, MESIN HITUNG DAN KETERBATASAN</t>
  </si>
  <si>
    <t>Mesin hitung yang dipakai untuk menghitung ulang dan menguji file ini: LibreOffice (headless), bukan Microsoft Excel. Nilai tersimpan (cached) dan label bukan bukti - hitung ulang setelah membuka. Tidak ada makro, link eksternal, data table, referensi melingkar, atau IFERROR selain pembungkus XIRR.</t>
  </si>
  <si>
    <t>Pengujian (dilaporkan dalam panduan PDF): mode v29 (pinjaman 2025 + basis ekuitas 2) mereproduksi v29 di setiap baris; % capex dipindah antar tahun; pinjaman LT beredar 31-Des-2026 dan lunas 2027; DCF tanpa FCFF sebelum 2027; input DUMMY Badas diganti; saklar valuasi Badas; placeholder funding-only diisi (pendanaan berubah, valuasi tidak); dua lembar valuasi berbeda dan konsisten; semua dipulihkan ke setelan yang diserahkan.</t>
  </si>
  <si>
    <t>Keterbatasan: FY2024-26 adalah proyeksi v29 (aktual tidak tersedia), sehingga saldo 31-Des-2026 adalah estimasi; syarat pinjaman LT (tanggal, bunga) perlu dikonfirmasi; data Badas DUMMY; parameter valuasi provisional; pengelompokan tangkapan layar "Ciwadan Expansion" dan beberapa celah sumber v29 (C09, TBM) perlu konfirmasi.</t>
  </si>
  <si>
    <t>INPUTS - every assumption and control (edit only here)</t>
  </si>
  <si>
    <t>Blue text on a coloured fill = editable. Parameters: column E. Annual assumptions: one cell per year, columns H:T (G = pre-2024 / Dec-23). Type (column D): v29 / Derived / CHANGE (requested vs v29) / DUMMY / TO CONFIRM / Control. Column U flags cells that differ from the delivered value.</t>
  </si>
  <si>
    <t>Model Flow</t>
  </si>
  <si>
    <t>[Inputs]</t>
  </si>
  <si>
    <t>HOW TO USE THIS SHEET</t>
  </si>
  <si>
    <t>1. Change only cells with blue text on a coloured fill. Black text = formula (do not edit); green text = link from another sheet. Column U flags a value that differs from the delivered value (kept on Source Data, same row).</t>
  </si>
  <si>
    <t>2. As delivered the inputs are the REVISED BASELINE: every v29 assumption except the requested changes (type CHANGE): valuation date 31-Dec-2026, LT loan repaid in 2027, new equity = residual funding requirement. Capex = total investment x spending % (v29 timing).</t>
  </si>
  <si>
    <t xml:space="preserve">   Checks &amp; Reconciliation D compares every line with v29 and names the change behind each difference. To reproduce v29 exactly: LT loan repayment date 31-Dec-2025 (section 10) and equity basis 2 (section 1).</t>
  </si>
  <si>
    <t>3. Annual assumptions have one cell per year (columns H:T; G = pre-2024 / 2023 base). Changing FY2028 changes only FY2028; growth rows carry the effect into later years. Type (column D): v29 / Derived / CHANGE / DUMMY / TO CONFIRM / Control / Placeholder.</t>
  </si>
  <si>
    <t>4. Sections: 1 controls | 2 project register (valuation inclusion) | 5 projects (capex = total x %) | 10 financing incl. the LT loan | 12 valuation (WACC) | 13 Badas (DUMMY) | 14 pipeline placeholders | 15 funding-only projects | 16 optional v29 corrections (technical, all 0).</t>
  </si>
  <si>
    <t>5. Badas FS data: the FS Data Request sheet lists every item with its cell here. Enter FS data only on this sheet - one authoritative cell per item; never paste over formulas.</t>
  </si>
  <si>
    <t>Colour key (column D = type)</t>
  </si>
  <si>
    <t>v29</t>
  </si>
  <si>
    <t>Value taken from v29 (V29_Ruby_FM_Danantara.xlsm) or the value v29 applies (cell in column F)</t>
  </si>
  <si>
    <t>Derived</t>
  </si>
  <si>
    <t>Derived or interpreted from v29 data (derivation in column V)</t>
  </si>
  <si>
    <t>CHANGE</t>
  </si>
  <si>
    <t>User-requested change vs v29 (v29 value / cell in column F; reconciled on Checks &amp; Reconciliation D)</t>
  </si>
  <si>
    <t>DUMMY</t>
  </si>
  <si>
    <t>DUMMY - REPLACE WITH FS DATA (Badas; listed on the FS Data Request sheet)</t>
  </si>
  <si>
    <t>TO CONFIRM</t>
  </si>
  <si>
    <t>Provisional assumption - not in v29 (register on Checks &amp; Reconciliation section C)</t>
  </si>
  <si>
    <t>Control</t>
  </si>
  <si>
    <t>Switch or lever (delivered setting)</t>
  </si>
  <si>
    <t>Placeholder</t>
  </si>
  <si>
    <t>Future-project or funding-only input intentionally left blank</t>
  </si>
  <si>
    <t>formula</t>
  </si>
  <si>
    <t>Calculated cell (black); link from another sheet (green) - do not edit</t>
  </si>
  <si>
    <t>SECTIONS (click to jump)</t>
  </si>
  <si>
    <t>1.  CONTROLS - business cases, funding basis and sensitivity levers (project switches: section 2; Badas: 2 and 13; optional v29 corrections: 16)</t>
  </si>
  <si>
    <t>2.  PROJECT REGISTER - every business and project, its source, inclusion switch, timing and where it is modelled</t>
  </si>
  <si>
    <t>3.  GENERAL ASSUMPTIONS - dates, currency, units</t>
  </si>
  <si>
    <t>4.  EXISTING OPERATIONS (E1-E4) - volumes, tariffs, growth and existing-asset depreciation schedules</t>
  </si>
  <si>
    <t>5.  PROJECTS (P01-P11, P15) - operating assumptions, capex (total investment x annual spending %) and asset lives, project by project</t>
  </si>
  <si>
    <t>6.  OPERATING COSTS OF EXISTING BUSINESSES - FY2023 base x v29 uplift, then each year's growth; cost ratios</t>
  </si>
  <si>
    <t>7.  BUMN SYNERGIES (P12-P14) - SOE-level tariffs and unit costs by year, FSL margins, investment and working-capital requirements</t>
  </si>
  <si>
    <t>8.  SUSTAINING CAPEX AND CANCELLATION (all asset-owning businesses) - nil in v29</t>
  </si>
  <si>
    <t>9.  WORKING CAPITAL</t>
  </si>
  <si>
    <t>10.  FINANCING - existing loans (incl. the 12 USD mn LT loan, now repaid in 2027), new debt, committed funding, equity basis, dividends</t>
  </si>
  <si>
    <t>11.  TAX AND OWNERSHIP</t>
  </si>
  <si>
    <t>12.  VALUATION - discount rate build-up (nominal IDR), terminal growth and normalised reinvestment; derived WACC used by both valuation sheets</t>
  </si>
  <si>
    <t>13.  BADAS PROJECT TEMPLATE (P19) - OPERATING INPUTS ARE DUMMY UNTIL THE FEASIBILITY STUDY IS RECEIVED (replace through the FS Data Request sheet)</t>
  </si>
  <si>
    <t>14.  PIPELINE PLACEHOLDERS (P16-P18, e.g. Lampung) - INPUTS INTENTIONALLY BLANK; ENTER EVERY REQUIRED FIELD BEFORE SWITCHING ON</t>
  </si>
  <si>
    <t>15.  FUNDING-ONLY PROJECTS (F01-F05) - CAPEX AND FUNDING REQUEST ONLY; NEVER IN THE VALUATION OR THE FINANCIAL STATEMENTS (no FS, no revenue)</t>
  </si>
  <si>
    <t>16.  v29 SOURCE ISSUES - OPTIONAL CORRECTIONS (technical; every switch 0 = v29 as saved, 1 = correction applied)</t>
  </si>
  <si>
    <t>1.   CONTROLS - business cases, funding basis and sensitivity levers (project switches: section 2; Badas: 2 and 13; optional v29 corrections: 16)</t>
  </si>
  <si>
    <t>Unit</t>
  </si>
  <si>
    <t>Type</t>
  </si>
  <si>
    <t>Parameter</t>
  </si>
  <si>
    <t>v29 source</t>
  </si>
  <si>
    <t>Diff</t>
  </si>
  <si>
    <t>Source and explanation</t>
  </si>
  <si>
    <t>Scenario selector</t>
  </si>
  <si>
    <t>code</t>
  </si>
  <si>
    <t>Delivered setting (v29 Output_FSL!F27 = 1)</t>
  </si>
  <si>
    <t>1 = existing businesses + every project switched ON in section 2 (v29 saved case). 2 = existing businesses only (every project excluded).</t>
  </si>
  <si>
    <t>BUMN operatorship schemes (P12-P14) included in the With BUMN case</t>
  </si>
  <si>
    <t>0 / 1</t>
  </si>
  <si>
    <t>Delivered setting (v29 Output_FSL!G35 = 1)</t>
  </si>
  <si>
    <t>1 = the With BUMN sheets include the FSL entitlement under the operatorship schemes (v29 saved case). 0 = both cases exclude them. The Without BUMN sheets always exclude them.</t>
  </si>
  <si>
    <t>Equity injection basis: 1 = equity required by the cash roll-forward, 2 = v29 schedule (100% of FY2026-27 project capex)</t>
  </si>
  <si>
    <t>v29: 2 (Call Rights scenario 4, Calculation_FSL!L1498:M1498)</t>
  </si>
  <si>
    <t>USER-REQUESTED CHANGE: v29 issues new shares equal to the FY2026-27 project capex whether or not cash is short. Revised: new equity = the funding gap left after internal cash, committed funding and debt (Funding Requirement). Set 2 to reproduce v29.</t>
  </si>
  <si>
    <t>Volume lever (% change applied to every volume in every year)</t>
  </si>
  <si>
    <t>Delivered setting</t>
  </si>
  <si>
    <t>Sensitivity lever; 0% = inputs as entered.</t>
  </si>
  <si>
    <t>Tariff lever (% change applied to every FSL tariff and fee)</t>
  </si>
  <si>
    <t>Operating cost lever (% change applied to cost of sales and operating expenses)</t>
  </si>
  <si>
    <t>Project capex lever (% change applied to post-2023 project capex)</t>
  </si>
  <si>
    <t>Year explained in words on Checks &amp; Reconciliation</t>
  </si>
  <si>
    <t>year</t>
  </si>
  <si>
    <t>Choose 2024-2036; each reconciled line explains its difference for this year in a sentence.</t>
  </si>
  <si>
    <t>Tolerance for agreement with v29 (absolute, per line and year)</t>
  </si>
  <si>
    <t>IDR bn</t>
  </si>
  <si>
    <t>Differences within this amount count as agreement (IDR 1 million; v29 Output_FSL displays one decimal and rounds its own balance check to two). At the delivered settings the differences are floating-point only (below 1e-6).</t>
  </si>
  <si>
    <t>Multipliers used by the calculations (formulas)</t>
  </si>
  <si>
    <t>Volume multiplier = 1 + volume lever</t>
  </si>
  <si>
    <t>x</t>
  </si>
  <si>
    <t>Tariff multiplier = 1 + tariff lever</t>
  </si>
  <si>
    <t>Cost multiplier = 1 + cost lever</t>
  </si>
  <si>
    <t>Capex multiplier = 1 + capex lever</t>
  </si>
  <si>
    <t>Scenario in force</t>
  </si>
  <si>
    <t>2.   PROJECT REGISTER - every business and project, its source, inclusion switch, timing and where it is modelled</t>
  </si>
  <si>
    <t>ID  Business / project (model name)</t>
  </si>
  <si>
    <t>Category</t>
  </si>
  <si>
    <t>Entity</t>
  </si>
  <si>
    <t>Switch (edit; 1 = ON)</t>
  </si>
  <si>
    <t>v29 flag / start</t>
  </si>
  <si>
    <t>Commencement year (edit)</t>
  </si>
  <si>
    <t>Included (live)</t>
  </si>
  <si>
    <t>Status (live)</t>
  </si>
  <si>
    <t>v29 source name</t>
  </si>
  <si>
    <t>Project-list screenshot name</t>
  </si>
  <si>
    <t>Go to: revenue</t>
  </si>
  <si>
    <t>Notes</t>
  </si>
  <si>
    <t>E1  Teluk Lamong cargodoring &amp; delivery (NPLOG)</t>
  </si>
  <si>
    <t>Existing</t>
  </si>
  <si>
    <t>NPLOG</t>
  </si>
  <si>
    <t>always</t>
  </si>
  <si>
    <t>in v29</t>
  </si>
  <si>
    <t>operating</t>
  </si>
  <si>
    <t>Included - existing business</t>
  </si>
  <si>
    <t>- (existing business, no capex line)</t>
  </si>
  <si>
    <t>D&amp;A</t>
  </si>
  <si>
    <t>NPLOG entity: FSL 65% economic interest (35% minority) - TO CONFIRM legal shareholding. Not the screenshot line "Teluk Lamong (Surabaya, NP Log)", which is the silo project P04.</t>
  </si>
  <si>
    <t>E2  Cigading existing terminal (SGT 2)</t>
  </si>
  <si>
    <t>SGT2</t>
  </si>
  <si>
    <t>Existing business - not in the capex screenshot.</t>
  </si>
  <si>
    <t>E3  Belawan existing (conveyor &amp; warehouse)</t>
  </si>
  <si>
    <t>BLW</t>
  </si>
  <si>
    <t>Shares the v29 Belawan block with P07; the screenshot line "Belawan/Medan (SGT3)" is the expansion (P07).</t>
  </si>
  <si>
    <t>E4  WIN stevedoring (Cilegon, Makassar, Surabaya, Medan)</t>
  </si>
  <si>
    <t>WIN</t>
  </si>
  <si>
    <t>WIN Medan stevedoring is a different business from the Belawan / Medan expansion (P07).</t>
  </si>
  <si>
    <t>P01  Cigading Wharf 2</t>
  </si>
  <si>
    <t>Committed</t>
  </si>
  <si>
    <t>ON, 2025</t>
  </si>
  <si>
    <t>Cigading Wharf 2</t>
  </si>
  <si>
    <t>10.0 USD mn spent before FY2024 is sunk (Dec-23 assets under construction).</t>
  </si>
  <si>
    <t>P02  Cigading extended conveyor</t>
  </si>
  <si>
    <t>Cigading Ext. Conveyor</t>
  </si>
  <si>
    <t>2.2 USD mn spent before FY2024 is sunk.</t>
  </si>
  <si>
    <t>P03  KBS warehouse revitalisation (FSL 49% revenue share)</t>
  </si>
  <si>
    <t>Planned</t>
  </si>
  <si>
    <t>ON, 2027</t>
  </si>
  <si>
    <t>Ciwadan Expansion (part - inferred, TO CONFIRM)</t>
  </si>
  <si>
    <t>Not named in the screenshot: only Ciwandan 5.025 + KBS warehouse 6.025 reproduces the 11.0 "Ciwadan Expansion" line - TO CONFIRM the grouping. v29 spends 6.02 USD mn but depreciates nothing (C02).</t>
  </si>
  <si>
    <t>P04  Teluk Lamong silo</t>
  </si>
  <si>
    <t>Teluk Lamong (Surabaya, NP Log)</t>
  </si>
  <si>
    <t>Silo project in the NPLOG entity (3.762 USD mn); not the existing Teluk Lamong business.</t>
  </si>
  <si>
    <t>P05  Dumai bagging &amp; weighbridge</t>
  </si>
  <si>
    <t>DUMAI</t>
  </si>
  <si>
    <t>ON, 2026</t>
  </si>
  <si>
    <t>Dumai</t>
  </si>
  <si>
    <t>v29 6.81 USD mn; the board Stage 2 scope of 20.0 is not in v29.</t>
  </si>
  <si>
    <t>P06  Ciwandan expansion (FSL 52% tariff share)</t>
  </si>
  <si>
    <t>CWD</t>
  </si>
  <si>
    <t>ON, 2028</t>
  </si>
  <si>
    <t>Spelling differs (Ciwadan / Ciwandan). FSL receives 52% of the total Ciwandan tariff (contract share, not equity).</t>
  </si>
  <si>
    <t>P07  Belawan expansion (additional volume)</t>
  </si>
  <si>
    <t>Belawan/Medan (SGT3)</t>
  </si>
  <si>
    <t>Capex 14.025 USD mn. The v29 Belawan block also holds E3; P14 uses the Belawan volume without adding capex (no double count).</t>
  </si>
  <si>
    <t>P08  DMS trucking fee - Teluk Lamong</t>
  </si>
  <si>
    <t>- (fee business, no capex line)</t>
  </si>
  <si>
    <t>Fee business; v29 depreciates 0.04 USD mn of equipment it never buys (C08 adds the capex).</t>
  </si>
  <si>
    <t>P09  DMS trucking fee - Cigading</t>
  </si>
  <si>
    <t>- (fee business)</t>
  </si>
  <si>
    <t>Fee business; equipment 0.04 USD mn depreciated, not bought (C08).</t>
  </si>
  <si>
    <t>P10  DMS trucking fee - Ciwandan</t>
  </si>
  <si>
    <t>Fee business; equipment 0.03 USD mn (C08).</t>
  </si>
  <si>
    <t>P11  DMS trucking fee - Belawan</t>
  </si>
  <si>
    <t>Fee business; equipment 0.04 USD mn (C08).</t>
  </si>
  <si>
    <t>P12  BUMN synergy - Pelindo Teluk Lamong operatorship</t>
  </si>
  <si>
    <t>BUMN synergy</t>
  </si>
  <si>
    <t>- (SOE scheme, no capex line)</t>
  </si>
  <si>
    <t>FSL entitlement only (BUMN synergy case); the SOE-retained benefit is shown on BUMN Synergy Calculation and never added to FSL value.</t>
  </si>
  <si>
    <t>P13  BUMN synergy - KBS Cigading operatorship</t>
  </si>
  <si>
    <t>- (SOE scheme)</t>
  </si>
  <si>
    <t>FSL entitlement only (BUMN synergy case).</t>
  </si>
  <si>
    <t>P14  BUMN synergy - Pelindo Belawan operatorship</t>
  </si>
  <si>
    <t>FSL entitlement on existing and expansion Belawan volume (BUMN synergy case).</t>
  </si>
  <si>
    <t>P15  TBM (land lease, warehousing, cargo handling)</t>
  </si>
  <si>
    <t>Pipeline</t>
  </si>
  <si>
    <t>TBM</t>
  </si>
  <si>
    <t>OFF, 2029</t>
  </si>
  <si>
    <t>TBM (potential pipeline)</t>
  </si>
  <si>
    <t>In v29 but switched off (Output_FSL!G40 = 0). v29 capex 40.0 USD mn (108 - 68, unexplained) vs 108 in the board deck; land-lease tariff blank in v29 - TO CONFIRM.</t>
  </si>
  <si>
    <t>LPG</t>
  </si>
  <si>
    <t>- (future project)</t>
  </si>
  <si>
    <t>Placeholder: inputs blank and OFF (section 14); fully wired. "Lampung" is not in v29 (it appears only as a region label in the unrelated hidden Sheet2).</t>
  </si>
  <si>
    <t>PP2</t>
  </si>
  <si>
    <t>Placeholder: inputs blank and OFF (section 14); can hold Vietnam or long-term storage once inputs exist.</t>
  </si>
  <si>
    <t>PP3</t>
  </si>
  <si>
    <t>Placeholder: inputs blank and OFF (section 14).</t>
  </si>
  <si>
    <t>P19  Badas (project template - DUMMY FS data)</t>
  </si>
  <si>
    <t>Pipeline - FS pending</t>
  </si>
  <si>
    <t>BADAS</t>
  </si>
  <si>
    <t>Badas</t>
  </si>
  <si>
    <t>Badas project template (section 13): every operating input is DUMMY until the FS is received (FS Data Request). Switch = include in company valuation (OFF by default); funding inclusion is set in section 13.</t>
  </si>
  <si>
    <t>Funding only</t>
  </si>
  <si>
    <t>-</t>
  </si>
  <si>
    <t>section 15</t>
  </si>
  <si>
    <t>not in v29 (capex-only project without an FS)</t>
  </si>
  <si>
    <t>- (enter in section 15)</t>
  </si>
  <si>
    <t>Capex and funding request only; never in the valuation or the financial statements; operating results "FS not available".</t>
  </si>
  <si>
    <t>Switches / commencement years changed vs delivered (cells)</t>
  </si>
  <si>
    <t>Projects in valuation (live, P01-P19)</t>
  </si>
  <si>
    <t>&lt;- of which BUMN schemes P12-P14</t>
  </si>
  <si>
    <t>Included = switch x scenario x readiness (placeholders need complete inputs); P12-P14 also need the BUMN control (section 1). With BUMN = E1-E4 + P01-P11 + P12-P14; Without BUMN = the same without P12-P14. Commencement year = first operating year (revenue); capex timing is set separately by the spending % rows.</t>
  </si>
  <si>
    <t>3.   GENERAL ASSUMPTIONS - dates, currency, units</t>
  </si>
  <si>
    <t>Assumption</t>
  </si>
  <si>
    <t>Pre-2024</t>
  </si>
  <si>
    <t>Valuation date (31 December of a model year)</t>
  </si>
  <si>
    <t>date</t>
  </si>
  <si>
    <t>not in v29 (previous delivery: 31-Dec-2025)</t>
  </si>
  <si>
    <t>USER-REQUESTED CHANGE: Requested: 31-Dec-2026. The DCF values FCFF from FY2027; cash, debt and other bridge items are the projected balances at this date (no FY2024-26 actuals supplied).</t>
  </si>
  <si>
    <t>Discounting convention (1 = mid-year, 2 = year-end)</t>
  </si>
  <si>
    <t>TO CONFIRM - PROVISIONAL ASSUMPTION: Not in v29. Basis: year-end - FY2027 cash flow is discounted one full year from 31-Dec-2026 (mid-year would use 0.5 years). Affects: all present values and IRR dates.</t>
  </si>
  <si>
    <t>Exchange rate (IDR per USD) - converts USD capex, depreciation bases and equity injections of each year; pre-2024 column for sunk spend</t>
  </si>
  <si>
    <t>IDR per USD</t>
  </si>
  <si>
    <t>Calculation_FSL!F17 (named range USD_IDR, one rate for all years)</t>
  </si>
  <si>
    <t>v29 constant repeated in every year - edit any year on its own. v29 uses one rate for every year; here each year can be edited. USD presentation of the valuation uses the rate of the valuation year.</t>
  </si>
  <si>
    <t>Model periods: 31-Dec-2023 opening balance sheet (v29 Output_FSL column I); FY2024-FY2036 forecasts (FY2024-26 are v29 forecasts - actuals not supplied, so balances at the valuation date are projections). Financial years end 31 December.</t>
  </si>
  <si>
    <t>Units: IDR billion unless stated; volumes in tons; tariffs in IDR per ton; project capex inputs in USD million converted at the exchange rate of the spending year.</t>
  </si>
  <si>
    <t>4.   EXISTING OPERATIONS (E1-E4) - volumes, tariffs, growth and existing-asset depreciation schedules</t>
  </si>
  <si>
    <t>Base-year volumes are parameters (the starting point); the annual growth rows then drive every later year. Changing the growth of one year moves that year and the years after it.</t>
  </si>
  <si>
    <t>E1  Teluk Lamong - NPLOG cargodoring &amp; delivery</t>
  </si>
  <si>
    <t>E1 assumption</t>
  </si>
  <si>
    <t>2023</t>
  </si>
  <si>
    <t>Meals throughput FY2023 (actual base)</t>
  </si>
  <si>
    <t>tons</t>
  </si>
  <si>
    <t>Input!K41 (=2292945.63*90%)</t>
  </si>
  <si>
    <t>FY2024 meals volume as % of FY2023 (one-off reset)</t>
  </si>
  <si>
    <t>Input!K41</t>
  </si>
  <si>
    <t>Grains throughput FY2023 (actual base)</t>
  </si>
  <si>
    <t>Input!K55 (=1686920.22*95%)</t>
  </si>
  <si>
    <t>FY2024 grains volume as % of FY2023 (one-off reset)</t>
  </si>
  <si>
    <t>Input!K55</t>
  </si>
  <si>
    <t>Total throughput FY2023 (denominator for per-ton costs)</t>
  </si>
  <si>
    <t>Calculation_FSL!E52</t>
  </si>
  <si>
    <t>Meals volume growth</t>
  </si>
  <si>
    <t>Input!K36:W36</t>
  </si>
  <si>
    <t>v29 value for each year.</t>
  </si>
  <si>
    <t>Grains volume growth</t>
  </si>
  <si>
    <t>Input!K51:W51 (v29 active case 1)</t>
  </si>
  <si>
    <t>v29 value for each year. v29 alternative case: Input row 52 (3-5%).</t>
  </si>
  <si>
    <t>Meals tariff</t>
  </si>
  <si>
    <t>IDR/t</t>
  </si>
  <si>
    <t>Input!K43:W43</t>
  </si>
  <si>
    <t>Grains tariff</t>
  </si>
  <si>
    <t>Input!K57:W57</t>
  </si>
  <si>
    <t>Scheduled depreciation of existing assets (v29 schedule; also the insurance cost base)</t>
  </si>
  <si>
    <t>Calculation_FSL!F41 + Input!K62:W62</t>
  </si>
  <si>
    <t>Derived from v29 for each year. v29 charges the schedule in full (assets go below zero - C05 caps it at the remaining book value).</t>
  </si>
  <si>
    <t>E2  Cigading existing terminal - SGT 2</t>
  </si>
  <si>
    <t>E2 assumption</t>
  </si>
  <si>
    <t>Throughput FY2024 (base) - v29 override</t>
  </si>
  <si>
    <t>Calculation_FSL!F256 (=Input!J209*0+1100000: effective value used by the v29 formulas)</t>
  </si>
  <si>
    <t>EFFECTIVE v29 ASSUMPTION: the formula multiplies the Input value (FY2023 actual 1.99m t) by 0 and adds 1.10m t. The model uses what v29 actually applies.</t>
  </si>
  <si>
    <t>Throughput FY2023 (denominator for per-ton costs)</t>
  </si>
  <si>
    <t>Calculation_FSL!E277</t>
  </si>
  <si>
    <t>Volume growth (FY2024 = base year)</t>
  </si>
  <si>
    <t>Input!K204:W204</t>
  </si>
  <si>
    <t>Tariff (effective)</t>
  </si>
  <si>
    <t>Calculation_FSL!J259:V259</t>
  </si>
  <si>
    <t>v29 value for each year. FY2024 = Input!L211 x 1.03; FY2025+ = Wharf 2 tariff (Input row 407).</t>
  </si>
  <si>
    <t>Input!J223 + Input!K218:W218</t>
  </si>
  <si>
    <t>Derived from v29 for each year. Charged in full as in v29 (C05 caps it).</t>
  </si>
  <si>
    <t>E3  Belawan existing (conveyor &amp; warehouse) - unit costs are shared with the P07 expansion volume</t>
  </si>
  <si>
    <t>E3 assumption</t>
  </si>
  <si>
    <t>Existing throughput FY2024 (base)</t>
  </si>
  <si>
    <t>Input!J537</t>
  </si>
  <si>
    <t>Calculation_FSL!E623</t>
  </si>
  <si>
    <t>Existing volume growth (FY2024 = base year)</t>
  </si>
  <si>
    <t>Input!K533:W533 (v29 active case 1)</t>
  </si>
  <si>
    <t>v29 value for each year. v29 alternative: Input row 534.</t>
  </si>
  <si>
    <t>Tariff (existing and expansion volume)</t>
  </si>
  <si>
    <t>Input!K540:W540 (v29 active case 1)</t>
  </si>
  <si>
    <t>v29 value for each year. v29 alternative: Input row 541.</t>
  </si>
  <si>
    <t>Input!K546:W546</t>
  </si>
  <si>
    <t>Insurance on existing assets</t>
  </si>
  <si>
    <t>% of depreciation</t>
  </si>
  <si>
    <t>Calculation_FSL!J658</t>
  </si>
  <si>
    <t>v29 constant repeated in every year - edit any year on its own.</t>
  </si>
  <si>
    <t>E4  WIN stevedoring - base volumes and first year by branch and commodity</t>
  </si>
  <si>
    <t>E4 assumption</t>
  </si>
  <si>
    <t>Cilegon Corn - base volume (FY2023)</t>
  </si>
  <si>
    <t>Input!J704</t>
  </si>
  <si>
    <t>Cilegon Corn - first year of volume</t>
  </si>
  <si>
    <t>Calculation_FSL (start column)</t>
  </si>
  <si>
    <t>Cilegon SBM - base volume (FY2023)</t>
  </si>
  <si>
    <t>Input!J717</t>
  </si>
  <si>
    <t>Cilegon SBM - first year of volume</t>
  </si>
  <si>
    <t>Cilegon Soybean - base volume (FY2023)</t>
  </si>
  <si>
    <t>Input!J730</t>
  </si>
  <si>
    <t>Cilegon Soybean - first year of volume</t>
  </si>
  <si>
    <t>Cilegon Sugar - base volume (FY2023)</t>
  </si>
  <si>
    <t>Input!J743</t>
  </si>
  <si>
    <t>Cilegon Sugar - first year of volume</t>
  </si>
  <si>
    <t>Cilegon Wheat - base volume (FY2023)</t>
  </si>
  <si>
    <t>Input!J756</t>
  </si>
  <si>
    <t>Cilegon Wheat - first year of volume</t>
  </si>
  <si>
    <t>Makassar Sugar - base volume (FY2023)</t>
  </si>
  <si>
    <t>Input!J849</t>
  </si>
  <si>
    <t>Makassar Sugar - first year of volume</t>
  </si>
  <si>
    <t>Makassar Wheat - base volume (FY2023)</t>
  </si>
  <si>
    <t>Input!J862</t>
  </si>
  <si>
    <t>Makassar Wheat - first year of volume</t>
  </si>
  <si>
    <t>Surabaya SBM - base volume (FY2023)</t>
  </si>
  <si>
    <t>Input!J940</t>
  </si>
  <si>
    <t>Surabaya SBM - first year of volume</t>
  </si>
  <si>
    <t>Surabaya Soybean - base volume (FY2023)</t>
  </si>
  <si>
    <t>Input!J953</t>
  </si>
  <si>
    <t>Surabaya Soybean - first year of volume</t>
  </si>
  <si>
    <t>Medan Corn - base volume (first year FY2026)</t>
  </si>
  <si>
    <t>Input!M1021</t>
  </si>
  <si>
    <t>Medan Corn - first year of volume</t>
  </si>
  <si>
    <t>Medan SBM - base volume (FY2023)</t>
  </si>
  <si>
    <t>Input!K1034</t>
  </si>
  <si>
    <t>Medan SBM - first year of volume</t>
  </si>
  <si>
    <t>Medan Soybean - base volume (first year FY2026)</t>
  </si>
  <si>
    <t>Input!M1047</t>
  </si>
  <si>
    <t>Medan Soybean - first year of volume</t>
  </si>
  <si>
    <t>Medan Wheat - base volume (FY2023)</t>
  </si>
  <si>
    <t>Input!K1060</t>
  </si>
  <si>
    <t>Medan Wheat - first year of volume</t>
  </si>
  <si>
    <t>Cilegon Corn volume growth</t>
  </si>
  <si>
    <t>Input!K699:W699</t>
  </si>
  <si>
    <t>Cilegon Corn tariff</t>
  </si>
  <si>
    <t>Input!K706:W706</t>
  </si>
  <si>
    <t>Cilegon SBM volume growth</t>
  </si>
  <si>
    <t>Input!K712:W712</t>
  </si>
  <si>
    <t>Cilegon SBM tariff</t>
  </si>
  <si>
    <t>Input!K719:W719</t>
  </si>
  <si>
    <t>Cilegon Soybean volume growth</t>
  </si>
  <si>
    <t>Input!K725:W725</t>
  </si>
  <si>
    <t>Cilegon Soybean tariff</t>
  </si>
  <si>
    <t>Input!K732:W732</t>
  </si>
  <si>
    <t>Cilegon Sugar volume growth</t>
  </si>
  <si>
    <t>Input!K738:W738</t>
  </si>
  <si>
    <t>Cilegon Sugar tariff</t>
  </si>
  <si>
    <t>Input!K745:W745</t>
  </si>
  <si>
    <t>Cilegon Wheat volume growth</t>
  </si>
  <si>
    <t>Input!K751:W751</t>
  </si>
  <si>
    <t>Cilegon Wheat tariff</t>
  </si>
  <si>
    <t>Input!K758:W758</t>
  </si>
  <si>
    <t>Makassar Sugar volume growth</t>
  </si>
  <si>
    <t>Input!K844:W844</t>
  </si>
  <si>
    <t>Makassar Sugar tariff (as applied by v29: nil in FY2034-36 - see C01)</t>
  </si>
  <si>
    <t>Calculation_FSL!J853:V853 (= Input!K852:T852 for FY2024-33; = Input!U810:W810, empty, for FY2034-36)</t>
  </si>
  <si>
    <t>v29 value for each year. v29 inconsistency C01: the FY2034-36 cells reference an empty row, so v29 applies a nil tariff. Switch C01 (section 16) applies the row-852 tariff kept on Source Data 18. TO CONFIRM.</t>
  </si>
  <si>
    <t>Makassar Wheat volume growth</t>
  </si>
  <si>
    <t>Input!K857:W857</t>
  </si>
  <si>
    <t>Makassar Wheat tariff</t>
  </si>
  <si>
    <t>Input!K864:W864</t>
  </si>
  <si>
    <t>Surabaya SBM volume growth</t>
  </si>
  <si>
    <t>Input!K935:W935</t>
  </si>
  <si>
    <t>Surabaya SBM tariff</t>
  </si>
  <si>
    <t>Input!K942:W942</t>
  </si>
  <si>
    <t>Surabaya Soybean volume growth</t>
  </si>
  <si>
    <t>Input!K948:W948</t>
  </si>
  <si>
    <t>Surabaya Soybean tariff</t>
  </si>
  <si>
    <t>Input!K955:W955</t>
  </si>
  <si>
    <t>Medan Corn volume growth</t>
  </si>
  <si>
    <t>Input!K1016:W1016</t>
  </si>
  <si>
    <t>Medan Corn tariff</t>
  </si>
  <si>
    <t>Input!K1023:W1023</t>
  </si>
  <si>
    <t>Medan SBM volume growth</t>
  </si>
  <si>
    <t>Input!K1029:W1029</t>
  </si>
  <si>
    <t>Medan SBM tariff</t>
  </si>
  <si>
    <t>Input!K1036:W1036</t>
  </si>
  <si>
    <t>Medan Soybean volume growth</t>
  </si>
  <si>
    <t>Input!K1042:W1042</t>
  </si>
  <si>
    <t>Medan Soybean tariff</t>
  </si>
  <si>
    <t>Input!K1049:W1049</t>
  </si>
  <si>
    <t>Medan Wheat volume growth</t>
  </si>
  <si>
    <t>Input!K1055:W1055</t>
  </si>
  <si>
    <t>Medan Wheat tariff</t>
  </si>
  <si>
    <t>Input!K1062:W1062</t>
  </si>
  <si>
    <t>WIN Cilegon scheduled depreciation (existing assets)</t>
  </si>
  <si>
    <t>Input!K777</t>
  </si>
  <si>
    <t>v29 constant repeated in every year - edit any year on its own. Charged in full as in v29 (C05 caps it).</t>
  </si>
  <si>
    <t>WIN Makassar scheduled depreciation (existing assets)</t>
  </si>
  <si>
    <t>Input!J874</t>
  </si>
  <si>
    <t>WIN Surabaya scheduled depreciation (existing assets)</t>
  </si>
  <si>
    <t>Input!J965</t>
  </si>
  <si>
    <t>WIN Medan scheduled depreciation (existing assets)</t>
  </si>
  <si>
    <t>Input!J1072</t>
  </si>
  <si>
    <t>5.   PROJECTS (P01-P11, P15) - operating assumptions, capex (total investment x annual spending %) and asset lives, project by project</t>
  </si>
  <si>
    <t>Capex: total project investment (USD mn) x spending % of that total in each period (pre-2024 column = spend before FY2024, sunk). Percentages must add to 100%; column E of the % row shows the sum. Initial % = v29 timing. The commencement year (section 2) drives revenue only.</t>
  </si>
  <si>
    <t>P01  Cigading Wharf 2 (SGT 2) - committed, under construction at Dec-23</t>
  </si>
  <si>
    <t>P01 assumption</t>
  </si>
  <si>
    <t>Throughput in the first operating year (base)</t>
  </si>
  <si>
    <t>Input!K405 (=3049985.568-600000)</t>
  </si>
  <si>
    <t>Volume growth (after the first operating year)</t>
  </si>
  <si>
    <t>Input!K400:W400</t>
  </si>
  <si>
    <t>Tariff</t>
  </si>
  <si>
    <t>Input!K407:W407</t>
  </si>
  <si>
    <t>Operating expense</t>
  </si>
  <si>
    <t>% revenue</t>
  </si>
  <si>
    <t>Calculation_FSL!F366</t>
  </si>
  <si>
    <t>Insurance</t>
  </si>
  <si>
    <t>% of capex p.a.</t>
  </si>
  <si>
    <t>Calculation_FSL!F390</t>
  </si>
  <si>
    <t>v29 constant repeated in every year - edit any year on its own. v29 Input!J431 shows 0.2% but the calculation applies 0.5%.</t>
  </si>
  <si>
    <t>Wharf 2 - total project investment</t>
  </si>
  <si>
    <t>USD mn</t>
  </si>
  <si>
    <t>Sum of Input!J420:W420</t>
  </si>
  <si>
    <t>Input row 420 (case row selected by G420 = 1)</t>
  </si>
  <si>
    <t>Wharf 2 - capex spending, % of total investment (pre-2024 column = spent before FY2024, sunk)</t>
  </si>
  <si>
    <t>% of total</t>
  </si>
  <si>
    <t>Input!J420:W420 / total</t>
  </si>
  <si>
    <t>Derived from v29 for each year. v29 USD by year / v29 total (initial timing = v29). Move spending between years by editing the percentages; they must add to 100% (column E; any shortfall is shown as unallocated capex).</t>
  </si>
  <si>
    <t>Wharf 2 - building / civil share of capex (depreciation split)</t>
  </si>
  <si>
    <t>Input!J425</t>
  </si>
  <si>
    <t>Wharf 2 - useful life, buildings (years)</t>
  </si>
  <si>
    <t>years</t>
  </si>
  <si>
    <t>Input!J428</t>
  </si>
  <si>
    <t>Wharf 2 - useful life, equipment (years)</t>
  </si>
  <si>
    <t>Input!J429</t>
  </si>
  <si>
    <t>Cost of sales = Cigading existing unit costs for electricity, solar / equipment rental and repair &amp; maintenance (section 6) x Wharf 2 volume, plus insurance.</t>
  </si>
  <si>
    <t>P02  Cigading extended conveyor (SGT 2) - committed, under construction at Dec-23</t>
  </si>
  <si>
    <t>P02 assumption</t>
  </si>
  <si>
    <t>Conveyed volume in the first operating year (base)</t>
  </si>
  <si>
    <t>Input!L439 (=2.1*Million)</t>
  </si>
  <si>
    <t>Calculation_SOEs!J285:V285 (= Wharf 2 growth, Input row 400)</t>
  </si>
  <si>
    <t>Input!K445:W445</t>
  </si>
  <si>
    <t>Electricity as % of the Cigading electricity unit cost</t>
  </si>
  <si>
    <t>Input!L464</t>
  </si>
  <si>
    <t>Repair &amp; maintenance as % of the Cigading R&amp;M unit cost</t>
  </si>
  <si>
    <t>Input!L470</t>
  </si>
  <si>
    <t>Calculation_FSL!F429</t>
  </si>
  <si>
    <t>Extended conveyor - total project investment</t>
  </si>
  <si>
    <t>Sum of Input!J452:W452</t>
  </si>
  <si>
    <t>Input row 452 (case row selected by G452 = 1)</t>
  </si>
  <si>
    <t>Extended conveyor - capex spending, % of total investment (pre-2024 column = spent before FY2024, sunk)</t>
  </si>
  <si>
    <t>Input!J452:W452 / total</t>
  </si>
  <si>
    <t>Extended conveyor - building / civil share of capex (depreciation split)</t>
  </si>
  <si>
    <t>Input!J457</t>
  </si>
  <si>
    <t>Extended conveyor - useful life, buildings (years)</t>
  </si>
  <si>
    <t>Input!J460</t>
  </si>
  <si>
    <t>Extended conveyor - useful life, equipment (years)</t>
  </si>
  <si>
    <t>Input!J461</t>
  </si>
  <si>
    <t>P03  KBS warehouse revitalisation (SGT 2) - FSL receives 49% of warehouse revenue</t>
  </si>
  <si>
    <t>P03 assumption</t>
  </si>
  <si>
    <t>Warehouse throughput base (before the calendar volume index) - v29 override</t>
  </si>
  <si>
    <t>Calculation_FSL!F445 (=Calculation_SOEs!F369*0+1.7*Million: effective value)</t>
  </si>
  <si>
    <t>EFFECTIVE v29 ASSUMPTION: the link to Calculation_SOEs is neutralised by x0; 1.7m t is what v29 applies.</t>
  </si>
  <si>
    <t>FSL share of warehouse revenue (KBS keeps the balance)</t>
  </si>
  <si>
    <t>Calculation_FSL!F452</t>
  </si>
  <si>
    <t>Contractual revenue share (not an equity interest).</t>
  </si>
  <si>
    <t>Warehouse volume growth (calendar index, FY2023 = 1)</t>
  </si>
  <si>
    <t>Calculation_SOEs!J368:V368 (3% typed from 2026)</t>
  </si>
  <si>
    <t>Handling / bagging tariff (100%)</t>
  </si>
  <si>
    <t>Calculation_FSL!F446</t>
  </si>
  <si>
    <t>Weighing tariff (100%)</t>
  </si>
  <si>
    <t>Calculation_FSL!F447</t>
  </si>
  <si>
    <t>Storage tariff (100%)</t>
  </si>
  <si>
    <t>Calculation_FSL!F448</t>
  </si>
  <si>
    <t>Cost of sales</t>
  </si>
  <si>
    <t>% FSL revenue</t>
  </si>
  <si>
    <t>Calculation_FSL!F457</t>
  </si>
  <si>
    <t>Operating expense - v29 override</t>
  </si>
  <si>
    <t>Calculation_FSL!F458 (=(38/60*100%-10%)*0+50%: effective value 50%)</t>
  </si>
  <si>
    <t>v29 constant repeated in every year - edit any year on its own. EFFECTIVE v29 ASSUMPTION: the built-up ratio is multiplied by 0 and replaced by 50%.</t>
  </si>
  <si>
    <t>Warehouse revitalisation - total project investment</t>
  </si>
  <si>
    <t>Sum of Input!K1270:W1270</t>
  </si>
  <si>
    <t>Input row 1270 (Calculation_FSL row 1477 reads K1270:W1270 for FY2024-36)</t>
  </si>
  <si>
    <t>Warehouse revitalisation - capex spending, % of total investment (pre-2024 column = spent before FY2024, sunk)</t>
  </si>
  <si>
    <t>Input!K1270:W1270 / total</t>
  </si>
  <si>
    <t>Warehouse revitalisation - building / civil share of capex (depreciation split)</t>
  </si>
  <si>
    <t>Calculation_FSL!F462</t>
  </si>
  <si>
    <t>Warehouse revitalisation - useful life, buildings (years)</t>
  </si>
  <si>
    <t>Calculation_FSL!E461</t>
  </si>
  <si>
    <t>Warehouse revitalisation - useful life, equipment (years)</t>
  </si>
  <si>
    <t>Calculation_FSL!E466</t>
  </si>
  <si>
    <t>v29 spends the 6.02 USD mn (Input!M1270) but depreciates nothing because Calculation_FSL!F461 points to the empty cell Input!L1270 (C02). The lives above are the v29 cells (20 / 10 years) and are used only when C02 is ON.</t>
  </si>
  <si>
    <t>P04  Teluk Lamong silo (NPLOG)</t>
  </si>
  <si>
    <t>P04 assumption</t>
  </si>
  <si>
    <t>Number of silos in operation</t>
  </si>
  <si>
    <t>units</t>
  </si>
  <si>
    <t>Calculation_FSL!E133</t>
  </si>
  <si>
    <t>Throughput per silo</t>
  </si>
  <si>
    <t>tons/month</t>
  </si>
  <si>
    <t>Calculation_FSL!F133</t>
  </si>
  <si>
    <t>Silo tariff</t>
  </si>
  <si>
    <t>IDR/t/month</t>
  </si>
  <si>
    <t>Calculation_FSL!F132</t>
  </si>
  <si>
    <t>Silo operating cost</t>
  </si>
  <si>
    <t>Calculation_FSL!F147</t>
  </si>
  <si>
    <t>v29 constant repeated in every year - edit any year on its own. Only cost line in v29 (EBITDA margin c.99%).</t>
  </si>
  <si>
    <t>Teluk Lamong silo - total project investment</t>
  </si>
  <si>
    <t>Sum of Input!K1264:W1264</t>
  </si>
  <si>
    <t>Input row 1264 (Calculation_FSL row 1478)</t>
  </si>
  <si>
    <t>Teluk Lamong silo - capex spending, % of total investment (pre-2024 column = spent before FY2024, sunk)</t>
  </si>
  <si>
    <t>Input!K1264:W1264 / total</t>
  </si>
  <si>
    <t>Teluk Lamong silo - building / civil share of capex (depreciation split)</t>
  </si>
  <si>
    <t>Calculation_FSL!F152</t>
  </si>
  <si>
    <t>Teluk Lamong silo - useful life, buildings (years)</t>
  </si>
  <si>
    <t>Calculation_FSL!E151</t>
  </si>
  <si>
    <t>Teluk Lamong silo - useful life, equipment (years)</t>
  </si>
  <si>
    <t>Calculation_FSL!E156</t>
  </si>
  <si>
    <t>P05  Dumai bagging &amp; weighbridge (new entity) - v29 schedules by calendar year, shifted by any delay</t>
  </si>
  <si>
    <t>P05 assumption</t>
  </si>
  <si>
    <t>Bagging / weighbridge volume</t>
  </si>
  <si>
    <t>Calculation_FSL!J174:V174</t>
  </si>
  <si>
    <t>Bagging tariff</t>
  </si>
  <si>
    <t>Calculation_FSL!J175:V175</t>
  </si>
  <si>
    <t>Weighbridge tariff</t>
  </si>
  <si>
    <t>Calculation_FSL!J183:V183</t>
  </si>
  <si>
    <t>Bagging operating cost</t>
  </si>
  <si>
    <t>Calculation_FSL!J214:V214</t>
  </si>
  <si>
    <t>Weighbridge operating cost</t>
  </si>
  <si>
    <t>Calculation_FSL!L216:V216</t>
  </si>
  <si>
    <t>Calculation_FSL!F209</t>
  </si>
  <si>
    <t>Dumai - total project investment</t>
  </si>
  <si>
    <t>Sum of Calculation_FSL!J1474:V1474</t>
  </si>
  <si>
    <t>Calculation_FSL row 1474: 6.485 (FY2026) and 0.325 (FY2027) are typed constants; the other years link to Input row 1258 x flag = 0</t>
  </si>
  <si>
    <t>Dumai - capex spending, % of total investment (pre-2024 column = spent before FY2024, sunk)</t>
  </si>
  <si>
    <t>Calculation_FSL!J1474:V1474 / total</t>
  </si>
  <si>
    <t>Dumai - building / civil share of capex (depreciation split)</t>
  </si>
  <si>
    <t>Calculation_FSL!F193</t>
  </si>
  <si>
    <t>Dumai - useful life, buildings (years)</t>
  </si>
  <si>
    <t>Calculation_FSL!E192</t>
  </si>
  <si>
    <t>Dumai - useful life, equipment (years)</t>
  </si>
  <si>
    <t>Calculation_FSL!E197</t>
  </si>
  <si>
    <t>P06  Ciwandan expansion (new entity) - FSL receives a share of the total Ciwandan tariff; costs at Cigading cost ratios</t>
  </si>
  <si>
    <t>P06 assumption</t>
  </si>
  <si>
    <t>Throughput in the first operating year (base) - v29 override</t>
  </si>
  <si>
    <t>Calculation_FSL!F514 (=Input!J490*0+1600000: effective value)</t>
  </si>
  <si>
    <t>EFFECTIVE v29 ASSUMPTION: Input!J490 (1.9m t) is multiplied by 0; 1.6m t is what v29 applies.</t>
  </si>
  <si>
    <t>FSL share of the total Ciwandan tariff (contract term)</t>
  </si>
  <si>
    <t>Calculation_FSL!G512</t>
  </si>
  <si>
    <t>Revenue share, not equity; shown for the total-benefit split.</t>
  </si>
  <si>
    <t>Input!K485:W485</t>
  </si>
  <si>
    <t>FSL tariff (FSL share of the total Ciwandan tariff)</t>
  </si>
  <si>
    <t>Input!K494:W494 (v29 active case, Input!G492 = 2)</t>
  </si>
  <si>
    <t>v29 value for each year. Other v29 case: Input row 493.</t>
  </si>
  <si>
    <t>Ciwandan - total project investment</t>
  </si>
  <si>
    <t>Sum of Input!K499:W499</t>
  </si>
  <si>
    <t>Input row 499 (case row selected by G499) x Output_FSL!F38 in Calculation_FSL row 1479</t>
  </si>
  <si>
    <t>Ciwandan - capex spending, % of total investment (pre-2024 column = spent before FY2024, sunk)</t>
  </si>
  <si>
    <t>Input!K499:W499 / total</t>
  </si>
  <si>
    <t>Ciwandan - building / civil share of capex (depreciation split)</t>
  </si>
  <si>
    <t>Input!J504</t>
  </si>
  <si>
    <t>Ciwandan - useful life, buildings (years)</t>
  </si>
  <si>
    <t>Input!J507</t>
  </si>
  <si>
    <t>Ciwandan - useful life, equipment (years)</t>
  </si>
  <si>
    <t>Input!J508</t>
  </si>
  <si>
    <t>Ciwandan cost of sales and opex follow the Cigading-existing cost / revenue ratios of each year (v29 Calculation_FSL rows 534 and 540).</t>
  </si>
  <si>
    <t>P07  Belawan expansion (Belawan entity) - additional volume at the Belawan tariff and unit costs</t>
  </si>
  <si>
    <t>P07 assumption</t>
  </si>
  <si>
    <t>Expansion (additional) volume by calendar year (as in v29: empty after FY2034 - see C09)</t>
  </si>
  <si>
    <t>Calculation_SOEs!J450:V450</t>
  </si>
  <si>
    <t>v29 value for each year. v29 inconsistency C09: the series ends in FY2034 (FY2035-36 empty = nil volume). Switch C09 holds the FY2034 volume in FY2035-36. TO CONFIRM.</t>
  </si>
  <si>
    <t>Insurance on expansion assets</t>
  </si>
  <si>
    <t>Input!M619</t>
  </si>
  <si>
    <t>Belawan expansion - total project investment</t>
  </si>
  <si>
    <t>Sum of Input!K551:W551</t>
  </si>
  <si>
    <t>Input row 551 (case row selected by G551; J552 = 14.025 total) x Output_FSL!F37 in Calculation_FSL row 1480</t>
  </si>
  <si>
    <t>Belawan expansion - capex spending, % of total investment (pre-2024 column = spent before FY2024, sunk)</t>
  </si>
  <si>
    <t>Input!K551:W551 / total</t>
  </si>
  <si>
    <t>Belawan expansion - building / civil share of capex (depreciation split)</t>
  </si>
  <si>
    <t>Input!J556</t>
  </si>
  <si>
    <t>Belawan expansion - useful life, buildings (years)</t>
  </si>
  <si>
    <t>Input!J559</t>
  </si>
  <si>
    <t>Belawan expansion - useful life, equipment (years)</t>
  </si>
  <si>
    <t>Input!J560</t>
  </si>
  <si>
    <t>P08-P11  DMS trucking service fee - FSL share of a fee on third-party trucking cost (fee businesses)</t>
  </si>
  <si>
    <t>P08-P11 assumption</t>
  </si>
  <si>
    <t>DMS service fee (contract term)</t>
  </si>
  <si>
    <t>% trucking cost</t>
  </si>
  <si>
    <t>Calculation_FSL!F483</t>
  </si>
  <si>
    <t>Contract term applied to every year.</t>
  </si>
  <si>
    <t>DMS Teluk Lamong - FSL share of the fee (contract term)</t>
  </si>
  <si>
    <t>Calculation_FSL!F233</t>
  </si>
  <si>
    <t>Balance retained by the SOE partner.</t>
  </si>
  <si>
    <t>DMS Cigading - FSL share of the fee (contract term)</t>
  </si>
  <si>
    <t>Calculation_FSL!F487</t>
  </si>
  <si>
    <t>DMS Ciwandan - FSL share of the fee (contract term)</t>
  </si>
  <si>
    <t>Calculation_FSL!F561</t>
  </si>
  <si>
    <t>DMS Belawan - FSL share of the fee (contract term)</t>
  </si>
  <si>
    <t>Calculation_FSL!F710</t>
  </si>
  <si>
    <t>DMS Cigading - volume base (x Cigading volume index)</t>
  </si>
  <si>
    <t>Calculation_FSL!F445 (reused by v29)</t>
  </si>
  <si>
    <t>DMS Teluk Lamong - equipment (v29 depreciation base; capex spent in the first operating year only when C08 is ON)</t>
  </si>
  <si>
    <t>Calculation_FSL!F242</t>
  </si>
  <si>
    <t>v29 inconsistency C08: this equipment is depreciated but never bought (no capex in Calculation_FSL rows 1474-1481).</t>
  </si>
  <si>
    <t>DMS Cigading - equipment (v29 depreciation base; capex spent in the first operating year only when C08 is ON)</t>
  </si>
  <si>
    <t>Calculation_FSL!F496</t>
  </si>
  <si>
    <t>DMS Ciwandan - equipment (v29 depreciation base; capex spent in the first operating year only when C08 is ON)</t>
  </si>
  <si>
    <t>Calculation_FSL!F570</t>
  </si>
  <si>
    <t>DMS Belawan - equipment (v29 depreciation base; capex spent in the first operating year only when C08 is ON)</t>
  </si>
  <si>
    <t>Calculation_FSL!F719</t>
  </si>
  <si>
    <t>DMS equipment useful life</t>
  </si>
  <si>
    <t>Calculation_FSL!E242/E496/E570/E719</t>
  </si>
  <si>
    <t>DMS operating expense</t>
  </si>
  <si>
    <t>Calculation_FSL!F239/F493/F567/F716</t>
  </si>
  <si>
    <t>DMS Teluk Lamong - trucking cost (fee base)</t>
  </si>
  <si>
    <t>Calculation_FSL!F228</t>
  </si>
  <si>
    <t>DMS Cigading - trucking cost (fee base)</t>
  </si>
  <si>
    <t>Calculation_FSL!F482</t>
  </si>
  <si>
    <t>DMS Ciwandan - trucking cost (fee base)</t>
  </si>
  <si>
    <t>Calculation_FSL!F556</t>
  </si>
  <si>
    <t>DMS Belawan - trucking cost (fee base)</t>
  </si>
  <si>
    <t>Calculation_FSL!F705</t>
  </si>
  <si>
    <t>DMS Teluk Lamong - volume excluded (IWF)</t>
  </si>
  <si>
    <t>Calculation_FSL!F222</t>
  </si>
  <si>
    <t>P15  TBM - land lease, warehousing, cargo handling (pipeline; switched off in v29 and in the base case)</t>
  </si>
  <si>
    <t>P15 assumption</t>
  </si>
  <si>
    <t>Land lease tariff in the first operating year</t>
  </si>
  <si>
    <t>IDR/sqm/month</t>
  </si>
  <si>
    <t>Input!N1138 (blank in v29)</t>
  </si>
  <si>
    <t>Not provided in v29 - land-lease revenue is nil until entered. TO CONFIRM.</t>
  </si>
  <si>
    <t>Flat storage tariff in the first operating year</t>
  </si>
  <si>
    <t>Input!O1151</t>
  </si>
  <si>
    <t>Later years follow the annual tariff growth row.</t>
  </si>
  <si>
    <t>Silo storage tariff in the first operating year</t>
  </si>
  <si>
    <t>Input!P1164</t>
  </si>
  <si>
    <t>Land lease area</t>
  </si>
  <si>
    <t>sqm</t>
  </si>
  <si>
    <t>Input!K1133:W1133</t>
  </si>
  <si>
    <t>Flat storage volume</t>
  </si>
  <si>
    <t>Calculation_FSL!J1102:V1102</t>
  </si>
  <si>
    <t>Silo storage volume (as applied by v29: nil in FY2024-26, 1m t p.a. / 12 from FY2027)</t>
  </si>
  <si>
    <t>Calculation_FSL!J1109:V1109 (J1109:L1109 = ...*0+J1114/12; M1109 onwards = 1*Million/12 typed)</t>
  </si>
  <si>
    <t>v29 value for each year. EFFECTIVE v29 ASSUMPTION: the FY2024-26 formulas neutralise the capacity x utilisation build-up.</t>
  </si>
  <si>
    <t>Cargo handling tariff (before the tariff index)</t>
  </si>
  <si>
    <t>Input!K1177:W1177</t>
  </si>
  <si>
    <t>Tariff growth (storage / handling index; after the first operating year)</t>
  </si>
  <si>
    <t>Input!K1166:W1166</t>
  </si>
  <si>
    <t>Warehouse rental cost</t>
  </si>
  <si>
    <t>% storage revenue</t>
  </si>
  <si>
    <t>Input!L1207</t>
  </si>
  <si>
    <t>Input!N1215</t>
  </si>
  <si>
    <t>TBM - total project investment</t>
  </si>
  <si>
    <t>Sum of Input!K1190:W1190</t>
  </si>
  <si>
    <t>Input row 1190 x Output_FSL!F40 (= 0) in Calculation_FSL row 1481; Input!M1187 = 108 - 68 + K1276 = 40.0 for depreciation</t>
  </si>
  <si>
    <t>TBM - capex spending, % of total investment (pre-2024 column = spent before FY2024, sunk)</t>
  </si>
  <si>
    <t>Input!K1190:W1190 / total</t>
  </si>
  <si>
    <t>TBM - building / civil share of capex (depreciation split)</t>
  </si>
  <si>
    <t>Input!J1194</t>
  </si>
  <si>
    <t>TBM - useful life, buildings (years)</t>
  </si>
  <si>
    <t>Input!J1198</t>
  </si>
  <si>
    <t>TBM - useful life, equipment (years)</t>
  </si>
  <si>
    <t>Input!J1199</t>
  </si>
  <si>
    <t>6.   OPERATING COSTS OF EXISTING BUSINESSES - FY2023 base x v29 uplift, then each year's growth; cost ratios</t>
  </si>
  <si>
    <t>Payroll: v29 models employee cost as an amount per business (no headcount data). Per-ton lines: FY2023 cost / FY2023 volume = unit cost, grown by the annual rate and applied to each year's volume. G&amp;A depreciation lines are non-cash (in D&amp;A).</t>
  </si>
  <si>
    <t>E1  Teluk Lamong cost lines</t>
  </si>
  <si>
    <t>Columns H:T = annual growth of the cost line (% vs prior year) - edit any year</t>
  </si>
  <si>
    <t>Cost line</t>
  </si>
  <si>
    <t>FY2023 base</t>
  </si>
  <si>
    <t>v29 uplift</t>
  </si>
  <si>
    <t>Employee cost (payroll) - fixed, cost of sales</t>
  </si>
  <si>
    <t>v29: Calculation_FSL!F47; growth Input!K68:W68</t>
  </si>
  <si>
    <t>Electricity - per ton, cost of sales</t>
  </si>
  <si>
    <t>IDR bn (FY23)</t>
  </si>
  <si>
    <t>Per-ton line: FY2023 cost / FY2023 volume = unit cost, grown by each year's rate. v29: Calculation_FSL!F53 (x120%); growth Input!K75:W75</t>
  </si>
  <si>
    <t>Fuel - per ton, cost of sales</t>
  </si>
  <si>
    <t>Per-ton line: FY2023 cost / FY2023 volume = unit cost, grown by each year's rate. v29: Calculation_FSL!F59 (x120%); growth Input!K80:W80</t>
  </si>
  <si>
    <t>Security - fixed, cost of sales</t>
  </si>
  <si>
    <t>v29: Calculation_FSL!F64; growth Input!K85:W85</t>
  </si>
  <si>
    <t>Repair &amp; maintenance - per ton, cost of sales</t>
  </si>
  <si>
    <t>Per-ton line: FY2023 cost / FY2023 volume = unit cost, grown by each year's rate. v29: Calculation_FSL!F70 (x120%); growth Input!K90:W90</t>
  </si>
  <si>
    <t>Employee overtime - per ton, cost of sales</t>
  </si>
  <si>
    <t>Per-ton line: FY2023 cost / FY2023 volume = unit cost, grown by each year's rate. v29: Calculation_FSL!F76; growth Input!K95:W95</t>
  </si>
  <si>
    <t>Labour (variable) - per ton, cost of sales</t>
  </si>
  <si>
    <t>Per-ton line: FY2023 cost / FY2023 volume = unit cost, grown by each year's rate. v29: Calculation_FSL!F88; growth Input!K105:W105</t>
  </si>
  <si>
    <t>Other operating expense - per ton, cost of sales</t>
  </si>
  <si>
    <t>Per-ton line: FY2023 cost / FY2023 volume = unit cost, grown by each year's rate. v29: Calculation_FSL!F94; growth Input!K110:W110</t>
  </si>
  <si>
    <t>Legal &amp; professional fees - fixed, G&amp;A opex</t>
  </si>
  <si>
    <t>v29: Input!I119 x150%; growth Input!K134:W134</t>
  </si>
  <si>
    <t>Staff costs - G&amp;A (payroll) - fixed, G&amp;A opex</t>
  </si>
  <si>
    <t>v29: Input!I120 x150%; growth as applied by v29 = Input!K134:W134 (legal-fee row, 3.0%; Calculation_FSL row 120). v29 inconsistency C13: the staff line is grown with the legal-fee growth row; switch C13 applies the staff-cost growth row Input!K139:W139 (3.5%, Source Data 18).</t>
  </si>
  <si>
    <t>Tax fees - fixed, G&amp;A opex</t>
  </si>
  <si>
    <t>v29: Input!I121 x150%; growth Input!K144:W144</t>
  </si>
  <si>
    <t>Travel &amp; entertainment - fixed, G&amp;A opex</t>
  </si>
  <si>
    <t>v29: Input!I122 x150%; growth Input!K150:W150</t>
  </si>
  <si>
    <t>Office expenses - fixed, G&amp;A opex</t>
  </si>
  <si>
    <t>v29: Input!I123 x150%; growth Input!K155:W155</t>
  </si>
  <si>
    <t>Other administrative - fixed, G&amp;A opex</t>
  </si>
  <si>
    <t>v29: Input!I124 x150%; growth Input!K160:W160</t>
  </si>
  <si>
    <t>Rental - G&amp;A - fixed, G&amp;A opex</t>
  </si>
  <si>
    <t>v29: Input!I125 x150%; growth Input!K165:W165</t>
  </si>
  <si>
    <t>Depreciation - G&amp;A - fixed, G&amp;A depreciation (non-cash)</t>
  </si>
  <si>
    <t>v29: Input!I126 x150%; growth Input!K170:W170</t>
  </si>
  <si>
    <t>Communication - fixed, G&amp;A opex</t>
  </si>
  <si>
    <t>v29: Input!I127 x150%; growth Input!K175:W175</t>
  </si>
  <si>
    <t>Security services - fixed, G&amp;A opex</t>
  </si>
  <si>
    <t>v29: Input!I128 x150%; growth Input!K180:W180</t>
  </si>
  <si>
    <t>Donation &amp; CSR - fixed, G&amp;A opex</t>
  </si>
  <si>
    <t>v29: Input!I129 x150%; growth Input!K185:W185</t>
  </si>
  <si>
    <t>Utilities - fixed, G&amp;A opex</t>
  </si>
  <si>
    <t>v29: Input!I130 x150%; growth Input!K190:W190</t>
  </si>
  <si>
    <t>E2  Cigading existing cost lines</t>
  </si>
  <si>
    <t>v29: Input!J231; growth K226:W226</t>
  </si>
  <si>
    <t>Per-ton line: FY2023 cost / FY2023 volume = unit cost, grown by each year's rate. v29: Calculation_FSL!F278; growth Input!K234:W234 (unit rate also applied to Wharf 2 / conveyor)</t>
  </si>
  <si>
    <t>v29: Input!J255; growth K250:W250</t>
  </si>
  <si>
    <t>Per-ton line: FY2023 cost / FY2023 volume = unit cost, grown by each year's rate. v29: Calculation_FSL!F289; growth Input!K258:W258 (also Wharf 2 / conveyor)</t>
  </si>
  <si>
    <t>Solar / heavy-equipment rental - per ton, cost of sales</t>
  </si>
  <si>
    <t>Per-ton line: FY2023 cost / FY2023 volume = unit cost, grown by each year's rate. v29: Calculation_FSL!F300; growth Input!K266:W266 (also Wharf 2)</t>
  </si>
  <si>
    <t>Per-ton line: FY2023 cost / FY2023 volume = unit cost, grown by each year's rate. v29: Calculation_FSL!F306; growth Input!K283:W283</t>
  </si>
  <si>
    <t>Per-ton line: FY2023 cost / FY2023 volume = unit cost, grown by each year's rate. v29: Calculation_FSL!F312; growth Input!K291:W291</t>
  </si>
  <si>
    <t>Per-ton line: FY2023 cost / FY2023 volume = unit cost, grown by each year's rate. v29: Calculation_FSL!F318; growth Input!K298:W298</t>
  </si>
  <si>
    <t>Pest control - fixed, cost of sales</t>
  </si>
  <si>
    <t>v29: Input!J311; growth K306:W306</t>
  </si>
  <si>
    <t>v29: Input!J318; growth K332:W332</t>
  </si>
  <si>
    <t>v29: Input!J319; growth K337:W337</t>
  </si>
  <si>
    <t>v29: Input!J320; growth K342:W342</t>
  </si>
  <si>
    <t>v29: Input!J321; growth K348:W348</t>
  </si>
  <si>
    <t>v29: Input!J322; growth K353:W353</t>
  </si>
  <si>
    <t>v29: Input!J323; growth K358:W358</t>
  </si>
  <si>
    <t>v29: Input!J324; growth K363:W363</t>
  </si>
  <si>
    <t>v29: Input!J325; growth K368:W368</t>
  </si>
  <si>
    <t>v29: Input!J326; growth K373:W373</t>
  </si>
  <si>
    <t>v29: Input!J327; growth K378:W378</t>
  </si>
  <si>
    <t>v29: Input!J328; growth K383:W383</t>
  </si>
  <si>
    <t>E3  Belawan existing cost lines (per-ton lines also apply to the P07 expansion volume)</t>
  </si>
  <si>
    <t>v29: Input!J568; growth K563:W563</t>
  </si>
  <si>
    <t>v29: Input!J575; growth K570:W570</t>
  </si>
  <si>
    <t>Per-ton line: FY2023 cost / FY2023 volume = unit cost, grown by each year's rate. v29: Input!J582; growth K577:W577</t>
  </si>
  <si>
    <t>Utilities - per ton, cost of sales</t>
  </si>
  <si>
    <t>Per-ton line: FY2023 cost / FY2023 volume = unit cost, grown by each year's rate. v29: Input!J589; growth K584:W584</t>
  </si>
  <si>
    <t>Per-ton line: FY2023 cost / FY2023 volume = unit cost, grown by each year's rate. v29: Input!J603; growth K598:W598</t>
  </si>
  <si>
    <t>Per-ton line: FY2023 cost / FY2023 volume = unit cost, grown by each year's rate. v29: Input!J610; growth K605:W605</t>
  </si>
  <si>
    <t>Per-ton line: FY2023 cost / FY2023 volume = unit cost, grown by each year's rate. v29: Input!J617; growth K612:W612</t>
  </si>
  <si>
    <t>Per-ton line: FY2023 cost / FY2023 volume = unit cost, grown by each year's rate. v29: Input!J631; growth K626:W626</t>
  </si>
  <si>
    <t>v29: Input!J637; growth K649:W649</t>
  </si>
  <si>
    <t>v29: Input!J638; growth K654:W654</t>
  </si>
  <si>
    <t>v29: Input!J639; growth K659:W659</t>
  </si>
  <si>
    <t>v29: Input!J640; growth K665:W665</t>
  </si>
  <si>
    <t>v29: Input!J641; growth K670:W670</t>
  </si>
  <si>
    <t>v29: Input!J642; growth K675:W675</t>
  </si>
  <si>
    <t>v29: Input!J643; growth K680:W680</t>
  </si>
  <si>
    <t>v29: Input!J644; growth K685:W685</t>
  </si>
  <si>
    <t>Audit fees - fixed, G&amp;A opex</t>
  </si>
  <si>
    <t>v29: Input!J645; growth K690:W690</t>
  </si>
  <si>
    <t>E4  WIN cost lines (branch in brackets)</t>
  </si>
  <si>
    <t>Employee cost (payroll) [Cilegon] - fixed, cost of sales</t>
  </si>
  <si>
    <t>v29: Input!J787; growth K782:W782</t>
  </si>
  <si>
    <t>Maintenance [Cilegon] - fixed, cost of sales</t>
  </si>
  <si>
    <t>v29: Input!J794; growth K789:W789</t>
  </si>
  <si>
    <t>Employee cost (payroll) [Makassar] - fixed, cost of sales</t>
  </si>
  <si>
    <t>v29: Input!J884; growth K879:W879</t>
  </si>
  <si>
    <t>Insurance [Makassar] - fixed, cost of sales</t>
  </si>
  <si>
    <t>v29: Input!J876 (no growth in v29 - 0% repeated)</t>
  </si>
  <si>
    <t>Employee cost (payroll) [Surabaya] - fixed, cost of sales</t>
  </si>
  <si>
    <t>v29: Input!J979; growth K974:W974</t>
  </si>
  <si>
    <t>Insurance [Surabaya] - fixed, cost of sales</t>
  </si>
  <si>
    <t>v29: Input!J971 (no growth in v29 - 0% repeated)</t>
  </si>
  <si>
    <t>Employee cost (payroll) [Medan] - fixed, cost of sales</t>
  </si>
  <si>
    <t>v29: Input!J1082; growth K1077:W1077</t>
  </si>
  <si>
    <t>Legal &amp; professional [Cilegon] - fixed, G&amp;A opex</t>
  </si>
  <si>
    <t>v29: Input!J809; growth K804:W804</t>
  </si>
  <si>
    <t>Travel &amp; entertainment [Cilegon] - fixed, G&amp;A opex</t>
  </si>
  <si>
    <t>v29: Input!J816; growth K811:W811</t>
  </si>
  <si>
    <t>Audit fees [Cilegon] - fixed, G&amp;A opex</t>
  </si>
  <si>
    <t>v29: Input!J823; growth K818:W818</t>
  </si>
  <si>
    <t>Other administrative [Cilegon] - fixed, G&amp;A opex</t>
  </si>
  <si>
    <t>v29: Input!J830; growth K825:W825</t>
  </si>
  <si>
    <t>Office expenses [Cilegon] - fixed, G&amp;A opex</t>
  </si>
  <si>
    <t>v29: Input!J837; growth K832:W832</t>
  </si>
  <si>
    <t>Legal &amp; professional [Makassar] - fixed, G&amp;A opex</t>
  </si>
  <si>
    <t>v29: Input!J893; growth K888:W888</t>
  </si>
  <si>
    <t>Travel &amp; entertainment [Makassar] - fixed, G&amp;A opex</t>
  </si>
  <si>
    <t>v29: Input!J900; growth K895:W895</t>
  </si>
  <si>
    <t>Audit fees [Makassar] - fixed, G&amp;A opex</t>
  </si>
  <si>
    <t>v29: Input!J907; growth K902:W902</t>
  </si>
  <si>
    <t>Other administrative [Makassar] - fixed, G&amp;A opex</t>
  </si>
  <si>
    <t>v29: Input!J914; growth K909:W909</t>
  </si>
  <si>
    <t>Office expenses [Makassar] - fixed, G&amp;A opex</t>
  </si>
  <si>
    <t>v29: Input!J921; growth K916:W916</t>
  </si>
  <si>
    <t>Utilities [Makassar] - fixed, G&amp;A opex</t>
  </si>
  <si>
    <t>v29: Input!J928; growth K923:W923</t>
  </si>
  <si>
    <t>Legal &amp; professional [Surabaya] - fixed, G&amp;A opex</t>
  </si>
  <si>
    <t>v29: Input!J988; growth K983:W983</t>
  </si>
  <si>
    <t>Travel &amp; entertainment [Surabaya] - fixed, G&amp;A opex</t>
  </si>
  <si>
    <t>v29: Input!J995; growth K990:W990</t>
  </si>
  <si>
    <t>Other administrative [Surabaya] - fixed, G&amp;A opex</t>
  </si>
  <si>
    <t>v29: Input!J1002; growth K997:W997</t>
  </si>
  <si>
    <t>Office expenses [Surabaya] - fixed, G&amp;A opex</t>
  </si>
  <si>
    <t>v29: Input!J1009; growth K1004:W1004</t>
  </si>
  <si>
    <t>Legal &amp; professional [Medan] - fixed, G&amp;A opex</t>
  </si>
  <si>
    <t>v29: Input!J1091; growth K1086:W1086</t>
  </si>
  <si>
    <t>Travel &amp; entertainment [Medan] - fixed, G&amp;A opex</t>
  </si>
  <si>
    <t>v29: Input!J1098; growth K1093:W1093</t>
  </si>
  <si>
    <t>Audit fees [Medan] - fixed, G&amp;A opex</t>
  </si>
  <si>
    <t>v29: Input!J1105; growth K1100:W1100</t>
  </si>
  <si>
    <t>Other administrative [Medan] - fixed, G&amp;A opex</t>
  </si>
  <si>
    <t>v29: Input!J1112; growth K1107:W1107</t>
  </si>
  <si>
    <t>Office expenses [Medan] - fixed, G&amp;A opex</t>
  </si>
  <si>
    <t>v29: Input!J1119; growth K1114:W1114</t>
  </si>
  <si>
    <t>Rental [Medan] - fixed, G&amp;A opex</t>
  </si>
  <si>
    <t>v29: Input!J1126; growth K1121:W1121</t>
  </si>
  <si>
    <t>Cost ratios by year (costs driven by revenue or by scheduled depreciation)</t>
  </si>
  <si>
    <t>Cost ratio</t>
  </si>
  <si>
    <t>E1 Teluk Lamong insurance</t>
  </si>
  <si>
    <t>% of sched. depreciation</t>
  </si>
  <si>
    <t>Input!K100:W100</t>
  </si>
  <si>
    <t>E2 Cigading insurance</t>
  </si>
  <si>
    <t>Input!K274:W274</t>
  </si>
  <si>
    <t>E3 / P07 Belawan concession fee</t>
  </si>
  <si>
    <t>Input!K591:W591</t>
  </si>
  <si>
    <t>E4 Cilegon insurance</t>
  </si>
  <si>
    <t>Calculation_FSL!F815</t>
  </si>
  <si>
    <t>E4 Makassar maintenance</t>
  </si>
  <si>
    <t>Calculation_FSL!F883</t>
  </si>
  <si>
    <t>E4 Medan maintenance</t>
  </si>
  <si>
    <t>Calculation_FSL!F1049</t>
  </si>
  <si>
    <t>E4 Surabaya maintenance</t>
  </si>
  <si>
    <t>Input!K969:W969</t>
  </si>
  <si>
    <t>E4 Makassar dock &amp; port fee</t>
  </si>
  <si>
    <t>Calculation_FSL!F872</t>
  </si>
  <si>
    <t>E4 Surabaya dock &amp; port fee</t>
  </si>
  <si>
    <t>Calculation_FSL!F950</t>
  </si>
  <si>
    <t>E4 Medan dock &amp; port fee</t>
  </si>
  <si>
    <t>Calculation_FSL!F1038</t>
  </si>
  <si>
    <t>E4 Cilegon dock &amp; port fee - blended (FY2024 only)</t>
  </si>
  <si>
    <t>Input!K767:W767</t>
  </si>
  <si>
    <t>E4 Cilegon Corn dock &amp; port fee (FY2025+)</t>
  </si>
  <si>
    <t>Input!K769:W769</t>
  </si>
  <si>
    <t>E4 Cilegon SBM dock &amp; port fee (FY2025+)</t>
  </si>
  <si>
    <t>Input!K770:W770</t>
  </si>
  <si>
    <t>E4 Cilegon Soybean dock &amp; port fee (FY2025+)</t>
  </si>
  <si>
    <t>Input!K771:W771</t>
  </si>
  <si>
    <t>E4 Cilegon Sugar dock &amp; port fee (FY2025+)</t>
  </si>
  <si>
    <t>Input!K772:W772</t>
  </si>
  <si>
    <t>E4 Cilegon Wheat dock &amp; port fee (FY2025+)</t>
  </si>
  <si>
    <t>Input!K773:W773</t>
  </si>
  <si>
    <t>7.   BUMN SYNERGIES (P12-P14) - SOE-level tariffs and unit costs by year, FSL margins, investment and working-capital requirements</t>
  </si>
  <si>
    <t>The operatorship schemes restructure the SOE tariff: part of the tariff (the FSL entitlement) is transferred to FSL, which takes over operation &amp; maintenance. Per-ton economics: BUMN Synergy Calculation.</t>
  </si>
  <si>
    <t>Synergy assumption</t>
  </si>
  <si>
    <t>SOE EBIT margin - current schemes</t>
  </si>
  <si>
    <t>% SOE revenue</t>
  </si>
  <si>
    <t>Calculation_FSL!E1185, E1297, E1354</t>
  </si>
  <si>
    <t>P12 Pelindo Teluk Lamong grains tariff - berth (dermaga)</t>
  </si>
  <si>
    <t>Calculation_FSL!F1169</t>
  </si>
  <si>
    <t>P12 Pelindo Teluk Lamong grains tariff - OPP/OPT</t>
  </si>
  <si>
    <t>Calculation_FSL!F1170</t>
  </si>
  <si>
    <t>P12 Pelindo Teluk Lamong grains tariff - ship unloader, grabber, hopper</t>
  </si>
  <si>
    <t>Calculation_FSL!F1171</t>
  </si>
  <si>
    <t>P12 Pelindo Teluk Lamong grains tariff - conveyor rental</t>
  </si>
  <si>
    <t>Calculation_FSL!F1172</t>
  </si>
  <si>
    <t>P12 Pelindo Teluk Lamong grains tariff - throughput fee</t>
  </si>
  <si>
    <t>Calculation_FSL!F1173</t>
  </si>
  <si>
    <t>P12 Pelindo Teluk Lamong grains tariff - social fund &amp; APBMI</t>
  </si>
  <si>
    <t>Calculation_FSL!F1174</t>
  </si>
  <si>
    <t>P12 Pelindo Teluk Lamong meals tariff - berth (dermaga)</t>
  </si>
  <si>
    <t>Calculation_FSL!F1191</t>
  </si>
  <si>
    <t>P12 Pelindo Teluk Lamong meals tariff - OPP/OPT</t>
  </si>
  <si>
    <t>Calculation_FSL!F1192</t>
  </si>
  <si>
    <t>P12 Pelindo Teluk Lamong meals tariff - ship unloader, grabber, hopper</t>
  </si>
  <si>
    <t>Calculation_FSL!F1193</t>
  </si>
  <si>
    <t>P12 Pelindo Teluk Lamong meals tariff - conveyor rental</t>
  </si>
  <si>
    <t>Calculation_FSL!F1194</t>
  </si>
  <si>
    <t>P12 Pelindo Teluk Lamong meals tariff - throughput fee</t>
  </si>
  <si>
    <t>Calculation_FSL!F1195</t>
  </si>
  <si>
    <t>P12 Pelindo Teluk Lamong meals tariff - social fund &amp; APBMI</t>
  </si>
  <si>
    <t>Calculation_FSL!F1196</t>
  </si>
  <si>
    <t>P12 Teluk Lamong grains SOE cost - depreciation</t>
  </si>
  <si>
    <t>Calculation_FSL!F1178 (sign reversed)</t>
  </si>
  <si>
    <t>P12 Teluk Lamong grains SOE cost - overhead &amp; others</t>
  </si>
  <si>
    <t>Calculation_FSL!F1179 (sign reversed)</t>
  </si>
  <si>
    <t>P12 Teluk Lamong grains SOE cost - operation &amp; maintenance (moves to FSL)</t>
  </si>
  <si>
    <t>Calculation_FSL!F1180 (sign reversed)</t>
  </si>
  <si>
    <t>P12 Teluk Lamong meals SOE cost - depreciation</t>
  </si>
  <si>
    <t>Calculation_FSL!F1200 (sign reversed)</t>
  </si>
  <si>
    <t>P12 Teluk Lamong meals SOE cost - overhead &amp; others</t>
  </si>
  <si>
    <t>Calculation_FSL!F1201 (sign reversed)</t>
  </si>
  <si>
    <t>P12 Teluk Lamong meals SOE cost - operation &amp; maintenance (moves to FSL)</t>
  </si>
  <si>
    <t>Calculation_FSL!F1202 (sign reversed)</t>
  </si>
  <si>
    <t>P12 Teluk Lamong grains - GSU depreciation kept by the SOE</t>
  </si>
  <si>
    <t>Calculation_FSL!E1233 (sign reversed)</t>
  </si>
  <si>
    <t>P12 Teluk Lamong grains - GSU overhead kept by the SOE</t>
  </si>
  <si>
    <t>Calculation_FSL!F1233 (sign reversed)</t>
  </si>
  <si>
    <t>P12 Teluk Lamong grains - conveyor depreciation kept by the SOE</t>
  </si>
  <si>
    <t>Calculation_FSL!E1234 (sign reversed)</t>
  </si>
  <si>
    <t>P12 Teluk Lamong grains - conveyor overhead kept by the SOE</t>
  </si>
  <si>
    <t>Calculation_FSL!F1234 (sign reversed)</t>
  </si>
  <si>
    <t>P12 Teluk Lamong meals - GSU depreciation kept by the SOE</t>
  </si>
  <si>
    <t>Calculation_FSL!E1257 (sign reversed)</t>
  </si>
  <si>
    <t>P12 Teluk Lamong meals - GSU overhead kept by the SOE</t>
  </si>
  <si>
    <t>Calculation_FSL!F1257 (sign reversed)</t>
  </si>
  <si>
    <t>P12 Teluk Lamong meals - conveyor depreciation kept by the SOE</t>
  </si>
  <si>
    <t>Calculation_FSL!E1258 (sign reversed)</t>
  </si>
  <si>
    <t>P12 Teluk Lamong meals - conveyor overhead kept by the SOE</t>
  </si>
  <si>
    <t>Calculation_FSL!F1258 (sign reversed)</t>
  </si>
  <si>
    <t>P12 FSL EBITDA margin on the Teluk Lamong entitlement</t>
  </si>
  <si>
    <t>Calculation_FSL!F1420</t>
  </si>
  <si>
    <t>v29 constant repeated in every year - edit any year on its own. FSL bears (1 - margin) of the entitlement as operating cost (O&amp;M taken over).</t>
  </si>
  <si>
    <t>P13 KBS Cigading all-in tariff (current scheme)</t>
  </si>
  <si>
    <t>Calculation_FSL!F1279</t>
  </si>
  <si>
    <t>P13 KBS - ship-unloader share of the all-in tariff</t>
  </si>
  <si>
    <t>Calculation_FSL!F1283 (=F1279*70%)</t>
  </si>
  <si>
    <t>P13 KBS SOE cost - depreciation</t>
  </si>
  <si>
    <t>Calculation_FSL!F1290 (sign reversed)</t>
  </si>
  <si>
    <t>P13 KBS SOE cost - overhead &amp; others</t>
  </si>
  <si>
    <t>Calculation_FSL!F1291 (sign reversed)</t>
  </si>
  <si>
    <t>P13 KBS SOE cost - operation &amp; maintenance (moves to FSL)</t>
  </si>
  <si>
    <t>Calculation_FSL!F1292 (sign reversed)</t>
  </si>
  <si>
    <t>P13 KBS - crane depreciation kept by the SOE</t>
  </si>
  <si>
    <t>Calculation_FSL!E1320 (sign reversed)</t>
  </si>
  <si>
    <t>P13 KBS - mark-up on the SOE-retained crane cost</t>
  </si>
  <si>
    <t>Calculation_FSL!F1307 (x120%)</t>
  </si>
  <si>
    <t>P13 FSL EBITDA margin on the KBS entitlement</t>
  </si>
  <si>
    <t>Calculation_FSL!F1431</t>
  </si>
  <si>
    <t>P14 Belawan port-operation tariff</t>
  </si>
  <si>
    <t>Calculation_FSL!F1347 (=Sheet3!G6 = 55,000 - 29,000)</t>
  </si>
  <si>
    <t>v29 constant repeated in every year - edit any year on its own. Sheet3 dependency removed - value embedded.</t>
  </si>
  <si>
    <t>P14 Belawan ship-unloader tariff (current scheme)</t>
  </si>
  <si>
    <t>Calculation_FSL!F1348 (=Sheet3!G8)</t>
  </si>
  <si>
    <t>P14 Belawan SOE cost - overhead</t>
  </si>
  <si>
    <t>Calculation_FSL!F1351</t>
  </si>
  <si>
    <t>P14 Belawan SOE cost - operation &amp; maintenance (moves to FSL)</t>
  </si>
  <si>
    <t>Calculation_FSL!F1352</t>
  </si>
  <si>
    <t>P14 Belawan SOE cost - depreciation</t>
  </si>
  <si>
    <t>Calculation_FSL!F1357</t>
  </si>
  <si>
    <t>P14 Belawan ship-unloader tariff kept by the SOE (new scheme)</t>
  </si>
  <si>
    <t>Calculation_FSL!F1365</t>
  </si>
  <si>
    <t>P14 FSL EBITDA margin on the Belawan entitlement</t>
  </si>
  <si>
    <t>Calculation_FSL!F1441</t>
  </si>
  <si>
    <t>FSL investment required for the operatorship schemes (all three, IDR bn by year; nil in v29)</t>
  </si>
  <si>
    <t>Calculation_FSL rows 1474-1481 (no synergy capex)</t>
  </si>
  <si>
    <t>v29 constant repeated in every year - edit any year on its own. v29 schedules no FSL capex: GSU, crane and conveyor stay with the SOE and are paid for in the SOE tariff. Enter amounts to test.</t>
  </si>
  <si>
    <t>Useful life of any synergy investment</t>
  </si>
  <si>
    <t>not in v29 (no synergy capex)</t>
  </si>
  <si>
    <t>Only used if a synergy investment is entered above.</t>
  </si>
  <si>
    <t>Working capital on the entitlement revenue uses the receivable days of section 9. The SOE-retained share of the improvement is calculated for information and is never added to FSL.</t>
  </si>
  <si>
    <t>8.   SUSTAINING CAPEX AND CANCELLATION (all asset-owning businesses) - nil in v29</t>
  </si>
  <si>
    <t>Sustaining (maintenance) capex in the forecast period</t>
  </si>
  <si>
    <t>Calculation_FSL rows 1474-1481 (no sustaining capex in v29)</t>
  </si>
  <si>
    <t>v29 constant repeated in every year - edit any year on its own. v29 has no replacement capex although existing assets are fully depreciated within the forecast (S5). Enter e.g. 4% to test; the terminal value uses its own normalised reinvestment assumption (section 12).</t>
  </si>
  <si>
    <t>Useful life of sustaining capex</t>
  </si>
  <si>
    <t>not in v29 (no sustaining capex)</t>
  </si>
  <si>
    <t>Only used if a sustaining capex % is entered above.</t>
  </si>
  <si>
    <t>Cancellation cost if a committed project (P01 / P02) is switched off (scenario-only)</t>
  </si>
  <si>
    <t>% remaining capex</t>
  </si>
  <si>
    <t>TO CONFIRM - PROVISIONAL ASSUMPTION: v29 has no contract data. Basis: allowance for termination / demobilisation on contracts in progress. No effect at the v29 settings (P01 / P02 ON). Affects: EBITDA and cash in FY2024 only when P01 / P02 are switched off.</t>
  </si>
  <si>
    <t>9.   WORKING CAPITAL</t>
  </si>
  <si>
    <t>Receivable days (on revenue)</t>
  </si>
  <si>
    <t>days</t>
  </si>
  <si>
    <t>Calculation_FSL!F1454</t>
  </si>
  <si>
    <t>v29 constant repeated in every year - edit any year on its own. Applied to the actual days in each year.</t>
  </si>
  <si>
    <t>Payable days (on cost of sales)</t>
  </si>
  <si>
    <t>Calculation_FSL!F1464</t>
  </si>
  <si>
    <t>Inventory balance at year end - as applied by v29 (Dec-23 balance held to FY2033, nil from FY2034: formula break C11)</t>
  </si>
  <si>
    <t>Output_FSL!J96:V96 / Calculation_FSL!J1460:V1460</t>
  </si>
  <si>
    <t>v29 value for each year. v29 inconsistency C11: the FY2034-36 formulas omit the Dec-23 term (formula break). Switch C11 holds the Dec-23 balance in every year.</t>
  </si>
  <si>
    <t>10.   FINANCING - existing loans (incl. the 12 USD mn LT loan, now repaid in 2027), new debt, committed funding, equity basis, dividends</t>
  </si>
  <si>
    <t>Existing bank loans (Dec-23 balance 224.5 = other loans 29.3 repaid in FY2024 + LT loan 195.2)</t>
  </si>
  <si>
    <t>LT loan (12 USD mn) - principal in USD (memo)</t>
  </si>
  <si>
    <t>Calculation_FSL!K1511 (= Input!K1237 "FSL Loan Repayment")</t>
  </si>
  <si>
    <t>v29 repays it in FY2025 with investor proceeds. Principal and currency unchanged.</t>
  </si>
  <si>
    <t>LT loan - principal in IDR (12.0 USD mn at the v29 rate of 16,265)</t>
  </si>
  <si>
    <t>Calculation_FSL!K1513 (= K1511 x USD_IDR / 1000)</t>
  </si>
  <si>
    <t>Held at the v29 IDR amount (v29 uses one exchange rate; no FX revaluation modelled).</t>
  </si>
  <si>
    <t>LT loan - repayment date (bullet; interest runs to this date)</t>
  </si>
  <si>
    <t>v29: repaid in FY2025 (Calculation_FSL!K1516)</t>
  </si>
  <si>
    <t>USER-REQUESTED CHANGE: Not repaid in 2025: carried through 31-Dec-2026 and repaid in 2027. The exact 2027 date is not known - 30-Jun-2027 is provisional (TO CONFIRM). Enter 31-Dec-2025 to reproduce v29.</t>
  </si>
  <si>
    <t>LT loan - interest rate (implied by v29: FY2025 interest / principal)</t>
  </si>
  <si>
    <t>% p.a.</t>
  </si>
  <si>
    <t>Input!L388 + Input!L433 (15.27) / Calculation_FSL!K1513</t>
  </si>
  <si>
    <t>v29 charges a full year of interest on the 195.18 in FY2025, the year it repays it; that rate (7.83%) is applied until the repayment date. TO CONFIRM.</t>
  </si>
  <si>
    <t>LT loan - share of its interest charged to the Cigading existing tax line (balance: Wharf 2 line)</t>
  </si>
  <si>
    <t>Input!L388 / (L388 + L433)</t>
  </si>
  <si>
    <t>Keeps the v29 FY2025 split of this interest between the two v29 tax lines (Output_Standalone (IDR) rows 125 and 149).</t>
  </si>
  <si>
    <t>Other existing bank loans - scheduled repayment (unchanged from v29)</t>
  </si>
  <si>
    <t>Calculation_FSL!J1516 (= opening 224.518 - LT loan 195.18; sign reversed)</t>
  </si>
  <si>
    <t>v29 value for each year. Repaid in FY2024 as in v29 (not moved).</t>
  </si>
  <si>
    <t>Interest - Cigading existing loans (v29 schedule FY2024-25; charged to the Cigading existing line)</t>
  </si>
  <si>
    <t>Input!K388:W388 -&gt; Output_Standalone (IDR)!J125:V125</t>
  </si>
  <si>
    <t>v29 value for each year. From FY2026 the interest on the carried LT loan is added (Financing A).</t>
  </si>
  <si>
    <t>Interest - Wharf 2 loan (v29 schedule FY2025; charged to the Wharf 2 line)</t>
  </si>
  <si>
    <t>Input!K433:W433 (L433 = L434; later years 0) -&gt; Output_Standalone (IDR)!J149:V149</t>
  </si>
  <si>
    <t>v29 value for each year. v29 sets FY2026+ to nil because it repays the loan in FY2025; the carried-loan interest replaces this (Financing A).</t>
  </si>
  <si>
    <t>New debt facility and committed funding (used only if the cash roll-forward shows a funding gap)</t>
  </si>
  <si>
    <t>New debt facility limit (assumed available funding)</t>
  </si>
  <si>
    <t>TO CONFIRM - PROVISIONAL ASSUMPTION: No facility in v29. Basis: about 2x FY2026 EBITDA - indicative senior bank capacity; prevents unlimited borrowing. Affects: debt drawdowns (only if the debt share &gt; 0).</t>
  </si>
  <si>
    <t>Upfront / arrangement fee on new debt</t>
  </si>
  <si>
    <t>% of drawdown</t>
  </si>
  <si>
    <t>TO CONFIRM - PROVISIONAL ASSUMPTION: Fees not in v29. Basis: typical 1% arrangement fee for IDR bank loans. Affects: debt drawn and finance costs (only if debt is drawn).</t>
  </si>
  <si>
    <t>Tenor of each drawdown (incl. grace)</t>
  </si>
  <si>
    <t>Call Rights!H69 note: 'Tenor 5 IDR'</t>
  </si>
  <si>
    <t>Contract term.</t>
  </si>
  <si>
    <t>Grace period before repayments start</t>
  </si>
  <si>
    <t>Call Rights!H68 note: 'Tenor 4+1'</t>
  </si>
  <si>
    <t>Equal annual repayments after the grace period.</t>
  </si>
  <si>
    <t>Minimum DSCR used for the covenant warning</t>
  </si>
  <si>
    <t>TO CONFIRM - PROVISIONAL ASSUMPTION: v29 has no covenant. Basis: typical senior-debt covenant for infrastructure. Affects: warning on Checks only.</t>
  </si>
  <si>
    <t>Share of any funding gap met by new debt (the rest: new equity)</t>
  </si>
  <si>
    <t>v29 has no new debt (Calculation_FSL!F1524 debt portion = 0%)</t>
  </si>
  <si>
    <t>v29 constant repeated in every year - edit any year on its own. Enter e.g. 50% to fund part of a gap with debt.</t>
  </si>
  <si>
    <t>New debt interest rate</t>
  </si>
  <si>
    <t>Call Rights!H71 note: '10%-11%' (IDR)</t>
  </si>
  <si>
    <t>Derived from v29, repeated in every year - edit any year on its own. Mid-point of the v29 note; interest on the opening balance (draws at year-end, no circularity).</t>
  </si>
  <si>
    <t>Committed funding already agreed (cash received in the year; treated as equity)</t>
  </si>
  <si>
    <t>TO CONFIRM - PROVISIONAL ASSUMPTION: No committed funding identified. Enter only signed commitments; they are received as scheduled and reduce the residual equity still to be raised. Affects: cash, equity raised, residual equity requirement. Provisional value repeated in every year - edit any year on its own.</t>
  </si>
  <si>
    <t>Equity (basis selected in section 1) and cash</t>
  </si>
  <si>
    <t>v29 scheduled equity = share of the year's project capex injected as new shares (used only when the equity basis = 2)</t>
  </si>
  <si>
    <t>% of capex</t>
  </si>
  <si>
    <t>Calculation_FSL!L1498:M1498 ('Ass Oct 2025': FY2026 = FY2026 capex, FY2027 = FY2027 + FY2028 capex) -&gt; Call Rights row 48 -&gt; Calculation_FSL row 1500</t>
  </si>
  <si>
    <t>v29 value for each year. v29 issues new shares equal to the project capex of FY2026 and FY2027 (25.81 and 9.84 USD mn). With the revised basis (1) new equity is instead the residual funding gap.</t>
  </si>
  <si>
    <t>Primary equity commitment in v29 (cap on v29-basis equity; reference for the residual requirement)</t>
  </si>
  <si>
    <t>Calculation FKS PoV!D165</t>
  </si>
  <si>
    <t>Basis 2: equity above the commitment (and debt) is an unfunded shortfall. Basis 1: the residual requirement is not capped; Funding Requirement compares it with this amount.</t>
  </si>
  <si>
    <t>Minimum cash balance</t>
  </si>
  <si>
    <t>Calculation_FSL!J1531 (hard-coded -3.00)</t>
  </si>
  <si>
    <t>v29 constant repeated in every year - edit any year on its own. The cash roll-forward keeps at least this balance; a shortfall below it is the funding gap.</t>
  </si>
  <si>
    <t>Interest income on opening cash</t>
  </si>
  <si>
    <t>v29 earns no interest on cash</t>
  </si>
  <si>
    <t>v29 constant repeated in every year - edit any year on its own. Enter a deposit rate to test.</t>
  </si>
  <si>
    <t>Dividends (v29 rules)</t>
  </si>
  <si>
    <t>Capital base for the statutory reserve</t>
  </si>
  <si>
    <t>Calculation_FSL!F1537</t>
  </si>
  <si>
    <t>Legal parameter.</t>
  </si>
  <si>
    <t>Statutory reserve as % of the capital base</t>
  </si>
  <si>
    <t>Calculation_FSL!F1538</t>
  </si>
  <si>
    <t>Dividend payout ratio (x net income clean = profit attributable to FSL)</t>
  </si>
  <si>
    <t>Calculation_FSL!F1550</t>
  </si>
  <si>
    <t>v29 constant repeated in every year - edit any year on its own. v29: paid = MIN(payout x clean net income, cumulative profit above the statutory reserve, cash above the minimum balance).</t>
  </si>
  <si>
    <t>Dividend payout to non-controlling shareholders (NPLOG 35%, Badas / placeholders if below 100%)</t>
  </si>
  <si>
    <t>% of NCI profit</t>
  </si>
  <si>
    <t>Calculation_FSL rows 1545-1556 (no minority dividends in v29)</t>
  </si>
  <si>
    <t>v29 constant repeated in every year - edit any year on its own. v29 pays no dividends to the NPLOG minority; enter a payout to test.</t>
  </si>
  <si>
    <t>11.   TAX AND OWNERSHIP</t>
  </si>
  <si>
    <t>Corporate income tax rate</t>
  </si>
  <si>
    <t>Output_Standalone (IDR)!J33 (22% typed into each tax formula)</t>
  </si>
  <si>
    <t>v29 method (default): tax = rate x MAX(0, profit before tax) of each business line (16 Output_Standalone blocks; Badas and placeholders as their own lines), no loss relief between lines. Switch C07 computes tax per legal entity with loss carry-forward instead.</t>
  </si>
  <si>
    <t>Opening tax losses at 31-Dec-2023 - NPLOG - Teluk Lamong (used only when C07 is ON)</t>
  </si>
  <si>
    <t>TO CONFIRM - PROVISIONAL ASSUMPTION: Not in v29. Basis: nil (NPLOG reported an FY2023 loss of 87.2bn, BS_Historical!C52 - confirm losses available). No effect unless C07 = 1. Affects: tax in the early years when C07 is ON.</t>
  </si>
  <si>
    <t>Opening tax losses at 31-Dec-2023 - SGT 2 - Cigading (used only when C07 is ON)</t>
  </si>
  <si>
    <t>TO CONFIRM - PROVISIONAL ASSUMPTION: Not in v29. Basis: nil. No effect unless C07 = 1. Affects: tax in the early years when C07 is ON.</t>
  </si>
  <si>
    <t>Opening tax losses at 31-Dec-2023 - Belawan (SGdT) (used only when C07 is ON)</t>
  </si>
  <si>
    <t>Opening tax losses at 31-Dec-2023 - WIN (used only when C07 is ON)</t>
  </si>
  <si>
    <t>Opening tax losses at 31-Dec-2023 - Dumai (new entity) (used only when C07 is ON)</t>
  </si>
  <si>
    <t>Opening tax losses at 31-Dec-2023 - Ciwandan (new entity) (used only when C07 is ON)</t>
  </si>
  <si>
    <t>Opening tax losses at 31-Dec-2023 - TBM (new entity) (used only when C07 is ON)</t>
  </si>
  <si>
    <t>FSL share of NPLOG (Teluk Lamong) profit in the dividend base</t>
  </si>
  <si>
    <t>Calculation_FSL!F1547 (65% applied to the Teluk Lamong existing and DMS Teluk Lamong lines)</t>
  </si>
  <si>
    <t>v29 applies it to two NPLOG lines only (E1, P08); switch C12 applies it to every NPLOG line. Interpreted as a 65% economic interest (35% non-controlling interest) - TO CONFIRM legal shareholding.</t>
  </si>
  <si>
    <t>FSL economic interest - SGT 2 - Cigading</t>
  </si>
  <si>
    <t>v29 implicit (no minority adjustment)</t>
  </si>
  <si>
    <t>Confirm.</t>
  </si>
  <si>
    <t>FSL economic interest - Belawan (SGdT)</t>
  </si>
  <si>
    <t>FSL economic interest - WIN</t>
  </si>
  <si>
    <t>FSL economic interest - Dumai (new entity)</t>
  </si>
  <si>
    <t>New entity.</t>
  </si>
  <si>
    <t>FSL economic interest - Ciwandan (new entity)</t>
  </si>
  <si>
    <t>FSL economic interest - TBM (new entity)</t>
  </si>
  <si>
    <t>Ownership shares are structural parameters (Badas: section 13; placeholders: section 14). Revenue shares (warehouse 49%, DMS 50%, Ciwandan 52%, Badas section 13) are contract terms applied in the revenue calculation, not equity interests.</t>
  </si>
  <si>
    <t>12.   VALUATION - discount rate build-up (nominal IDR), terminal growth and normalised reinvestment; derived WACC used by both valuation sheets</t>
  </si>
  <si>
    <t>IDR 10-year government bond yield (SBN)</t>
  </si>
  <si>
    <t>TO CONFIRM - PROVISIONAL ASSUMPTION: v29 has no discount rate (its 10% investor target IRR is not a WACC). Basis: market yield 7.01% on 24-Sep-2026 (Trading Economics). Affects: WACC and all present values.</t>
  </si>
  <si>
    <t>Indonesia sovereign default spread (removed from the bond yield)</t>
  </si>
  <si>
    <t>TO CONFIRM - PROVISIONAL ASSUMPTION: Basis: Damodaran Jan-2026 (Baa2). Removed because the equity premium below already includes country risk. Affects: cost of equity.</t>
  </si>
  <si>
    <t>Equity risk premium - Indonesia (mature 4.23% + country 2.46%)</t>
  </si>
  <si>
    <t>TO CONFIRM - PROVISIONAL ASSUMPTION: Basis: Damodaran Jan-2026 country risk premium table. Affects: cost of equity.</t>
  </si>
  <si>
    <t>Unlevered beta</t>
  </si>
  <si>
    <t>TO CONFIRM - PROVISIONAL ASSUMPTION: Basis: Damodaran Jan-2026 unlevered betas - Transportation 0.71, Railroads 0.81, Trucking 0.87; 0.80 for bulk port handling with volume risk. Affects: cost of equity.</t>
  </si>
  <si>
    <t>Target debt / (debt + equity)</t>
  </si>
  <si>
    <t>TO CONFIRM - PROVISIONAL ASSUMPTION: Basis: moderate leverage for transport infrastructure (Damodaran D/E: Transportation 36%, Trucking 25%). Affects: beta relevering and WACC weights.</t>
  </si>
  <si>
    <t>Pre-tax cost of debt</t>
  </si>
  <si>
    <t>Call Rights!H71 note: '10%-11%'</t>
  </si>
  <si>
    <t>Same basis as the new debt rate (section 10).</t>
  </si>
  <si>
    <t>Company-specific risk premium</t>
  </si>
  <si>
    <t>TO CONFIRM - PROVISIONAL ASSUMPTION: Basis: small unlisted company concentrated on a few port sites. Affects: cost of equity.</t>
  </si>
  <si>
    <t>Terminal growth rate after FY2036 (nominal IDR)</t>
  </si>
  <si>
    <t>TO CONFIRM - PROVISIONAL ASSUMPTION: v29 has no terminal assumption or concession terms. Basis: close to Bank Indonesia's 2.5% +/- 1% inflation target - no real growth, so normalised reinvestment is the only capex. Affects: terminal value (about half of EV).</t>
  </si>
  <si>
    <t>Normalised reinvestment (capex) in the terminal year, % of FY2037 revenue</t>
  </si>
  <si>
    <t>TO CONFIRM - PROVISIONAL ASSUMPTION: v29 has no sustaining capex, so its FY2036 cash flow (depreciation added back, no capex) cannot be capitalised as it stands. Basis: 4% of revenue, a common sustaining level for port and terminal operators. Used in the terminal value only - the forecast statements are unchanged. Affects: terminal value only.</t>
  </si>
  <si>
    <t>Derived rates used by both valuation sheets and Project Cash Flows (formulas - do not edit)</t>
  </si>
  <si>
    <t xml:space="preserve">   Risk-free rate net of the sovereign default spread</t>
  </si>
  <si>
    <t xml:space="preserve">   Target debt / equity</t>
  </si>
  <si>
    <t xml:space="preserve">   Tax rate for WACC and terminal value (FY2036 rate - long-run)</t>
  </si>
  <si>
    <t xml:space="preserve">   Relevered beta (Hamada)</t>
  </si>
  <si>
    <t xml:space="preserve">   Cost of equity = risk-free + beta x ERP + specific premium</t>
  </si>
  <si>
    <t xml:space="preserve">   After-tax cost of debt</t>
  </si>
  <si>
    <t xml:space="preserve">   WACC = (1 - D/V) x cost of equity + D/V x after-tax cost of debt</t>
  </si>
  <si>
    <t xml:space="preserve">   Terminal growth used</t>
  </si>
  <si>
    <t xml:space="preserve">   Valuation year (financial year ending on the valuation date)</t>
  </si>
  <si>
    <t xml:space="preserve">   Exchange rate of the valuation year (USD presentation only)</t>
  </si>
  <si>
    <t>Local-currency bond yield less the default spread, with an equity premium that includes country risk, avoids counting country risk twice. The v29 investor-return inputs (pre-money value, exit multiple) are not used and were removed.</t>
  </si>
  <si>
    <t>13.   BADAS PROJECT TEMPLATE (P19) - OPERATING INPUTS ARE DUMMY UNTIL THE FEASIBILITY STUDY IS RECEIVED (replace through the FS Data Request sheet)</t>
  </si>
  <si>
    <t>Not in v29. Structure as Dumai / Ciwandan: capacity x utilisation -&gt; throughput; handling, storage and ancillary tariffs -&gt; revenue x FSL revenue share; variable, staff, fixed, maintenance, insurance and concession costs; capex by year; depreciation; working capital; project debt; ownership.</t>
  </si>
  <si>
    <t>Valuation inclusion = register switch (section 2; OFF as delivered). Funding inclusion = control below (ON). Badas results are always calculated for information (Revenue E, Cost D, Capex D, Financing D, Project Summary).</t>
  </si>
  <si>
    <t>Badas input</t>
  </si>
  <si>
    <t>Include Badas capex in the funding request while Badas is outside the valuation (capex-only funding)</t>
  </si>
  <si>
    <t>When Badas is in the valuation (register switch 1) its funding is part of the FSL cash roll-forward and this control has no effect (no double counting).</t>
  </si>
  <si>
    <t>FSL ownership of the Badas project entity</t>
  </si>
  <si>
    <t>DUMMY — REPLACE WITH FS DATA</t>
  </si>
  <si>
    <t>DUMMY — REPLACE WITH FS DATA. Below 100% creates a non-controlling interest.</t>
  </si>
  <si>
    <t>FSL share of Badas gross revenue (revenue sharing with the port / concession owner)</t>
  </si>
  <si>
    <t>DUMMY — REPLACE WITH FS DATA. Contract term (as the Ciwandan 52% share).</t>
  </si>
  <si>
    <t>Commercial operation date (construction and commissioning completed)</t>
  </si>
  <si>
    <t>DUMMY — REPLACE WITH FS DATA. First day of operations; the first year is pro-rated. Capex timing is set separately (spending % row) - the first capex year is not the first revenue year.</t>
  </si>
  <si>
    <t>Design capacity (throughput at 100% utilisation)</t>
  </si>
  <si>
    <t>tons p.a.</t>
  </si>
  <si>
    <t>Share of throughput stored in the terminal</t>
  </si>
  <si>
    <t>Average storage period</t>
  </si>
  <si>
    <t>months</t>
  </si>
  <si>
    <t>Share of throughput using ancillary services (bagging / weighing)</t>
  </si>
  <si>
    <t>Pre-operating costs (expensed in the year before operations start)</t>
  </si>
  <si>
    <t>DUMMY — REPLACE WITH FS DATA. Recruitment, training and commissioning costs.</t>
  </si>
  <si>
    <t>Total project investment</t>
  </si>
  <si>
    <t>Board deck Dec-2024, Stage 2 (Badas 10.0 USD mn) - not in v29</t>
  </si>
  <si>
    <t>TO CONFIRM - PROVISIONAL ASSUMPTION: Basis: board deck Stage 2 amount. Replace with the FS capex budget. Affects: Badas capex, depreciation, maintenance / insurance and funding request.</t>
  </si>
  <si>
    <t>Capex spending, % of total investment by year</t>
  </si>
  <si>
    <t>DUMMY — REPLACE WITH FS DATA. Construction FY2027-28 before commissioning on 1-Jan-2029. Percentages must add to 100% (column E).</t>
  </si>
  <si>
    <t>Building / civil works share of capex</t>
  </si>
  <si>
    <t>DUMMY — REPLACE WITH FS DATA. Balance = equipment.</t>
  </si>
  <si>
    <t>Useful life - buildings / civil works</t>
  </si>
  <si>
    <t>Useful life - equipment</t>
  </si>
  <si>
    <t>Project debt - share of capex funded by Badas project debt</t>
  </si>
  <si>
    <t>DUMMY — REPLACE WITH FS DATA. Drawn as capex is spent; the rest is equity.</t>
  </si>
  <si>
    <t>Project debt - tenor of each drawdown incl. grace</t>
  </si>
  <si>
    <t>Project debt - grace period before repayments</t>
  </si>
  <si>
    <t>DUMMY — REPLACE WITH FS DATA. Equal annual repayments after the grace period.</t>
  </si>
  <si>
    <t>Utilisation of design capacity (operating years)</t>
  </si>
  <si>
    <t>% capacity</t>
  </si>
  <si>
    <t>DUMMY — REPLACE WITH FS DATA. Ramp-up 55% / 70% / 80% / 85% from FY2029. Values before operations start have no effect.</t>
  </si>
  <si>
    <t>Handling tariff (100%)</t>
  </si>
  <si>
    <t>DUMMY — REPLACE WITH FS DATA. Illustration only: close to the v29 Belawan / Teluk Lamong handling tariffs (44-47k IDR/t in FY2029).</t>
  </si>
  <si>
    <t>Storage tariff</t>
  </si>
  <si>
    <t>Ancillary services tariff (bagging / weighing)</t>
  </si>
  <si>
    <t>Variable operating cost (fuel, power, casual labour)</t>
  </si>
  <si>
    <t>Staffing - permanent headcount</t>
  </si>
  <si>
    <t>persons</t>
  </si>
  <si>
    <t>Staff cost per head (salary and benefits)</t>
  </si>
  <si>
    <t>IDR mn p.a.</t>
  </si>
  <si>
    <t>Other fixed operating costs (G&amp;A, security, utilities)</t>
  </si>
  <si>
    <t>IDR bn p.a.</t>
  </si>
  <si>
    <t>Maintenance</t>
  </si>
  <si>
    <t>Concession / port fee</t>
  </si>
  <si>
    <t>Project debt - interest rate</t>
  </si>
  <si>
    <t>DUMMY — REPLACE WITH FS DATA. Interest on the opening balance (no circularity).</t>
  </si>
  <si>
    <t>Tax: the corporate rate (section 11) applied to the Badas line on its own (v29 line method). Levers (section 1) apply to Badas as to every project.</t>
  </si>
  <si>
    <t>14.   PIPELINE PLACEHOLDERS (P16-P18, e.g. Lampung) - INPUTS INTENTIONALLY BLANK; ENTER EVERY REQUIRED FIELD BEFORE SWITCHING ON</t>
  </si>
  <si>
    <t>Shared assumptions are reused automatically: exchange rate, tax rate, WACC, terminal growth, sustaining capex %, levers and the funding roll-forward. A placeholder switched ON with incomplete inputs stays excluded and shows a warning.</t>
  </si>
  <si>
    <t>P16  Lampung - parameters, then annual rows (fill every year from the commencement year to FY2036)</t>
  </si>
  <si>
    <t>P16 input</t>
  </si>
  <si>
    <t>Project name (editable)</t>
  </si>
  <si>
    <t>text</t>
  </si>
  <si>
    <t>Lampung</t>
  </si>
  <si>
    <t>Required. Shown in every schedule</t>
  </si>
  <si>
    <t>FSL ownership / economic interest in the project entity</t>
  </si>
  <si>
    <t>Required. Below 100% creates a non-controlling interest</t>
  </si>
  <si>
    <t>Commencement of operations (date)</t>
  </si>
  <si>
    <t>Required. 1-Jan-2026 or later; the first year is pro-rated</t>
  </si>
  <si>
    <t>Required. Utilisation by year is entered in the annual rows</t>
  </si>
  <si>
    <t>Development capex - total commitment</t>
  </si>
  <si>
    <t>Required. Spread by the annual phasing row (must add to 100%)</t>
  </si>
  <si>
    <t>Required. Balance = equipment</t>
  </si>
  <si>
    <t xml:space="preserve">Required. </t>
  </si>
  <si>
    <t>Receivable days (optional) - optional</t>
  </si>
  <si>
    <t>Optional. Blank = model-wide receivable days of each year</t>
  </si>
  <si>
    <t>Payable days (optional) - optional</t>
  </si>
  <si>
    <t>Optional. Blank = model-wide payable days of each year</t>
  </si>
  <si>
    <t>Utilisation of design capacity</t>
  </si>
  <si>
    <t>Required for every operating year (commencement year to FY2036)</t>
  </si>
  <si>
    <t>FSL tariff</t>
  </si>
  <si>
    <t>Required for every operating year; revenue per ton received by FSL</t>
  </si>
  <si>
    <t>Variable operating cost</t>
  </si>
  <si>
    <t>Required for every operating year (cost of sales)</t>
  </si>
  <si>
    <t>Fixed operating cost</t>
  </si>
  <si>
    <t>Required for every operating year (pro-rated in a part year)</t>
  </si>
  <si>
    <t>Capex phasing (share of the total commitment spent in the year)</t>
  </si>
  <si>
    <t>Must add to 100%; spend before commencement is placed in service at commencement</t>
  </si>
  <si>
    <t>P16 readiness checklist (1 = complete, 0 = missing or invalid)</t>
  </si>
  <si>
    <t xml:space="preserve">   project name</t>
  </si>
  <si>
    <t xml:space="preserve">   ownership (0-100%)</t>
  </si>
  <si>
    <t xml:space="preserve">   commencement date (2026-2036)</t>
  </si>
  <si>
    <t xml:space="preserve">   capacity</t>
  </si>
  <si>
    <t xml:space="preserve">   utilisation for every operating year</t>
  </si>
  <si>
    <t xml:space="preserve">   tariff for every operating year</t>
  </si>
  <si>
    <t xml:space="preserve">   variable cost for every operating year</t>
  </si>
  <si>
    <t xml:space="preserve">   fixed cost for every operating year</t>
  </si>
  <si>
    <t xml:space="preserve">   capex total</t>
  </si>
  <si>
    <t xml:space="preserve">   capex phasing adding to 100%</t>
  </si>
  <si>
    <t xml:space="preserve">   building share and useful lives</t>
  </si>
  <si>
    <t xml:space="preserve">   receivable / payable days valid (optional)</t>
  </si>
  <si>
    <t>P16 missing or invalid inputs (blank = complete)</t>
  </si>
  <si>
    <t>P16 ready (1 = every required input complete)</t>
  </si>
  <si>
    <t>P16 status</t>
  </si>
  <si>
    <t>P17  Pipeline Project 2 - parameters, then annual rows (fill every year from the commencement year to FY2036)</t>
  </si>
  <si>
    <t>P17 input</t>
  </si>
  <si>
    <t>Pipeline Project 2</t>
  </si>
  <si>
    <t>P17 readiness checklist (1 = complete, 0 = missing or invalid)</t>
  </si>
  <si>
    <t>P17 missing or invalid inputs (blank = complete)</t>
  </si>
  <si>
    <t>P17 ready (1 = every required input complete)</t>
  </si>
  <si>
    <t>P17 status</t>
  </si>
  <si>
    <t>P18  Pipeline Project 3 - parameters, then annual rows (fill every year from the commencement year to FY2036)</t>
  </si>
  <si>
    <t>P18 input</t>
  </si>
  <si>
    <t>Pipeline Project 3</t>
  </si>
  <si>
    <t>P18 readiness checklist (1 = complete, 0 = missing or invalid)</t>
  </si>
  <si>
    <t>P18 missing or invalid inputs (blank = complete)</t>
  </si>
  <si>
    <t>P18 ready (1 = every required input complete)</t>
  </si>
  <si>
    <t>P18 status</t>
  </si>
  <si>
    <t>15.   FUNDING-ONLY PROJECTS (F01-F05) - CAPEX AND FUNDING REQUEST ONLY; NEVER IN THE VALUATION OR THE FINANCIAL STATEMENTS (no FS, no revenue)</t>
  </si>
  <si>
    <t>Enter a name, the total capex (USD mn) and the spending % by year: the project then adds to the funding request (Funding Requirement C). Blank rows contribute nothing. Operating results show "FS not available"; nothing is invented.</t>
  </si>
  <si>
    <t>Suitable for projects known only by a capex figure, e.g. Port long-term WH storage (60.0) or Vietnam (15.0) in the project-list screenshot. Once an FS exists, move the project to a placeholder (section 14) to value it.</t>
  </si>
  <si>
    <t>Funding-only input</t>
  </si>
  <si>
    <t>F01  Funding-only project 1</t>
  </si>
  <si>
    <t>F01 project name</t>
  </si>
  <si>
    <t>Shown in Funding Requirement and Project Summary.</t>
  </si>
  <si>
    <t>F01 total capex</t>
  </si>
  <si>
    <t>Blank = nothing requested.</t>
  </si>
  <si>
    <t>F01 capex spending, % of total capex by year</t>
  </si>
  <si>
    <t>Blank by design - enter values by year. Must add to 100% (column E).</t>
  </si>
  <si>
    <t>F01 include in the funding request (1 = yes)</t>
  </si>
  <si>
    <t>Excluded from the valuation in every case.</t>
  </si>
  <si>
    <t>F02  Funding-only project 2</t>
  </si>
  <si>
    <t>F02 project name</t>
  </si>
  <si>
    <t>F02 total capex</t>
  </si>
  <si>
    <t>F02 capex spending, % of total capex by year</t>
  </si>
  <si>
    <t>F02 include in the funding request (1 = yes)</t>
  </si>
  <si>
    <t>F03  Funding-only project 3</t>
  </si>
  <si>
    <t>F03 project name</t>
  </si>
  <si>
    <t>F03 total capex</t>
  </si>
  <si>
    <t>F03 capex spending, % of total capex by year</t>
  </si>
  <si>
    <t>F03 include in the funding request (1 = yes)</t>
  </si>
  <si>
    <t>F04  Funding-only project 4</t>
  </si>
  <si>
    <t>F04 project name</t>
  </si>
  <si>
    <t>F04 total capex</t>
  </si>
  <si>
    <t>F04 capex spending, % of total capex by year</t>
  </si>
  <si>
    <t>F04 include in the funding request (1 = yes)</t>
  </si>
  <si>
    <t>F05  Funding-only project 5</t>
  </si>
  <si>
    <t>F05 project name</t>
  </si>
  <si>
    <t>F05 total capex</t>
  </si>
  <si>
    <t>F05 capex spending, % of total capex by year</t>
  </si>
  <si>
    <t>F05 include in the funding request (1 = yes)</t>
  </si>
  <si>
    <t>Share of funding-only capex funded by project debt (balance: equity request)</t>
  </si>
  <si>
    <t>TO CONFIRM - PROVISIONAL ASSUMPTION: No financing plan for these projects. Basis: equity-funded unless debt is arranged. Affects: split of the funding-only request between debt and equity.</t>
  </si>
  <si>
    <t>16.   v29 SOURCE ISSUES - OPTIONAL CORRECTIONS (technical; every switch 0 = v29 as saved, 1 = correction applied)</t>
  </si>
  <si>
    <t>All switches 0 as delivered (v29 treatment kept; the revised baseline differs from v29 only through the requested changes - Checks &amp; Reconciliation D). Each switch replaces one v29 treatment with the corrected one; column G shows the state, column V the v29 cells concerned. Switching a correction ON changes the results deliberately; the reconciliation then shows the difference to v29 on every affected line. Register with exact references: Source Data section 20; effects: Checks &amp; Reconciliation F.</t>
  </si>
  <si>
    <t>Correction (switch)</t>
  </si>
  <si>
    <t>Switch (edit)</t>
  </si>
  <si>
    <t>Kind</t>
  </si>
  <si>
    <t>State (live)</t>
  </si>
  <si>
    <t>v29 behaviour (exact cells) | treatment when ON | where quantified</t>
  </si>
  <si>
    <t>C01  WIN Makassar sugar tariff FY2034-36</t>
  </si>
  <si>
    <t>Broken reference</t>
  </si>
  <si>
    <t>v29: Calculation_FSL!T853:V853 read Input!U810:W810 (an empty row) instead of Input!U852:W852, so the sugar tariff applied in FY2034-36 is nil and Makassar sugar revenue drops to zero. | When ON: The Input row 852 tariff (41,753 IDR/t) is applied in FY2034-36 (Source Data section 18 holds the row-852 values). | Quantified: Revenue Calculation B (E4); Checks &amp; Reconciliation F</t>
  </si>
  <si>
    <t>C02  Warehouse revitalisation depreciation</t>
  </si>
  <si>
    <t>Empty reference</t>
  </si>
  <si>
    <t>v29: Calculation_FSL!F461 (depreciation base) = Input!L1270, an empty FY2025 cell; the 6.02 USD mn warehouse capex (Input!M1270) is spent but never depreciated. | When ON: The warehouse capex is depreciated (v29 method: 20-year building life from the commencement year, or by vintage with C03). | Quantified: Capex &amp; Depreciation B (P03)</t>
  </si>
  <si>
    <t>C03  Depreciation by vintage over the useful life (C03 life cap, C04 timing)</t>
  </si>
  <si>
    <t>Method (life cap and timing)</t>
  </si>
  <si>
    <t>v29: Project depreciation = total capex (incl. spend before FY2024 and spend of later years) x proportion / life x USD_IDR, from the start-year flag, without end (e.g. Wharf 2 Calculation_FSL!J371:V376, conveyor J414:V419, silo J153:V158, Ciwandan J526:V531, Belawan J602:V607, DMS J244); only Dumai equipment stops after its life (row 197). Assets keep depreciating after their useful life and before they are built. | When ON: Each vintage is placed in service at commissioning (or when spent later) and depreciated straight-line over its useful life only. | Quantified: Capex &amp; Depreciation B</t>
  </si>
  <si>
    <t>C05  Existing-asset depreciation beyond net book value</t>
  </si>
  <si>
    <t>Negative assets</t>
  </si>
  <si>
    <t>v29: Existing-asset schedules (Calculation_FSL!F41 + Input row 62, Input!J223 + row 218, Input row 546, WIN rows) run for the whole forecast; Output_FSL!V98 fixed assets reach -235.7 in FY2036. | When ON: Depreciation of each existing pool is capped at its remaining net book value. | Quantified: Capex &amp; Depreciation C</t>
  </si>
  <si>
    <t>C06  Assets under construction at Dec-23 (presentation)</t>
  </si>
  <si>
    <t>Presentation</t>
  </si>
  <si>
    <t>v29: The Dec-23 Wharf 2 / conveyor assets under construction (197.4bn, BS_Historical!C20 etc.) stay inside 'Other Assets' (Output_FSL!I99 = 331.3, held flat), while depreciation is charged on the full 12.8 + 8.0 USD mn incl. that spend. | When ON: The 197.4bn is transferred to fixed assets at 1-Jan-2024 (other assets reduced by the same amount); no effect on profit, cash or equity. | Quantified: FSL Output sheets - balance sheet</t>
  </si>
  <si>
    <t>C07  Tax per business line without loss relief</t>
  </si>
  <si>
    <t>Method (tax)</t>
  </si>
  <si>
    <t>v29: Tax = 22% x MAX(0, profit before tax) of each of the 16 Output_Standalone (IDR) blocks (e.g. J33, J57, J81, ... J497); a loss in one block (Cigading existing FY2024-26) is never relieved against profits elsewhere, and the Cigading loan interest reduces only that block. | When ON: Tax per legal entity on operating profit with tax losses carried forward; interest deducted at group level. | Quantified: FSL Output sheets - tax section</t>
  </si>
  <si>
    <t>C08  DMS trucking equipment never purchased</t>
  </si>
  <si>
    <t>Missing capex</t>
  </si>
  <si>
    <t>v29: DMS equipment of 0.04 / 0.04 / 0.03 / 0.04 USD mn is depreciated (Calculation_FSL rows 244, 498, 569, 721) but no capex appears in the investment schedule (rows 1474-1481). | When ON: The equipment capex is spent in the first operating year of each DMS business. | Quantified: Capex &amp; Depreciation A</t>
  </si>
  <si>
    <t>C09  Belawan additional volume after FY2034</t>
  </si>
  <si>
    <t>Source gap (TO CONFIRM)</t>
  </si>
  <si>
    <t>v29: Calculation_SOEs!J450:V450 (Belawan expansion volume) ends at 550,000 t in FY2034; FY2035-36 are empty, so the P07 expansion and the P14 entitlement on it fall to nil in FY2035-36. | When ON: The FY2034 volume is held in FY2035-36. | Quantified: Revenue Calculation C (P07)</t>
  </si>
  <si>
    <t>C10  Opening balance sheet: typed receivables / payables and balancing plug</t>
  </si>
  <si>
    <t>Typed balances / plug</t>
  </si>
  <si>
    <t>v29: Output_FSL!I97 = 45.0 (receivables) and I103 = 14.672 (payables) are typed, whereas BS_Historical shows 104.1 and 23.3; other liabilities I105 = BS_Historical!V28/1000 - 65.83 + 15.32 is a plug. The v29 balance sheet is out of balance by 0.006 in every year (Output_FSL row 114 hides this with ROUNDDOWN to 2 decimals). | When ON: Actual Dec-23 balances are used (receivables 104.1, payables 23.3, other liabilities 106.4); the balance sheet then balances exactly. | Quantified: Source Data 17; Working Capital C</t>
  </si>
  <si>
    <t>C11  Inventory drops to nil in FY2034</t>
  </si>
  <si>
    <t>Formula break</t>
  </si>
  <si>
    <t>v29: Calculation_FSL!J1460:S1460 hold inventory at the Dec-23 balance (formula ...*0+$I$1460); T1460:V1460 omit the +$I$1460 term, so inventory is nil from FY2034 (Output_FSL!T96:V96 likewise). | When ON: Inventory is held at the Dec-23 balance in every year. | Quantified: Working Capital C</t>
  </si>
  <si>
    <t>C12  Minority share applied to two of the four NPLOG lines</t>
  </si>
  <si>
    <t>Inconsistent scope (TO CONFIRM)</t>
  </si>
  <si>
    <t>v29: Calculation_FSL!J1546:J1547 apply the 65% FSL share to the Teluk Lamong existing block and the DMS Teluk Lamong block only; the silo (P04) and the Teluk Lamong operatorship (P12), also NPLOG lines, are treated as 100% FSL. | When ON: The 65% share is applied to every NPLOG line (E1, P04, P08, P12) in the dividend base and the profit attributable to FSL. | Quantified: Financing D/E (dividends)</t>
  </si>
  <si>
    <t>C13  Teluk Lamong G&amp;A staff cost growth row</t>
  </si>
  <si>
    <t>Wrong row reference</t>
  </si>
  <si>
    <t>v29: Calculation_FSL row 120 (staff costs) is grown with Input row 134 (legal fees growth, 3.0%) instead of Input row 139 (staff cost growth, 3.5%). | When ON: The staff-cost growth row (3.5%) is applied. | Quantified: Cost Calculation A (E1)</t>
  </si>
  <si>
    <t>C14  Dividend reserve test on cumulative profit before dividends</t>
  </si>
  <si>
    <t>Method (dividend limit)</t>
  </si>
  <si>
    <t>v29: Calculation_FSL!J1541 = Output_FSL!I60 and L1541 = Output_FSL!K60, where row 60 accumulates net profit without deducting dividends paid; the statutory-reserve limit is therefore tested against a balance higher than retained earnings. Not binding at the delivered settings. | When ON: The reserve test uses opening retained earnings (after dividends) plus the profit of the year. | Quantified: Financing D/E (dividends)</t>
  </si>
  <si>
    <t>Corrections switched ON (count)</t>
  </si>
  <si>
    <t>C04 (depreciation timing) is corrected together with C03 by the vintage method. S items (Sapphire scope, Sheet3 links, Call Rights funding rule, valuation, sustaining capex, pre-2024 capex in v29 returns) are scope decisions, not corrections - Source Data section 20.</t>
  </si>
  <si>
    <t>FS DATA REQUEST - data needed from the Badas feasibility study (and for funding-only projects and pipeline placeholders)</t>
  </si>
  <si>
    <t>Each item is entered in ONE place only: the Inputs cell in column I (click to go there). This sheet only reads - never paste over it. Status turns to "Updated" once the Inputs value differs from the delivered DUMMY value.</t>
  </si>
  <si>
    <t>[FS Request]</t>
  </si>
  <si>
    <t>Badas items still DUMMY / provisional (count)</t>
  </si>
  <si>
    <t>A.   BADAS (P19) - FEASIBILITY STUDY DATA (every item is DUMMY until replaced; total investment provisional from the board deck)</t>
  </si>
  <si>
    <t>#</t>
  </si>
  <si>
    <t>Data item</t>
  </si>
  <si>
    <t>Definition (what the FS should provide)</t>
  </si>
  <si>
    <t>Period</t>
  </si>
  <si>
    <t>Current assumption (FY2029 for annual items; phasing = total)</t>
  </si>
  <si>
    <t>Status</t>
  </si>
  <si>
    <t>Enter in (Inputs)</t>
  </si>
  <si>
    <t>Used in (calculation rows)</t>
  </si>
  <si>
    <t>B01</t>
  </si>
  <si>
    <t>Commercial operation date</t>
  </si>
  <si>
    <t>First day of commercial operations after construction and commissioning (date).</t>
  </si>
  <si>
    <t>Date</t>
  </si>
  <si>
    <t>Inputs E571</t>
  </si>
  <si>
    <t>Revenue row 28</t>
  </si>
  <si>
    <t>B02</t>
  </si>
  <si>
    <t>Design capacity</t>
  </si>
  <si>
    <t>Maximum annual throughput of the terminal at 100% utilisation (tons per year).</t>
  </si>
  <si>
    <t>Inputs E572</t>
  </si>
  <si>
    <t>Revenue row 175</t>
  </si>
  <si>
    <t>B03</t>
  </si>
  <si>
    <t>Utilisation by year</t>
  </si>
  <si>
    <t>Expected throughput / design capacity for each operating year (ramp-up to steady state).</t>
  </si>
  <si>
    <t>Annual FY2024-36</t>
  </si>
  <si>
    <t>Inputs H587</t>
  </si>
  <si>
    <t>B04</t>
  </si>
  <si>
    <t>Handling tariff</t>
  </si>
  <si>
    <t>Tariff per ton for cargo handling (100%, before any revenue sharing), by year.</t>
  </si>
  <si>
    <t>Inputs H588</t>
  </si>
  <si>
    <t>Revenue row 178 (+1)</t>
  </si>
  <si>
    <t>B05</t>
  </si>
  <si>
    <t>Share of throughput stored</t>
  </si>
  <si>
    <t>Share of annual throughput that is stored in the terminal.</t>
  </si>
  <si>
    <t>Inputs E573</t>
  </si>
  <si>
    <t>Revenue row 176</t>
  </si>
  <si>
    <t>B06</t>
  </si>
  <si>
    <t>Average months each stored ton stays in storage (drives storage revenue).</t>
  </si>
  <si>
    <t>Inputs E574</t>
  </si>
  <si>
    <t>Revenue row 182</t>
  </si>
  <si>
    <t>B07</t>
  </si>
  <si>
    <t>Tariff per ton per month of storage, by year.</t>
  </si>
  <si>
    <t>Inputs H589</t>
  </si>
  <si>
    <t>Revenue row 179 (+1)</t>
  </si>
  <si>
    <t>B08</t>
  </si>
  <si>
    <t>Share of throughput using ancillary services</t>
  </si>
  <si>
    <t>Share of throughput bagged / weighed (ancillary services).</t>
  </si>
  <si>
    <t>Inputs E575</t>
  </si>
  <si>
    <t>Revenue row 177</t>
  </si>
  <si>
    <t>B09</t>
  </si>
  <si>
    <t>Ancillary services tariff</t>
  </si>
  <si>
    <t>Tariff per ton for bagging / weighing, by year.</t>
  </si>
  <si>
    <t>Inputs H590</t>
  </si>
  <si>
    <t>Revenue row 180 (+1)</t>
  </si>
  <si>
    <t>B10</t>
  </si>
  <si>
    <t>FSL revenue share</t>
  </si>
  <si>
    <t>Share of gross Badas revenue received by FSL under the port / concession arrangement.</t>
  </si>
  <si>
    <t>Inputs E570</t>
  </si>
  <si>
    <t>B11</t>
  </si>
  <si>
    <t>Fee paid to the port owner or concession grantor as % of revenue, by year.</t>
  </si>
  <si>
    <t>Inputs H597</t>
  </si>
  <si>
    <t>Costs row 205</t>
  </si>
  <si>
    <t>B12</t>
  </si>
  <si>
    <t>Cost per ton handled: fuel, power, casual labour, consumables, by year.</t>
  </si>
  <si>
    <t>Inputs H591</t>
  </si>
  <si>
    <t>Costs row 201</t>
  </si>
  <si>
    <t>B13</t>
  </si>
  <si>
    <t>Permanent headcount</t>
  </si>
  <si>
    <t>Number of permanent staff by year (staffing plan).</t>
  </si>
  <si>
    <t>Inputs H592</t>
  </si>
  <si>
    <t>Costs row 202</t>
  </si>
  <si>
    <t>B14</t>
  </si>
  <si>
    <t>Staff cost per head</t>
  </si>
  <si>
    <t>Average annual salary and benefits per permanent employee (IDR mn), by year.</t>
  </si>
  <si>
    <t>Inputs H593</t>
  </si>
  <si>
    <t>B15</t>
  </si>
  <si>
    <t>Other fixed operating costs</t>
  </si>
  <si>
    <t>G&amp;A, security, utilities and other fixed costs per year (IDR bn).</t>
  </si>
  <si>
    <t>Inputs H594</t>
  </si>
  <si>
    <t>Costs row 207</t>
  </si>
  <si>
    <t>B16</t>
  </si>
  <si>
    <t>Maintenance cost</t>
  </si>
  <si>
    <t>Annual maintenance as % of total investment, by year.</t>
  </si>
  <si>
    <t>Inputs H595</t>
  </si>
  <si>
    <t>Costs row 203</t>
  </si>
  <si>
    <t>B17</t>
  </si>
  <si>
    <t>Insurance cost</t>
  </si>
  <si>
    <t>Annual insurance premium as % of total investment, by year.</t>
  </si>
  <si>
    <t>Inputs H596</t>
  </si>
  <si>
    <t>Costs row 204</t>
  </si>
  <si>
    <t>B18</t>
  </si>
  <si>
    <t>Pre-operating costs</t>
  </si>
  <si>
    <t>Recruitment, training and commissioning costs expensed before operations start (IDR bn).</t>
  </si>
  <si>
    <t>Inputs E576</t>
  </si>
  <si>
    <t>Costs row 208</t>
  </si>
  <si>
    <t>B19</t>
  </si>
  <si>
    <t>Total capex budget incl. contingency (USD mn); provisional 10.0 from the board deck Stage 2.</t>
  </si>
  <si>
    <t>Inputs E577</t>
  </si>
  <si>
    <t>Capex row 27 (+1)</t>
  </si>
  <si>
    <t>B20</t>
  </si>
  <si>
    <t>Capex phasing</t>
  </si>
  <si>
    <t>Share of the total investment spent in each year of construction (must add to 100%).</t>
  </si>
  <si>
    <t>Inputs H578</t>
  </si>
  <si>
    <t>B21</t>
  </si>
  <si>
    <t>Building / civil works share</t>
  </si>
  <si>
    <t>Share of capex in buildings and civil works (balance = equipment), for depreciation.</t>
  </si>
  <si>
    <t>Inputs E579</t>
  </si>
  <si>
    <t>Capex row 170</t>
  </si>
  <si>
    <t>B22</t>
  </si>
  <si>
    <t>Depreciation life of buildings and civil works (years).</t>
  </si>
  <si>
    <t>Inputs E580</t>
  </si>
  <si>
    <t>B23</t>
  </si>
  <si>
    <t>Depreciation life of equipment (years).</t>
  </si>
  <si>
    <t>Inputs E581</t>
  </si>
  <si>
    <t>B24</t>
  </si>
  <si>
    <t>Receivable days</t>
  </si>
  <si>
    <t>Average collection period on revenue (days).</t>
  </si>
  <si>
    <t>Inputs E582</t>
  </si>
  <si>
    <t>Work. cap. row 106</t>
  </si>
  <si>
    <t>B25</t>
  </si>
  <si>
    <t>Payable days</t>
  </si>
  <si>
    <t>Average payment period on cost of sales (days).</t>
  </si>
  <si>
    <t>Inputs E583</t>
  </si>
  <si>
    <t>Work. cap. row 107</t>
  </si>
  <si>
    <t>B26</t>
  </si>
  <si>
    <t>Project debt share</t>
  </si>
  <si>
    <t>Share of capex financed by Badas project debt (financing plan).</t>
  </si>
  <si>
    <t>Inputs E584</t>
  </si>
  <si>
    <t>Financing row 48</t>
  </si>
  <si>
    <t>B27</t>
  </si>
  <si>
    <t>Project debt interest rate</t>
  </si>
  <si>
    <t>All-in interest rate on the project debt, by year.</t>
  </si>
  <si>
    <t>Inputs H598</t>
  </si>
  <si>
    <t>Financing row 51</t>
  </si>
  <si>
    <t>B28</t>
  </si>
  <si>
    <t>Project debt tenor</t>
  </si>
  <si>
    <t>Tenor of each drawdown incl. grace (years).</t>
  </si>
  <si>
    <t>Inputs E585</t>
  </si>
  <si>
    <t>Financing row 49</t>
  </si>
  <si>
    <t>B29</t>
  </si>
  <si>
    <t>Project debt grace period</t>
  </si>
  <si>
    <t>Years before principal repayments start.</t>
  </si>
  <si>
    <t>Inputs E586</t>
  </si>
  <si>
    <t>B30</t>
  </si>
  <si>
    <t>FSL ownership of the Badas entity</t>
  </si>
  <si>
    <t>FSL economic interest in the project company (below 100% creates a minority interest).</t>
  </si>
  <si>
    <t>Inputs E569</t>
  </si>
  <si>
    <t>Out: With BUMN row 235</t>
  </si>
  <si>
    <t>Controls (not FS data): valuation inclusion = Inputs section 2 (register switch P19, OFF as delivered); funding inclusion = Inputs section 13 (bd.fund, ON). Corporate tax rate, FX, WACC and levers are shared with the other projects.</t>
  </si>
  <si>
    <t>B.   FUNDING-ONLY PROJECTS (F01-F05) - capex and phasing only (no FS; never valued)</t>
  </si>
  <si>
    <t>Project</t>
  </si>
  <si>
    <t>Data needed</t>
  </si>
  <si>
    <t>Current</t>
  </si>
  <si>
    <t>Used in</t>
  </si>
  <si>
    <t>F01</t>
  </si>
  <si>
    <t>Name</t>
  </si>
  <si>
    <t>Inputs E711</t>
  </si>
  <si>
    <t>Capex row 341</t>
  </si>
  <si>
    <t>Total capex</t>
  </si>
  <si>
    <t>Inputs E712</t>
  </si>
  <si>
    <t>Spending % by year (must add to 100%)</t>
  </si>
  <si>
    <t>Inputs H713:T713</t>
  </si>
  <si>
    <t>F02</t>
  </si>
  <si>
    <t>Inputs E716</t>
  </si>
  <si>
    <t>Capex row 342</t>
  </si>
  <si>
    <t>Inputs E717</t>
  </si>
  <si>
    <t>Inputs H718:T718</t>
  </si>
  <si>
    <t>F03</t>
  </si>
  <si>
    <t>Inputs E721</t>
  </si>
  <si>
    <t>Capex row 343</t>
  </si>
  <si>
    <t>Inputs E722</t>
  </si>
  <si>
    <t>Inputs H723:T723</t>
  </si>
  <si>
    <t>F04</t>
  </si>
  <si>
    <t>Inputs E726</t>
  </si>
  <si>
    <t>Capex row 344</t>
  </si>
  <si>
    <t>Inputs E727</t>
  </si>
  <si>
    <t>Inputs H728:T728</t>
  </si>
  <si>
    <t>F05</t>
  </si>
  <si>
    <t>Inputs E731</t>
  </si>
  <si>
    <t>Capex row 345</t>
  </si>
  <si>
    <t>Inputs E732</t>
  </si>
  <si>
    <t>Inputs H733:T733</t>
  </si>
  <si>
    <t>C.   PIPELINE PLACEHOLDERS (P16-P18, e.g. Lampung) - required inputs before a placeholder can be switched into the valuation</t>
  </si>
  <si>
    <t>Readiness (missing inputs listed on Inputs)</t>
  </si>
  <si>
    <t>Ready</t>
  </si>
  <si>
    <t>Switch</t>
  </si>
  <si>
    <t>P16</t>
  </si>
  <si>
    <t>Inputs row 605</t>
  </si>
  <si>
    <t>P17</t>
  </si>
  <si>
    <t>Inputs row 639</t>
  </si>
  <si>
    <t>P18</t>
  </si>
  <si>
    <t>Inputs row 673</t>
  </si>
  <si>
    <t>REVENUE CALCULATION - volume x tariff for every business and project (operational drivers visible; v29 methods)</t>
  </si>
  <si>
    <t>Volume drivers -&gt; volume -&gt; tariff (x tariff lever) -&gt; revenue, each year from its own annual input. P12-P14 are calculated on BUMN Synergy Calculation and summarised here. Badas (P19): section E, DUMMY inputs. Model Flow explains the chain.</t>
  </si>
  <si>
    <t>[Revenue]</t>
  </si>
  <si>
    <t>Dec-23</t>
  </si>
  <si>
    <t>FY</t>
  </si>
  <si>
    <t>IDR bn unless stated</t>
  </si>
  <si>
    <t>Basis</t>
  </si>
  <si>
    <t>Note</t>
  </si>
  <si>
    <t>A.   TIMELINE AND PROJECT TIMING (1 = operating in the year; commencement year = Inputs section 2; capex timing is separate - Capex &amp; Depreciation A)</t>
  </si>
  <si>
    <t>Financial year (31 December year-end)</t>
  </si>
  <si>
    <t>Days in year</t>
  </si>
  <si>
    <t>Start year</t>
  </si>
  <si>
    <t>Included</t>
  </si>
  <si>
    <t>Shift vs v29 (yrs)</t>
  </si>
  <si>
    <t>flag</t>
  </si>
  <si>
    <t>share</t>
  </si>
  <si>
    <t>P19  Badas - operating fraction of the year from the commercial operation date (illustrative, always calculated)</t>
  </si>
  <si>
    <t>P19  Badas - operating fraction in the FSL statements = illustrative x valuation inclusion</t>
  </si>
  <si>
    <t>P01-P02 commence in FY2025 under v29 (construction since before FY2024). Changing a commencement year (Inputs section 2) moves the operating flags and the v29 calendar schedules of that project (column F); it does not move capex, which follows the spending % rows.</t>
  </si>
  <si>
    <t>B.   EXISTING BUSINESSES (E1-E4)</t>
  </si>
  <si>
    <t xml:space="preserve">   Meals volume index (FY2023 = 1; x (1 + growth of the year))</t>
  </si>
  <si>
    <t>index</t>
  </si>
  <si>
    <t>Inputs 4 growth</t>
  </si>
  <si>
    <t xml:space="preserve">   Grains volume index (FY2023 = 1)</t>
  </si>
  <si>
    <t xml:space="preserve">   Meals throughput = FY2023 base x FY2024 reset x index x volume lever</t>
  </si>
  <si>
    <t xml:space="preserve">   Grains throughput = FY2023 base x FY2024 reset x index x volume lever</t>
  </si>
  <si>
    <t>Total throughput</t>
  </si>
  <si>
    <t xml:space="preserve">   Meals tariff (annual input x tariff lever)</t>
  </si>
  <si>
    <t xml:space="preserve">   Grains tariff (annual input x tariff lever)</t>
  </si>
  <si>
    <t>E1 Revenue = (meals volume x meals tariff + grains volume x grains tariff) / 1e9</t>
  </si>
  <si>
    <t xml:space="preserve">   Volume index (FY2024 = 1; x (1 + growth of the year))</t>
  </si>
  <si>
    <t>Throughput = FY2024 base x index x volume lever</t>
  </si>
  <si>
    <t xml:space="preserve">   Tariff (annual input x tariff lever)</t>
  </si>
  <si>
    <t>E2 Revenue = throughput x tariff / 1e9</t>
  </si>
  <si>
    <t xml:space="preserve">   Volume index (FY2024 = 1)</t>
  </si>
  <si>
    <t>Throughput - existing = FY2024 base x index x volume lever</t>
  </si>
  <si>
    <t xml:space="preserve">   Tariff (existing and expansion volume; annual input x tariff lever)</t>
  </si>
  <si>
    <t>E3 Revenue = existing throughput x tariff / 1e9</t>
  </si>
  <si>
    <t>E4  WIN stevedoring (Cilegon, Makassar, Surabaya, Medan) - volume index, revenue by branch and commodity</t>
  </si>
  <si>
    <t xml:space="preserve">   Cilegon Corn - volume index (1 in the first year, then x (1 + growth))</t>
  </si>
  <si>
    <t xml:space="preserve">   Cilegon SBM - volume index (1 in the first year, then x (1 + growth))</t>
  </si>
  <si>
    <t xml:space="preserve">   Cilegon Soybean - volume index (1 in the first year, then x (1 + growth))</t>
  </si>
  <si>
    <t xml:space="preserve">   Cilegon Sugar - volume index (1 in the first year, then x (1 + growth))</t>
  </si>
  <si>
    <t xml:space="preserve">   Cilegon Wheat - volume index (1 in the first year, then x (1 + growth))</t>
  </si>
  <si>
    <t xml:space="preserve">   Makassar Sugar - volume index (1 in the first year, then x (1 + growth))</t>
  </si>
  <si>
    <t xml:space="preserve">   Makassar Wheat - volume index (1 in the first year, then x (1 + growth))</t>
  </si>
  <si>
    <t xml:space="preserve">   Surabaya SBM - volume index (1 in the first year, then x (1 + growth))</t>
  </si>
  <si>
    <t xml:space="preserve">   Surabaya Soybean - volume index (1 in the first year, then x (1 + growth))</t>
  </si>
  <si>
    <t xml:space="preserve">   Medan Corn - volume index (1 in the first year, then x (1 + growth))</t>
  </si>
  <si>
    <t xml:space="preserve">   Medan SBM - volume index (1 in the first year, then x (1 + growth))</t>
  </si>
  <si>
    <t xml:space="preserve">   Medan Soybean - volume index (1 in the first year, then x (1 + growth))</t>
  </si>
  <si>
    <t xml:space="preserve">   Medan Wheat - volume index (1 in the first year, then x (1 + growth))</t>
  </si>
  <si>
    <t xml:space="preserve">   Makassar sugar - tariff applied = Inputs tariff (nil in FY2034-36 as in v29) + C01 x row-852 delta (Source Data 18)</t>
  </si>
  <si>
    <t xml:space="preserve">   Cilegon Corn - revenue = base volume x index x volume lever x tariff x tariff lever / 1e9</t>
  </si>
  <si>
    <t xml:space="preserve">   Cilegon SBM - revenue = base volume x index x volume lever x tariff x tariff lever / 1e9</t>
  </si>
  <si>
    <t xml:space="preserve">   Cilegon Soybean - revenue = base volume x index x volume lever x tariff x tariff lever / 1e9</t>
  </si>
  <si>
    <t xml:space="preserve">   Cilegon Sugar - revenue = base volume x index x volume lever x tariff x tariff lever / 1e9</t>
  </si>
  <si>
    <t xml:space="preserve">   Cilegon Wheat - revenue = base volume x index x volume lever x tariff x tariff lever / 1e9</t>
  </si>
  <si>
    <t xml:space="preserve">   Makassar Sugar - revenue = base volume x index x volume lever x tariff x tariff lever / 1e9</t>
  </si>
  <si>
    <t xml:space="preserve">   Makassar Wheat - revenue = base volume x index x volume lever x tariff x tariff lever / 1e9</t>
  </si>
  <si>
    <t xml:space="preserve">   Surabaya SBM - revenue = base volume x index x volume lever x tariff x tariff lever / 1e9</t>
  </si>
  <si>
    <t xml:space="preserve">   Surabaya Soybean - revenue = base volume x index x volume lever x tariff x tariff lever / 1e9</t>
  </si>
  <si>
    <t xml:space="preserve">   Medan Corn - revenue = base volume x index x volume lever x tariff x tariff lever / 1e9</t>
  </si>
  <si>
    <t xml:space="preserve">   Medan SBM - revenue = base volume x index x volume lever x tariff x tariff lever / 1e9</t>
  </si>
  <si>
    <t xml:space="preserve">   Medan Soybean - revenue = base volume x index x volume lever x tariff x tariff lever / 1e9</t>
  </si>
  <si>
    <t xml:space="preserve">   Medan Wheat - revenue = base volume x index x volume lever x tariff x tariff lever / 1e9</t>
  </si>
  <si>
    <t xml:space="preserve">   Cilegon volume</t>
  </si>
  <si>
    <t xml:space="preserve">   Makassar volume</t>
  </si>
  <si>
    <t xml:space="preserve">   Surabaya volume</t>
  </si>
  <si>
    <t xml:space="preserve">   Medan volume</t>
  </si>
  <si>
    <t>WIN volume</t>
  </si>
  <si>
    <t xml:space="preserve">   Cilegon revenue</t>
  </si>
  <si>
    <t xml:space="preserve">   Makassar revenue</t>
  </si>
  <si>
    <t xml:space="preserve">   Surabaya revenue</t>
  </si>
  <si>
    <t xml:space="preserve">   Medan revenue</t>
  </si>
  <si>
    <t>E4 Revenue = sum of the four branches</t>
  </si>
  <si>
    <t>C.   PROJECTS (P01-P11, P15) - volumes ramp up from the commencement year</t>
  </si>
  <si>
    <t>P01  Cigading Wharf 2 (SGT 2)</t>
  </si>
  <si>
    <t xml:space="preserve">   Volume index (1 in the first operating year, then x (1 + growth))</t>
  </si>
  <si>
    <t>Throughput = first-year base x index x volume lever</t>
  </si>
  <si>
    <t>P01 Revenue = throughput x tariff / 1e9</t>
  </si>
  <si>
    <t>P02  Cigading extended conveyor (SGT 2)</t>
  </si>
  <si>
    <t xml:space="preserve">   Volume index (1 in the first operating year)</t>
  </si>
  <si>
    <t>Conveyed volume (service on Cigading cargo) = first-year base x index x volume lever</t>
  </si>
  <si>
    <t>P02 Revenue = conveyed volume x tariff / 1e9</t>
  </si>
  <si>
    <t>P03  KBS warehouse revitalisation (SGT 2) - FSL 49% revenue share</t>
  </si>
  <si>
    <t xml:space="preserve">   Calendar volume index (FY2023 = 1)</t>
  </si>
  <si>
    <t>Warehouse throughput = base x index x operating flag x volume lever</t>
  </si>
  <si>
    <t xml:space="preserve">   Tariff (bagging + weighing + storage, 100%; x tariff lever)</t>
  </si>
  <si>
    <t xml:space="preserve">   Total warehouse revenue (100%)</t>
  </si>
  <si>
    <t xml:space="preserve">   Memo: revenue retained by KBS (not FSL)</t>
  </si>
  <si>
    <t>P03 Revenue = total warehouse revenue x FSL share</t>
  </si>
  <si>
    <t>Silo throughput = silos x throughput per silo x operating flag x volume lever</t>
  </si>
  <si>
    <t>t/month</t>
  </si>
  <si>
    <t>IDR/t/mth</t>
  </si>
  <si>
    <t>P04 Revenue = monthly throughput x tariff x 12 / 1e9</t>
  </si>
  <si>
    <t>P05  Dumai bagging &amp; weighbridge (v29 calendar schedules shifted by any delay)</t>
  </si>
  <si>
    <t>Bagging / weighbridge volume (schedule x operating flag x volume lever)</t>
  </si>
  <si>
    <t xml:space="preserve">   Bagging tariff (x tariff lever)</t>
  </si>
  <si>
    <t xml:space="preserve">   Weighbridge tariff (x tariff lever)</t>
  </si>
  <si>
    <t xml:space="preserve">   Revenue - bagging</t>
  </si>
  <si>
    <t xml:space="preserve">   Revenue - weighbridge</t>
  </si>
  <si>
    <t>P05 Revenue = bagging + weighbridge</t>
  </si>
  <si>
    <t>P06  Ciwandan expansion - FSL receives its share of the total Ciwandan tariff</t>
  </si>
  <si>
    <t xml:space="preserve">   Volume growth (profile shifted by any delay)</t>
  </si>
  <si>
    <t xml:space="preserve">   FSL tariff (shifted by delay; x tariff lever)</t>
  </si>
  <si>
    <t xml:space="preserve">   Memo: total Ciwandan tariff (FSL tariff / FSL share) - SOE keeps the balance</t>
  </si>
  <si>
    <t>P06 Revenue = throughput x FSL tariff / 1e9</t>
  </si>
  <si>
    <t>P07  Belawan expansion - additional volume at the Belawan tariff</t>
  </si>
  <si>
    <t xml:space="preserve">   Additional volume applied by calendar year = Inputs schedule (nil after FY2034 as in v29) + C09 x FY2034 level carried forward (Source Data 18)</t>
  </si>
  <si>
    <t>Additional throughput (schedule shifted by delay x operating flag x volume lever)</t>
  </si>
  <si>
    <t>P07 Revenue = additional throughput x Belawan tariff / 1e9</t>
  </si>
  <si>
    <t>P08-P11  DMS trucking service fee (fee on third-party trucking cost; FSL share of the fee)</t>
  </si>
  <si>
    <t xml:space="preserve">   P08 Teluk Lamong - trucked volume (service volume)</t>
  </si>
  <si>
    <t xml:space="preserve">   P08 Teluk Lamong - total service fee (100%) = volume x fee % x trucking cost x tariff lever / 1e9</t>
  </si>
  <si>
    <t>P08 Revenue = total fee x FSL share</t>
  </si>
  <si>
    <t xml:space="preserve">   P09 Cigading - trucked volume (service volume)</t>
  </si>
  <si>
    <t xml:space="preserve">   P09 Cigading - total service fee (100%) = volume x fee % x trucking cost x tariff lever / 1e9</t>
  </si>
  <si>
    <t>P09 Revenue = total fee x FSL share</t>
  </si>
  <si>
    <t xml:space="preserve">   P10 Ciwandan - trucked volume (service volume)</t>
  </si>
  <si>
    <t xml:space="preserve">   P10 Ciwandan - total service fee (100%) = volume x fee % x trucking cost x tariff lever / 1e9</t>
  </si>
  <si>
    <t>P10 Revenue = total fee x FSL share</t>
  </si>
  <si>
    <t xml:space="preserve">   P11 Belawan - trucked volume (service volume)</t>
  </si>
  <si>
    <t xml:space="preserve">   P11 Belawan - total service fee (100%) = volume x fee % x trucking cost x tariff lever / 1e9</t>
  </si>
  <si>
    <t>P11 Revenue = total fee x FSL share</t>
  </si>
  <si>
    <t>P15  TBM - land lease, warehousing, cargo handling (switched off in the base case)</t>
  </si>
  <si>
    <t xml:space="preserve">   Tariff index (1 in the first operating year, then x (1 + tariff growth))</t>
  </si>
  <si>
    <t xml:space="preserve">   Land lease area</t>
  </si>
  <si>
    <t xml:space="preserve">   Flat storage volume</t>
  </si>
  <si>
    <t xml:space="preserve">   Silo storage volume</t>
  </si>
  <si>
    <t xml:space="preserve">   Cargo handling volume (flat storage x 12)</t>
  </si>
  <si>
    <t xml:space="preserve">   Revenue - land lease (nil until a tariff is entered on Inputs)</t>
  </si>
  <si>
    <t xml:space="preserve">   Revenue - flat storage</t>
  </si>
  <si>
    <t xml:space="preserve">   Revenue - silo storage</t>
  </si>
  <si>
    <t xml:space="preserve">   Revenue - cargo handling</t>
  </si>
  <si>
    <t>P15 Revenue</t>
  </si>
  <si>
    <t>D.   PIPELINE PLACEHOLDERS (P16-P18) - nil while excluded</t>
  </si>
  <si>
    <t>Volume = capacity x utilisation of the year x operating fraction x volume lever</t>
  </si>
  <si>
    <t>P16 Revenue = volume x tariff / 1e9</t>
  </si>
  <si>
    <t>P17 Revenue = volume x tariff / 1e9</t>
  </si>
  <si>
    <t>P18 Revenue = volume x tariff / 1e9</t>
  </si>
  <si>
    <t>E.   BADAS (P19) - PROJECT TEMPLATE WITH DUMMY FS DATA: capacity x utilisation -&gt; throughput -&gt; handling, storage and ancillary revenue (illustrative rows always calculated)</t>
  </si>
  <si>
    <t>Illustrative rows (prefix b.) show Badas on its own whether or not it is in the valuation; the FSL statements use P19 Revenue = illustrative x valuation inclusion (Inputs section 2).</t>
  </si>
  <si>
    <t>Throughput = design capacity x utilisation of the year x operating fraction x volume lever</t>
  </si>
  <si>
    <t xml:space="preserve">   Tons stored = throughput x share stored</t>
  </si>
  <si>
    <t xml:space="preserve">   Tons using ancillary services = throughput x ancillary share</t>
  </si>
  <si>
    <t xml:space="preserve">   Handling tariff (x tariff lever)</t>
  </si>
  <si>
    <t xml:space="preserve">   Storage tariff (x tariff lever)</t>
  </si>
  <si>
    <t xml:space="preserve">   Ancillary tariff (x tariff lever)</t>
  </si>
  <si>
    <t xml:space="preserve">   Revenue - handling = throughput x handling tariff / 1e9</t>
  </si>
  <si>
    <t xml:space="preserve">   Revenue - storage = tons stored x storage months x storage tariff / 1e9</t>
  </si>
  <si>
    <t xml:space="preserve">   Revenue - ancillary services = tons x ancillary tariff / 1e9</t>
  </si>
  <si>
    <t>Gross Badas revenue (100%)</t>
  </si>
  <si>
    <t>Badas revenue to FSL (illustrative) = gross revenue x FSL revenue share</t>
  </si>
  <si>
    <t>P19 Revenue in the FSL statements = illustrative x valuation inclusion</t>
  </si>
  <si>
    <t>F.   REVENUE SUMMARY BY BUSINESS AND BY CASE (column E = legal entity)</t>
  </si>
  <si>
    <t xml:space="preserve">   E1  Teluk Lamong cargodoring &amp; delivery (NPLOG)</t>
  </si>
  <si>
    <t xml:space="preserve">   E2  Cigading existing terminal (SGT 2)</t>
  </si>
  <si>
    <t xml:space="preserve">   E3  Belawan existing (conveyor &amp; warehouse)</t>
  </si>
  <si>
    <t xml:space="preserve">   E4  WIN stevedoring (Cilegon, Makassar, Surabaya, Medan)</t>
  </si>
  <si>
    <t xml:space="preserve">   P01  Cigading Wharf 2</t>
  </si>
  <si>
    <t xml:space="preserve">   P02  Cigading extended conveyor</t>
  </si>
  <si>
    <t xml:space="preserve">   P03  KBS warehouse revitalisation (FSL 49% revenue share)</t>
  </si>
  <si>
    <t xml:space="preserve">   P04  Teluk Lamong silo</t>
  </si>
  <si>
    <t xml:space="preserve">   P05  Dumai bagging &amp; weighbridge</t>
  </si>
  <si>
    <t xml:space="preserve">   P06  Ciwandan expansion (FSL 52% tariff share)</t>
  </si>
  <si>
    <t xml:space="preserve">   P07  Belawan expansion (additional volume)</t>
  </si>
  <si>
    <t xml:space="preserve">   P08  DMS trucking fee - Teluk Lamong</t>
  </si>
  <si>
    <t xml:space="preserve">   P09  DMS trucking fee - Cigading</t>
  </si>
  <si>
    <t xml:space="preserve">   P10  DMS trucking fee - Ciwandan</t>
  </si>
  <si>
    <t xml:space="preserve">   P11  DMS trucking fee - Belawan</t>
  </si>
  <si>
    <t xml:space="preserve">   P12  BUMN synergy - Pelindo Teluk Lamong operatorship</t>
  </si>
  <si>
    <t xml:space="preserve">   P13  BUMN synergy - KBS Cigading operatorship</t>
  </si>
  <si>
    <t xml:space="preserve">   P14  BUMN synergy - Pelindo Belawan operatorship</t>
  </si>
  <si>
    <t xml:space="preserve">   P15  TBM (land lease, warehousing, cargo handling)</t>
  </si>
  <si>
    <t xml:space="preserve">   P19  Badas (project template - DUMMY FS data)</t>
  </si>
  <si>
    <t>Revenue - existing businesses (E1-E4)</t>
  </si>
  <si>
    <t>Revenue - FSL projects (P01-P11, P15-P19)</t>
  </si>
  <si>
    <t>Revenue - Without BUMN case = existing + FSL projects (excludes P12-P14; v29 Output_FSL row 44 with G35 = 0)</t>
  </si>
  <si>
    <t>Revenue - BUMN operatorship schemes, FSL entitlement (P12-P14, from BUMN Synergy Calculation)</t>
  </si>
  <si>
    <t>Revenue - With BUMN case (Without BUMN + BUMN entitlement; v29 Output_FSL row 44)</t>
  </si>
  <si>
    <t xml:space="preserve">   Check: sum of businesses - With BUMN revenue (must be 0)</t>
  </si>
  <si>
    <t>Volume memo (unique cargo throughput; service volumes on the same cargo are not additive)</t>
  </si>
  <si>
    <t xml:space="preserve">   Teluk Lamong (grains + meals)</t>
  </si>
  <si>
    <t xml:space="preserve">   Cigading (existing + Wharf 2)</t>
  </si>
  <si>
    <t xml:space="preserve">   Belawan (existing + expansion)</t>
  </si>
  <si>
    <t xml:space="preserve">   Ciwandan (expansion)</t>
  </si>
  <si>
    <t xml:space="preserve">   Dumai (bagging)</t>
  </si>
  <si>
    <t xml:space="preserve">   WIN stevedoring sites</t>
  </si>
  <si>
    <t xml:space="preserve">   Pipeline placeholders (P16-P18)</t>
  </si>
  <si>
    <t xml:space="preserve">   Badas (P19; only when in the valuation)</t>
  </si>
  <si>
    <t>Total unique cargo throughput</t>
  </si>
  <si>
    <t>COST CALCULATION - cost of sales, operating expenses and EBITDA by business and project (cost drivers visible; v29 methods)</t>
  </si>
  <si>
    <t>Existing businesses: v29 cost lines (fixed amounts, unit costs per ton, ratios). Projects: v29 cost ratios and shared unit costs. Costs are positive here and deducted in the outputs.</t>
  </si>
  <si>
    <t>[Costs]</t>
  </si>
  <si>
    <t>A.   EXISTING BUSINESSES (E1-E4) - cost lines, cost of sales, operating expenses, EBITDA</t>
  </si>
  <si>
    <t>E1  Teluk Lamong (NPLOG)</t>
  </si>
  <si>
    <t>E1 cost lines (before the cost lever; 2023 column = FY2023 base x v29 uplift; each later year = prior year x (1 + that year's growth))</t>
  </si>
  <si>
    <t xml:space="preserve">   Employee cost (payroll)</t>
  </si>
  <si>
    <t>COGS fixed</t>
  </si>
  <si>
    <t xml:space="preserve">   Electricity - unit cost</t>
  </si>
  <si>
    <t>COGS per t</t>
  </si>
  <si>
    <t xml:space="preserve">   Fuel - unit cost</t>
  </si>
  <si>
    <t xml:space="preserve">   Security</t>
  </si>
  <si>
    <t xml:space="preserve">   Repair &amp; maintenance - unit cost</t>
  </si>
  <si>
    <t xml:space="preserve">   Employee overtime - unit cost</t>
  </si>
  <si>
    <t xml:space="preserve">   Labour (variable) - unit cost</t>
  </si>
  <si>
    <t xml:space="preserve">   Other operating expense - unit cost</t>
  </si>
  <si>
    <t xml:space="preserve">   Legal &amp; professional fees</t>
  </si>
  <si>
    <t>Opex</t>
  </si>
  <si>
    <t xml:space="preserve">   Staff costs - G&amp;A (payroll) (growth = Inputs row + C13 x staff-row delta, Source Data 18)</t>
  </si>
  <si>
    <t xml:space="preserve">   Tax fees</t>
  </si>
  <si>
    <t xml:space="preserve">   Travel &amp; entertainment</t>
  </si>
  <si>
    <t xml:space="preserve">   Office expenses</t>
  </si>
  <si>
    <t xml:space="preserve">   Other administrative</t>
  </si>
  <si>
    <t xml:space="preserve">   Rental - G&amp;A</t>
  </si>
  <si>
    <t xml:space="preserve">   Depreciation - G&amp;A</t>
  </si>
  <si>
    <t xml:space="preserve">   Communication</t>
  </si>
  <si>
    <t xml:space="preserve">   Security services</t>
  </si>
  <si>
    <t xml:space="preserve">   Donation &amp; CSR</t>
  </si>
  <si>
    <t xml:space="preserve">   Utilities</t>
  </si>
  <si>
    <t xml:space="preserve">   Memo: scheduled depreciation of existing assets (insurance base; Inputs 4)</t>
  </si>
  <si>
    <t xml:space="preserve">   Cost of sales - fixed lines (employees, security) x cost lever</t>
  </si>
  <si>
    <t xml:space="preserve">   Cost of sales - volume-driven (sum of unit costs x throughput / 1e9) x cost lever</t>
  </si>
  <si>
    <t xml:space="preserve">   Cost of sales - insurance (% of scheduled depreciation)</t>
  </si>
  <si>
    <t>E1 Cost of sales</t>
  </si>
  <si>
    <t>E1 Operating expenses (G&amp;A lines) x cost lever</t>
  </si>
  <si>
    <t>E1 EBITDA = revenue - cost of sales - operating expenses</t>
  </si>
  <si>
    <t xml:space="preserve">   Memo: G&amp;A depreciation line (non-cash; in D&amp;A)</t>
  </si>
  <si>
    <t>E2  Cigading existing (SGT 2) - the unit costs for electricity, R&amp;M and solar / equipment rental also drive P01 / P02</t>
  </si>
  <si>
    <t>E2 cost lines (before the cost lever; 2023 column = FY2023 base x v29 uplift; each later year = prior year x (1 + that year's growth))</t>
  </si>
  <si>
    <t xml:space="preserve">   Solar / heavy-equipment rental - unit cost</t>
  </si>
  <si>
    <t xml:space="preserve">   Pest control</t>
  </si>
  <si>
    <t xml:space="preserve">   Staff costs - G&amp;A (payroll)</t>
  </si>
  <si>
    <t xml:space="preserve">   Cost of sales - fixed lines x cost lever</t>
  </si>
  <si>
    <t xml:space="preserve">   Cost of sales - volume-driven (unit costs x throughput / 1e9) x cost lever</t>
  </si>
  <si>
    <t>E2 Cost of sales</t>
  </si>
  <si>
    <t>E2 Operating expenses (G&amp;A lines) x cost lever</t>
  </si>
  <si>
    <t>E2 EBITDA</t>
  </si>
  <si>
    <t>E3  Belawan existing - per-ton lines are shared with the P07 expansion volume</t>
  </si>
  <si>
    <t>E3 cost lines (before the cost lever; 2023 column = FY2023 base x v29 uplift; each later year = prior year x (1 + that year's growth))</t>
  </si>
  <si>
    <t xml:space="preserve">   Utilities - unit cost</t>
  </si>
  <si>
    <t xml:space="preserve">   Audit fees</t>
  </si>
  <si>
    <t xml:space="preserve">   Unit cost - sum of volume-driven lines (before the cost lever)</t>
  </si>
  <si>
    <t xml:space="preserve">   Cost of sales - volume-driven (unit cost x existing throughput / 1e9) x cost lever</t>
  </si>
  <si>
    <t xml:space="preserve">   Cost of sales - concession fee (% revenue) and insurance (% of scheduled depreciation)</t>
  </si>
  <si>
    <t>E3 Cost of sales</t>
  </si>
  <si>
    <t>E3 Operating expenses (G&amp;A lines) x cost lever</t>
  </si>
  <si>
    <t>E3 EBITDA</t>
  </si>
  <si>
    <t>E4  WIN stevedoring</t>
  </si>
  <si>
    <t>E4 cost lines (before the cost lever; 2023 column = FY2023 base; each later year = prior year x (1 + that year's growth); branch in brackets)</t>
  </si>
  <si>
    <t xml:space="preserve">   Employee cost (payroll) [Cilegon]</t>
  </si>
  <si>
    <t xml:space="preserve">   Maintenance [Cilegon]</t>
  </si>
  <si>
    <t xml:space="preserve">   Employee cost (payroll) [Makassar]</t>
  </si>
  <si>
    <t xml:space="preserve">   Insurance [Makassar]</t>
  </si>
  <si>
    <t xml:space="preserve">   Employee cost (payroll) [Surabaya]</t>
  </si>
  <si>
    <t xml:space="preserve">   Insurance [Surabaya]</t>
  </si>
  <si>
    <t xml:space="preserve">   Employee cost (payroll) [Medan]</t>
  </si>
  <si>
    <t xml:space="preserve">   Legal &amp; professional [Cilegon]</t>
  </si>
  <si>
    <t xml:space="preserve">   Travel &amp; entertainment [Cilegon]</t>
  </si>
  <si>
    <t xml:space="preserve">   Audit fees [Cilegon]</t>
  </si>
  <si>
    <t xml:space="preserve">   Other administrative [Cilegon]</t>
  </si>
  <si>
    <t xml:space="preserve">   Office expenses [Cilegon]</t>
  </si>
  <si>
    <t xml:space="preserve">   Legal &amp; professional [Makassar]</t>
  </si>
  <si>
    <t xml:space="preserve">   Travel &amp; entertainment [Makassar]</t>
  </si>
  <si>
    <t xml:space="preserve">   Audit fees [Makassar]</t>
  </si>
  <si>
    <t xml:space="preserve">   Other administrative [Makassar]</t>
  </si>
  <si>
    <t xml:space="preserve">   Office expenses [Makassar]</t>
  </si>
  <si>
    <t xml:space="preserve">   Utilities [Makassar]</t>
  </si>
  <si>
    <t xml:space="preserve">   Legal &amp; professional [Surabaya]</t>
  </si>
  <si>
    <t xml:space="preserve">   Travel &amp; entertainment [Surabaya]</t>
  </si>
  <si>
    <t xml:space="preserve">   Other administrative [Surabaya]</t>
  </si>
  <si>
    <t xml:space="preserve">   Office expenses [Surabaya]</t>
  </si>
  <si>
    <t xml:space="preserve">   Legal &amp; professional [Medan]</t>
  </si>
  <si>
    <t xml:space="preserve">   Travel &amp; entertainment [Medan]</t>
  </si>
  <si>
    <t xml:space="preserve">   Audit fees [Medan]</t>
  </si>
  <si>
    <t xml:space="preserve">   Other administrative [Medan]</t>
  </si>
  <si>
    <t xml:space="preserve">   Office expenses [Medan]</t>
  </si>
  <si>
    <t xml:space="preserve">   Rental [Medan]</t>
  </si>
  <si>
    <t xml:space="preserve">   Cost of sales - dock &amp; port fees (% of revenue by branch / commodity) x cost lever</t>
  </si>
  <si>
    <t xml:space="preserve">   Cost of sales - fixed lines (employees, maintenance, insurance) x cost lever</t>
  </si>
  <si>
    <t xml:space="preserve">   Cost of sales - revenue-linked (insurance, maintenance ratios) x cost lever</t>
  </si>
  <si>
    <t>E4 Cost of sales</t>
  </si>
  <si>
    <t>E4 Operating expenses (G&amp;A lines) x cost lever</t>
  </si>
  <si>
    <t>E4 EBITDA</t>
  </si>
  <si>
    <t>B.   PROJECTS (P01-P11, P15) - cost ratios, shared unit costs, insurance on capex; EBITDA</t>
  </si>
  <si>
    <t>P01 Cost of sales = (Cigading unit costs elec + solar + R&amp;M) x volume / 1e9 + insurance % x total capex (IDR at the year's FX) x operating flag, x cost lever</t>
  </si>
  <si>
    <t>P01 Operating expenses = % of revenue x cost lever</t>
  </si>
  <si>
    <t>P01 EBITDA</t>
  </si>
  <si>
    <t>P02 Cost of sales = (share of Cigading electricity and R&amp;M unit costs) x volume / 1e9 + insurance % x total capex, x cost lever</t>
  </si>
  <si>
    <t>P02 Operating expenses (none in v29)</t>
  </si>
  <si>
    <t>P02 EBITDA</t>
  </si>
  <si>
    <t>P03  KBS warehouse revitalisation</t>
  </si>
  <si>
    <t>P03 Cost of sales = % of FSL revenue x cost lever</t>
  </si>
  <si>
    <t>P03 Operating expenses = % of FSL revenue x cost lever</t>
  </si>
  <si>
    <t>P03 EBITDA</t>
  </si>
  <si>
    <t>P04 Cost of sales (none in v29)</t>
  </si>
  <si>
    <t>P04 Operating expenses = silo operating cost per ton x monthly throughput x 12 / 1e9 x cost lever</t>
  </si>
  <si>
    <t>P04 EBITDA</t>
  </si>
  <si>
    <t>P05 Cost of sales (none in v29)</t>
  </si>
  <si>
    <t>P05 Operating expenses = bagging / weighbridge cost % x revenue + insurance % x total capex x operating flag, x cost lever</t>
  </si>
  <si>
    <t>P05 EBITDA</t>
  </si>
  <si>
    <t>P06  Ciwandan expansion (costs at the Cigading-existing cost ratios of the year, as in v29)</t>
  </si>
  <si>
    <t>P06 Cost of sales = FSL revenue x (Cigading existing cost of sales / revenue)</t>
  </si>
  <si>
    <t>P06 Operating expenses = FSL revenue x (Cigading existing opex incl. G&amp;A depreciation / revenue)</t>
  </si>
  <si>
    <t>P06 EBITDA</t>
  </si>
  <si>
    <t>P07  Belawan expansion</t>
  </si>
  <si>
    <t>P07 Cost of sales = Belawan unit cost x additional volume / 1e9 + concession % x revenue + insurance % x total capex x operating flag, x cost lever</t>
  </si>
  <si>
    <t>P07 Operating expenses (none in v29)</t>
  </si>
  <si>
    <t>P07 EBITDA</t>
  </si>
  <si>
    <t>P08-P11  DMS trucking fee</t>
  </si>
  <si>
    <t xml:space="preserve">   P08 Teluk Lamong - cost of sales (none in v29)</t>
  </si>
  <si>
    <t xml:space="preserve">   P08 Teluk Lamong - operating expenses = % of FSL revenue x cost lever</t>
  </si>
  <si>
    <t>P08 Teluk Lamong - EBITDA</t>
  </si>
  <si>
    <t xml:space="preserve">   P09 Cigading - cost of sales (none in v29)</t>
  </si>
  <si>
    <t xml:space="preserve">   P09 Cigading - operating expenses = % of FSL revenue x cost lever</t>
  </si>
  <si>
    <t>P09 Cigading - EBITDA</t>
  </si>
  <si>
    <t xml:space="preserve">   P10 Ciwandan - cost of sales (none in v29)</t>
  </si>
  <si>
    <t xml:space="preserve">   P10 Ciwandan - operating expenses = % of FSL revenue x cost lever</t>
  </si>
  <si>
    <t>P10 Ciwandan - EBITDA</t>
  </si>
  <si>
    <t xml:space="preserve">   P11 Belawan - cost of sales (none in v29)</t>
  </si>
  <si>
    <t xml:space="preserve">   P11 Belawan - operating expenses = % of FSL revenue x cost lever</t>
  </si>
  <si>
    <t>P11 Belawan - EBITDA</t>
  </si>
  <si>
    <t>P15  TBM</t>
  </si>
  <si>
    <t>P15 Cost of sales = warehouse rental % x storage revenue x cost lever + handling revenue x (Teluk Lamong cost of sales / revenue)</t>
  </si>
  <si>
    <t>P15 Operating expenses = % of revenue x cost lever</t>
  </si>
  <si>
    <t>P15 EBITDA</t>
  </si>
  <si>
    <t>C.   PIPELINE PLACEHOLDERS (P16-P18) - nil while excluded</t>
  </si>
  <si>
    <t xml:space="preserve">   Cost of sales - variable = annual cost per ton x volume / 1e9 x cost lever</t>
  </si>
  <si>
    <t xml:space="preserve">   Cost of sales - fixed = annual amount x operating fraction x cost lever</t>
  </si>
  <si>
    <t>P16 Cost of sales</t>
  </si>
  <si>
    <t xml:space="preserve">   P16 Operating expenses (none - enter as fixed cost if needed)</t>
  </si>
  <si>
    <t>P16 EBITDA</t>
  </si>
  <si>
    <t>P17 Cost of sales</t>
  </si>
  <si>
    <t xml:space="preserve">   P17 Operating expenses (none - enter as fixed cost if needed)</t>
  </si>
  <si>
    <t>P17 EBITDA</t>
  </si>
  <si>
    <t>P18 Cost of sales</t>
  </si>
  <si>
    <t xml:space="preserve">   P18 Operating expenses (none - enter as fixed cost if needed)</t>
  </si>
  <si>
    <t>P18 EBITDA</t>
  </si>
  <si>
    <t>D.   BADAS (P19) - PROJECT TEMPLATE WITH DUMMY FS DATA: variable, staff, maintenance, insurance, concession, fixed and pre-operating costs (illustrative rows always calculated)</t>
  </si>
  <si>
    <t xml:space="preserve">   Variable cost = throughput x variable cost per ton / 1e9 x cost lever</t>
  </si>
  <si>
    <t xml:space="preserve">   Staff cost = headcount x cost per head (IDR mn) / 1,000 x operating fraction x cost lever</t>
  </si>
  <si>
    <t xml:space="preserve">   Maintenance = % x total investment (IDR at the year's FX) x operating fraction x cost lever</t>
  </si>
  <si>
    <t xml:space="preserve">   Insurance = % x total investment (IDR at the year's FX) x operating fraction x cost lever</t>
  </si>
  <si>
    <t xml:space="preserve">   Concession / port fee = % x Badas revenue to FSL x cost lever</t>
  </si>
  <si>
    <t>Badas cost of sales (illustrative)</t>
  </si>
  <si>
    <t xml:space="preserve">   Other fixed operating costs x operating fraction x cost lever</t>
  </si>
  <si>
    <t xml:space="preserve">   Pre-operating costs (expensed in the year before the operation date) x cost lever</t>
  </si>
  <si>
    <t>Badas operating expenses (illustrative)</t>
  </si>
  <si>
    <t>Badas EBITDA (illustrative)</t>
  </si>
  <si>
    <t xml:space="preserve">   Badas EBITDA margin</t>
  </si>
  <si>
    <t xml:space="preserve">   P19 Cost of sales in the FSL statements = illustrative x valuation inclusion</t>
  </si>
  <si>
    <t xml:space="preserve">   P19 Operating expenses in the FSL statements</t>
  </si>
  <si>
    <t>P19 EBITDA in the FSL statements</t>
  </si>
  <si>
    <t>E.   SUMMARY BY BUSINESS AND BY CASE - cost of sales, operating expenses, EBITDA (column E = legal entity)</t>
  </si>
  <si>
    <t>Cost of sales by business</t>
  </si>
  <si>
    <t>Cost of sales - Without BUMN case (excludes P12-P14)</t>
  </si>
  <si>
    <t>Cost of sales - BUMN operatorship schemes, FSL entitlement (P12-P14, from BUMN Synergy Calculation)</t>
  </si>
  <si>
    <t>Cost of sales - With BUMN case</t>
  </si>
  <si>
    <t>Operating expenses by business</t>
  </si>
  <si>
    <t>Operating expenses - Without BUMN case (excludes P12-P14)</t>
  </si>
  <si>
    <t>Operating expenses - BUMN operatorship schemes, FSL entitlement (P12-P14, from BUMN Synergy Calculation)</t>
  </si>
  <si>
    <t>Operating expenses - With BUMN case</t>
  </si>
  <si>
    <t>EBITDA by business</t>
  </si>
  <si>
    <t>EBITDA - Without BUMN case (excludes P12-P14)</t>
  </si>
  <si>
    <t>EBITDA - BUMN operatorship schemes, FSL entitlement (P12-P14, from BUMN Synergy Calculation)</t>
  </si>
  <si>
    <t>EBITDA - With BUMN case</t>
  </si>
  <si>
    <t>Cancellation cost of switched-off committed projects (group level; nil at the v29 settings)</t>
  </si>
  <si>
    <t>Cancellation cost on contracts in progress (cash, expensed in FY2024 when P01 / P02 are switched OFF)</t>
  </si>
  <si>
    <t xml:space="preserve">   Check: revenue - cost of sales - opex - EBITDA, With BUMN case (must be 0)</t>
  </si>
  <si>
    <t>BUMN SYNERGY CALCULATION - operatorship schemes with the SOEs (P12-P14): total benefit, FSL entitlement, costs and requirements</t>
  </si>
  <si>
    <t>Per-ton rows are SOE-level economics. Part of the SOE tariff (the FSL entitlement) moves to FSL, which takes over O&amp;M. Only the entitlement less FSL cost enters the FSL statements; the SOE-retained share is information only.</t>
  </si>
  <si>
    <t>[BUMN Synergy]</t>
  </si>
  <si>
    <t>IDR per ton (per-ton rows) / IDR bn (annual rows)</t>
  </si>
  <si>
    <t>A.   P12  PELINDO TELUK LAMONG OPERATORSHIP (entity NPLOG, FSL 65%) - per-ton economics by year, then annual amounts</t>
  </si>
  <si>
    <t>Grains - per ton</t>
  </si>
  <si>
    <t xml:space="preserve">   Grains: SOE tariff - current scheme (six components, Inputs 7)</t>
  </si>
  <si>
    <t xml:space="preserve">   Grains: SOE cost - current (tariff x (1 - SOE margin))</t>
  </si>
  <si>
    <t xml:space="preserve">   Grains: SOE other cost - current (balancing item)</t>
  </si>
  <si>
    <t xml:space="preserve">   Grains: ship-unloader tariff kept by the SOE</t>
  </si>
  <si>
    <t>v29 Calculation_FSL F1220 / F1244</t>
  </si>
  <si>
    <t xml:space="preserve">   Grains: conveyor tariff kept by the SOE</t>
  </si>
  <si>
    <t>v29 F1221 / F1245</t>
  </si>
  <si>
    <t xml:space="preserve">   Grains: SOE tariff - new scheme</t>
  </si>
  <si>
    <t xml:space="preserve">   Grains: FSL ENTITLEMENT per ton (tariff transferred to FSL) = current - new SOE tariff</t>
  </si>
  <si>
    <t>v29 F1409 / F1414</t>
  </si>
  <si>
    <t xml:space="preserve">   Grains: SOE other cost - new scheme (same % of tariff)</t>
  </si>
  <si>
    <t>v29 F1230</t>
  </si>
  <si>
    <t xml:space="preserve">   Grains: SOE cost - new scheme (O&amp;M moves to FSL)</t>
  </si>
  <si>
    <t xml:space="preserve">   Grains: check - new SOE tariff + FSL entitlement - current tariff (must be 0: no double counting)</t>
  </si>
  <si>
    <t>Meals - per ton</t>
  </si>
  <si>
    <t xml:space="preserve">   Meals: SOE tariff - current scheme (six components, Inputs 7)</t>
  </si>
  <si>
    <t xml:space="preserve">   Meals: SOE cost - current (tariff x (1 - SOE margin))</t>
  </si>
  <si>
    <t xml:space="preserve">   Meals: SOE other cost - current (balancing item)</t>
  </si>
  <si>
    <t xml:space="preserve">   Meals: ship-unloader tariff kept by the SOE</t>
  </si>
  <si>
    <t xml:space="preserve">   Meals: conveyor tariff kept by the SOE</t>
  </si>
  <si>
    <t xml:space="preserve">   Meals: SOE tariff - new scheme</t>
  </si>
  <si>
    <t xml:space="preserve">   Meals: FSL ENTITLEMENT per ton (tariff transferred to FSL) = current - new SOE tariff</t>
  </si>
  <si>
    <t xml:space="preserve">   Meals: SOE other cost - new scheme (% of the first four components)</t>
  </si>
  <si>
    <t>v29 F1254</t>
  </si>
  <si>
    <t xml:space="preserve">   Meals: SOE cost - new scheme (O&amp;M moves to FSL)</t>
  </si>
  <si>
    <t xml:space="preserve">   Meals: check - new SOE tariff + FSL entitlement - current tariff (must be 0: no double counting)</t>
  </si>
  <si>
    <t>Annual amounts (volumes from Revenue Calculation; the scheme applies from the P12 commencement year)</t>
  </si>
  <si>
    <t xml:space="preserve">   Volume served (Teluk Lamong grains + meals) x operating flag</t>
  </si>
  <si>
    <t xml:space="preserve">   SOE revenue - current scheme (baseline)</t>
  </si>
  <si>
    <t xml:space="preserve">   SOE EBITDA - current scheme (baseline)</t>
  </si>
  <si>
    <t xml:space="preserve">   SOE EBITDA - new scheme (baseline while the scheme is not active)</t>
  </si>
  <si>
    <t>P12 FSL revenue = FSL entitlement per ton x volume served x tariff lever / 1e9</t>
  </si>
  <si>
    <t xml:space="preserve">   P12 FSL cost of sales (none in v29)</t>
  </si>
  <si>
    <t xml:space="preserve">   P12 FSL operating cost = (1 - FSL margin) x revenue x cost lever (O&amp;M taken over; v29 books it in opex)</t>
  </si>
  <si>
    <t>P12 FSL EBITDA</t>
  </si>
  <si>
    <t>TOTAL incremental benefit vs baseline (SOE new EBITDA + FSL EBITDA - SOE baseline EBITDA)</t>
  </si>
  <si>
    <t xml:space="preserve">      of which attributable to FSL (enters the FSL statements)</t>
  </si>
  <si>
    <t xml:space="preserve">      of which retained by the SOE (information only)</t>
  </si>
  <si>
    <t>B.   P13  KBS CIGADING OPERATORSHIP (entity SGT 2, FSL 100%)</t>
  </si>
  <si>
    <t>Per ton</t>
  </si>
  <si>
    <t xml:space="preserve">   Ship-unloader component of the all-in tariff</t>
  </si>
  <si>
    <t>v29 F1283</t>
  </si>
  <si>
    <t xml:space="preserve">   Berth component (balance)</t>
  </si>
  <si>
    <t>v29 F1281</t>
  </si>
  <si>
    <t xml:space="preserve">   SOE cost - current (tariff x (1 - SOE margin))</t>
  </si>
  <si>
    <t xml:space="preserve">   SOE other cost - current (balancing item)</t>
  </si>
  <si>
    <t xml:space="preserve">   Ship-unloader tariff kept by the SOE ((crane + overhead) / (1 - margin) x mark-up)</t>
  </si>
  <si>
    <t>v29 F1307</t>
  </si>
  <si>
    <t xml:space="preserve">   SOE tariff - new scheme</t>
  </si>
  <si>
    <t xml:space="preserve">   FSL ENTITLEMENT per ton (tariff transferred to FSL)</t>
  </si>
  <si>
    <t>v29 F1426</t>
  </si>
  <si>
    <t xml:space="preserve">   SOE other cost - new scheme (same % of tariff)</t>
  </si>
  <si>
    <t>v29 F1317</t>
  </si>
  <si>
    <t xml:space="preserve">   SOE cost - new scheme (O&amp;M moves to FSL)</t>
  </si>
  <si>
    <t xml:space="preserve">   Check - new SOE tariff + FSL entitlement - current tariff (must be 0)</t>
  </si>
  <si>
    <t>Annual amounts</t>
  </si>
  <si>
    <t xml:space="preserve">   Volume served (Cigading existing + Wharf 2) x operating flag</t>
  </si>
  <si>
    <t xml:space="preserve">   SOE EBITDA - new scheme</t>
  </si>
  <si>
    <t>P13 FSL revenue = entitlement per ton x volume served x tariff lever / 1e9</t>
  </si>
  <si>
    <t xml:space="preserve">   P13 FSL cost of sales (none in v29)</t>
  </si>
  <si>
    <t xml:space="preserve">   P13 FSL operating cost = (1 - FSL margin) x revenue x cost lever</t>
  </si>
  <si>
    <t>P13 FSL EBITDA</t>
  </si>
  <si>
    <t>TOTAL incremental benefit vs baseline</t>
  </si>
  <si>
    <t xml:space="preserve">      of which attributable to FSL</t>
  </si>
  <si>
    <t>C.   P14  PELINDO BELAWAN OPERATORSHIP (Belawan entity, FSL 100%) - existing and expansion volume</t>
  </si>
  <si>
    <t xml:space="preserve">   SOE tariff - current scheme (port operation + ship unloader)</t>
  </si>
  <si>
    <t>v29 F1353</t>
  </si>
  <si>
    <t>v29 F1436</t>
  </si>
  <si>
    <t>v29 F1370</t>
  </si>
  <si>
    <t>Annual amounts (baseline on existing volume; the new scheme covers existing + expansion volume, as in v29)</t>
  </si>
  <si>
    <t xml:space="preserve">   Volume served (Belawan existing + expansion) x operating flag</t>
  </si>
  <si>
    <t>P14 FSL revenue = entitlement per ton x volume served x tariff lever / 1e9</t>
  </si>
  <si>
    <t xml:space="preserve">   P14 FSL cost of sales (none in v29)</t>
  </si>
  <si>
    <t xml:space="preserve">   P14 FSL operating cost = (1 - FSL margin) x revenue x cost lever</t>
  </si>
  <si>
    <t>P14 FSL EBITDA</t>
  </si>
  <si>
    <t>D.   SUMMARY - TOTAL BENEFIT, FSL SHARE, SOE SHARE; FSL REQUIREMENTS TO REALISE THE SYNERGIES</t>
  </si>
  <si>
    <t xml:space="preserve">   P12 Pelindo Teluk Lamong - total incremental EBITDA (FSL + SOE)</t>
  </si>
  <si>
    <t xml:space="preserve">   P13 KBS Cigading - total incremental EBITDA (FSL + SOE)</t>
  </si>
  <si>
    <t xml:space="preserve">   P14 Pelindo Belawan - total incremental EBITDA (FSL + SOE)</t>
  </si>
  <si>
    <t>TOTAL incremental EBITDA of the three schemes</t>
  </si>
  <si>
    <t xml:space="preserve">      attributable to FSL (= FSL synergy EBITDA below)</t>
  </si>
  <si>
    <t xml:space="preserve">      retained by the SOEs (not FSL cash flow - never added to FSL value)</t>
  </si>
  <si>
    <t xml:space="preserve">   Check: FSL + SOE retained - total (must be 0)</t>
  </si>
  <si>
    <t>BUMN contribution - what enters the With BUMN case statements (P12-P14)</t>
  </si>
  <si>
    <t>FSL synergy revenue (entitlement)</t>
  </si>
  <si>
    <t xml:space="preserve">   FSL synergy operating cost (O&amp;M taken over)</t>
  </si>
  <si>
    <t>FSL synergy EBITDA</t>
  </si>
  <si>
    <t xml:space="preserve">   FSL investment for the schemes (Inputs 7; nil in v29)</t>
  </si>
  <si>
    <t xml:space="preserve">   Depreciation of the synergy investment (Capex &amp; Depreciation B)</t>
  </si>
  <si>
    <t xml:space="preserve">   Working capital on the entitlement revenue (receivables at the receivable days of the year; Working Capital)</t>
  </si>
  <si>
    <t xml:space="preserve">   Memo: 35% minority share of P12 profit before tax (applied in the dividend base only when C12 is ON; v29 treats P12 as 100% FSL)</t>
  </si>
  <si>
    <t>Profit sharing: FSL receives only the entitlement per ton; the SOE keeps the balance of its tariff. Tax on the BUMN profit follows the v29 line method (Operatorship block; FSL Output - With BUMN, tax section); funding in the With BUMN case (Funding Requirement B).</t>
  </si>
  <si>
    <t>No double counting: the entitlement is deducted from the SOE tariff (checks above), and the P07 expansion volume earns the P14 entitlement only once (on BUMN Synergy, not in P07 revenue).</t>
  </si>
  <si>
    <t>CAPEX &amp; DEPRECIATION - when each project spends its capex (USD and IDR), depreciation, existing assets, net book value by business, asset roll-forwards</t>
  </si>
  <si>
    <t>A: capex = total investment x spending % of each year (Inputs 5 / 13 / 14; x capex lever; x inclusion) and the split before / after the valuation date. B: exchange rate of each year. C: IDR bn = USD x rate / 1,000. D-E: depreciation (v29 method unless C03 / C05 are ON). G: by business and case. J: capex funded outside the FSL statements. K: screenshot lines vs the model.</t>
  </si>
  <si>
    <t>[Capex]</t>
  </si>
  <si>
    <t>A.   CAPEX BY PROJECT IN USD mn = total investment x spending % of the year (Inputs 5; x capex lever; x inclusion switch) - projects in the FSL statements</t>
  </si>
  <si>
    <t>Total investment (USD mn)</t>
  </si>
  <si>
    <t>Unallocated (USD mn)</t>
  </si>
  <si>
    <t>Pre-2024 spend (sunk)</t>
  </si>
  <si>
    <t xml:space="preserve">   P08  DMS trucking fee - Teluk Lamong - equipment deemed in service in the first operating year (v29 depreciates it; paid only with C08)</t>
  </si>
  <si>
    <t xml:space="preserve">   P09  DMS trucking fee - Cigading - equipment deemed in service in the first operating year (v29 depreciates it; paid only with C08)</t>
  </si>
  <si>
    <t xml:space="preserve">   P10  DMS trucking fee - Ciwandan - equipment deemed in service in the first operating year (v29 depreciates it; paid only with C08)</t>
  </si>
  <si>
    <t xml:space="preserve">   P11  DMS trucking fee - Belawan - equipment deemed in service in the first operating year (v29 depreciates it; paid only with C08)</t>
  </si>
  <si>
    <t>P19  Badas - in the FSL statements only when included in the valuation (Badas capex itself: row "Badas capex (illustrative)" below)</t>
  </si>
  <si>
    <t>Total capex in USD mn - projects in the FSL statements (DMS equipment only when C08 pays for it)</t>
  </si>
  <si>
    <t xml:space="preserve">   Check: negative amounts in the USD schedule above (count; must be 0)</t>
  </si>
  <si>
    <t>count</t>
  </si>
  <si>
    <t>Badas (P19) capex - illustrative, always calculated (DUMMY phasing; total 10.0 USD mn provisional, Inputs 13)</t>
  </si>
  <si>
    <t>Badas capex (illustrative) = total investment x spending % x capex lever</t>
  </si>
  <si>
    <t>Column E = total investment (pre-2024 + FY2024-36 + unallocated). Column F = investment not allocated to a year (spending % below 100%; not spent, not depreciated - warning on Checks). Pre-2024 spend is history: not levered or switched off.</t>
  </si>
  <si>
    <t>v29 source: Calculation_FSL rows 1474-1481 (USD mn by year) -&gt; row 1482 total -&gt; row 1484 x USD_IDR = IDR bn. The delivered spending % reproduce the v29 timing exactly (e.g. extended conveyor 2.2 pre-2024 / 5.4 FY2024 / 0.4 FY2025 of 8.0).</t>
  </si>
  <si>
    <t>A2.  CAPEX SUMMARY BY PROJECT (USD mn) - total investment, spent before FY2024 (sunk), FY2024 to the valuation date (ESTIMATE), after the valuation date (future, in the DCF), unallocated</t>
  </si>
  <si>
    <t>Scope</t>
  </si>
  <si>
    <t>Spending % entered (must be 100%)</t>
  </si>
  <si>
    <t>Total investment</t>
  </si>
  <si>
    <t>Pre-2024 spend (sunk, in the Dec-23 balance sheet)</t>
  </si>
  <si>
    <t>FY2024 to valuation date (estimate - v29 forecast, actuals not supplied)</t>
  </si>
  <si>
    <t>After the valuation date (future - in the DCF)</t>
  </si>
  <si>
    <t>Unallocated</t>
  </si>
  <si>
    <t>Check: parts - total</t>
  </si>
  <si>
    <t>FSL statements</t>
  </si>
  <si>
    <t>FSL statements (placeholder)</t>
  </si>
  <si>
    <t>P19  Badas (illustrative total - DUMMY phasing)</t>
  </si>
  <si>
    <t>Valuation if switched ON; else funding request</t>
  </si>
  <si>
    <t>Total (projects in the FSL statements + Badas illustrative)</t>
  </si>
  <si>
    <t>Projects whose spending % do not add to 100% (count; warning W7 on Checks)</t>
  </si>
  <si>
    <t>Funding-only projects (F01-F05) and Badas outside the valuation are in section J (funding request only). The DMS equipment (C08) and sustaining capex are outside this table.</t>
  </si>
  <si>
    <t>B.   EXCHANGE RATE OF EACH YEAR (Inputs section 3; v29 applies one rate, named range USD_IDR = Calculation_FSL!F17)</t>
  </si>
  <si>
    <t>Exchange rate applied to the spending of the year (IDR per USD)</t>
  </si>
  <si>
    <t xml:space="preserve">   Financial year (used by the depreciation windows below)</t>
  </si>
  <si>
    <t>C.   CAPEX IN IDR bn = USD mn of the year x exchange rate of the year / 1,000 (v29 Calculation_FSL row 1484; Output_FSL row 77)</t>
  </si>
  <si>
    <t xml:space="preserve">   P08  DMS trucking fee - Teluk Lamong - equipment deemed in service (depreciation base; not paid in v29)</t>
  </si>
  <si>
    <t xml:space="preserve">   P09  DMS trucking fee - Cigading - equipment deemed in service (depreciation base; not paid in v29)</t>
  </si>
  <si>
    <t xml:space="preserve">   P10  DMS trucking fee - Ciwandan - equipment deemed in service (depreciation base; not paid in v29)</t>
  </si>
  <si>
    <t xml:space="preserve">   P11  DMS trucking fee - Belawan - equipment deemed in service (depreciation base; not paid in v29)</t>
  </si>
  <si>
    <t>P08  DMS trucking fee - Teluk Lamong - equipment capex paid = C08 x deemed investment (nil in v29)</t>
  </si>
  <si>
    <t>P09  DMS trucking fee - Cigading - equipment capex paid = C08 x deemed investment (nil in v29)</t>
  </si>
  <si>
    <t>P10  DMS trucking fee - Ciwandan - equipment capex paid = C08 x deemed investment (nil in v29)</t>
  </si>
  <si>
    <t>P11  DMS trucking fee - Belawan - equipment capex paid = C08 x deemed investment (nil in v29)</t>
  </si>
  <si>
    <t xml:space="preserve">   P19  Badas capex (illustrative, IDR bn)</t>
  </si>
  <si>
    <t>P19  Badas - in the FSL statements (illustrative x valuation inclusion)</t>
  </si>
  <si>
    <t>P12  BUMN synergy - Pelindo Teluk Lamong operatorship - share of any synergy investment (Inputs 7, IDR bn; nil in v29; pro rata to entitlement revenue)</t>
  </si>
  <si>
    <t>P13  BUMN synergy - KBS Cigading operatorship - share of any synergy investment (Inputs 7, IDR bn; nil in v29; pro rata to entitlement revenue)</t>
  </si>
  <si>
    <t>P14  BUMN synergy - Pelindo Belawan operatorship - share of any synergy investment (Inputs 7, IDR bn; nil in v29; pro rata to entitlement revenue)</t>
  </si>
  <si>
    <t>Project capex - Without BUMN case (all FSL projects; = v29 Calculation_FSL row 1484; pre-2024 column = Output_FSL!I77)</t>
  </si>
  <si>
    <t>Project capex - With BUMN case (adds any synergy investment; nil in v29)</t>
  </si>
  <si>
    <t>D.   DEPRECIATION OF PROJECT ASSETS - v29 method (default) and vintage method (switch C03); the row "used" feeds D&amp;A</t>
  </si>
  <si>
    <t>v29 method: capex spent (IDR at the rate of each spending year) x building / equipment share / life, from the commencement year without end (Dumai equipment stops after 8 years). Vintage method (C03): each vintage depreciated over its life from when it is in service.</t>
  </si>
  <si>
    <t>v29 depreciation base (IDR bn): capex spent (pre-2024 + FY2024-36) at the exchange rates of the spending years</t>
  </si>
  <si>
    <t>Dec-23 assets under construction attributed to the project (IDR bn; Source Data 17, split by pre-2024 USD spend)</t>
  </si>
  <si>
    <t xml:space="preserve">   v29 method: base x (building share / building life + equipment share / equipment life) from the commencement year</t>
  </si>
  <si>
    <t xml:space="preserve">   Vintage method: placed in service (all spend to date at commissioning; later spend when incurred)</t>
  </si>
  <si>
    <t xml:space="preserve">   Vintage method: depreciation of vintages within their useful life</t>
  </si>
  <si>
    <t>P01 depreciation used = v29 method, or vintage method when C03 is ON</t>
  </si>
  <si>
    <t>P02 depreciation used = v29 method, or vintage method when C03 is ON</t>
  </si>
  <si>
    <t>Capex at the exchange rates of the spending years (IDR bn) - not depreciated by v29 (empty reference, C02)</t>
  </si>
  <si>
    <t>v29 depreciation base (IDR bn) = the amount above x switch C02</t>
  </si>
  <si>
    <t xml:space="preserve">   Vintage method: depreciation of vintages within their useful life (x C02)</t>
  </si>
  <si>
    <t>P03 depreciation used = v29 method, or vintage method when C03 is ON</t>
  </si>
  <si>
    <t>P04 depreciation used = v29 method, or vintage method when C03 is ON</t>
  </si>
  <si>
    <t xml:space="preserve">   v29 method: base x (building share / building life + equipment share / equipment life) from the commencement year, equipment only for its life</t>
  </si>
  <si>
    <t>P05 depreciation used = v29 method, or vintage method when C03 is ON</t>
  </si>
  <si>
    <t>P06 depreciation used = v29 method, or vintage method when C03 is ON</t>
  </si>
  <si>
    <t>P07 depreciation used = v29 method, or vintage method when C03 is ON</t>
  </si>
  <si>
    <t>P15 depreciation used = v29 method, or vintage method when C03 is ON</t>
  </si>
  <si>
    <t>P08-P11  DMS equipment (v29: capex x USD_IDR / 5 years from the first operating year, without end)</t>
  </si>
  <si>
    <t xml:space="preserve">   P08 v29 method</t>
  </si>
  <si>
    <t xml:space="preserve">   P08 vintage method (5-year life)</t>
  </si>
  <si>
    <t>P08 depreciation used</t>
  </si>
  <si>
    <t xml:space="preserve">   P09 v29 method</t>
  </si>
  <si>
    <t xml:space="preserve">   P09 vintage method (5-year life)</t>
  </si>
  <si>
    <t>P09 depreciation used</t>
  </si>
  <si>
    <t xml:space="preserve">   P10 v29 method</t>
  </si>
  <si>
    <t xml:space="preserve">   P10 vintage method (5-year life)</t>
  </si>
  <si>
    <t>P10 depreciation used</t>
  </si>
  <si>
    <t xml:space="preserve">   P11 v29 method</t>
  </si>
  <si>
    <t xml:space="preserve">   P11 vintage method (5-year life)</t>
  </si>
  <si>
    <t>P11 depreciation used</t>
  </si>
  <si>
    <t>Total project depreciation - v29 method (P01-P11, P15)</t>
  </si>
  <si>
    <t>Total project depreciation - vintage method (C03)</t>
  </si>
  <si>
    <t>P12-P14  synergy investment (life on Inputs 7; nil in v29)</t>
  </si>
  <si>
    <t xml:space="preserve">   P12 depreciation of the synergy investment</t>
  </si>
  <si>
    <t xml:space="preserve">   P13 depreciation of the synergy investment</t>
  </si>
  <si>
    <t xml:space="preserve">   P14 depreciation of the synergy investment</t>
  </si>
  <si>
    <t xml:space="preserve">   Placed in service (all capex to the commencement year at commencement; later spend when incurred)</t>
  </si>
  <si>
    <t xml:space="preserve">   Years in service at year end (from the commencement date)</t>
  </si>
  <si>
    <t>Depreciation (building + equipment, pro-rated in the first and last year)</t>
  </si>
  <si>
    <t>P19  Badas (illustrative, always calculated; the FSL statements take it x valuation inclusion)</t>
  </si>
  <si>
    <t xml:space="preserve">   Placed in service (all capex to the operation year at the operation date; later spend when incurred)</t>
  </si>
  <si>
    <t xml:space="preserve">   Years in service at year end (from the operation date)</t>
  </si>
  <si>
    <t>Badas depreciation (building + equipment lives, Inputs 13; pro-rated in the first and last year)</t>
  </si>
  <si>
    <t>P19 depreciation in the FSL statements = illustrative x valuation inclusion</t>
  </si>
  <si>
    <t xml:space="preserve">   Badas net book value (illustrative) = capex to date - depreciation to date</t>
  </si>
  <si>
    <t>E.   EXISTING ASSET POOLS (Dec-23 net book value; v29 schedules charged in full - switch C05 caps them at the remaining NBV)</t>
  </si>
  <si>
    <t xml:space="preserve">   WIN scheduled depreciation (four branches, Inputs 4)</t>
  </si>
  <si>
    <t>Teluk Lamong existing assets (NPLOG)</t>
  </si>
  <si>
    <t xml:space="preserve">   Scheduled depreciation (v29)</t>
  </si>
  <si>
    <t>Depreciation charged = schedule (v29), or MIN(schedule, remaining NBV) when C05 is ON</t>
  </si>
  <si>
    <t xml:space="preserve">   Net book value - closing (negative in v29 once the schedule exceeds the Dec-23 NBV)</t>
  </si>
  <si>
    <t>Cigading existing assets (SGT 2)</t>
  </si>
  <si>
    <t>Belawan existing assets</t>
  </si>
  <si>
    <t>WIN existing assets</t>
  </si>
  <si>
    <t>F.   SUSTAINING CAPEX (nil in v29; Inputs section 8) AND ITS DEPRECIATION</t>
  </si>
  <si>
    <t xml:space="preserve">   E1 sustaining capex = % of revenue of the year</t>
  </si>
  <si>
    <t xml:space="preserve">   E2 sustaining capex = % of revenue of the year</t>
  </si>
  <si>
    <t xml:space="preserve">   E3 sustaining capex = % of revenue of the year</t>
  </si>
  <si>
    <t xml:space="preserve">   E4 sustaining capex = % of revenue of the year</t>
  </si>
  <si>
    <t xml:space="preserve">   P01 sustaining capex = % of revenue of the year</t>
  </si>
  <si>
    <t xml:space="preserve">   P02 sustaining capex = % of revenue of the year</t>
  </si>
  <si>
    <t xml:space="preserve">   P03 sustaining capex = % of revenue of the year</t>
  </si>
  <si>
    <t xml:space="preserve">   P04 sustaining capex = % of revenue of the year</t>
  </si>
  <si>
    <t xml:space="preserve">   P05 sustaining capex = % of revenue of the year</t>
  </si>
  <si>
    <t xml:space="preserve">   P06 sustaining capex = % of revenue of the year</t>
  </si>
  <si>
    <t xml:space="preserve">   P07 sustaining capex = % of revenue of the year</t>
  </si>
  <si>
    <t xml:space="preserve">   P15 sustaining capex = % of revenue of the year</t>
  </si>
  <si>
    <t xml:space="preserve">   P16 sustaining capex = % of revenue of the year</t>
  </si>
  <si>
    <t xml:space="preserve">   P17 sustaining capex = % of revenue of the year</t>
  </si>
  <si>
    <t xml:space="preserve">   P18 sustaining capex = % of revenue of the year</t>
  </si>
  <si>
    <t xml:space="preserve">   P19 sustaining capex = % of revenue of the year</t>
  </si>
  <si>
    <t>Total sustaining capex (both cases)</t>
  </si>
  <si>
    <t xml:space="preserve">   E1 depreciation of sustaining capex</t>
  </si>
  <si>
    <t xml:space="preserve">   E2 depreciation of sustaining capex</t>
  </si>
  <si>
    <t xml:space="preserve">   E3 depreciation of sustaining capex</t>
  </si>
  <si>
    <t xml:space="preserve">   E4 depreciation of sustaining capex</t>
  </si>
  <si>
    <t xml:space="preserve">   P01 depreciation of sustaining capex</t>
  </si>
  <si>
    <t xml:space="preserve">   P02 depreciation of sustaining capex</t>
  </si>
  <si>
    <t xml:space="preserve">   P03 depreciation of sustaining capex</t>
  </si>
  <si>
    <t xml:space="preserve">   P04 depreciation of sustaining capex</t>
  </si>
  <si>
    <t xml:space="preserve">   P05 depreciation of sustaining capex</t>
  </si>
  <si>
    <t xml:space="preserve">   P06 depreciation of sustaining capex</t>
  </si>
  <si>
    <t xml:space="preserve">   P07 depreciation of sustaining capex</t>
  </si>
  <si>
    <t xml:space="preserve">   P15 depreciation of sustaining capex</t>
  </si>
  <si>
    <t xml:space="preserve">   P16 depreciation of sustaining capex</t>
  </si>
  <si>
    <t xml:space="preserve">   P17 depreciation of sustaining capex</t>
  </si>
  <si>
    <t xml:space="preserve">   P18 depreciation of sustaining capex</t>
  </si>
  <si>
    <t xml:space="preserve">   P19 depreciation of sustaining capex</t>
  </si>
  <si>
    <t>Total depreciation of sustaining capex</t>
  </si>
  <si>
    <t>G.   D&amp;A, TOTAL CAPEX AND NET BOOK VALUE BY BUSINESS AND BY CASE (column E = legal entity)</t>
  </si>
  <si>
    <t>Depreciation &amp; amortisation by business</t>
  </si>
  <si>
    <t>D&amp;A - Without BUMN case (E1-E4, P01-P11, P15-P19)</t>
  </si>
  <si>
    <t>D&amp;A - BUMN operatorship schemes (P12-P14; only when included)</t>
  </si>
  <si>
    <t>D&amp;A - With BUMN case (v29 Output_FSL row 51, sign reversed)</t>
  </si>
  <si>
    <t>Total capex (project + sustaining) by business</t>
  </si>
  <si>
    <t>Total capex - Without BUMN case</t>
  </si>
  <si>
    <t>Total capex - BUMN operatorship schemes (P12-P14)</t>
  </si>
  <si>
    <t>Total capex - With BUMN case</t>
  </si>
  <si>
    <t>Net book value of fixed assets by business (directly attributable; Dec-23 = entity NBV for E1-E4 and the assets under construction when C06 is ON)</t>
  </si>
  <si>
    <t xml:space="preserve">   P01  memo: Dec-23 assets under construction held in other assets (v29 presentation; C06 moves them into the net book value above)</t>
  </si>
  <si>
    <t xml:space="preserve">   P02  memo: Dec-23 assets under construction held in other assets (v29 presentation; C06 moves them into the net book value above)</t>
  </si>
  <si>
    <t>Net book value - sum of businesses, Without BUMN case</t>
  </si>
  <si>
    <t xml:space="preserve">   Check: sum of businesses - fixed assets roll-forward, Without BUMN case (must be 0)</t>
  </si>
  <si>
    <t>Net book value - sum of businesses, With BUMN case</t>
  </si>
  <si>
    <t xml:space="preserve">   Check: sum of businesses - fixed assets roll-forward, With BUMN case (must be 0)</t>
  </si>
  <si>
    <t>H.   SWITCHED-OFF COMMITTED PROJECTS - write-off of sunk spend (only when P01 / P02 are switched OFF; nil at the delivered settings)</t>
  </si>
  <si>
    <t>Write-off of pre-FY2024 assets under construction (sunk; non-cash, FY2024)</t>
  </si>
  <si>
    <t>The write-off applies only when the assets under construction are carried in fixed assets (C06); in v29 they stay in other assets. The cash cancellation cost is on Cost Calculation section E.</t>
  </si>
  <si>
    <t>I.   FIXED ASSETS ROLL-FORWARD (v29 basis: opening net book value + capex - depreciation; Output_FSL row 98 / Calculation_FSL rows 1486-1489) - both cases</t>
  </si>
  <si>
    <t>With BUMN case</t>
  </si>
  <si>
    <t>Opening net book value</t>
  </si>
  <si>
    <t xml:space="preserve">   Additions - project capex (incl. DMS equipment with C08, Badas when valued and any synergy investment)</t>
  </si>
  <si>
    <t xml:space="preserve">   Additions - sustaining capex</t>
  </si>
  <si>
    <t xml:space="preserve">   Depreciation</t>
  </si>
  <si>
    <t xml:space="preserve">   Write-off of assets under construction (C06 and P01 / P02 OFF only)</t>
  </si>
  <si>
    <t>Closing net book value (v29: negative from FY2035, source issue C05)</t>
  </si>
  <si>
    <t xml:space="preserve">   Information: closing net book value negative (1 = yes)</t>
  </si>
  <si>
    <t>Without BUMN case</t>
  </si>
  <si>
    <t>Opening NBV = v29 fixed assets 826.0 (BS_Historical!V17); the Dec-23 assets under construction (197.4) stay in other assets as in v29 unless C06 is ON. v29 keeps depreciating fully written-down assets (C05), so its closing NBV turns negative in FY2035-36.</t>
  </si>
  <si>
    <t>J.   CAPEX FUNDED OUTSIDE THE FSL STATEMENTS - funding request only, never valued (Badas while outside the valuation; funding-only projects F01-F05, Inputs 15)</t>
  </si>
  <si>
    <t>Total (USD mn)</t>
  </si>
  <si>
    <t>P19  Badas capex while outside the valuation = illustrative x (1 - valuation inclusion) x funding inclusion (DUMMY phasing)</t>
  </si>
  <si>
    <t>The same in IDR bn (USD x exchange rate of the year / 1,000)</t>
  </si>
  <si>
    <t xml:space="preserve">   P19  Badas capex outside the valuation (IDR bn)</t>
  </si>
  <si>
    <t>Funding-only projects F01-F05 (IDR bn)</t>
  </si>
  <si>
    <t>Total capex outside the FSL statements (IDR bn)</t>
  </si>
  <si>
    <t>Blank funding-only rows give nil (no errors). These amounts never enter the income statement, balance sheet, cash flow or DCF; Funding Requirement C adds them to the funding request.</t>
  </si>
  <si>
    <t>K.   PROJECT-LIST SCREENSHOT vs THIS MODEL - every line of the capex list (USD mn as supplied) against the live total investment of the mapped projects</t>
  </si>
  <si>
    <t>Screenshot amounts are total project commitments in USD mn incl. spend before FY2024 (Wharf 2: 10.0 + 2.3 + 0.5 = 12.8); its v29 column covers 2023-2027, the window in which all v29 project capex falls. Column K uses the same scope, currency and timing (column E of section A).</t>
  </si>
  <si>
    <t>Column L = model minus the "Model V29 - Feb 2026" column: rounding only for the mapped projects. v29 amounts are kept at full precision; nothing is adjusted to the rounded screenshot, and no grouping is inferred from totals alone.</t>
  </si>
  <si>
    <t>Screenshot line</t>
  </si>
  <si>
    <t>Model ID(s)</t>
  </si>
  <si>
    <t>Mapping</t>
  </si>
  <si>
    <t>Board Dec-24 Stage 1</t>
  </si>
  <si>
    <t>Board Stage 2</t>
  </si>
  <si>
    <t>Board total</t>
  </si>
  <si>
    <t>Model Jan-25</t>
  </si>
  <si>
    <t>Model V29 - Feb 2026</t>
  </si>
  <si>
    <t>Current model</t>
  </si>
  <si>
    <t>This model (live)</t>
  </si>
  <si>
    <t>Difference vs v29 column</t>
  </si>
  <si>
    <t>Explanation</t>
  </si>
  <si>
    <t>P01</t>
  </si>
  <si>
    <t>MAPPED</t>
  </si>
  <si>
    <t>P01 Wharf 2 (10.0 pre-2024 + 2.3 + 0.5).</t>
  </si>
  <si>
    <t>P02</t>
  </si>
  <si>
    <t>P02 conveyor (2.2 pre-2024 + 5.4 + 0.4).</t>
  </si>
  <si>
    <t>P07</t>
  </si>
  <si>
    <t>P07 Belawan expansion 14.025. Not the WIN Medan stevedoring business (E4), which shares only the location name.</t>
  </si>
  <si>
    <t>Ciwadan Expansion</t>
  </si>
  <si>
    <t>P06, P03</t>
  </si>
  <si>
    <t>INFERRED</t>
  </si>
  <si>
    <t>INFERRED - TO CONFIRM: Ciwandan 5.025 + KBS warehouse 6.025 = 11.05. Matching totals are not proof of the grouping; each project is modelled once with its own v29 data.</t>
  </si>
  <si>
    <t>P04</t>
  </si>
  <si>
    <t>P04 Teluk Lamong silo 3.762 (a project in the NPLOG entity - not the existing Teluk Lamong business E1).</t>
  </si>
  <si>
    <t>P05</t>
  </si>
  <si>
    <t>P05 Dumai 6.81 (the board Stage 2 scope of 20.0 is not in v29).</t>
  </si>
  <si>
    <t>P19</t>
  </si>
  <si>
    <t>TEMPLATE</t>
  </si>
  <si>
    <t>P19 Badas: not in v29. Total 10.0 USD mn taken from the board deck (provisional); phasing and all operating inputs are DUMMY until the FS is received (FS Data Request).</t>
  </si>
  <si>
    <t>Port Long-term WH Storage</t>
  </si>
  <si>
    <t>NOT_IN_V29</t>
  </si>
  <si>
    <t>Not in v29 as a project (only a service line in Business Mapping!D18). Can be entered as a funding-only project (F01-F05).</t>
  </si>
  <si>
    <t>Vietnam</t>
  </si>
  <si>
    <t>Not in v29 - not modelled. Can be entered as a funding-only project (F01-F05) or a full placeholder (P17 / P18).</t>
  </si>
  <si>
    <t>Capex total</t>
  </si>
  <si>
    <t>P01, P02, P03, P04, P05, P06, P07</t>
  </si>
  <si>
    <t>TOTAL</t>
  </si>
  <si>
    <t>Model P01-P07 (live) equals v29 56.446; DMS equipment (C08) and sustaining capex are outside this total.</t>
  </si>
  <si>
    <t>LT Loan Repayment</t>
  </si>
  <si>
    <t>FIN</t>
  </si>
  <si>
    <t>LT loan 12.0 USD mn (Input!K1237; v29 repays it in FY2025, Calculation_FSL!K1511). REVISED: still outstanding at 31-Dec-2026 and repaid in 2027 (Inputs 10). A financing item, not a project capex.</t>
  </si>
  <si>
    <t>Grand total</t>
  </si>
  <si>
    <t>Capex total 56.4 + loan repayment 12.0.</t>
  </si>
  <si>
    <t>P15</t>
  </si>
  <si>
    <t>OFF</t>
  </si>
  <si>
    <t>P15 TBM: in v29 but switched off; v29 capex 40.0 USD mn (Input!M1187 = 108 - 68, reduction unexplained) vs 108 in the board deck. TO CONFIRM.</t>
  </si>
  <si>
    <t>Screenshot lines accounted for (mapped, inferred, template, not in v29, financing, off) - of 13</t>
  </si>
  <si>
    <t>Check: model P01-P07 total investment (USD mn) - v29 Calculation_FSL rows 1474-1480 incl. pre-2024 (56.446)</t>
  </si>
  <si>
    <t>Largest rounding difference between the mapped screenshot lines and the model (USD mn)</t>
  </si>
  <si>
    <t>Badas (10.0) is modelled as the P19 template (DUMMY data, OFF in the valuation). Port long-term WH storage (60.0) and Vietnam (15.0) are not in v29: enter them as funding-only projects (F01-F05) or, once an FS exists, as placeholders P16-P18. Sapphire is not in the screenshot and is excluded.</t>
  </si>
  <si>
    <t>WORKING CAPITAL - receivables, inventory, payables and their cash-flow effect (v29 method: Calculation_FSL rows 1452-1468)</t>
  </si>
  <si>
    <t>Receivable days on revenue, payable days on cost of sales (v29: 45 / 30), actual days of each year. Opening balances = v29 typed values unless C10 is ON.</t>
  </si>
  <si>
    <t>[Work. cap.]</t>
  </si>
  <si>
    <t>A.   DAYS AND INVENTORY USED (Inputs section 9; placeholders and Badas may use their own days)</t>
  </si>
  <si>
    <t xml:space="preserve">   Receivable days used</t>
  </si>
  <si>
    <t xml:space="preserve">   Payable days used</t>
  </si>
  <si>
    <t xml:space="preserve">   Inventory balance used = Inputs (v29: nil from FY2034) + C11 x Dec-23 balance restored (Source Data 18)</t>
  </si>
  <si>
    <t>B.   RECEIVABLES, PAYABLES AND NET WORKING CAPITAL BY BUSINESS (receivables - payables; inventory is held at group level)</t>
  </si>
  <si>
    <t xml:space="preserve">   Receivables = revenue x receivable days / days in year</t>
  </si>
  <si>
    <t xml:space="preserve">   Payables = cost of sales x payable days / days in year</t>
  </si>
  <si>
    <t>Net working capital (receivables - payables)</t>
  </si>
  <si>
    <t>P19  Badas - illustrative working capital (Inputs 13 days; always calculated; the rows above take it x valuation inclusion)</t>
  </si>
  <si>
    <t xml:space="preserve">   Badas receivables = Badas revenue to FSL x receivable days / days in year</t>
  </si>
  <si>
    <t xml:space="preserve">   Badas payables = Badas cost of sales x payable days / days in year</t>
  </si>
  <si>
    <t>Badas net working capital (illustrative)</t>
  </si>
  <si>
    <t>C.   NET WORKING CAPITAL BY CASE (Dec-23 = v29 opening balances; FY2024 onwards from the days above) = Calculation_FSL rows 1455 / 1460 / 1465 / 1467 / 1468</t>
  </si>
  <si>
    <t xml:space="preserve">   Trade receivables (v29 row 1455)</t>
  </si>
  <si>
    <t xml:space="preserve">   Inventories (v29 row 1460)</t>
  </si>
  <si>
    <t xml:space="preserve">   Trade payables (v29 row 1465)</t>
  </si>
  <si>
    <t>Net working capital = receivables + inventories - payables (v29 row 1467)</t>
  </si>
  <si>
    <t>Increase / (decrease) in net working capital (cash outflow when positive; v29 row 1468 with the sign reversed)</t>
  </si>
  <si>
    <t>v29 computes receivables on total revenue and payables on total cost of sales; the model computes them by business and adds them up, which gives the same totals. The FY2024 movement releases the difference between the typed Dec-23 balances and 45 / 30 days.</t>
  </si>
  <si>
    <t>FINANCING - existing loans (LT loan carried to 2027), new debt facility, Badas project debt, dividends (v29 rules), equity roll-forwards and debt service cover</t>
  </si>
  <si>
    <t>User-requested change: the 12 USD mn LT loan (195.18 IDR bn) that v29 repays in FY2025 is outstanding at 31-Dec-2026 and repaid in 2027 (Inputs 10). The cash roll-forward, funding gap and equity requirement are on Funding Requirement. No circular reference: interest on opening balances.</t>
  </si>
  <si>
    <t>[Financing]</t>
  </si>
  <si>
    <t>A.   EXISTING BANK LOANS (both cases) - Dec-23 balance 224.518 = other loans 29.338 (repaid FY2024, as v29) + LT loan 195.18 (repaid on the date in Inputs 10)</t>
  </si>
  <si>
    <t>Other existing loans (v29 Calculation_FSL row 1516, FY2024 - unchanged)</t>
  </si>
  <si>
    <t>Opening balance</t>
  </si>
  <si>
    <t xml:space="preserve">   Repayment (annual input, limited to the balance outstanding)</t>
  </si>
  <si>
    <t>Closing balance</t>
  </si>
  <si>
    <t>LT loan 12.0 USD mn = 195.18 IDR bn (USER-REQUESTED CHANGE: not repaid in FY2025 as in v29; bullet repayment on the date in Inputs 10)</t>
  </si>
  <si>
    <t xml:space="preserve">   Repayment = full balance in the year of the repayment date</t>
  </si>
  <si>
    <t>Closing balance (31-Dec-2026: outstanding - in the valuation bridge)</t>
  </si>
  <si>
    <t xml:space="preserve">   Share of the year the LT loan is outstanding (from FY2026; FY2024-25 interest follows the v29 schedules)</t>
  </si>
  <si>
    <t xml:space="preserve">   Interest on the carried LT loan = rate x principal x share of the year (Inputs 10; nil in v29 after FY2025)</t>
  </si>
  <si>
    <t>Total existing loans (v29 Output_FSL rows 104 and 82; interest row 54)</t>
  </si>
  <si>
    <t xml:space="preserve">   Repayments (other loans + LT loan)</t>
  </si>
  <si>
    <t xml:space="preserve">   Check: opening - repayments - closing (must be 0)</t>
  </si>
  <si>
    <t xml:space="preserve">   Interest charged to the Cigading existing line = v29 schedule + its share of the LT loan interest (tax line E2)</t>
  </si>
  <si>
    <t xml:space="preserve">   Interest charged to the Wharf 2 line = v29 schedule + its share of the LT loan interest (tax line P01)</t>
  </si>
  <si>
    <t>Interest on existing loans (v29 Output_FSL row 54, sign reversed, + the carried LT loan interest)</t>
  </si>
  <si>
    <t xml:space="preserve">   Memo: v29 interest schedules only (FY2024-25)</t>
  </si>
  <si>
    <t>Setting the repayment date to 31-Dec-2025 (Inputs 10) removes the carried interest and repays the loan in FY2025, reproducing v29. The loan is outside unlevered FCFF; it is deducted as debt in the 31-Dec-2026 equity bridge.</t>
  </si>
  <si>
    <t>B.   NEW DEBT FACILITY (both cases; drawn only when the Funding Requirement roll-forward shows a gap and the debt share &gt; 0; nil as delivered)</t>
  </si>
  <si>
    <t xml:space="preserve">   Drawdowns (gross, Funding Requirement)</t>
  </si>
  <si>
    <t xml:space="preserve">   Scheduled repayments (after grace, equal instalments)</t>
  </si>
  <si>
    <t xml:space="preserve">   Interest (rate of the year x opening balance)</t>
  </si>
  <si>
    <t xml:space="preserve">   Arrangement fee (expensed when drawn)</t>
  </si>
  <si>
    <t xml:space="preserve">   Check: opening + draws - repayments - closing (must be 0)</t>
  </si>
  <si>
    <t>C.   BADAS PROJECT DEBT (P19 template, DUMMY terms, Inputs 13) - drawn as capex is spent; illustrative rows always calculated, FSL statements x valuation inclusion</t>
  </si>
  <si>
    <t>Opening balance (illustrative)</t>
  </si>
  <si>
    <t xml:space="preserve">   Drawdowns = debt share x Badas capex of the year</t>
  </si>
  <si>
    <t xml:space="preserve">   Repayments (after grace, equal instalments over the tenor of each drawdown)</t>
  </si>
  <si>
    <t>Closing balance (illustrative)</t>
  </si>
  <si>
    <t xml:space="preserve">   Interest = rate x opening balance</t>
  </si>
  <si>
    <t xml:space="preserve">   Badas debt drawn in the FSL statements (x valuation inclusion)</t>
  </si>
  <si>
    <t xml:space="preserve">   Badas debt repaid in the FSL statements</t>
  </si>
  <si>
    <t xml:space="preserve">   Badas interest in the FSL statements (charged to the Badas tax line)</t>
  </si>
  <si>
    <t>Badas debt outstanding in the FSL statements</t>
  </si>
  <si>
    <t>While Badas is outside the valuation, its debt is not in the FSL statements: Funding Requirement C splits its capex-only request into project debt (same share) and equity.</t>
  </si>
  <si>
    <t>D.   WITH BUMN CASE - INTEREST INCOME, PRIMARY EQUITY, DIVIDENDS (v29 rules, Calculation_FSL rows 1529-1557), EQUITY ROLL-FORWARD, DEBT SERVICE COVER</t>
  </si>
  <si>
    <t>Interest income (rate of the year x opening cash; nil in v29)</t>
  </si>
  <si>
    <t>Primary equity issued by FSL = v29 scheduled (basis 2) + committed funding + residual equity (Funding Requirement; v29 Output_FSL row 81)</t>
  </si>
  <si>
    <t xml:space="preserve">   Primary equity issued (USD mn at the FX of the year; v29 Call Rights row 48)</t>
  </si>
  <si>
    <t xml:space="preserve">   Cumulative primary equity</t>
  </si>
  <si>
    <t xml:space="preserve">   Cumulative primary equity (USD mn; compared with the v29 commitment of 110)</t>
  </si>
  <si>
    <t>Dividends: payout x clean net income, limited by the statutory-reserve test and the cash test (v29)</t>
  </si>
  <si>
    <t xml:space="preserve">   Target dividend = payout x clean net income (profit attributable to FSL; v29 row 1550)</t>
  </si>
  <si>
    <t xml:space="preserve">   Statutory reserve = capital base x reserve % (v29 row 1538)</t>
  </si>
  <si>
    <t xml:space="preserve">   Cumulative profit before dividends = opening retained earnings + net profit to date (v29 Output_FSL row 60)</t>
  </si>
  <si>
    <t xml:space="preserve">   Limit 1 (reserve test, v29 row 1543): MAX(0, cumulative profit before dividends - reserve); with C14: opening retained earnings + profit of the year - reserve</t>
  </si>
  <si>
    <t xml:space="preserve">   Limit 2 (cash test, v29 row 1532): MAX(0, cash after funding - minimum cash balance)</t>
  </si>
  <si>
    <t>Dividends paid to FSL shareholders = MIN(target, limit 1, limit 2) (v29 row 1556, sign reversed)</t>
  </si>
  <si>
    <t xml:space="preserve">   Memo: reduction of the target dividend by the limits (paid - target)</t>
  </si>
  <si>
    <t xml:space="preserve">   Dividends paid to non-controlling shareholders (payout x NCI profit, within available cash; nil in v29)</t>
  </si>
  <si>
    <t>Equity roll-forward and borrowings</t>
  </si>
  <si>
    <t>Share capital and APIC - closing (v29 Output_FSL row 109)</t>
  </si>
  <si>
    <t>Retained earnings - closing (100%, incl. minorities; v29 Output_FSL row 111)</t>
  </si>
  <si>
    <t xml:space="preserve">   Memo: non-controlling interests within equity (35% of NPLOG book equity at Dec-23 + NCI profit - NCI dividends)</t>
  </si>
  <si>
    <t xml:space="preserve">   Memo: equity attributable to FSL shareholders (book value - not the equity valuation)</t>
  </si>
  <si>
    <t xml:space="preserve">   Memo: total borrowings (existing loans incl. the LT loan + new facility + Badas project debt when valued)</t>
  </si>
  <si>
    <t>Debt service cover</t>
  </si>
  <si>
    <t>Cash flow available for debt service (EBITDA - tax - increase in working capital - sustaining capex)</t>
  </si>
  <si>
    <t>Debt service (interest + scheduled repayments, all debt incl. the LT loan repayment)</t>
  </si>
  <si>
    <t>DSCR (x; only in years with debt service)</t>
  </si>
  <si>
    <t>Minimum DSCR over the forecast (years with debt service)</t>
  </si>
  <si>
    <t>Year of the minimum DSCR</t>
  </si>
  <si>
    <t>DSCR in FY2027 includes the LT loan repayment (bullet); a value below 1 there means the repayment is funded from cash reserves or new funding (Funding Requirement).</t>
  </si>
  <si>
    <t>E.   WITHOUT BUMN CASE - INTEREST INCOME, PRIMARY EQUITY, DIVIDENDS (v29 rules, Calculation_FSL rows 1529-1557), EQUITY ROLL-FORWARD, DEBT SERVICE COVER</t>
  </si>
  <si>
    <t>FUNDING REQUIREMENT - uses and sources of funds, funding gap, debt and equity required, by year and by project (With BUMN and Without BUMN)</t>
  </si>
  <si>
    <t>EQUITY FUNDING REQUIREMENT = cash that shareholders must inject. It is NOT the equity value of FSL (see the Valuation sheets). Every figure is a live link to the calculation sheets; no second calculation of the statements.</t>
  </si>
  <si>
    <t>[Funding]</t>
  </si>
  <si>
    <t>A.   KEY RESULTS - column E = With BUMN, column F = Without BUMN (IDR bn unless stated; "after the valuation date" = FY after the valuation year)</t>
  </si>
  <si>
    <t>Result</t>
  </si>
  <si>
    <t>With BUMN</t>
  </si>
  <si>
    <t>Without BUMN</t>
  </si>
  <si>
    <t>Equity funding basis in use (Inputs 10: 1 = residual requirement, the requested revision; 2 = v29 schedule)</t>
  </si>
  <si>
    <t>Capex after the valuation date - projects in the valuation (project + sustaining)</t>
  </si>
  <si>
    <t>Capex after the valuation date - capex-only projects (Badas outside the valuation, F01-F05)</t>
  </si>
  <si>
    <t>TOTAL INVESTMENT TO BE FUNDED after the valuation date</t>
  </si>
  <si>
    <t>LT loan repayment (195.18; year of the repayment date - user-requested change)</t>
  </si>
  <si>
    <t>Funding gap - sum of years after the valuation date (cash short of the minimum balance before new money)</t>
  </si>
  <si>
    <t>Largest annual funding gap (any year)</t>
  </si>
  <si>
    <t>Year of the largest funding gap</t>
  </si>
  <si>
    <t>New debt drawn - facility (gross) + Badas project debt when valued</t>
  </si>
  <si>
    <t>Committed funding received (Inputs 10)</t>
  </si>
  <si>
    <t>v29 scheduled equity (only when the equity basis = 2)</t>
  </si>
  <si>
    <t>Residual equity required - FSL, projects in the valuation</t>
  </si>
  <si>
    <t>Equity request - capex-only projects (after their project debt)</t>
  </si>
  <si>
    <t>TOTAL EQUITY REQUIRED (committed + residual + v29 scheduled + capex-only)</t>
  </si>
  <si>
    <t>TOTAL EQUITY REQUIRED (USD mn at the FX of each year)</t>
  </si>
  <si>
    <t>First year in which equity is required</t>
  </si>
  <si>
    <t>of which depends on DUMMY / provisional inputs (Badas, funding-only projects)</t>
  </si>
  <si>
    <t>Unfunded shortfall (only with the v29 basis and its 110 USD mn cap)</t>
  </si>
  <si>
    <t>Memo: v29 primary equity commitment (Calculation FKS PoV!D165) less the total equity required</t>
  </si>
  <si>
    <t>Memo: equity injected in v29 (scheduled FY2026-27 capex; Source Data 18)</t>
  </si>
  <si>
    <t>Lowest closing cash balance (FY2024-36)</t>
  </si>
  <si>
    <t>Year of the lowest closing cash</t>
  </si>
  <si>
    <t>Dividends paid to FSL shareholders FY2024-36</t>
  </si>
  <si>
    <t>Equity required = committed funding + residual equity (+ the v29 scheduled equity only with basis 2) + the equity part of capex-only projects. It is cash to be raised, not a value: the equity VALUE of FSL is on the Valuation sheets.</t>
  </si>
  <si>
    <t>The gap is measured against the minimum cash balance after internal cash, capex, working capital and debt service (incl. the LT loan repayment in 2027). New debt covers the debt share of the gap (0% as delivered); the rest is residual equity.</t>
  </si>
  <si>
    <t>B.   WITH BUMN - CASH ROLL-FORWARD = USES AND SOURCES OF FUNDS (projects in the valuation; v29 Calculation_FSL rows 1500-1532 with the requested changes)</t>
  </si>
  <si>
    <t>Uses and sources before new money</t>
  </si>
  <si>
    <t>Opening cash</t>
  </si>
  <si>
    <t xml:space="preserve">   Source: EBITDA (income statement of this case)</t>
  </si>
  <si>
    <t xml:space="preserve">   Use: income tax paid</t>
  </si>
  <si>
    <t xml:space="preserve">   Use: increase in net working capital</t>
  </si>
  <si>
    <t>Operating cash flow</t>
  </si>
  <si>
    <t xml:space="preserve">   Use: project capex (projects in the valuation, Capex &amp; Depreciation C)</t>
  </si>
  <si>
    <t xml:space="preserve">   Use: sustaining capex (nil in v29)</t>
  </si>
  <si>
    <t xml:space="preserve">   Use: interest on existing loans (v29 schedules + LT loan carried to its repayment date)</t>
  </si>
  <si>
    <t xml:space="preserve">   Use: repayment of the other existing loans (FY2024, as v29)</t>
  </si>
  <si>
    <t xml:space="preserve">   Use: repayment of the LT loan 195.18 (user-requested change: FY2027, v29: FY2025)</t>
  </si>
  <si>
    <t xml:space="preserve">   Use: new facility debt service on earlier drawdowns (interest + repayment)</t>
  </si>
  <si>
    <t xml:space="preserve">   Badas project debt when valued: drawdowns - interest - repayments (nil while Badas is outside the valuation)</t>
  </si>
  <si>
    <t xml:space="preserve">   Source: interest income on opening cash (nil in v29)</t>
  </si>
  <si>
    <t>CASH BEFORE NEW MONEY</t>
  </si>
  <si>
    <t xml:space="preserve">   Minimum cash balance to be kept (Inputs 10)</t>
  </si>
  <si>
    <t>New money: scheduled / committed funding, then the funding gap met by debt and residual equity</t>
  </si>
  <si>
    <t xml:space="preserve">   v29 scheduled equity = share of the year's project capex (only when the equity basis = 2; v29 Calculation_FSL row 1500)</t>
  </si>
  <si>
    <t xml:space="preserve">   Committed funding received (Inputs 10; treated as equity)</t>
  </si>
  <si>
    <t>FUNDING GAP = MAX(0, minimum cash - cash before new money - scheduled - committed)</t>
  </si>
  <si>
    <t xml:space="preserve">   New debt drawn - gross (debt share of the gap, within the facility headroom)</t>
  </si>
  <si>
    <t xml:space="preserve">   New debt - proceeds net of the arrangement fee</t>
  </si>
  <si>
    <t>RESIDUAL EQUITY REQUIRED = gap - net debt (basis 1, not capped); basis 2: within the remaining v29 commitment</t>
  </si>
  <si>
    <t xml:space="preserve">   Unfunded shortfall (basis 2 only: beyond the debt limit and the v29 equity commitment)</t>
  </si>
  <si>
    <t>Cash after new money, before dividends (v29: beginning cash + cash movement, Calculation_FSL rows 1529-1530)</t>
  </si>
  <si>
    <t xml:space="preserve">   Use: dividends to FSL shareholders (v29 rules; only from cash above the minimum)</t>
  </si>
  <si>
    <t xml:space="preserve">   Use: dividends to non-controlling shareholders (nil in v29)</t>
  </si>
  <si>
    <t>CLOSING CASH (v29 Output_FSL row 88)</t>
  </si>
  <si>
    <t xml:space="preserve">   Check: gap - net debt - residual equity - unfunded (sources = uses; must be 0)</t>
  </si>
  <si>
    <t xml:space="preserve">   Check: closing cash below the minimum only if unfunded (count of years; must be 0)</t>
  </si>
  <si>
    <t>C.   WITHOUT BUMN - CASH ROLL-FORWARD = USES AND SOURCES OF FUNDS (projects in the valuation; v29 Calculation_FSL rows 1500-1532 with the requested changes)</t>
  </si>
  <si>
    <t>D.   CAPEX AND FUNDING NEED BY PROJECT AND YEAR - projects in the valuation (IDR bn; standalone need = capex and start-up losses not covered by the project's own cash flow)</t>
  </si>
  <si>
    <t>Capex by project (project + sustaining; Capex &amp; Depreciation G)</t>
  </si>
  <si>
    <t xml:space="preserve">   Other businesses (existing E1-E4, DMS P08-P11 equipment, BUMN synergy investment P12-P14)</t>
  </si>
  <si>
    <t>Total capex - With BUMN case (Capex &amp; Depreciation G)</t>
  </si>
  <si>
    <t>Standalone funding need by project = MAX(0, - unlevered free cash flow of the project) (Project Cash Flows C)</t>
  </si>
  <si>
    <t>Sum of standalone project funding needs (gross, before pooling with the rest of FSL)</t>
  </si>
  <si>
    <t>Funding gap of FSL as a whole - With BUMN (section B, after pooling all cash flows)</t>
  </si>
  <si>
    <t>Funding gap of FSL as a whole - Without BUMN (section C)</t>
  </si>
  <si>
    <t>Each project is funded from FSL's pooled cash: the existing businesses and operating projects fund most capex internally, so the company gap is lower than the sum of project needs. The LT loan repayment and dividends are company-level uses.</t>
  </si>
  <si>
    <t>E.   CAPEX-ONLY FUNDING - projects outside the valuation and the statements (Badas while not valued: DUMMY phasing; funding-only projects F01-F05: blank until entered)</t>
  </si>
  <si>
    <t xml:space="preserve">   P19 Badas capex while outside the valuation (Capex &amp; Depreciation J; DUMMY phasing, provisional total)</t>
  </si>
  <si>
    <t xml:space="preserve">         of which Badas project debt = debt share (Inputs 13, DUMMY) x capex</t>
  </si>
  <si>
    <t xml:space="preserve">         Badas equity request</t>
  </si>
  <si>
    <t>Funding-only projects F01-F05 - capex</t>
  </si>
  <si>
    <t xml:space="preserve">         of which project debt (Inputs 15 debt share)</t>
  </si>
  <si>
    <t xml:space="preserve">         funding-only equity request</t>
  </si>
  <si>
    <t>Total capex-only funding request</t>
  </si>
  <si>
    <t xml:space="preserve">      of which project debt</t>
  </si>
  <si>
    <t xml:space="preserve">   of which EQUITY REQUEST (capex-only projects)</t>
  </si>
  <si>
    <t xml:space="preserve">   Check: capex-only request = Capex &amp; Depreciation J total (must be 0)</t>
  </si>
  <si>
    <t>These projects add capex only: no revenue, cost, tax, working capital or value is invented for them. When Badas is switched into the valuation (Inputs section 2) its capex moves to sections B / C automatically and leaves this section (no double counting).</t>
  </si>
  <si>
    <t>F.   TOTAL EQUITY REQUIRED AND TIMING - valuation-scope funding (B / C) + capex-only funding (E); bridge by source</t>
  </si>
  <si>
    <t xml:space="preserve">   Equity for the projects in the valuation = committed + residual (+ v29 scheduled with basis 2) (sections B / C)</t>
  </si>
  <si>
    <t xml:space="preserve">   Equity request for capex-only projects (section E)</t>
  </si>
  <si>
    <t>TOTAL EQUITY REQUIRED</t>
  </si>
  <si>
    <t xml:space="preserve">   Total equity required (USD mn at the FX of the year)</t>
  </si>
  <si>
    <t xml:space="preserve">   Cumulative equity required</t>
  </si>
  <si>
    <t xml:space="preserve">   of which depends on DUMMY / provisional inputs: Badas equity (in or outside the valuation) + funding-only projects</t>
  </si>
  <si>
    <t xml:space="preserve">   Memo: total investment funded (project + sustaining capex in the valuation + capex-only projects)</t>
  </si>
  <si>
    <t xml:space="preserve">   Memo: new debt (facility gross + Badas project debt, valued or capex-only + funding-only debt)</t>
  </si>
  <si>
    <t>Bridge: total investment = internal cash flow and opening cash + new debt + equity required (+ any fall in cash towards the minimum). The Badas share of a valued-Badas gap is approximated by its capex less its project debt.</t>
  </si>
  <si>
    <t>FSL - WITHOUT BUMN (Sapphire excluded): income statement, tax, balance sheet and cash flow of FSL without the BUMN operatorship schemes (P12-P14)</t>
  </si>
  <si>
    <t>Revised baseline = v29 recalculated with Output_FSL!G35 = 0 plus the requested changes (LT loan repaid in 2027; new equity = residual funding requirement). Existing businesses E1-E4 + FSL projects in the valuation (delivered: P01-P11; Badas P19 OFF). Reconciled line by line to v29 on Checks &amp; Reconciliation D.</t>
  </si>
  <si>
    <t>[Out: w/o BUMN]</t>
  </si>
  <si>
    <t>A.   INCOME STATEMENT (v29 Output_FSL rows 44-58)</t>
  </si>
  <si>
    <t>Revenue (v29 row 44)</t>
  </si>
  <si>
    <t xml:space="preserve">      of which existing businesses (E1-E4)</t>
  </si>
  <si>
    <t xml:space="preserve">      of which FSL projects (P01-P11, P15-P19)</t>
  </si>
  <si>
    <t>Cost of sales (v29 row 45)</t>
  </si>
  <si>
    <t>Gross profit (v29 row 46)</t>
  </si>
  <si>
    <t>Operating expenses (v29 row 48)</t>
  </si>
  <si>
    <t>Cancellation costs of switched-off committed projects (nil at the delivered settings)</t>
  </si>
  <si>
    <t>EBITDA (v29 row 49)</t>
  </si>
  <si>
    <t>Depreciation &amp; amortisation (v29 row 51)</t>
  </si>
  <si>
    <t>EBIT (v29 row 52)</t>
  </si>
  <si>
    <t>Write-off of assets under construction (switched-off committed projects with C06; nil at the delivered settings)</t>
  </si>
  <si>
    <t>Interest expense (existing loans: v29 schedules + LT loan carried to 2027; new facility; Badas project debt when valued)</t>
  </si>
  <si>
    <t>Debt arrangement fees (nil in v29)</t>
  </si>
  <si>
    <t>Interest income (nil in v29)</t>
  </si>
  <si>
    <t xml:space="preserve">   Financing cost, net (v29 row 54)</t>
  </si>
  <si>
    <t>Profit before tax (v29 row 55)</t>
  </si>
  <si>
    <t>Income tax (section below; v29 row 57)</t>
  </si>
  <si>
    <t>Net profit (v29 row 58)</t>
  </si>
  <si>
    <t xml:space="preserve">      attributable to non-controlling interests: 35% of the Teluk Lamong existing and DMS Teluk Lamong lines (v29 Calculation_FSL row 1546 x 35%); every NPLOG line with C12; Badas / placeholders below 100%</t>
  </si>
  <si>
    <t>attributable to FSL shareholders = net income clean (v29 Calculation_FSL row 1549; dividend base)</t>
  </si>
  <si>
    <t>Key ratios</t>
  </si>
  <si>
    <t xml:space="preserve">   EBITDA margin</t>
  </si>
  <si>
    <t xml:space="preserve">   Net margin</t>
  </si>
  <si>
    <t xml:space="preserve">   EBITDA (USD mn at the FX of the year)</t>
  </si>
  <si>
    <t>B.   TAX - v29 line method (default): rate x MAX(0, profit before tax) of each v29 business line, no loss relief; per legal entity with loss carry-forward when C07 is ON</t>
  </si>
  <si>
    <t>v29 line method - the 16 Output_Standalone (IDR) blocks (interest of the Cigading existing and Wharf 2 loans, incl. the carried LT loan, charged to their lines as in v29), Badas and placeholders</t>
  </si>
  <si>
    <t xml:space="preserve">   E1  NPLOG - Teluk Lamong existing - EBIT (businesses E1)</t>
  </si>
  <si>
    <t xml:space="preserve">   E1  profit before tax on the line</t>
  </si>
  <si>
    <t xml:space="preserve">   E1  tax = rate x MAX(0, profit before tax)</t>
  </si>
  <si>
    <t xml:space="preserve">   E1  operating tax before interest = rate x MAX(0, EBIT) (FCFF)</t>
  </si>
  <si>
    <t xml:space="preserve">   E1  net profit of the line</t>
  </si>
  <si>
    <t xml:space="preserve">   P04  TTL Silo - EBIT (businesses P04)</t>
  </si>
  <si>
    <t xml:space="preserve">   P04  profit before tax on the line</t>
  </si>
  <si>
    <t xml:space="preserve">   P04  tax = rate x MAX(0, profit before tax)</t>
  </si>
  <si>
    <t xml:space="preserve">   P04  operating tax before interest = rate x MAX(0, EBIT) (FCFF)</t>
  </si>
  <si>
    <t xml:space="preserve">   P04  net profit of the line</t>
  </si>
  <si>
    <t xml:space="preserve">   P05  Dumai - EBIT (businesses P05)</t>
  </si>
  <si>
    <t xml:space="preserve">   P05  profit before tax on the line</t>
  </si>
  <si>
    <t xml:space="preserve">   P05  tax = rate x MAX(0, profit before tax)</t>
  </si>
  <si>
    <t xml:space="preserve">   P05  operating tax before interest = rate x MAX(0, EBIT) (FCFF)</t>
  </si>
  <si>
    <t xml:space="preserve">   P05  net profit of the line</t>
  </si>
  <si>
    <t xml:space="preserve">   P08  Trucking DMS Teluk Lamong - EBIT (businesses P08)</t>
  </si>
  <si>
    <t xml:space="preserve">   P08  profit before tax on the line</t>
  </si>
  <si>
    <t xml:space="preserve">   P08  tax = rate x MAX(0, profit before tax)</t>
  </si>
  <si>
    <t xml:space="preserve">   P08  operating tax before interest = rate x MAX(0, EBIT) (FCFF)</t>
  </si>
  <si>
    <t xml:space="preserve">   P08  net profit of the line</t>
  </si>
  <si>
    <t xml:space="preserve">   E2  Cigading Existing - EBIT (businesses E2)</t>
  </si>
  <si>
    <t xml:space="preserve">   E2  profit before tax on the line (less Cigading existing loan interest)</t>
  </si>
  <si>
    <t xml:space="preserve">   E2  tax = rate x MAX(0, profit before tax)</t>
  </si>
  <si>
    <t xml:space="preserve">   E2  operating tax before interest = rate x MAX(0, EBIT) (FCFF)</t>
  </si>
  <si>
    <t xml:space="preserve">   E2  net profit of the line</t>
  </si>
  <si>
    <t xml:space="preserve">   P01  Cigading Expansion: Wharf 2 - EBIT (businesses P01)</t>
  </si>
  <si>
    <t xml:space="preserve">   P01  profit before tax on the line (less Wharf 2 loan interest)</t>
  </si>
  <si>
    <t xml:space="preserve">   P01  tax = rate x MAX(0, profit before tax)</t>
  </si>
  <si>
    <t xml:space="preserve">   P01  operating tax before interest = rate x MAX(0, EBIT) (FCFF)</t>
  </si>
  <si>
    <t xml:space="preserve">   P01  net profit of the line</t>
  </si>
  <si>
    <t xml:space="preserve">   P02  Cigading Extended Conveyor - EBIT (businesses P02)</t>
  </si>
  <si>
    <t xml:space="preserve">   P02  profit before tax on the line</t>
  </si>
  <si>
    <t xml:space="preserve">   P02  tax = rate x MAX(0, profit before tax)</t>
  </si>
  <si>
    <t xml:space="preserve">   P02  operating tax before interest = rate x MAX(0, EBIT) (FCFF)</t>
  </si>
  <si>
    <t xml:space="preserve">   P02  net profit of the line</t>
  </si>
  <si>
    <t xml:space="preserve">   OP  Operatorship with BUMN (P12-P14) - EBIT (businesses none in this case)</t>
  </si>
  <si>
    <t xml:space="preserve">   OP  profit before tax on the line</t>
  </si>
  <si>
    <t xml:space="preserve">   OP  tax = rate x MAX(0, profit before tax)</t>
  </si>
  <si>
    <t xml:space="preserve">   OP  operating tax before interest = rate x MAX(0, EBIT) (FCFF)</t>
  </si>
  <si>
    <t xml:space="preserve">   OP  net profit of the line</t>
  </si>
  <si>
    <t xml:space="preserve">   P03  KBS Warehouse Revitalization - EBIT (businesses P03)</t>
  </si>
  <si>
    <t xml:space="preserve">   P03  profit before tax on the line</t>
  </si>
  <si>
    <t xml:space="preserve">   P03  tax = rate x MAX(0, profit before tax)</t>
  </si>
  <si>
    <t xml:space="preserve">   P03  operating tax before interest = rate x MAX(0, EBIT) (FCFF)</t>
  </si>
  <si>
    <t xml:space="preserve">   P03  net profit of the line</t>
  </si>
  <si>
    <t xml:space="preserve">   P09  Trucking DMS Cigading - EBIT (businesses P09)</t>
  </si>
  <si>
    <t xml:space="preserve">   P09  profit before tax on the line</t>
  </si>
  <si>
    <t xml:space="preserve">   P09  tax = rate x MAX(0, profit before tax)</t>
  </si>
  <si>
    <t xml:space="preserve">   P09  operating tax before interest = rate x MAX(0, EBIT) (FCFF)</t>
  </si>
  <si>
    <t xml:space="preserve">   P09  net profit of the line</t>
  </si>
  <si>
    <t xml:space="preserve">   P06  Ciwandan Expansion - EBIT (businesses P06)</t>
  </si>
  <si>
    <t xml:space="preserve">   P06  profit before tax on the line</t>
  </si>
  <si>
    <t xml:space="preserve">   P06  tax = rate x MAX(0, profit before tax)</t>
  </si>
  <si>
    <t xml:space="preserve">   P06  operating tax before interest = rate x MAX(0, EBIT) (FCFF)</t>
  </si>
  <si>
    <t xml:space="preserve">   P06  net profit of the line</t>
  </si>
  <si>
    <t xml:space="preserve">   P10  Trucking DMS Ciwandan - EBIT (businesses P10)</t>
  </si>
  <si>
    <t xml:space="preserve">   P10  profit before tax on the line</t>
  </si>
  <si>
    <t xml:space="preserve">   P10  tax = rate x MAX(0, profit before tax)</t>
  </si>
  <si>
    <t xml:space="preserve">   P10  operating tax before interest = rate x MAX(0, EBIT) (FCFF)</t>
  </si>
  <si>
    <t xml:space="preserve">   P10  net profit of the line</t>
  </si>
  <si>
    <t xml:space="preserve">   BLW  Belawan incl. expansion (E3 + P07) - EBIT (businesses E3, P07)</t>
  </si>
  <si>
    <t xml:space="preserve">   BLW  profit before tax on the line</t>
  </si>
  <si>
    <t xml:space="preserve">   BLW  tax = rate x MAX(0, profit before tax)</t>
  </si>
  <si>
    <t xml:space="preserve">   BLW  operating tax before interest = rate x MAX(0, EBIT) (FCFF)</t>
  </si>
  <si>
    <t xml:space="preserve">   BLW  net profit of the line</t>
  </si>
  <si>
    <t xml:space="preserve">   P11  Trucking DMS Belawan - EBIT (businesses P11)</t>
  </si>
  <si>
    <t xml:space="preserve">   P11  profit before tax on the line</t>
  </si>
  <si>
    <t xml:space="preserve">   P11  tax = rate x MAX(0, profit before tax)</t>
  </si>
  <si>
    <t xml:space="preserve">   P11  operating tax before interest = rate x MAX(0, EBIT) (FCFF)</t>
  </si>
  <si>
    <t xml:space="preserve">   P11  net profit of the line</t>
  </si>
  <si>
    <t xml:space="preserve">   E4  Stevedoring WIN combine - EBIT (businesses E4)</t>
  </si>
  <si>
    <t xml:space="preserve">   E4  profit before tax on the line</t>
  </si>
  <si>
    <t xml:space="preserve">   E4  tax = rate x MAX(0, profit before tax)</t>
  </si>
  <si>
    <t xml:space="preserve">   E4  operating tax before interest = rate x MAX(0, EBIT) (FCFF)</t>
  </si>
  <si>
    <t xml:space="preserve">   E4  net profit of the line</t>
  </si>
  <si>
    <t xml:space="preserve">   P15  TBM - EBIT (businesses P15)</t>
  </si>
  <si>
    <t xml:space="preserve">   P15  profit before tax on the line</t>
  </si>
  <si>
    <t xml:space="preserve">   P15  tax = rate x MAX(0, profit before tax)</t>
  </si>
  <si>
    <t xml:space="preserve">   P15  operating tax before interest = rate x MAX(0, EBIT) (FCFF)</t>
  </si>
  <si>
    <t xml:space="preserve">   P15  net profit of the line</t>
  </si>
  <si>
    <t xml:space="preserve">   P16  profit before tax on the line</t>
  </si>
  <si>
    <t xml:space="preserve">   P16  tax = rate x MAX(0, profit before tax)</t>
  </si>
  <si>
    <t xml:space="preserve">   P16  operating tax before interest = rate x MAX(0, EBIT) (FCFF)</t>
  </si>
  <si>
    <t xml:space="preserve">   P16  net profit of the line</t>
  </si>
  <si>
    <t xml:space="preserve">   P17  profit before tax on the line</t>
  </si>
  <si>
    <t xml:space="preserve">   P17  tax = rate x MAX(0, profit before tax)</t>
  </si>
  <si>
    <t xml:space="preserve">   P17  operating tax before interest = rate x MAX(0, EBIT) (FCFF)</t>
  </si>
  <si>
    <t xml:space="preserve">   P17  net profit of the line</t>
  </si>
  <si>
    <t xml:space="preserve">   P18  profit before tax on the line</t>
  </si>
  <si>
    <t xml:space="preserve">   P18  tax = rate x MAX(0, profit before tax)</t>
  </si>
  <si>
    <t xml:space="preserve">   P18  operating tax before interest = rate x MAX(0, EBIT) (FCFF)</t>
  </si>
  <si>
    <t xml:space="preserve">   P18  net profit of the line</t>
  </si>
  <si>
    <t xml:space="preserve">   P19  Badas - EBIT (template line, not in v29; taxed like a v29 line; nil while outside the valuation)</t>
  </si>
  <si>
    <t xml:space="preserve">   P19  profit before tax on the line (less Badas project debt interest)</t>
  </si>
  <si>
    <t xml:space="preserve">   P19  tax = rate x MAX(0, profit before tax)</t>
  </si>
  <si>
    <t xml:space="preserve">   P19  operating tax before interest = rate x MAX(0, EBIT) (FCFF)</t>
  </si>
  <si>
    <t xml:space="preserve">   P19  net profit of the line</t>
  </si>
  <si>
    <t xml:space="preserve">   GRP  group items not in any v29 line: cancellation costs, write-offs, new-facility interest, interest income (all nil at the delivered settings; arrangement fees treated as non-deductible)</t>
  </si>
  <si>
    <t xml:space="preserve">   GRP  tax = rate x MAX(0, group items)</t>
  </si>
  <si>
    <t>Income tax - v29 line method (v29 Output_FSL row 57, sign reversed)</t>
  </si>
  <si>
    <t>Operating tax - v29 line method before interest (FCFF)</t>
  </si>
  <si>
    <t xml:space="preserve">   Check: line profits before tax + fees add up to the income statement (must be 0)</t>
  </si>
  <si>
    <t>Per legal entity with loss carry-forward (used only when C07 is ON): operating profit less losses brought forward; interest deducted at group level</t>
  </si>
  <si>
    <t xml:space="preserve">   NPLOG  NPLOG - Teluk Lamong - operating profit (businesses E1, P04, P08)</t>
  </si>
  <si>
    <t xml:space="preserve">   NPLOG  tax losses carried forward (closing)</t>
  </si>
  <si>
    <t xml:space="preserve">   NPLOG  tax on operating profit = rate x MAX(0, EBIT - losses brought forward)</t>
  </si>
  <si>
    <t xml:space="preserve">   SGT2  SGT 2 - Cigading - operating profit (businesses E2, P01, P02, P03, P09) less cancellation cost and write-off</t>
  </si>
  <si>
    <t xml:space="preserve">   SGT2  tax losses carried forward (closing)</t>
  </si>
  <si>
    <t xml:space="preserve">   SGT2  tax on operating profit = rate x MAX(0, EBIT - losses brought forward)</t>
  </si>
  <si>
    <t xml:space="preserve">   BLW  Belawan (SGdT) - operating profit (businesses E3, P07, P11)</t>
  </si>
  <si>
    <t xml:space="preserve">   BLW  tax losses carried forward (closing)</t>
  </si>
  <si>
    <t xml:space="preserve">   BLW  tax on operating profit = rate x MAX(0, EBIT - losses brought forward)</t>
  </si>
  <si>
    <t xml:space="preserve">   WIN  WIN - operating profit (businesses E4)</t>
  </si>
  <si>
    <t xml:space="preserve">   WIN  tax losses carried forward (closing)</t>
  </si>
  <si>
    <t xml:space="preserve">   WIN  tax on operating profit = rate x MAX(0, EBIT - losses brought forward)</t>
  </si>
  <si>
    <t xml:space="preserve">   DUMAI  Dumai (new entity) - operating profit (businesses P05)</t>
  </si>
  <si>
    <t xml:space="preserve">   DUMAI  tax losses carried forward (closing)</t>
  </si>
  <si>
    <t xml:space="preserve">   DUMAI  tax on operating profit = rate x MAX(0, EBIT - losses brought forward)</t>
  </si>
  <si>
    <t xml:space="preserve">   CWD  Ciwandan (new entity) - operating profit (businesses P06, P10)</t>
  </si>
  <si>
    <t xml:space="preserve">   CWD  tax losses carried forward (closing)</t>
  </si>
  <si>
    <t xml:space="preserve">   CWD  tax on operating profit = rate x MAX(0, EBIT - losses brought forward)</t>
  </si>
  <si>
    <t xml:space="preserve">   TBM  TBM (new entity) - operating profit (businesses P15)</t>
  </si>
  <si>
    <t xml:space="preserve">   TBM  tax losses carried forward (closing)</t>
  </si>
  <si>
    <t xml:space="preserve">   TBM  tax on operating profit = rate x MAX(0, EBIT - losses brought forward)</t>
  </si>
  <si>
    <t xml:space="preserve">   LPG  P16 entity (new) - operating profit (businesses P16)</t>
  </si>
  <si>
    <t xml:space="preserve">   LPG  tax losses carried forward (closing)</t>
  </si>
  <si>
    <t xml:space="preserve">   LPG  tax on operating profit = rate x MAX(0, EBIT - losses brought forward)</t>
  </si>
  <si>
    <t xml:space="preserve">   PP2  P17 entity (new) - operating profit (businesses P17)</t>
  </si>
  <si>
    <t xml:space="preserve">   PP2  tax losses carried forward (closing)</t>
  </si>
  <si>
    <t xml:space="preserve">   PP2  tax on operating profit = rate x MAX(0, EBIT - losses brought forward)</t>
  </si>
  <si>
    <t xml:space="preserve">   PP3  P18 entity (new) - operating profit (businesses P18)</t>
  </si>
  <si>
    <t xml:space="preserve">   PP3  tax losses carried forward (closing)</t>
  </si>
  <si>
    <t xml:space="preserve">   PP3  tax on operating profit = rate x MAX(0, EBIT - losses brought forward)</t>
  </si>
  <si>
    <t xml:space="preserve">   BADAS  Badas (new entity) - operating profit (businesses P19)</t>
  </si>
  <si>
    <t xml:space="preserve">   BADAS  tax losses carried forward (closing)</t>
  </si>
  <si>
    <t xml:space="preserve">   BADAS  tax on operating profit = rate x MAX(0, EBIT - losses brought forward)</t>
  </si>
  <si>
    <t>Operating tax - all entities (C07)</t>
  </si>
  <si>
    <t xml:space="preserve">   Less: tax saving on net interest (group level; fees non-deductible)</t>
  </si>
  <si>
    <t>Income tax - entity method (C07)</t>
  </si>
  <si>
    <t>Tax used</t>
  </si>
  <si>
    <t>INCOME TAX CHARGED AND PAID = v29 line method, or entity method when C07 is ON</t>
  </si>
  <si>
    <t>Operating tax before interest (FCFF) = line method, or entity method when C07 is ON</t>
  </si>
  <si>
    <t xml:space="preserve">   Check: entity operating profits (after write-offs) - EBIT of the income statement + write-off (must be 0)</t>
  </si>
  <si>
    <t xml:space="preserve">   Minority base - v29: Teluk Lamong existing (E1) + DMS Teluk Lamong (P08) net profit (Calculation_FSL row 1546)</t>
  </si>
  <si>
    <t xml:space="preserve">   Minority base - C12: every NPLOG line after tax (E1, P04, P08)</t>
  </si>
  <si>
    <t xml:space="preserve">   Profit attributable to minority shareholders = (1 - FSL share of NPLOG) x minority base (+ Badas and placeholder minorities)</t>
  </si>
  <si>
    <t xml:space="preserve">   Effective tax rate on profit before tax</t>
  </si>
  <si>
    <t>Tax is paid in the year it arises (v29). Under C07 the loss carry-forward is not time-limited (the Indonesian 5-year limit is not binding). The LT loan interest carried into FY2026-27 is deductible on the v29 lines that carry it (E2 / P01).</t>
  </si>
  <si>
    <t>C.   BALANCE SHEET (31 December; v29 Output_FSL rows 95-114; 31-Dec-2026 = valuation date, projected - v29-based forecast, no actuals)</t>
  </si>
  <si>
    <t>Assets</t>
  </si>
  <si>
    <t xml:space="preserve">   Cash and cash equivalents (v29 row 95)</t>
  </si>
  <si>
    <t xml:space="preserve">   Inventories (v29 row 96)</t>
  </si>
  <si>
    <t xml:space="preserve">   Trade receivables (v29 row 97)</t>
  </si>
  <si>
    <t xml:space="preserve">   Fixed assets - net book value (v29 row 98; opening NBV + capex - depreciation)</t>
  </si>
  <si>
    <t xml:space="preserve">   Other assets, held at Dec-23 (v29 row 99; incl. time deposits and the Dec-23 assets under construction unless C06)</t>
  </si>
  <si>
    <t>Total assets (v29 row 100)</t>
  </si>
  <si>
    <t xml:space="preserve">      Memo: time deposits within other assets (BS_Historical)</t>
  </si>
  <si>
    <t>Liabilities</t>
  </si>
  <si>
    <t xml:space="preserve">   Trade payables (v29 row 103)</t>
  </si>
  <si>
    <t xml:space="preserve">   Bank loans - existing (v29 row 104; incl. the LT loan 195.18 until its repayment in 2027)</t>
  </si>
  <si>
    <t xml:space="preserve">   New debt facility (nil in v29)</t>
  </si>
  <si>
    <t xml:space="preserve">   Badas project debt (only when Badas is in the valuation)</t>
  </si>
  <si>
    <t xml:space="preserve">   Other liabilities, held at Dec-23 (v29 row 105; leases, employee benefits, other; v29 plug unless C10)</t>
  </si>
  <si>
    <t>Total liabilities (v29 row 106)</t>
  </si>
  <si>
    <t xml:space="preserve">      Memo: lease liabilities within other liabilities (BS_Historical)</t>
  </si>
  <si>
    <t xml:space="preserve">      Memo: employee benefit obligations within other liabilities (BS_Historical)</t>
  </si>
  <si>
    <t>Equity</t>
  </si>
  <si>
    <t xml:space="preserve">   Share capital and APIC (v29 row 109)</t>
  </si>
  <si>
    <t xml:space="preserve">   Retained earnings (v29 row 111; 100% incl. minorities)</t>
  </si>
  <si>
    <t>Total equity (v29 row 112)</t>
  </si>
  <si>
    <t xml:space="preserve">      Memo: non-controlling interests within equity</t>
  </si>
  <si>
    <t>Total liabilities and equity</t>
  </si>
  <si>
    <t xml:space="preserve">   Assets - liabilities - equity, unrounded (source issue C10: v29 carries 0.006 in every year from its typed opening balances; nil with C10 ON)</t>
  </si>
  <si>
    <t xml:space="preserve">   Balance check with the v29 rounding (ROUNDDOWN to 2 decimals; v29 row 114)</t>
  </si>
  <si>
    <t xml:space="preserve">   Check: residual - residual inherited from v29 (Source Data 17; must be 0: the rebuild adds no imbalance)</t>
  </si>
  <si>
    <t xml:space="preserve">   Memo: net debt / (net cash) incl. time deposits</t>
  </si>
  <si>
    <t>D.   CASH FLOW STATEMENT (v29 Output_FSL rows 70-88)</t>
  </si>
  <si>
    <t xml:space="preserve">   Net profit (v29 row 70)</t>
  </si>
  <si>
    <t xml:space="preserve">   Depreciation &amp; amortisation (v29 row 71)</t>
  </si>
  <si>
    <t xml:space="preserve">   Write-off (non-cash; nil at the delivered settings)</t>
  </si>
  <si>
    <t xml:space="preserve">   (Increase) / decrease in working capital (v29 row 72)</t>
  </si>
  <si>
    <t>Cash flow from operating activities (v29 row 73)</t>
  </si>
  <si>
    <t xml:space="preserve">   Project capex (v29 row 77)</t>
  </si>
  <si>
    <t xml:space="preserve">   Sustaining capex (nil in v29)</t>
  </si>
  <si>
    <t>Cash flow from investing activities (v29 row 78; other investment = Sapphire x 0 is not carried)</t>
  </si>
  <si>
    <t xml:space="preserve">   Primary equity issued (v29 row 81; revised: residual funding requirement)</t>
  </si>
  <si>
    <t xml:space="preserve">   New debt drawn (facility gross + Badas project debt when valued; nil in v29)</t>
  </si>
  <si>
    <t xml:space="preserve">   Debt repaid (existing per v29 row 82 with the LT loan in 2027 + new facility + Badas)</t>
  </si>
  <si>
    <t xml:space="preserve">   Dividends to FSL shareholders (v29 row 83)</t>
  </si>
  <si>
    <t xml:space="preserve">   Dividends to non-controlling shareholders (nil in v29)</t>
  </si>
  <si>
    <t>Cash flow from financing activities (v29 row 84)</t>
  </si>
  <si>
    <t>Net change in cash (v29 row 86)</t>
  </si>
  <si>
    <t>Closing cash = opening + net change (v29 row 88)</t>
  </si>
  <si>
    <t>Integrity checks of this case (all must be 0)</t>
  </si>
  <si>
    <t xml:space="preserve">   Cash flow statement closing cash - Funding Requirement closing cash</t>
  </si>
  <si>
    <t xml:space="preserve">   Retained earnings roll-forward (opening + net profit - dividends - closing)</t>
  </si>
  <si>
    <t xml:space="preserve">   Fixed assets roll-forward (opening + capex - D&amp;A - write-off - closing)</t>
  </si>
  <si>
    <t xml:space="preserve">   Borrowings roll-forward (opening + draws - repayments - closing; existing + facility + Badas)</t>
  </si>
  <si>
    <t>E.   v29 FREE CASH FLOW, IRR AND PAYBACK WITH THE v29 DEFINITIONS (Output_FSL rows 120-138; reference for the reconciliation only - the DCF is on the Valuation sheets)</t>
  </si>
  <si>
    <t>EBIT (v29 row 120)</t>
  </si>
  <si>
    <t xml:space="preserve">   Tax = - rate x EBIT when positive (v29 row 121; total-level, not the line method)</t>
  </si>
  <si>
    <t xml:space="preserve">   + Depreciation (v29 row 122)</t>
  </si>
  <si>
    <t xml:space="preserve">   Investment = - capex; FY2024 also deducts the pre-2024 spend as v29 does (row 123 = J77 + I77; S6)</t>
  </si>
  <si>
    <t xml:space="preserve">   Change in NWC (v29 row 124 = row 72)</t>
  </si>
  <si>
    <t>Free cash flow to firm - v29 definition (row 125)</t>
  </si>
  <si>
    <t xml:space="preserve">   Cumulative FCFF (row 130; exit value nil)</t>
  </si>
  <si>
    <t xml:space="preserve">   Negative flag (row 131)</t>
  </si>
  <si>
    <t xml:space="preserve">   Positive start flag (row 132)</t>
  </si>
  <si>
    <t xml:space="preserve">   Payback adjustment (row 133)</t>
  </si>
  <si>
    <t xml:space="preserve">   Period end (v29 row 7)</t>
  </si>
  <si>
    <t>IRR - v29 definition: XIRR of the FY2026-36 free cash flows (Output_FSL!J137)</t>
  </si>
  <si>
    <t>Payback period - v29 definition (Output_FSL!J138 = negative years + adjustment)</t>
  </si>
  <si>
    <t>Unaffected by the requested changes (EBIT-based, before financing). The v29 IRR results from the v29 definitions (pre-2024 spend charged to FY2024, FY2024-25 outside the XIRR window); the DCF treats pre-2024 spend as sunk and values FY2027+ only.</t>
  </si>
  <si>
    <t>FSL - WITH BUMN (Sapphire excluded): FSL incl. the FSL entitlement under the BUMN operatorship schemes (P12-P14) - revised baseline of v29 Output_FSL (D2 = 0, F27 = 1, G35 = 1)</t>
  </si>
  <si>
    <t>Existing businesses E1-E4 + FSL projects in the valuation (delivered: P01-P11; Badas P19 OFF) + P12-P14 (Inputs section 1 control), with the requested changes (LT loan repaid in 2027; new equity = residual funding requirement). Section A: bridge Without BUMN + BUMN contribution = With BUMN. Reconciled line by line to v29 on Checks &amp; Reconciliation D.</t>
  </si>
  <si>
    <t>[Out: With BUMN]</t>
  </si>
  <si>
    <t>A.   BRIDGE BETWEEN THE TWO CASES: Without BUMN + BUMN contribution = With BUMN (every line is a formula; FY2026 revenue 494.571 + 127.494 = 622.065)</t>
  </si>
  <si>
    <t xml:space="preserve">   Revenue - Without BUMN case</t>
  </si>
  <si>
    <t xml:space="preserve">      add: BUMN contribution - FSL entitlement revenue (P12-P14; v29 Output_Standalone (IDR) row 185)</t>
  </si>
  <si>
    <t>Revenue - With BUMN case</t>
  </si>
  <si>
    <t xml:space="preserve">      Check: Without BUMN + contribution - With BUMN (must be 0)</t>
  </si>
  <si>
    <t xml:space="preserve">   EBITDA - Without BUMN case</t>
  </si>
  <si>
    <t xml:space="preserve">      add: BUMN contribution - entitlement less the O&amp;M cost taken over</t>
  </si>
  <si>
    <t xml:space="preserve">   EBIT - Without BUMN case</t>
  </si>
  <si>
    <t xml:space="preserve">      add: BUMN EBITDA less depreciation of any synergy investment (nil in v29)</t>
  </si>
  <si>
    <t>EBIT - With BUMN case</t>
  </si>
  <si>
    <t xml:space="preserve">   Net profit - Without BUMN case</t>
  </si>
  <si>
    <t xml:space="preserve">      add: BUMN EBIT less tax on it (v29 line method: 22% of the Operatorship block profit) and any financing effect</t>
  </si>
  <si>
    <t>Net profit - With BUMN case</t>
  </si>
  <si>
    <t xml:space="preserve">   Net profit attributable to FSL (clean net income) - Without BUMN case</t>
  </si>
  <si>
    <t xml:space="preserve">      add: BUMN profit after tax (100% FSL in v29; 65% of P12 with C12)</t>
  </si>
  <si>
    <t>Net profit attributable to FSL (clean net income) - With BUMN case</t>
  </si>
  <si>
    <t xml:space="preserve">   Cash flow from operating activities - Without BUMN case</t>
  </si>
  <si>
    <t xml:space="preserve">      add: BUMN operating cash flow (after tax and the working capital on the entitlement)</t>
  </si>
  <si>
    <t>Cash flow from operating activities - With BUMN case</t>
  </si>
  <si>
    <t xml:space="preserve">   Capex (project + sustaining) - Without BUMN case</t>
  </si>
  <si>
    <t xml:space="preserve">      add: synergy investment (nil in v29 - Inputs 7)</t>
  </si>
  <si>
    <t>Capex (project + sustaining) - With BUMN case</t>
  </si>
  <si>
    <t xml:space="preserve">   Primary equity raised (residual funding requirement) - Without BUMN case</t>
  </si>
  <si>
    <t xml:space="preserve">      add: change in equity required (the BUMN cash flow reduces the funding gap)</t>
  </si>
  <si>
    <t>Primary equity raised (residual funding requirement) - With BUMN case</t>
  </si>
  <si>
    <t xml:space="preserve">   Dividends paid - Without BUMN case</t>
  </si>
  <si>
    <t xml:space="preserve">      add: payout on the BUMN profit (within the v29 dividend limits)</t>
  </si>
  <si>
    <t>Dividends paid - With BUMN case</t>
  </si>
  <si>
    <t xml:space="preserve">   Closing cash - Without BUMN case</t>
  </si>
  <si>
    <t xml:space="preserve">      add: cumulative BUMN cash flow after tax, working capital, funding and dividends</t>
  </si>
  <si>
    <t>Closing cash - With BUMN case</t>
  </si>
  <si>
    <t>Value bridge at the valuation date (Valuation sheets; IDR bn)</t>
  </si>
  <si>
    <t>Enterprise value - Without BUMN (Valuation - Without BUMN)</t>
  </si>
  <si>
    <t xml:space="preserve">   add: value of the BUMN operatorship schemes attributable to FSL (FSL entitlement only)</t>
  </si>
  <si>
    <t>Enterprise value - With BUMN (Valuation - With BUMN)</t>
  </si>
  <si>
    <t>Equity value to FSL shareholders - Without BUMN</t>
  </si>
  <si>
    <t xml:space="preserve">   add: equity value of the BUMN schemes attributable to FSL</t>
  </si>
  <si>
    <t>Equity value to FSL shareholders - With BUMN</t>
  </si>
  <si>
    <t>The BUMN contribution is the difference between the two full cases (each with its own tax, working capital, funding, dividends and cash), not a line subtracted from one case. The SOE-retained benefit is never added (BUMN Synergy Calculation D).</t>
  </si>
  <si>
    <t>B.   INCOME STATEMENT (v29 Output_FSL rows 44-58)</t>
  </si>
  <si>
    <t xml:space="preserve">      of which BUMN operatorship schemes (FSL entitlement, P12-P14)</t>
  </si>
  <si>
    <t>C.   TAX - v29 line method (default): rate x MAX(0, profit before tax) of each v29 business line, no loss relief; per legal entity with loss carry-forward when C07 is ON</t>
  </si>
  <si>
    <t xml:space="preserve">   OP  Operatorship with BUMN (P12-P14) - EBIT (businesses P12, P13, P14)</t>
  </si>
  <si>
    <t xml:space="preserve">   NPLOG  NPLOG - Teluk Lamong - operating profit (businesses E1, P04, P08, P12)</t>
  </si>
  <si>
    <t xml:space="preserve">   SGT2  SGT 2 - Cigading - operating profit (businesses E2, P01, P02, P03, P09, P13) less cancellation cost and write-off</t>
  </si>
  <si>
    <t xml:space="preserve">   BLW  Belawan (SGdT) - operating profit (businesses E3, P07, P11, P14)</t>
  </si>
  <si>
    <t xml:space="preserve">   Minority base - C12: every NPLOG line after tax (E1, P04, P08, P12)</t>
  </si>
  <si>
    <t>D.   BALANCE SHEET (31 December; v29 Output_FSL rows 95-114; 31-Dec-2026 = valuation date, projected - v29-based forecast, no actuals)</t>
  </si>
  <si>
    <t>E.   CASH FLOW STATEMENT (v29 Output_FSL rows 70-88)</t>
  </si>
  <si>
    <t>F.   v29 FREE CASH FLOW, IRR AND PAYBACK WITH THE v29 DEFINITIONS (Output_FSL rows 120-138; reference for the reconciliation only - the DCF is on the Valuation sheets)</t>
  </si>
  <si>
    <t>VALUATION — WITHOUT BUMN: DCF of 100% of FSL at the valuation date (FCFF from FY2027 + terminal value) and equity value attributable to FSL shareholders</t>
  </si>
  <si>
    <t>Case: Without BUMN (P12-P14 excluded; Sapphire excluded). All figures link to FSL Output - Without BUMN and the calculation sheets; this sheet computes its own results (it does not read the other valuation sheet except for the BUMN comparison in section H). INDICATIVE: WACC, terminal growth and reinvestment are provisional (Inputs 12, TO CONFIRM).</t>
  </si>
  <si>
    <t>[Val: w/o BUMN]</t>
  </si>
  <si>
    <t>KEY ASSUMPTIONS AND RESULTS</t>
  </si>
  <si>
    <t>Key assumptions</t>
  </si>
  <si>
    <t>Valuation date</t>
  </si>
  <si>
    <t>Currency</t>
  </si>
  <si>
    <t>Discounting convention</t>
  </si>
  <si>
    <t>First cash flow in the DCF</t>
  </si>
  <si>
    <t>WACC (nominal IDR; Inputs 12)</t>
  </si>
  <si>
    <t>Terminal growth after FY2036</t>
  </si>
  <si>
    <t>Normalised reinvestment in the terminal year (% of revenue)</t>
  </si>
  <si>
    <t>Long-run tax rate (FY2036)</t>
  </si>
  <si>
    <t>Key results (at the valuation date)</t>
  </si>
  <si>
    <t>ENTERPRISE VALUE (100%)</t>
  </si>
  <si>
    <t>EQUITY VALUE ATTRIBUTABLE TO FSL SHAREHOLDERS</t>
  </si>
  <si>
    <t>Equity value attributable to FSL shareholders</t>
  </si>
  <si>
    <t>Enterprise value</t>
  </si>
  <si>
    <t>EV / EBITDA of the first forecast year after the valuation date</t>
  </si>
  <si>
    <t>Terminal value as % of enterprise value</t>
  </si>
  <si>
    <t>Borrowings at the valuation date (incl. the LT loan until repaid)</t>
  </si>
  <si>
    <t>BUMN schemes: excluded in this case (see Valuation — With BUMN)</t>
  </si>
  <si>
    <t>Balances at the valuation date are model projections (v29-based forecast; FY2024-26 actuals not supplied). Changes vs v29 in force: valuation date 31-Dec-2026, LT loan repaid in 2027 (outstanding at the valuation date), new equity = residual funding requirement.</t>
  </si>
  <si>
    <t>A.   OPERATING PROJECTIONS (FSL Output - Without BUMN)</t>
  </si>
  <si>
    <t>EBITDA</t>
  </si>
  <si>
    <t>EBIT</t>
  </si>
  <si>
    <t>B.   FREE CASH FLOW TO FIRM (100% basis; unlevered - interest, debt (incl. the LT loan), equity and dividends are excluded)</t>
  </si>
  <si>
    <t xml:space="preserve">   Less: operating tax on EBIT before interest (v29 line method by business line; entity method with C07)</t>
  </si>
  <si>
    <t>NOPAT</t>
  </si>
  <si>
    <t xml:space="preserve">   Add: depreciation &amp; amortisation</t>
  </si>
  <si>
    <t xml:space="preserve">   Less: project capex (total investment x spending %; Capex &amp; Depreciation C)</t>
  </si>
  <si>
    <t xml:space="preserve">   Less: sustaining capex (nil in v29)</t>
  </si>
  <si>
    <t xml:space="preserve">   Less: increase in net working capital</t>
  </si>
  <si>
    <t>FCFF (all years; only those after the valuation date are valued)</t>
  </si>
  <si>
    <t>C.   DISCOUNTING - only FCFF after the valuation date (FY2027 onwards as delivered); FY2024-26 are before the valuation date and excluded</t>
  </si>
  <si>
    <t>In the DCF (1 = financial year after the valuation date)</t>
  </si>
  <si>
    <t>Discount period (years from the valuation date; year-end: FY2027 = 1.0)</t>
  </si>
  <si>
    <t>Discount factor = 1 / (1 + WACC) ^ period</t>
  </si>
  <si>
    <t>FCFF in the DCF (after the valuation date)</t>
  </si>
  <si>
    <t>Present value of FCFF at the valuation date</t>
  </si>
  <si>
    <t xml:space="preserve">   Check: FCFF of years up to the valuation date included in the DCF (must be 0)</t>
  </si>
  <si>
    <t>D.   TERMINAL VALUE AT 31-DEC-2036 (Gordon growth; steady state with a normalised reinvestment - provisional, Inputs 12)</t>
  </si>
  <si>
    <t>Discount factor for the terminal value (end of FY2036; with mid-year discounting from mid-2036)</t>
  </si>
  <si>
    <t>EBITDA FY2037 = FY2036 x (1 + g)</t>
  </si>
  <si>
    <t>Normalised reinvestment FY2037 = % of revenue x FY2036 revenue x (1 + g); treated as the steady-state depreciation</t>
  </si>
  <si>
    <t>Operating tax FY2037 (long-run tax rate)</t>
  </si>
  <si>
    <t>Increase in working capital FY2037 (NWC FY2036 x g)</t>
  </si>
  <si>
    <t>Normalised FCFF FY2037</t>
  </si>
  <si>
    <t>Terminal value at 31-Dec-2036 = normalised FCFF / (WACC - g)</t>
  </si>
  <si>
    <t>Present value of the terminal value at the valuation date</t>
  </si>
  <si>
    <t>Implied terminal EV / FY2036 EBITDA</t>
  </si>
  <si>
    <t>Terminal growth close to inflation means no real growth and no expansion capex; v29 has no sustaining capex, so its FY2036 cash flow (depreciation added back, no capex) cannot be capitalised as it stands.</t>
  </si>
  <si>
    <t>E.   ENTERPRISE VALUE TO EQUITY VALUE AT THE VALUATION DATE - projected balances at 31-Dec (v29-based forecast, no actuals); each item once</t>
  </si>
  <si>
    <t>Present value of FCFF (after the valuation date to FY2036)</t>
  </si>
  <si>
    <t>Present value of the terminal value</t>
  </si>
  <si>
    <t>Add: projected cash at the valuation date in excess of the minimum operating cash</t>
  </si>
  <si>
    <t>Add: time deposits (Dec-23 actual, held)</t>
  </si>
  <si>
    <t>Less: projected borrowings at the valuation date (existing loans incl. the LT loan 195.18 repaid in 2027, new facility, Badas debt when valued)</t>
  </si>
  <si>
    <t>Less: lease liabilities (Dec-23 actual, within other liabilities)</t>
  </si>
  <si>
    <t>Less: employee benefit obligations (Dec-23 actual, within other liabilities)</t>
  </si>
  <si>
    <t>Less: non-controlling interests (minority share of the NPLOG, Badas and placeholder business values, Project Cash Flows B)</t>
  </si>
  <si>
    <t>Equity value attributable to FSL shareholders (USD mn at the FX of the valuation year)</t>
  </si>
  <si>
    <t>Enterprise value (USD mn at the FX of the valuation year)</t>
  </si>
  <si>
    <t>Memo: LT loan outstanding at the valuation date (within borrowings above)</t>
  </si>
  <si>
    <t>Future cash beyond the valuation date is not added - the DCF values those cash flows. Future equity injections and the equity funding requirement (Funding Requirement) are not deducted: they fund capex already deducted in FCFF. Equity value is at the valuation date; the equity FUNDING requirement is a different figure (cash to be raised).</t>
  </si>
  <si>
    <t>F.   SENSITIVITY OF THE EQUITY VALUE TO WACC (rows) AND TERMINAL GROWTH (columns) - live formulas re-discounting the cash flows (no data tables)</t>
  </si>
  <si>
    <t>Helper rows: FSL share of FCFF (100% FCFF less the minority share, Project Cash Flows D) and the terminal numerator base. Grid cell = PV of the FSL share of FCFF at the row WACC (column F) + PV of the terminal value at that WACC and growth + the cash / debt bridge of section E. The centre cell equals the equity value.</t>
  </si>
  <si>
    <t xml:space="preserve">   FSL share of FCFF = FCFF - minority share of the entity cash flows (Project Cash Flows D)</t>
  </si>
  <si>
    <t>Terminal numerator base A (100%) = EBITDA36 - tax x (EBITDA36 - reinvestment36) - reinvestment36; normalised FCFF = (1 + g) x A - g x NWC36</t>
  </si>
  <si>
    <t>A - FSL share = A less the minority share of the entity bases (Project Cash Flows D)</t>
  </si>
  <si>
    <t>NWC36 - FSL share = net working capital FY2036 less the minority share</t>
  </si>
  <si>
    <t>Cash / debt bridge (section E: excess cash + deposits - borrowings - leases - employee benefits)</t>
  </si>
  <si>
    <t>Terminal growth used -&gt;</t>
  </si>
  <si>
    <t>WACC used (column E), PV of the FSL share of FCFF at that WACC (column F), shock to WACC (column G) / shock to growth (row above)</t>
  </si>
  <si>
    <t>Check: centre cell of the grid - equity value (must be 0)</t>
  </si>
  <si>
    <t>G.   VALUE BY BUSINESS GROUP (business NPVs from Project Cash Flows; they add up to the enterprise value of this case)</t>
  </si>
  <si>
    <t>Existing businesses (E1-E4)</t>
  </si>
  <si>
    <t>Committed projects (P01-P02)</t>
  </si>
  <si>
    <t>Planned projects (P03-P11)</t>
  </si>
  <si>
    <t>BUMN operatorship schemes - FSL entitlement (P12-P14) - not in this case</t>
  </si>
  <si>
    <t>Pipeline - TBM (P15)</t>
  </si>
  <si>
    <t>Pipeline placeholders (P16-P18)</t>
  </si>
  <si>
    <t>Badas (P19; only when in the valuation - DUMMY inputs)</t>
  </si>
  <si>
    <t>Group effects (tax pooling within v29 blocks / entity method, inventory and opening working capital, cancellation costs)</t>
  </si>
  <si>
    <t>Enterprise value - sum of the groups</t>
  </si>
  <si>
    <t>Check: sum of the groups - enterprise value (must be 0)</t>
  </si>
  <si>
    <t>Each business value is counted once: the DCF already contains every business cash flow; this table only shows how the total splits.</t>
  </si>
  <si>
    <t>H.   CROSS-CHECKS</t>
  </si>
  <si>
    <t>EBITDA - first year after the valuation date</t>
  </si>
  <si>
    <t>EV / EBITDA - first year after the valuation date</t>
  </si>
  <si>
    <t>FCFF FY2024 to the valuation year (not in the DCF - before the valuation date; memo)</t>
  </si>
  <si>
    <t>VALUATION — WITH BUMN: DCF of 100% of FSL at the valuation date (FCFF from FY2027 + terminal value) and equity value attributable to FSL shareholders</t>
  </si>
  <si>
    <t>Case: With BUMN (operatorship schemes P12-P14 included; Sapphire excluded). All figures link to FSL Output - With BUMN and the calculation sheets; this sheet computes its own results (it does not read the other valuation sheet except for the BUMN comparison in section H). INDICATIVE: WACC, terminal growth and reinvestment are provisional (Inputs 12, TO CONFIRM).</t>
  </si>
  <si>
    <t>[Val: With BUMN]</t>
  </si>
  <si>
    <t>of which BUMN schemes attributable to FSL (equity value, With - Without)</t>
  </si>
  <si>
    <t>A.   OPERATING PROJECTIONS (FSL Output - With BUMN)</t>
  </si>
  <si>
    <t>BUMN operatorship schemes - FSL entitlement (P12-P14)</t>
  </si>
  <si>
    <t>H.   CROSS-CHECKS AND THE VALUE OF THE BUMN SCHEMES ATTRIBUTABLE TO FSL (With BUMN - Without BUMN; no double counting)</t>
  </si>
  <si>
    <t>Value of the BUMN operatorship schemes attributable to FSL</t>
  </si>
  <si>
    <t>Incremental FCFF of the BUMN schemes (With - Without; FSL entitlement less O&amp;M, tax and working capital)</t>
  </si>
  <si>
    <t>Incremental enterprise value = EV With BUMN - EV Without BUMN (Valuation — Without BUMN)</t>
  </si>
  <si>
    <t>Check: PV of the incremental FCFF + PV of the incremental terminal value - incremental EV (must be 0)</t>
  </si>
  <si>
    <t>Incremental equity value to FSL shareholders = equity value With - Without</t>
  </si>
  <si>
    <t>Incremental equity value (USD mn)</t>
  </si>
  <si>
    <t>Memo: P12-P14 business values on their own (Project Cash Flows A) - the difference to the incremental EV is tax pooling in the v29 Operatorship block and working capital</t>
  </si>
  <si>
    <t>Only the FSL entitlement (the part of the SOE tariff transferred to FSL, less the O&amp;M FSL takes over) is valued. The benefit retained by the SOEs (BUMN Synergy Calculation D) is never added. The two sheets use the same WACC, date and inputs, so the difference is the BUMN schemes alone.</t>
  </si>
  <si>
    <t>PROJECT CASH FLOWS - what each business earns: standalone profit, unlevered cash flow, value (NPV at the valuation date), project IRR (full life and from FY2027), payback and funding need</t>
  </si>
  <si>
    <t>Unlevered cash flow = EBITDA - tax on the business EBIT (v29 line method, business on its own) - capex - increase in working capital; terminal value in FY2036 as on the Valuation sheets. Full-life IRR includes spend before the valuation date (and pre-2024 sunk spend); the valuation uses FY2027+ only. No IRR is shown where the cash flows do not support one.</t>
  </si>
  <si>
    <t>[Proj. CF]</t>
  </si>
  <si>
    <t>A.   SUMMARY BY BUSINESS (IDR bn; value = NPV of cash flows after the valuation date incl. terminal value, at the WACC)</t>
  </si>
  <si>
    <t>Business / project</t>
  </si>
  <si>
    <t>In the valuation</t>
  </si>
  <si>
    <t>Value (NPV)</t>
  </si>
  <si>
    <t>FSL share</t>
  </si>
  <si>
    <t>Value to FSL</t>
  </si>
  <si>
    <t>Project IRR - full life</t>
  </si>
  <si>
    <t>Project IRR - from FY2027 (after the valuation date)</t>
  </si>
  <si>
    <t>Payback (yrs from first spend)</t>
  </si>
  <si>
    <t>Peak funding need</t>
  </si>
  <si>
    <t>Equity IRR</t>
  </si>
  <si>
    <t>Comment</t>
  </si>
  <si>
    <t>n/a</t>
  </si>
  <si>
    <t>Existing business: no initial investment, so no IRR - use NPV</t>
  </si>
  <si>
    <t>As E1 (carries its share of the LT loan interest)</t>
  </si>
  <si>
    <t>As E1</t>
  </si>
  <si>
    <t>as project IRR</t>
  </si>
  <si>
    <t>Pre-2024 spend is sunk: the full-life IRR includes it at Dec-23; from FY2027 there is no investment left - use NPV</t>
  </si>
  <si>
    <t>As P01</t>
  </si>
  <si>
    <t>FSL 49% revenue share</t>
  </si>
  <si>
    <t>FSL share of the total Ciwandan tariff</t>
  </si>
  <si>
    <t>Read with P14: the operatorship entitlement on the expansion volume is credited to P14</t>
  </si>
  <si>
    <t>Fee business; v29 buys no equipment (C08): IRR not meaningful - use NPV</t>
  </si>
  <si>
    <t>As P08</t>
  </si>
  <si>
    <t>BUMN synergy - FSL entitlement, no FSL investment in v29: IRR not meaningful - use NPV</t>
  </si>
  <si>
    <t>As P12</t>
  </si>
  <si>
    <t>Land-lease revenue nil (tariff missing in v29); OFF in the base case</t>
  </si>
  <si>
    <t>DUMMY inputs; OFF in the valuation as delivered - illustrative returns in section E</t>
  </si>
  <si>
    <t>Total - businesses in the valuation (With BUMN case)</t>
  </si>
  <si>
    <t>P19  Badas - ILLUSTRATIVE (DUMMY inputs; shown whether or not in the valuation - section E)</t>
  </si>
  <si>
    <t>Template</t>
  </si>
  <si>
    <t>DUMMY - REPLACE WITH FS DATA (FS Data Request). Equity IRR on the Badas project debt (Inputs 13).</t>
  </si>
  <si>
    <t>Full-life IRR: all project cash flows incl. spend before the valuation date (and pre-FY2024 sunk spend). From FY2027: only cash flows after the valuation date (what the DCF values). Terminal value is included in FY2036 for IRR and NPV; payback and peak funding exclude it. Equity IRR = project IRR where the project has no project debt (all v29 projects); Badas has its own project debt (DUMMY terms).</t>
  </si>
  <si>
    <t>"Not meaningful" = the cash-flow pattern does not support an IRR (no initial investment, service scheme without FSL capex, investment already made before the valuation date, or investment not recovered within the horizon incl. terminal value) - read the NPV instead. It is never shown as 0%.</t>
  </si>
  <si>
    <t>B.   Value by group (100% basis) and minority share (used by the Valuation sheets)</t>
  </si>
  <si>
    <t>Existing businesses</t>
  </si>
  <si>
    <t>Committed projects</t>
  </si>
  <si>
    <t>Planned projects</t>
  </si>
  <si>
    <t>BUMN synergies - FSL entitlement (P12-P14)</t>
  </si>
  <si>
    <t>Pipeline - TBM</t>
  </si>
  <si>
    <t>Pipeline placeholders</t>
  </si>
  <si>
    <t>Badas (when in the valuation)</t>
  </si>
  <si>
    <t>Minority share of business values - Without BUMN (NPLOG 35%; Badas / placeholders below 100%)</t>
  </si>
  <si>
    <t>Minority share of business values - With BUMN (NPLOG 35%; Badas / placeholders below 100%)</t>
  </si>
  <si>
    <t>C.   STANDALONE PROFIT AND UNLEVERED CASH FLOW BY BUSINESS (IDR bn; column E = terminal numerator base A, column F = NWC FY2036)</t>
  </si>
  <si>
    <t>Financial year</t>
  </si>
  <si>
    <t>Cash-flow date used for XIRR (mid-year, or year-end if selected; sunk spend at Dec-23)</t>
  </si>
  <si>
    <t>After the valuation date (1 = in the NPV)</t>
  </si>
  <si>
    <t>Discount factor at the WACC from the valuation date (same as the Valuation sheets)</t>
  </si>
  <si>
    <t>Discount factor of the terminal value (end of FY2036)</t>
  </si>
  <si>
    <t>E1  Teluk Lamong cargodoring &amp; delivery (NPLOG)   [Existing]</t>
  </si>
  <si>
    <t xml:space="preserve">   EBITDA</t>
  </si>
  <si>
    <t xml:space="preserve">   EBIT = EBITDA - D&amp;A</t>
  </si>
  <si>
    <t xml:space="preserve">   Interest allocated to the business (none)</t>
  </si>
  <si>
    <t xml:space="preserve">   Tax on the business's own profit before tax (rate x MAX(0, EBIT - interest))</t>
  </si>
  <si>
    <t xml:space="preserve">   Net profit of the business on its own (EBIT - interest - tax)</t>
  </si>
  <si>
    <t xml:space="preserve">   Operating tax for the cash flow = rate x MAX(0, EBIT) (unlevered)</t>
  </si>
  <si>
    <t xml:space="preserve">   Capex (project + sustaining)</t>
  </si>
  <si>
    <t xml:space="preserve">   Increase in working capital</t>
  </si>
  <si>
    <t>Unlevered free cash flow = EBITDA + operating tax + capex + working capital</t>
  </si>
  <si>
    <t xml:space="preserve">   Terminal value in FY2036 = ((1 + g) x A - g x NWC36) / (WACC - g)</t>
  </si>
  <si>
    <t xml:space="preserve">   Cash flow for IRR (incl. sunk pre-2024 spend and terminal value)</t>
  </si>
  <si>
    <t xml:space="preserve">   Cumulative cash flow excl. terminal value</t>
  </si>
  <si>
    <t>E2  Cigading existing terminal (SGT 2)   [Existing]</t>
  </si>
  <si>
    <t xml:space="preserve">   Interest allocated to the business (v29 tax line; incl. the carried LT loan)</t>
  </si>
  <si>
    <t>E3  Belawan existing (conveyor &amp; warehouse)   [Existing]</t>
  </si>
  <si>
    <t>E4  WIN stevedoring (Cilegon, Makassar, Surabaya, Medan)   [Existing]</t>
  </si>
  <si>
    <t>P01  Cigading Wharf 2   [Committed]</t>
  </si>
  <si>
    <t>P02  Cigading extended conveyor   [Committed]</t>
  </si>
  <si>
    <t>P03  KBS warehouse revitalisation (FSL 49% revenue share)   [Planned]</t>
  </si>
  <si>
    <t>P04  Teluk Lamong silo   [Planned]</t>
  </si>
  <si>
    <t>P05  Dumai bagging &amp; weighbridge   [Planned]</t>
  </si>
  <si>
    <t>P06  Ciwandan expansion (FSL 52% tariff share)   [Planned]</t>
  </si>
  <si>
    <t>P07  Belawan expansion (additional volume)   [Planned]</t>
  </si>
  <si>
    <t>P08  DMS trucking fee - Teluk Lamong   [Planned]</t>
  </si>
  <si>
    <t>P09  DMS trucking fee - Cigading   [Planned]</t>
  </si>
  <si>
    <t>P10  DMS trucking fee - Ciwandan   [Planned]</t>
  </si>
  <si>
    <t>P11  DMS trucking fee - Belawan   [Planned]</t>
  </si>
  <si>
    <t>P12  BUMN synergy - Pelindo Teluk Lamong operatorship   [BUMN synergy]</t>
  </si>
  <si>
    <t>P13  BUMN synergy - KBS Cigading operatorship   [BUMN synergy]</t>
  </si>
  <si>
    <t>P14  BUMN synergy - Pelindo Belawan operatorship   [BUMN synergy]</t>
  </si>
  <si>
    <t>P15  TBM (land lease, warehousing, cargo handling)   [Pipeline]</t>
  </si>
  <si>
    <t>P19  Badas (project template - DUMMY FS data)   [Pipeline - FS pending]</t>
  </si>
  <si>
    <t xml:space="preserve">   Interest allocated to the business (Badas project debt)</t>
  </si>
  <si>
    <t>D.   MINORITY ENTITIES - aggregated cash flows by case (used by the equity bridge and the WACC / growth sensitivity)</t>
  </si>
  <si>
    <t xml:space="preserve">   NPLOG businesses (E1, P04, P08) - unlevered FCF, Without BUMN</t>
  </si>
  <si>
    <t xml:space="preserve">   LPG businesses (P16) - unlevered FCF, Without BUMN</t>
  </si>
  <si>
    <t xml:space="preserve">   PP2 businesses (P17) - unlevered FCF, Without BUMN</t>
  </si>
  <si>
    <t xml:space="preserve">   PP3 businesses (P18) - unlevered FCF, Without BUMN</t>
  </si>
  <si>
    <t xml:space="preserve">   BADAS businesses (P19) - unlevered FCF, Without BUMN</t>
  </si>
  <si>
    <t>Minority share of the entity cash flows - Without BUMN = sum of (1 - FSL share) x entity FCF (column E / F: the same for A and NWC36)</t>
  </si>
  <si>
    <t xml:space="preserve">   NPLOG businesses (E1, P04, P08, P12) - unlevered FCF, With BUMN</t>
  </si>
  <si>
    <t xml:space="preserve">   LPG businesses (P16) - unlevered FCF, With BUMN</t>
  </si>
  <si>
    <t xml:space="preserve">   PP2 businesses (P17) - unlevered FCF, With BUMN</t>
  </si>
  <si>
    <t xml:space="preserve">   PP3 businesses (P18) - unlevered FCF, With BUMN</t>
  </si>
  <si>
    <t xml:space="preserve">   BADAS businesses (P19) - unlevered FCF, With BUMN</t>
  </si>
  <si>
    <t>Minority share of the entity cash flows - With BUMN = sum of (1 - FSL share) x entity FCF (column E / F: the same for A and NWC36)</t>
  </si>
  <si>
    <t>E.   BADAS (P19) - ILLUSTRATIVE RETURNS ON DUMMY INPUTS (always calculated; the valuation includes Badas only when switched ON in Inputs section 2)</t>
  </si>
  <si>
    <t xml:space="preserve">   Sustaining capex = % of revenue (Inputs 8; nil as delivered)</t>
  </si>
  <si>
    <t xml:space="preserve">   Depreciation of sustaining capex</t>
  </si>
  <si>
    <t xml:space="preserve">   EBIT = EBITDA - depreciation (project + sustaining)</t>
  </si>
  <si>
    <t xml:space="preserve">   Operating tax = rate x MAX(0, EBIT)</t>
  </si>
  <si>
    <t>Unlevered free cash flow = EBITDA - operating tax - capex (project + sustaining) - increase in working capital</t>
  </si>
  <si>
    <t xml:space="preserve">   Terminal value in FY2036 (same method as the other businesses)</t>
  </si>
  <si>
    <t xml:space="preserve">   Cash flow for the project IRR (incl. terminal value)</t>
  </si>
  <si>
    <t xml:space="preserve">   Tax with project debt = rate x MAX(0, EBIT - interest)</t>
  </si>
  <si>
    <t>Equity cash flow = EBITDA - tax with debt - capex - working capital + debt drawn - interest - repayments (+ terminal value less debt outstanding in FY2036)</t>
  </si>
  <si>
    <t>Badas value (NPV at the valuation date incl. terminal value, 100%)</t>
  </si>
  <si>
    <t>Badas project IRR - full life</t>
  </si>
  <si>
    <t>Badas project IRR - cash flows after the valuation date</t>
  </si>
  <si>
    <t>Badas equity IRR (with the DUMMY project debt terms)</t>
  </si>
  <si>
    <t>Badas payback (years from the first spend, excl. terminal value)</t>
  </si>
  <si>
    <t>Badas peak funding need (cumulative, excl. terminal value)</t>
  </si>
  <si>
    <t xml:space="preserve">   Check: Badas FCF in the valuation = illustrative FCF x inclusion (must be 0)</t>
  </si>
  <si>
    <t>Every Badas input is DUMMY (Inputs 13) - the returns illustrate the template only. Replace the inputs through the FS Data Request list; the results update automatically.</t>
  </si>
  <si>
    <t>F.   PORTFOLIO RETURNS ON AGGREGATED CASH FLOWS (not an average of project IRRs; projects in the valuation)</t>
  </si>
  <si>
    <t>Capital projects (P01-P07, P15-P19)</t>
  </si>
  <si>
    <t xml:space="preserve">   Cash flow incl. sunk spend and terminal value</t>
  </si>
  <si>
    <t>Value (NPV at the valuation date, sum of included projects)</t>
  </si>
  <si>
    <t>IRR - full life (incl. spend before the valuation date)</t>
  </si>
  <si>
    <t>IRR - after the valuation date</t>
  </si>
  <si>
    <t>Peak cumulative funding need (excl. terminal value)</t>
  </si>
  <si>
    <t>All FSL projects and BUMN synergies (P01-P19)</t>
  </si>
  <si>
    <t>G.   SUM OF BUSINESS VALUES vs ENTERPRISE VALUE OF EACH CASE (group effects on FCFF and their present value)</t>
  </si>
  <si>
    <t>Sum of business cash flows (each business on its own)</t>
  </si>
  <si>
    <t xml:space="preserve">   Tax: pooling within v29 blocks (Belawan, WIN, operatorship) or entity method (C07) vs tax on each business alone</t>
  </si>
  <si>
    <t xml:space="preserve">   Working capital: inventory and Dec-23 opening balances not allocated to businesses</t>
  </si>
  <si>
    <t xml:space="preserve">   Cancellation costs of switched-off committed projects (group level)</t>
  </si>
  <si>
    <t>With BUMN FCFF (Valuation - With BUMN)</t>
  </si>
  <si>
    <t xml:space="preserve">   Check: businesses + effects - With BUMN FCFF (must be 0)</t>
  </si>
  <si>
    <t>Terminal value: case less the sum of business terminal values</t>
  </si>
  <si>
    <t>Present value of group effects (to the Valuation sheet, section G)</t>
  </si>
  <si>
    <t>Sum of business values + group effects</t>
  </si>
  <si>
    <t>Check: - With BUMN enterprise value (must be 0)</t>
  </si>
  <si>
    <t>Without BUMN FCFF (Valuation - Without BUMN)</t>
  </si>
  <si>
    <t xml:space="preserve">   Check: businesses + effects - Without BUMN FCFF (must be 0)</t>
  </si>
  <si>
    <t>Check: - Without BUMN enterprise value (must be 0)</t>
  </si>
  <si>
    <t>No holding-company costs exist in v29 (all G&amp;A sits in the businesses). Minority interests are deducted in the equity bridge (Valuation sheets section E).</t>
  </si>
  <si>
    <t>PROJECT SUMMARY - what each business earns, when its capex is spent, how it is funded and what it returns (one section per project; v29 Output_Standalone concept)</t>
  </si>
  <si>
    <t>Every figure is a link to its owning schedule (Revenue / Cost / Capex / Working Capital / Project Cash Flows / Funding Requirement). Balance sheet = directly attributable fixed assets and working capital; corporate items are in the bridge (last section). Badas is shown on its own (illustrative, DUMMY inputs) whether or not it is in the valuation.</t>
  </si>
  <si>
    <t>[Proj. Summary]</t>
  </si>
  <si>
    <t>INDEX - status, value and capex by project (click the ID to go to the section)</t>
  </si>
  <si>
    <t>Funded through</t>
  </si>
  <si>
    <t>Value (NPV, IDR bn)</t>
  </si>
  <si>
    <t>IRR full life</t>
  </si>
  <si>
    <t>IRR from FY2027</t>
  </si>
  <si>
    <t>Payback (yrs)</t>
  </si>
  <si>
    <t>Capex total (USD mn)</t>
  </si>
  <si>
    <t>Capex after the valuation date (USD mn)</t>
  </si>
  <si>
    <t>P19  Badas (illustrative - DUMMY inputs)</t>
  </si>
  <si>
    <t>FS not available</t>
  </si>
  <si>
    <t>Value, IRRs and payback: Project Cash Flows A (businesses in the valuation) and E (Badas illustrative). n.m. = not meaningful (the cash flows do not support an IRR / payback; read the NPV). Funded through: FSL roll-forward = FSL's pooled cash roll-forward (Funding Requirement B / C); capex-only request = Funding Requirement E. Capex totals in USD mn incl. spend before FY2024.</t>
  </si>
  <si>
    <t>E1  Teluk Lamong cargodoring &amp; delivery (NPLOG)   [Existing; entity NPLOG]</t>
  </si>
  <si>
    <t>In the valuation (1 = yes):</t>
  </si>
  <si>
    <t>Key drivers</t>
  </si>
  <si>
    <t xml:space="preserve">   Throughput (grains + meals)</t>
  </si>
  <si>
    <t xml:space="preserve">   Grains tariff</t>
  </si>
  <si>
    <t xml:space="preserve">   Meals tariff</t>
  </si>
  <si>
    <t>Income statement (business on its own; tax on its own profit)</t>
  </si>
  <si>
    <t xml:space="preserve">   Revenue</t>
  </si>
  <si>
    <t xml:space="preserve">   Cost of sales</t>
  </si>
  <si>
    <t xml:space="preserve">   Operating expenses</t>
  </si>
  <si>
    <t xml:space="preserve">   Depreciation &amp; amortisation</t>
  </si>
  <si>
    <t xml:space="preserve">   EBIT</t>
  </si>
  <si>
    <t xml:space="preserve">   Interest allocated</t>
  </si>
  <si>
    <t xml:space="preserve">   Tax on its own profit before tax</t>
  </si>
  <si>
    <t xml:space="preserve">   Net profit (business on its own)</t>
  </si>
  <si>
    <t>Balance sheet - directly attributable (31 December)</t>
  </si>
  <si>
    <t xml:space="preserve">   Fixed assets - net book value</t>
  </si>
  <si>
    <t xml:space="preserve">   Trade receivables</t>
  </si>
  <si>
    <t xml:space="preserve">   Trade payables</t>
  </si>
  <si>
    <t xml:space="preserve">   Capital employed (fixed assets + working capital)</t>
  </si>
  <si>
    <t>Cash flow and FCFF (unlevered)</t>
  </si>
  <si>
    <t xml:space="preserve">   Operating tax on EBIT</t>
  </si>
  <si>
    <t xml:space="preserve">   FCFF (unlevered free cash flow)</t>
  </si>
  <si>
    <t xml:space="preserve">   Cumulative FCFF (2023 column: sunk pre-2024 spend)</t>
  </si>
  <si>
    <t>Capex and funding</t>
  </si>
  <si>
    <t xml:space="preserve">   Capex (IDR bn; project + sustaining)</t>
  </si>
  <si>
    <t>Returns (at the valuation date; WACC from Inputs 12)</t>
  </si>
  <si>
    <t>NPV (100%)</t>
  </si>
  <si>
    <t>Project IRR - from FY2027</t>
  </si>
  <si>
    <t>Payback (years)</t>
  </si>
  <si>
    <t>E2  Cigading existing terminal (SGT 2)   [Existing; entity SGT2]</t>
  </si>
  <si>
    <t xml:space="preserve">   Throughput</t>
  </si>
  <si>
    <t xml:space="preserve">   Tariff</t>
  </si>
  <si>
    <t xml:space="preserve">   Interest allocated (v29 line + carried LT loan)</t>
  </si>
  <si>
    <t>E3  Belawan existing (conveyor &amp; warehouse)   [Existing; entity BLW]</t>
  </si>
  <si>
    <t xml:space="preserve">   Throughput (existing)</t>
  </si>
  <si>
    <t>E4  WIN stevedoring (Cilegon, Makassar, Surabaya, Medan)   [Existing; entity WIN]</t>
  </si>
  <si>
    <t xml:space="preserve">   Stevedoring volume (four branches)</t>
  </si>
  <si>
    <t>P01  Cigading Wharf 2   [Committed; entity SGT2]</t>
  </si>
  <si>
    <t xml:space="preserve">   Fixed assets - net book value (v29 depreciates the pre-2024 spend held below)</t>
  </si>
  <si>
    <t xml:space="preserve">   Assets under construction at Dec-23 (in other assets in v29; C06)</t>
  </si>
  <si>
    <t xml:space="preserve">   Capex (USD mn; 2023 column = spent before FY2024, sunk)</t>
  </si>
  <si>
    <t xml:space="preserve">   Capex (IDR bn)</t>
  </si>
  <si>
    <t xml:space="preserve">   Standalone funding need (capex and start-up losses not covered by own cash flow; funded from FSL pooled cash - Funding Requirement D)</t>
  </si>
  <si>
    <t>P02  Cigading extended conveyor   [Committed; entity SGT2]</t>
  </si>
  <si>
    <t xml:space="preserve">   Conveyed volume</t>
  </si>
  <si>
    <t>P03  KBS warehouse revitalisation (FSL 49% revenue share)   [Planned; entity SGT2]</t>
  </si>
  <si>
    <t xml:space="preserve">   Warehouse throughput</t>
  </si>
  <si>
    <t xml:space="preserve">   Tariff (100%; FSL receives its revenue share)</t>
  </si>
  <si>
    <t>P04  Teluk Lamong silo   [Planned; entity NPLOG]</t>
  </si>
  <si>
    <t xml:space="preserve">   Silo throughput</t>
  </si>
  <si>
    <t>P05  Dumai bagging &amp; weighbridge   [Planned; entity DUMAI]</t>
  </si>
  <si>
    <t xml:space="preserve">   Bagging / weighbridge volume</t>
  </si>
  <si>
    <t xml:space="preserve">   Bagging tariff</t>
  </si>
  <si>
    <t xml:space="preserve">   Weighbridge tariff</t>
  </si>
  <si>
    <t>P06  Ciwandan expansion (FSL 52% tariff share)   [Planned; entity CWD]</t>
  </si>
  <si>
    <t xml:space="preserve">   FSL tariff (share of the total tariff)</t>
  </si>
  <si>
    <t>P07  Belawan expansion (additional volume)   [Planned; entity BLW]</t>
  </si>
  <si>
    <t xml:space="preserve">   Additional throughput</t>
  </si>
  <si>
    <t>P08  DMS trucking fee - Teluk Lamong   [Planned; entity NPLOG]</t>
  </si>
  <si>
    <t xml:space="preserve">   Trucked volume</t>
  </si>
  <si>
    <t xml:space="preserve">   Trucking cost (fee base)</t>
  </si>
  <si>
    <t>P09  DMS trucking fee - Cigading   [Planned; entity SGT2]</t>
  </si>
  <si>
    <t>P10  DMS trucking fee - Ciwandan   [Planned; entity CWD]</t>
  </si>
  <si>
    <t>P11  DMS trucking fee - Belawan   [Planned; entity BLW]</t>
  </si>
  <si>
    <t>P12  BUMN synergy - Pelindo Teluk Lamong operatorship   [BUMN synergy; entity NPLOG]</t>
  </si>
  <si>
    <t xml:space="preserve">   Volume served</t>
  </si>
  <si>
    <t xml:space="preserve">   FSL entitlement - grains</t>
  </si>
  <si>
    <t xml:space="preserve">   FSL entitlement - meals</t>
  </si>
  <si>
    <t>P13  BUMN synergy - KBS Cigading operatorship   [BUMN synergy; entity SGT2]</t>
  </si>
  <si>
    <t xml:space="preserve">   FSL entitlement</t>
  </si>
  <si>
    <t>P14  BUMN synergy - Pelindo Belawan operatorship   [BUMN synergy; entity BLW]</t>
  </si>
  <si>
    <t>P15  TBM (land lease, warehousing, cargo handling)   [Pipeline; entity TBM]</t>
  </si>
  <si>
    <t xml:space="preserve">   Volume</t>
  </si>
  <si>
    <t>P19  Badas (project template - DUMMY FS data)   [Pipeline - FS pending; entity BADAS]</t>
  </si>
  <si>
    <t>Capex-only funding request (1 = yes):</t>
  </si>
  <si>
    <t>ILLUSTRATIVE - every operating input is DUMMY (Inputs 13; replace through the FS Data Request). Figures below are Badas on its own; the FSL statements include them only when Badas is switched into the valuation.</t>
  </si>
  <si>
    <t xml:space="preserve">   Operating fraction of the year</t>
  </si>
  <si>
    <t xml:space="preserve">   Utilisation (DUMMY)</t>
  </si>
  <si>
    <t xml:space="preserve">   Handling tariff (DUMMY)</t>
  </si>
  <si>
    <t xml:space="preserve">   Revenue to FSL</t>
  </si>
  <si>
    <t xml:space="preserve">   Operating expenses (incl. pre-operating costs)</t>
  </si>
  <si>
    <t xml:space="preserve">   Interest on Badas project debt</t>
  </si>
  <si>
    <t xml:space="preserve">   Tax (rate x MAX(0, profit before tax))</t>
  </si>
  <si>
    <t xml:space="preserve">   Net profit</t>
  </si>
  <si>
    <t xml:space="preserve">   Badas project debt</t>
  </si>
  <si>
    <t xml:space="preserve">   Cumulative FCFF</t>
  </si>
  <si>
    <t xml:space="preserve">   Equity cash flow (after project debt; FY2036 incl. terminal value less debt)</t>
  </si>
  <si>
    <t xml:space="preserve">   Capex (USD mn; DUMMY phasing, provisional total)</t>
  </si>
  <si>
    <t xml:space="preserve">   Funded by Badas project debt (DUMMY share)</t>
  </si>
  <si>
    <t xml:space="preserve">   Funded by equity (capex - project debt)</t>
  </si>
  <si>
    <t xml:space="preserve">   Equity request while outside the valuation (Funding Requirement E)</t>
  </si>
  <si>
    <t>Project IRR - after the valuation date</t>
  </si>
  <si>
    <t>Equity IRR (project debt)</t>
  </si>
  <si>
    <t>Operating results</t>
  </si>
  <si>
    <t>FS not available - no revenue, cost, profit or value is modelled</t>
  </si>
  <si>
    <t xml:space="preserve">   Capex (USD mn)</t>
  </si>
  <si>
    <t xml:space="preserve">   Capex (IDR bn) = funding request</t>
  </si>
  <si>
    <t xml:space="preserve">      of which project debt (Inputs 15 share)</t>
  </si>
  <si>
    <t xml:space="preserve">      of which equity request</t>
  </si>
  <si>
    <t>BRIDGE TO THE FSL TOTALS - WITH BUMN CASE: sum of the business sections + corporate / unallocated items = FSL Output - With BUMN</t>
  </si>
  <si>
    <t xml:space="preserve">   Revenue - sum of businesses</t>
  </si>
  <si>
    <t>Revenue - FSL (no eliminations: no intra-group revenue in v29)</t>
  </si>
  <si>
    <t xml:space="preserve">   EBITDA - sum of businesses</t>
  </si>
  <si>
    <t xml:space="preserve">      corporate: cancellation costs of switched-off committed projects</t>
  </si>
  <si>
    <t>EBITDA - FSL</t>
  </si>
  <si>
    <t xml:space="preserve">   Net profit - sum of businesses on their own</t>
  </si>
  <si>
    <t xml:space="preserve">      corporate: cancellation, write-off, new-facility interest and fees, interest income</t>
  </si>
  <si>
    <t xml:space="preserve">      tax pooling: sum of business taxes - FSL tax (v29 blocks, group line, entity method with C07)</t>
  </si>
  <si>
    <t>Net profit - FSL</t>
  </si>
  <si>
    <t xml:space="preserve">   FCFF - sum of businesses</t>
  </si>
  <si>
    <t xml:space="preserve">      corporate: tax pooling, working capital not allocated, cancellation costs (Project Cash Flows G)</t>
  </si>
  <si>
    <t>FCFF - FSL (Valuation sheet)</t>
  </si>
  <si>
    <t xml:space="preserve">   Capex - sum of businesses (no corporate capex)</t>
  </si>
  <si>
    <t>Capex - FSL (project + sustaining)</t>
  </si>
  <si>
    <t>Balance sheet: directly attributable capital employed + corporate items = total equity</t>
  </si>
  <si>
    <t xml:space="preserve">   Fixed assets - sum of businesses (net book value, incl. the Dec-23 assets under construction of P01 / P02)</t>
  </si>
  <si>
    <t xml:space="preserve">   Receivables - payables, sum of businesses (FY2024+; Dec-23 typed balances are corporate)</t>
  </si>
  <si>
    <t>Capital employed directly attributable to the businesses</t>
  </si>
  <si>
    <t xml:space="preserve">      corporate: inventories and the Dec-23 opening receivables / payables</t>
  </si>
  <si>
    <t xml:space="preserve">      corporate: cash and cash equivalents</t>
  </si>
  <si>
    <t xml:space="preserve">      corporate: other assets (incl. time deposits; excl. the P01 / P02 assets under construction shown above)</t>
  </si>
  <si>
    <t xml:space="preserve">      corporate: borrowings (existing loans incl. the LT loan, new facility, Badas project debt when valued)</t>
  </si>
  <si>
    <t xml:space="preserve">      corporate: other liabilities (leases, employee benefits, other)</t>
  </si>
  <si>
    <t>Total equity (sum of the above)</t>
  </si>
  <si>
    <t>Total equity - FSL balance sheet + unrounded v29 residual (C10)</t>
  </si>
  <si>
    <t xml:space="preserve">   Check: revenue, EBITDA, net profit, FCFF, capex and equity bridges (sum of absolute differences; must be 0)</t>
  </si>
  <si>
    <t>BRIDGE TO THE FSL TOTALS - WITHOUT BUMN CASE: sum of the business sections + corporate / unallocated items = FSL Output - Without BUMN</t>
  </si>
  <si>
    <t>No business-level interest other than the v29 loan lines (E2, P01, incl. the carried LT loan) and Badas project debt; the new facility, fees, write-offs and interest income are corporate. The LT loan itself is a corporate borrowing.</t>
  </si>
  <si>
    <t>CHECKS &amp; RECONCILIATION - does the model reproduce v29 apart from the requested changes? does it pass the accounting and financial integrity checks? are source-data issues unresolved?</t>
  </si>
  <si>
    <t>Every status is a live formula. A: integrity. B: warnings. C: items to confirm. D: every line vs v29, year by year, with the requested change behind any difference. E: v29 business blocks. F: optional corrections. G: bridge v29 -&gt; revised baseline. H: check workings.</t>
  </si>
  <si>
    <t>[Checks]</t>
  </si>
  <si>
    <t>A.   STATUS AND MATHEMATICAL INTEGRITY (every check is a formula: measured difference, tolerance, status)</t>
  </si>
  <si>
    <t>1. Does the model reproduce v29, apart from the requested changes?</t>
  </si>
  <si>
    <t>Line by line (section D)</t>
  </si>
  <si>
    <t>Project level (section E)</t>
  </si>
  <si>
    <t>Bridge v29 -&gt; revised (section G)</t>
  </si>
  <si>
    <t>Benchmarks (lines V1-V9)</t>
  </si>
  <si>
    <t>2. Does the model satisfy accounting and financial integrity checks?</t>
  </si>
  <si>
    <t>Integrity checks A1-A24</t>
  </si>
  <si>
    <t>Warnings (section B)</t>
  </si>
  <si>
    <t>3. Are any source-data issues unresolved?</t>
  </si>
  <si>
    <t>Source issues (Source Data 20)</t>
  </si>
  <si>
    <t>Items TO CONFIRM (section C)</t>
  </si>
  <si>
    <t>Status of the inputs</t>
  </si>
  <si>
    <t>Requested changes and your changes</t>
  </si>
  <si>
    <t>Case in force</t>
  </si>
  <si>
    <t>Changed input rows counted on Inputs (column U; incl. correction switches; an annual row counts once)</t>
  </si>
  <si>
    <t>All changes vs the delivered revised baseline (input rows, switches, register switches and years)</t>
  </si>
  <si>
    <t>Requested change active: LT loan not repaid in FY2025 (1 = yes; 0 = repaid in FY2025 as v29)</t>
  </si>
  <si>
    <t>Requested change active: new equity = residual funding requirement (1 = equity basis 1; 0 = v29 schedule)</t>
  </si>
  <si>
    <t>Requested changes active (text)</t>
  </si>
  <si>
    <t>Engine used to recalculate and test this file: LibreOffice (headless), not Microsoft Excel. Every status on this sheet is a live formula; cached values and labels are not proof - recalculate after opening. Built 28-Sep-2026.</t>
  </si>
  <si>
    <t>Check</t>
  </si>
  <si>
    <t>Case</t>
  </si>
  <si>
    <t>Difference / value</t>
  </si>
  <si>
    <t>Tolerance</t>
  </si>
  <si>
    <t>Where</t>
  </si>
  <si>
    <t>A1  Balance sheet: unrounded residual of every year = residual inherited from v29 (the rebuild adds no imbalance; the inherited 0.006 is source issue C10, line V8)</t>
  </si>
  <si>
    <t>FSL Output - With BUMN!B265</t>
  </si>
  <si>
    <t>FSL Output - Without BUMN!B214</t>
  </si>
  <si>
    <t>A2  Cash flow statement closing cash = Funding Requirement closing cash</t>
  </si>
  <si>
    <t>FSL Output - With BUMN!B286</t>
  </si>
  <si>
    <t>FSL Output - Without BUMN!B235</t>
  </si>
  <si>
    <t>A3  Retained earnings roll-forward</t>
  </si>
  <si>
    <t>FSL Output - With BUMN!B287</t>
  </si>
  <si>
    <t>FSL Output - Without BUMN!B236</t>
  </si>
  <si>
    <t>A4  Fixed assets roll-forward (opening + capex - D&amp;A - write-off = closing) and net book value by business = total</t>
  </si>
  <si>
    <t>FSL Output - With BUMN!B288</t>
  </si>
  <si>
    <t>FSL Output - Without BUMN!B237</t>
  </si>
  <si>
    <t>A5  Borrowings roll-forward (existing loans incl. the LT loan, new facility, Badas project debt)</t>
  </si>
  <si>
    <t>FSL Output - With BUMN!B289</t>
  </si>
  <si>
    <t>FSL Output - Without BUMN!B238</t>
  </si>
  <si>
    <t>A6  Funding: sources = uses every year (gap = debt + equity + unfunded) and cash never below the minimum unless unfunded</t>
  </si>
  <si>
    <t>Funding Requirement!B63</t>
  </si>
  <si>
    <t>Funding Requirement!B95</t>
  </si>
  <si>
    <t>A7  Tax: v29 line profits add up to profit before tax; entity operating profits add up to EBIT</t>
  </si>
  <si>
    <t>FSL Output - With BUMN!B191</t>
  </si>
  <si>
    <t>FSL Output - Without BUMN!B140</t>
  </si>
  <si>
    <t>A8  Revenue by business adds up to With BUMN revenue; revenue - costs = EBITDA</t>
  </si>
  <si>
    <t>Revenue Calculation!B217</t>
  </si>
  <si>
    <t>A9  Bridge: Without BUMN + BUMN contribution = With BUMN (revenue, EBITDA, EBIT, net profit, cash flow, capex, equity, dividends, cash)</t>
  </si>
  <si>
    <t>Bridge</t>
  </si>
  <si>
    <t>FSL Output - With BUMN!B12</t>
  </si>
  <si>
    <t>A10  BUMN synergy per ton: new SOE tariff + FSL entitlement = current SOE tariff (no double counting, all schemes, all years)</t>
  </si>
  <si>
    <t>Synergy</t>
  </si>
  <si>
    <t>BUMN Synergy Calculation!B17</t>
  </si>
  <si>
    <t>A11  BUMN synergy split: FSL share + SOE-retained share = total incremental benefit</t>
  </si>
  <si>
    <t>BUMN Synergy Calculation!B96</t>
  </si>
  <si>
    <t>A12  Valuation: business cash flows + group effects = FCFF; sum of business values + group effects = enterprise value</t>
  </si>
  <si>
    <t>Project Cash Flows!B411</t>
  </si>
  <si>
    <t>Project Cash Flows!B422</t>
  </si>
  <si>
    <t>A13  Valuation: value by business group = enterprise value (Valuation sheet G)</t>
  </si>
  <si>
    <t>Valuation — With BUMN!B106</t>
  </si>
  <si>
    <t>Valuation — Without BUMN!B106</t>
  </si>
  <si>
    <t>A14  Sensitivity grid centre cell = equity value (closed-form re-discounting agrees with the DCF)</t>
  </si>
  <si>
    <t>Valuation — With BUMN!B94</t>
  </si>
  <si>
    <t>Valuation — Without BUMN!B94</t>
  </si>
  <si>
    <t>A15  DCF covers only FCFF after the valuation date (no FY2024-26 cash flow in the present value)</t>
  </si>
  <si>
    <t>Valuation — With BUMN!B50</t>
  </si>
  <si>
    <t>Valuation — Without BUMN!B50</t>
  </si>
  <si>
    <t>A16  Valuation sheets distinct and consistent: EV With - EV Without = PV of the incremental BUMN FCFF + terminal value difference</t>
  </si>
  <si>
    <t>Valuation</t>
  </si>
  <si>
    <t>Valuation — With BUMN!B117</t>
  </si>
  <si>
    <t>A17  LT loan: outstanding at the valuation date if repaid after it, repaid in full once, nil after the repayment year</t>
  </si>
  <si>
    <t>Loan</t>
  </si>
  <si>
    <t>Financing!B14</t>
  </si>
  <si>
    <t>A18  Capex: spend by year + unallocated = total investment for every project; no negative amount in the USD schedule (count)</t>
  </si>
  <si>
    <t>Capex &amp; Depreciation!B45</t>
  </si>
  <si>
    <t>A19  Badas: no double counting - capex in the statements + capex-only request = Badas capex x (valuation + funding inclusion); FCF in the valuation = illustrative x inclusion</t>
  </si>
  <si>
    <t>Capex &amp; Depreciation!B347</t>
  </si>
  <si>
    <t>A20  Capex-only funding request = capex outside the statements (Capex &amp; Depreciation J); blank funding-only rows add nil</t>
  </si>
  <si>
    <t>Funding Requirement!B147</t>
  </si>
  <si>
    <t>A21  Project Summary: sum of businesses + corporate items = FSL revenue, EBITDA, net profit, FCFF, capex and equity</t>
  </si>
  <si>
    <t>Project Summary!B893</t>
  </si>
  <si>
    <t>Project Summary!B921</t>
  </si>
  <si>
    <t>A22  Dec-23 entity balance sheets balance (source data)</t>
  </si>
  <si>
    <t>Source</t>
  </si>
  <si>
    <t>Source Data!B777</t>
  </si>
  <si>
    <t>A23  Placeholders not included contribute nothing (revenue + capex of excluded P16-P18)</t>
  </si>
  <si>
    <t>Both</t>
  </si>
  <si>
    <t>Revenue Calculation!B163</t>
  </si>
  <si>
    <t>A24  Valuation condition: WACC above terminal growth</t>
  </si>
  <si>
    <t>Inputs!B558</t>
  </si>
  <si>
    <t>v29 benchmark validation and agreement (after the requested changes)</t>
  </si>
  <si>
    <t>V1  v29 data complete: the 16 business-block profits before tax (Source Data 19) add up to Output_FSL EBT, every year</t>
  </si>
  <si>
    <t>Checks &amp; Reconciliation!B1292</t>
  </si>
  <si>
    <t>V2  Without BUMN benchmark consistent: Output_FSL net sales / EBITDA / net profit less the Operatorship block = the recalculated G35 = 0 lines, every year</t>
  </si>
  <si>
    <t>Checks &amp; Reconciliation!B1293</t>
  </si>
  <si>
    <t>V3  Sapphire excluded once: v29 switch Output_FSL!D2 = 0 and Sapphire investing flows nil in both benchmarks</t>
  </si>
  <si>
    <t>Source Data!B967</t>
  </si>
  <si>
    <t>V4  Lines that differ from v29 beyond the tolerance without a requested change or input change (UNEXPLAINED)</t>
  </si>
  <si>
    <t>Checks &amp; Reconciliation!B{d0}</t>
  </si>
  <si>
    <t>V5  Largest difference to v29 on lines NOT affected by an active requested change</t>
  </si>
  <si>
    <t>Inputs!$E$50</t>
  </si>
  <si>
    <t>V6  v29 IRR and payback (Output_FSL!J137:J138) reproduced with the v29 definitions</t>
  </si>
  <si>
    <t>FSL Output - With BUMN!B303</t>
  </si>
  <si>
    <t>FSL Output - Without BUMN!B252</t>
  </si>
  <si>
    <t>V7  Project level: v29 business-block lines reproduced - largest difference on lines not affected by the LT loan change</t>
  </si>
  <si>
    <t>Checks &amp; Reconciliation!B{e0}</t>
  </si>
  <si>
    <t>V8  SOURCE ISSUE C10: the v29 balance sheet does not balance (unrounded residual, IDR bn; v29 row 114 hides it with ROUNDDOWN). Inherited while C10 = 0; nil with C10 ON</t>
  </si>
  <si>
    <t>Source Data!B813</t>
  </si>
  <si>
    <t>V9  Bridge v29 -&gt; revised baseline (section G): the part not explained by the requested changes (net profit, cash, borrowings, equity)</t>
  </si>
  <si>
    <t>Checks &amp; Reconciliation!B1340</t>
  </si>
  <si>
    <t>Checks &amp; Reconciliation!B1365</t>
  </si>
  <si>
    <t>B.   WARNINGS ABOUT THE RESULT (not integrity errors)</t>
  </si>
  <si>
    <t>W1  Unfunded shortfall (only with the v29 equity basis and its 110 USD mn cap) - With BUMN</t>
  </si>
  <si>
    <t>Funding Requirement!B25</t>
  </si>
  <si>
    <t>W2  Unfunded shortfall - Without BUMN</t>
  </si>
  <si>
    <t>W3  Placeholders switched ON but excluded because inputs are incomplete (count)</t>
  </si>
  <si>
    <t>Inputs!B79</t>
  </si>
  <si>
    <t>W4  Minimum DSCR vs covenant level (years with debt service; FY2027 carries the LT loan bullet repayment) - With BUMN</t>
  </si>
  <si>
    <t>Inputs!$E$505</t>
  </si>
  <si>
    <t>Financing!B84</t>
  </si>
  <si>
    <t>W5  Equity attributable to FSL (book value) negative in any year - With BUMN (count of years)</t>
  </si>
  <si>
    <t>Financing!B78</t>
  </si>
  <si>
    <t>W6  Fixed assets net book value negative (years, both cases) - inherited source issue C05 (depreciation beyond NBV); corrected by switch C05</t>
  </si>
  <si>
    <t>Capex &amp; Depreciation!B327</t>
  </si>
  <si>
    <t>W7  Capex spending % not adding to 100% (projects with unallocated capex; count)</t>
  </si>
  <si>
    <t>Capex &amp; Depreciation!B46</t>
  </si>
  <si>
    <t>W8  Badas inputs still DUMMY / provisional (FS Data Request; results illustrative until replaced)</t>
  </si>
  <si>
    <t>FS Data Request!B5</t>
  </si>
  <si>
    <t>W9  Equity required exceeds the v29 primary equity commitment of 110 USD mn - Without BUMN (USD mn above the commitment)</t>
  </si>
  <si>
    <t>Funding Requirement!B26</t>
  </si>
  <si>
    <t>W10  Input cells and switches changed from the delivered revised baseline (the reconciliation shows their effect on every line)</t>
  </si>
  <si>
    <t>Inputs!U1</t>
  </si>
  <si>
    <t>C.   ITEMS TO CONFIRM - provisional assumptions, requested-change details and open source questions</t>
  </si>
  <si>
    <t>Item</t>
  </si>
  <si>
    <t>Current value</t>
  </si>
  <si>
    <t>Affects</t>
  </si>
  <si>
    <t>PROVISIONAL - Discounting convention (1 = mid-year, 2 = year-end)</t>
  </si>
  <si>
    <t>parameter</t>
  </si>
  <si>
    <t>all present values and IRR dates</t>
  </si>
  <si>
    <t>Inputs!B94</t>
  </si>
  <si>
    <t>PROVISIONAL - Cancellation cost if a committed project (P01 / P02) is switched off (scenario-only)</t>
  </si>
  <si>
    <t>EBITDA and cash in FY2024 only when P01 / P02 are switched off</t>
  </si>
  <si>
    <t>Inputs!B481</t>
  </si>
  <si>
    <t>PROVISIONAL - New debt facility limit (assumed available funding)</t>
  </si>
  <si>
    <t>debt drawdowns (only if the debt share &gt; 0)</t>
  </si>
  <si>
    <t>Inputs!B501</t>
  </si>
  <si>
    <t>PROVISIONAL - Upfront / arrangement fee on new debt</t>
  </si>
  <si>
    <t>debt drawn and finance costs (only if debt is drawn)</t>
  </si>
  <si>
    <t>Inputs!B502</t>
  </si>
  <si>
    <t>PROVISIONAL - Minimum DSCR used for the covenant warning</t>
  </si>
  <si>
    <t>warning on Checks only</t>
  </si>
  <si>
    <t>Inputs!B505</t>
  </si>
  <si>
    <t>PROVISIONAL - Committed funding already agreed (cash received in the year; treated as equity)</t>
  </si>
  <si>
    <t>annual</t>
  </si>
  <si>
    <t>cash, equity raised, residual equity requirement</t>
  </si>
  <si>
    <t>Inputs!B508</t>
  </si>
  <si>
    <t>PROVISIONAL - Opening tax losses at 31-Dec-2023 - NPLOG - Teluk Lamong (used only when C07 is ON)</t>
  </si>
  <si>
    <t>tax in the early years when C07 is ON</t>
  </si>
  <si>
    <t>Inputs!B524</t>
  </si>
  <si>
    <t>PROVISIONAL - Opening tax losses at 31-Dec-2023 - SGT 2 - Cigading (used only when C07 is ON)</t>
  </si>
  <si>
    <t>Inputs!B525</t>
  </si>
  <si>
    <t>PROVISIONAL - Opening tax losses at 31-Dec-2023 - Belawan (SGdT) (used only when C07 is ON)</t>
  </si>
  <si>
    <t>Inputs!B526</t>
  </si>
  <si>
    <t>PROVISIONAL - Opening tax losses at 31-Dec-2023 - WIN (used only when C07 is ON)</t>
  </si>
  <si>
    <t>Inputs!B527</t>
  </si>
  <si>
    <t>PROVISIONAL - Opening tax losses at 31-Dec-2023 - Dumai (new entity) (used only when C07 is ON)</t>
  </si>
  <si>
    <t>Inputs!B528</t>
  </si>
  <si>
    <t>PROVISIONAL - Opening tax losses at 31-Dec-2023 - Ciwandan (new entity) (used only when C07 is ON)</t>
  </si>
  <si>
    <t>Inputs!B529</t>
  </si>
  <si>
    <t>PROVISIONAL - Opening tax losses at 31-Dec-2023 - TBM (new entity) (used only when C07 is ON)</t>
  </si>
  <si>
    <t>Inputs!B530</t>
  </si>
  <si>
    <t>PROVISIONAL - IDR 10-year government bond yield (SBN)</t>
  </si>
  <si>
    <t>WACC and all present values</t>
  </si>
  <si>
    <t>Inputs!B542</t>
  </si>
  <si>
    <t>PROVISIONAL - Indonesia sovereign default spread (removed from the bond yield)</t>
  </si>
  <si>
    <t>cost of equity</t>
  </si>
  <si>
    <t>Inputs!B543</t>
  </si>
  <si>
    <t>PROVISIONAL - Equity risk premium - Indonesia (mature 4.23% + country 2.46%)</t>
  </si>
  <si>
    <t>Inputs!B544</t>
  </si>
  <si>
    <t>PROVISIONAL - Unlevered beta</t>
  </si>
  <si>
    <t>Inputs!B545</t>
  </si>
  <si>
    <t>PROVISIONAL - Target debt / (debt + equity)</t>
  </si>
  <si>
    <t>beta relevering and WACC weights</t>
  </si>
  <si>
    <t>Inputs!B546</t>
  </si>
  <si>
    <t>PROVISIONAL - Company-specific risk premium</t>
  </si>
  <si>
    <t>Inputs!B548</t>
  </si>
  <si>
    <t>PROVISIONAL - Terminal growth rate after FY2036 (nominal IDR)</t>
  </si>
  <si>
    <t>terminal value (about half of EV)</t>
  </si>
  <si>
    <t>Inputs!B549</t>
  </si>
  <si>
    <t>PROVISIONAL - Normalised reinvestment (capex) in the terminal year, % of FY2037 revenue</t>
  </si>
  <si>
    <t>terminal value only</t>
  </si>
  <si>
    <t>Inputs!B550</t>
  </si>
  <si>
    <t>PROVISIONAL - Total project investment</t>
  </si>
  <si>
    <t>Badas capex, depreciation, maintenance / insurance and funding request</t>
  </si>
  <si>
    <t>Inputs!B577</t>
  </si>
  <si>
    <t>PROVISIONAL - Share of funding-only capex funded by project debt (balance: equity request)</t>
  </si>
  <si>
    <t>split of the funding-only request between debt and equity</t>
  </si>
  <si>
    <t>Inputs!B735</t>
  </si>
  <si>
    <t>CONFIRM - WIN Makassar sugar tariff FY2034-36: v29 applies nil (empty reference, C01)</t>
  </si>
  <si>
    <t>source / term</t>
  </si>
  <si>
    <t>Inputs!B167</t>
  </si>
  <si>
    <t>CONFIRM - Belawan additional volume FY2035-36: nil in v29 (series ends in 2034, C09)</t>
  </si>
  <si>
    <t>Inputs!B269</t>
  </si>
  <si>
    <t>CONFIRM - TBM land-lease tariff blank in v29; capex 40.0 (v29) vs 108 (board deck)</t>
  </si>
  <si>
    <t>Inputs!B297</t>
  </si>
  <si>
    <t>CONFIRM - LT loan repayment date in 2027 (provisional 30-Jun-2027) and its interest terms</t>
  </si>
  <si>
    <t>Inputs!B494</t>
  </si>
  <si>
    <t>CONFIRM - FSL interest in NPLOG 65% (35% minority) - legal shareholding</t>
  </si>
  <si>
    <t>Inputs!B531</t>
  </si>
  <si>
    <t>Ciwadan Expansion 11.0 in the screenshot = Ciwandan (P06) + KBS warehouse (P03)? (inferred grouping)</t>
  </si>
  <si>
    <t>open question</t>
  </si>
  <si>
    <t>Capex &amp; Depreciation!B360</t>
  </si>
  <si>
    <t>FY2024-FY2026 actuals not supplied: balances at the 31-Dec-2026 valuation date and FY2024-26 capex are v29-based projections (estimates)</t>
  </si>
  <si>
    <t>Inputs!B93</t>
  </si>
  <si>
    <t>Badas feasibility study: every operating input is DUMMY (FS Data Request lists the items)</t>
  </si>
  <si>
    <t>data request</t>
  </si>
  <si>
    <t>Opening tax losses at Dec-23 (NPLOG reported an FY2023 loss of 87.2bn) - relevant only with C07</t>
  </si>
  <si>
    <t>Port long-term WH storage (60.0) and Vietnam (15.0): enter as funding-only projects (F01-F05)?</t>
  </si>
  <si>
    <t>Inputs!B83</t>
  </si>
  <si>
    <t>D.   RECONCILIATION OF BOTH CASES TO v29 - every comparable line, every year (v29 value, model value, difference, status naming the requested change behind any difference)</t>
  </si>
  <si>
    <t>With = v29 Output_FSL as saved. Without = v29 recalculated with Output_FSL!G35 = 0. Source Data 18 holds the v29 values with their rows. Status: "Matches v29" = every year within the tolerance; "Differs - requested change: ..." = the line moves only through an active requested change (LT loan repaid in 2027; new equity = residual requirement); "Differs - inputs changed" = inputs changed from the delivered baseline; "UNEXPLAINED" = neither.</t>
  </si>
  <si>
    <t>To reproduce v29 exactly (every line "Matches v29"): Inputs 10 LT loan repayment date = 31-Dec-2025 and Inputs 1 equity basis = 2 (tested). Valuation date and the capex % structure do not change these lines. Column G of each line heading = the largest difference NOT explained by an active requested change (must be within the tolerance).</t>
  </si>
  <si>
    <t>Line</t>
  </si>
  <si>
    <t>Source / model reference</t>
  </si>
  <si>
    <t>CASE WITH  -  WITH BUMN case (Sapphire OFF)  -  benchmark: v29 Output_FSL as saved (D2 = 0, F27 = 1, G35 = 1)</t>
  </si>
  <si>
    <t>With-IS01  Net sales</t>
  </si>
  <si>
    <t>Output_FSL row 44</t>
  </si>
  <si>
    <t xml:space="preserve">   v29 (Source Data 18)</t>
  </si>
  <si>
    <t>Output_FSL!J44:V44</t>
  </si>
  <si>
    <t xml:space="preserve">   Model (live)</t>
  </si>
  <si>
    <t>Out: With BUMN row 59</t>
  </si>
  <si>
    <t>Difference (model - v29)</t>
  </si>
  <si>
    <t>Explanation in words for the selected year</t>
  </si>
  <si>
    <t>With-IS02  Cost of sales</t>
  </si>
  <si>
    <t>Output_FSL row 45</t>
  </si>
  <si>
    <t>Output_FSL!J45:V45</t>
  </si>
  <si>
    <t>Out: With BUMN row 63</t>
  </si>
  <si>
    <t>With-IS03  Gross profit</t>
  </si>
  <si>
    <t>Output_FSL row 46</t>
  </si>
  <si>
    <t>Output_FSL!J46:V46</t>
  </si>
  <si>
    <t>Out: With BUMN row 64</t>
  </si>
  <si>
    <t>With-IS04  Operating expenses</t>
  </si>
  <si>
    <t>Output_FSL row 48</t>
  </si>
  <si>
    <t>Output_FSL!J48:V48</t>
  </si>
  <si>
    <t>Out: With BUMN row 65 + Out: With BUMN row 66</t>
  </si>
  <si>
    <t>Explanation in words for the selected year (Model line incl. cancellation costs (nil at the delivered settings).)</t>
  </si>
  <si>
    <t>With-IS05  EBITDA</t>
  </si>
  <si>
    <t>Output_FSL row 49</t>
  </si>
  <si>
    <t>Output_FSL!J49:V49</t>
  </si>
  <si>
    <t>Out: With BUMN row 67</t>
  </si>
  <si>
    <t>With-IS06  Depreciation &amp; amortization</t>
  </si>
  <si>
    <t>Output_FSL row 51</t>
  </si>
  <si>
    <t>Output_FSL!J51:V51</t>
  </si>
  <si>
    <t>Out: With BUMN row 68</t>
  </si>
  <si>
    <t>With-IS07  EBIT</t>
  </si>
  <si>
    <t>Output_FSL row 52</t>
  </si>
  <si>
    <t>Output_FSL!J52:V52</t>
  </si>
  <si>
    <t>Out: With BUMN row 69</t>
  </si>
  <si>
    <t>With-IS08  Financing cost</t>
  </si>
  <si>
    <t>Output_FSL row 54 | may move: L</t>
  </si>
  <si>
    <t>Output_FSL!J54:V54</t>
  </si>
  <si>
    <t>Out: With BUMN row 74</t>
  </si>
  <si>
    <t>Explanation in words for the selected year (Existing-loan interest per the v29 schedules + interest on the LT loan until its repayment in 2027.)</t>
  </si>
  <si>
    <t>With-IS09  EBT</t>
  </si>
  <si>
    <t>Output_FSL row 55 | may move: L</t>
  </si>
  <si>
    <t>Output_FSL!J55:V55</t>
  </si>
  <si>
    <t>Out: With BUMN row 75</t>
  </si>
  <si>
    <t>With-IS10  Tax</t>
  </si>
  <si>
    <t>Output_FSL row 57 | may move: L</t>
  </si>
  <si>
    <t>Output_FSL!J57:V57</t>
  </si>
  <si>
    <t>Out: With BUMN row 76</t>
  </si>
  <si>
    <t>Explanation in words for the selected year (v29 line method: 22% x MAX(0, profit) of each business line.)</t>
  </si>
  <si>
    <t>With-IS11  Net profit</t>
  </si>
  <si>
    <t>Output_FSL row 58 | may move: L</t>
  </si>
  <si>
    <t>Output_FSL!J58:V58</t>
  </si>
  <si>
    <t>Out: With BUMN row 77</t>
  </si>
  <si>
    <t>With-CF01  Net income</t>
  </si>
  <si>
    <t>Output_FSL row 70 | may move: L</t>
  </si>
  <si>
    <t>Output_FSL!J70:V70</t>
  </si>
  <si>
    <t>Out: With BUMN row 269</t>
  </si>
  <si>
    <t>With-CF02  Depreciation</t>
  </si>
  <si>
    <t>Output_FSL row 71</t>
  </si>
  <si>
    <t>Output_FSL!J71:V71</t>
  </si>
  <si>
    <t>Out: With BUMN row 270</t>
  </si>
  <si>
    <t>With-CF03  Change in net working capital</t>
  </si>
  <si>
    <t>Output_FSL row 72</t>
  </si>
  <si>
    <t>Output_FSL!J72:V72</t>
  </si>
  <si>
    <t>Out: With BUMN row 272</t>
  </si>
  <si>
    <t>With-CF04  Cash flow from operation</t>
  </si>
  <si>
    <t>Output_FSL row 73 | may move: L</t>
  </si>
  <si>
    <t>Output_FSL!J73:V73</t>
  </si>
  <si>
    <t>Out: With BUMN row 273</t>
  </si>
  <si>
    <t>With-CF05  Other investment (Sapphire x switch)</t>
  </si>
  <si>
    <t>Output_FSL row 76</t>
  </si>
  <si>
    <t>Output_FSL!J76:V76</t>
  </si>
  <si>
    <t>Explanation in words for the selected year (v29 row 76 = Output_Sapphire x D2 (= 0). Not carried in the model (Sapphire excluded); compared with nil.)</t>
  </si>
  <si>
    <t>With-CF06  Fix asset acquisition (2023 column = pre-2024 spend)</t>
  </si>
  <si>
    <t>Output_FSL row 77</t>
  </si>
  <si>
    <t>Output_FSL!I77:V77</t>
  </si>
  <si>
    <t>Out: With BUMN row 274 + Out: With BUMN row 275</t>
  </si>
  <si>
    <t>Explanation in words for the selected year (Capex = total investment x spending % (v29 timing as delivered).)</t>
  </si>
  <si>
    <t>With-CF07  Cash flow from investing</t>
  </si>
  <si>
    <t>Output_FSL row 78</t>
  </si>
  <si>
    <t>Output_FSL!J78:V78</t>
  </si>
  <si>
    <t>Out: With BUMN row 276</t>
  </si>
  <si>
    <t>With-CF08  Equity injection</t>
  </si>
  <si>
    <t>Output_FSL row 81 | may move: LF</t>
  </si>
  <si>
    <t>Output_FSL!J81:V81</t>
  </si>
  <si>
    <t>Out: With BUMN row 277</t>
  </si>
  <si>
    <t>Explanation in words for the selected year (v29: new shares = project capex of FY2026-27. Revised: residual funding requirement (Funding Requirement).)</t>
  </si>
  <si>
    <t>With-CF09  Loan repayment</t>
  </si>
  <si>
    <t>Output_FSL row 82 | may move: L</t>
  </si>
  <si>
    <t>Output_FSL!J82:V82</t>
  </si>
  <si>
    <t>Out: With BUMN row 278 + Out: With BUMN row 279</t>
  </si>
  <si>
    <t>With-CF10  Dividend payment</t>
  </si>
  <si>
    <t>Output_FSL row 83 | may move: LF</t>
  </si>
  <si>
    <t>Output_FSL!J83:V83</t>
  </si>
  <si>
    <t>Out: With BUMN row 280 + Out: With BUMN row 281</t>
  </si>
  <si>
    <t>Explanation in words for the selected year (v29 rules: 30% x clean net income within the reserve and cash tests.)</t>
  </si>
  <si>
    <t>With-CF11  Cash flow from financing</t>
  </si>
  <si>
    <t>Output_FSL row 84 | may move: LF</t>
  </si>
  <si>
    <t>Output_FSL!J84:V84</t>
  </si>
  <si>
    <t>Out: With BUMN row 282</t>
  </si>
  <si>
    <t>With-CF12  Net cash flow</t>
  </si>
  <si>
    <t>Output_FSL row 86 | may move: LF</t>
  </si>
  <si>
    <t>Output_FSL!J86:V86</t>
  </si>
  <si>
    <t>Out: With BUMN row 283</t>
  </si>
  <si>
    <t>With-CF13  Ending cash balance (2023 = opening)</t>
  </si>
  <si>
    <t>Output_FSL row 88 | may move: LF</t>
  </si>
  <si>
    <t>Output_FSL!I88:V88</t>
  </si>
  <si>
    <t>Out: With BUMN row 284</t>
  </si>
  <si>
    <t>With-BS01  Cash</t>
  </si>
  <si>
    <t>Output_FSL row 95 | may move: LF</t>
  </si>
  <si>
    <t>Output_FSL!I95:V95</t>
  </si>
  <si>
    <t>Out: With BUMN row 241</t>
  </si>
  <si>
    <t>With-BS02  Inventory</t>
  </si>
  <si>
    <t>Output_FSL row 96</t>
  </si>
  <si>
    <t>Output_FSL!I96:V96</t>
  </si>
  <si>
    <t>Out: With BUMN row 242</t>
  </si>
  <si>
    <t>Explanation in words for the selected year (v29: Dec-23 balance held to FY2033, nil from FY2034 (C11).)</t>
  </si>
  <si>
    <t>With-BS03  Account receivables</t>
  </si>
  <si>
    <t>Output_FSL row 97</t>
  </si>
  <si>
    <t>Output_FSL!I97:V97</t>
  </si>
  <si>
    <t>Out: With BUMN row 243</t>
  </si>
  <si>
    <t>Explanation in words for the selected year (Dec-23 = v29 typed 45.0 (C10).)</t>
  </si>
  <si>
    <t>With-BS04  Fix asset</t>
  </si>
  <si>
    <t>Output_FSL row 98</t>
  </si>
  <si>
    <t>Output_FSL!I98:V98</t>
  </si>
  <si>
    <t>Out: With BUMN row 244</t>
  </si>
  <si>
    <t>Explanation in words for the selected year (v29 basis: opening NBV + capex - depreciation; negative from FY2035 (C05).)</t>
  </si>
  <si>
    <t>With-BS05  Other assets</t>
  </si>
  <si>
    <t>Output_FSL row 99</t>
  </si>
  <si>
    <t>Output_FSL!I99:V99</t>
  </si>
  <si>
    <t>Out: With BUMN row 245</t>
  </si>
  <si>
    <t>Explanation in words for the selected year (Held at Dec-23 (incl. time deposits and the Dec-23 assets under construction).)</t>
  </si>
  <si>
    <t>With-BS06  Total assets</t>
  </si>
  <si>
    <t>Output_FSL row 100 | may move: LF</t>
  </si>
  <si>
    <t>Output_FSL!I100:V100</t>
  </si>
  <si>
    <t>Out: With BUMN row 246</t>
  </si>
  <si>
    <t>With-BS07  Account payable</t>
  </si>
  <si>
    <t>Output_FSL row 103</t>
  </si>
  <si>
    <t>Output_FSL!I103:V103</t>
  </si>
  <si>
    <t>Out: With BUMN row 249</t>
  </si>
  <si>
    <t>Explanation in words for the selected year (Dec-23 = v29 typed 14.672 (C10).)</t>
  </si>
  <si>
    <t>With-BS08  Bank loan</t>
  </si>
  <si>
    <t>Output_FSL row 104 | may move: L</t>
  </si>
  <si>
    <t>Output_FSL!I104:V104</t>
  </si>
  <si>
    <t>Out: With BUMN row 250 + Out: With BUMN row 251 + Out: With BUMN row 252</t>
  </si>
  <si>
    <t>Explanation in words for the selected year (LT loan 195.18 outstanding until its repayment in 2027 (v29: repaid in FY2025).)</t>
  </si>
  <si>
    <t>With-BS09  Other liability</t>
  </si>
  <si>
    <t>Output_FSL row 105</t>
  </si>
  <si>
    <t>Output_FSL!I105:V105</t>
  </si>
  <si>
    <t>Out: With BUMN row 253</t>
  </si>
  <si>
    <t>Explanation in words for the selected year (Held at Dec-23 = v29 plugged 55.9 (C10).)</t>
  </si>
  <si>
    <t>With-BS10  Total liability</t>
  </si>
  <si>
    <t>Output_FSL row 106 | may move: L</t>
  </si>
  <si>
    <t>Output_FSL!I106:V106</t>
  </si>
  <si>
    <t>Out: With BUMN row 254</t>
  </si>
  <si>
    <t>With-BS11  Equity (paid-in capital)</t>
  </si>
  <si>
    <t>Output_FSL row 109 | may move: LF</t>
  </si>
  <si>
    <t>Output_FSL!I109:V109</t>
  </si>
  <si>
    <t>Out: With BUMN row 258</t>
  </si>
  <si>
    <t>With-BS12  Retained earnings</t>
  </si>
  <si>
    <t>Output_FSL row 111 | may move: LF</t>
  </si>
  <si>
    <t>Output_FSL!I111:V111</t>
  </si>
  <si>
    <t>Out: With BUMN row 259</t>
  </si>
  <si>
    <t>With-BS13  Total equity</t>
  </si>
  <si>
    <t>Output_FSL row 112 | may move: LF</t>
  </si>
  <si>
    <t>Output_FSL!I112:V112</t>
  </si>
  <si>
    <t>Out: With BUMN row 260</t>
  </si>
  <si>
    <t>With-BS14  Balance check (v29: ROUNDDOWN to 2 decimals)</t>
  </si>
  <si>
    <t>Output_FSL row 114</t>
  </si>
  <si>
    <t>Output_FSL!I114:V114</t>
  </si>
  <si>
    <t>Out: With BUMN row 264</t>
  </si>
  <si>
    <t>Explanation in words for the selected year (Both 0.00 after ROUNDDOWN; the unrounded 0.006 residual (source issue C10) is shown on the output sheets and in line V8.)</t>
  </si>
  <si>
    <t>With-FC01  FCFF - EBIT</t>
  </si>
  <si>
    <t>Output_FSL row 120</t>
  </si>
  <si>
    <t>Output_FSL!J120:V120</t>
  </si>
  <si>
    <t>Out: With BUMN row 292</t>
  </si>
  <si>
    <t>Explanation in words for the selected year (v29 definitions (Output_FSL rows 120-130), reproduced at the end of each FSL Output sheet; unaffected by the requested changes.)</t>
  </si>
  <si>
    <t>With-FC02  FCFF - Tax (22% of positive EBIT)</t>
  </si>
  <si>
    <t>Output_FSL row 121</t>
  </si>
  <si>
    <t>Output_FSL!J121:V121</t>
  </si>
  <si>
    <t>Out: With BUMN row 293</t>
  </si>
  <si>
    <t>With-FC03  FCFF - Depreciation</t>
  </si>
  <si>
    <t>Output_FSL row 122</t>
  </si>
  <si>
    <t>Output_FSL!J122:V122</t>
  </si>
  <si>
    <t>Out: With BUMN row 294</t>
  </si>
  <si>
    <t>With-FC04  FCFF - Investment (FY2024 incl. pre-2024 spend)</t>
  </si>
  <si>
    <t>Output_FSL row 123</t>
  </si>
  <si>
    <t>Output_FSL!J123:V123</t>
  </si>
  <si>
    <t>Out: With BUMN row 295</t>
  </si>
  <si>
    <t>With-FC05  FCFF - Change in NWC</t>
  </si>
  <si>
    <t>Output_FSL row 124</t>
  </si>
  <si>
    <t>Output_FSL!J124:V124</t>
  </si>
  <si>
    <t>Out: With BUMN row 296</t>
  </si>
  <si>
    <t>With-FC06  Free cash flow to firm (v29 definition)</t>
  </si>
  <si>
    <t>Output_FSL row 125</t>
  </si>
  <si>
    <t>Output_FSL!J125:V125</t>
  </si>
  <si>
    <t>Out: With BUMN row 297</t>
  </si>
  <si>
    <t>With-FC07  Cumulative FCFF</t>
  </si>
  <si>
    <t>Output_FSL row 130</t>
  </si>
  <si>
    <t>Output_FSL!J130:V130</t>
  </si>
  <si>
    <t>Out: With BUMN row 298</t>
  </si>
  <si>
    <t>With-SC01  Working capital (Calculation_FSL row 1467)</t>
  </si>
  <si>
    <t>Calculation_FSL row 1467</t>
  </si>
  <si>
    <t>Calculation_FSL!I1467:V1467</t>
  </si>
  <si>
    <t>Work. cap. row 115</t>
  </si>
  <si>
    <t>With-SC02  Total investment IDR bn (row 1484; 2023 = pre-2024)</t>
  </si>
  <si>
    <t>Calculation_FSL row 1484</t>
  </si>
  <si>
    <t>Calculation_FSL!I1484:V1484</t>
  </si>
  <si>
    <t>Capex row 81 + Capex row 210</t>
  </si>
  <si>
    <t>With-SC03  Proceed from investor (row 1500)</t>
  </si>
  <si>
    <t>Calculation_FSL row 1500 | may move: LF</t>
  </si>
  <si>
    <t>Calculation_FSL!J1500:V1500</t>
  </si>
  <si>
    <t>Financing row 61</t>
  </si>
  <si>
    <t>With-SC04  Existing loan repayment (row 1516)</t>
  </si>
  <si>
    <t>Calculation_FSL row 1516 | may move: L</t>
  </si>
  <si>
    <t>Calculation_FSL!J1516:V1516</t>
  </si>
  <si>
    <t>Financing row 19</t>
  </si>
  <si>
    <t>With-SC05  Net income - Teluk Lamong lines (row 1546)</t>
  </si>
  <si>
    <t>Calculation_FSL row 1546</t>
  </si>
  <si>
    <t>Calculation_FSL!J1546:V1546</t>
  </si>
  <si>
    <t>Out: With BUMN row 233</t>
  </si>
  <si>
    <t>Explanation in words for the selected year (Teluk Lamong existing + DMS Teluk Lamong net profit (the 65% base).)</t>
  </si>
  <si>
    <t>With-SC06  Net income - clean (row 1549)</t>
  </si>
  <si>
    <t>Calculation_FSL row 1549 | may move: L</t>
  </si>
  <si>
    <t>Calculation_FSL!J1549:V1549</t>
  </si>
  <si>
    <t>Out: With BUMN row 79</t>
  </si>
  <si>
    <t>Explanation in words for the selected year (Dividend base = profit attributable to FSL.)</t>
  </si>
  <si>
    <t>With-SC07  Dividend target (row 1550)</t>
  </si>
  <si>
    <t>Calculation_FSL row 1550 | may move: L</t>
  </si>
  <si>
    <t>Calculation_FSL!J1550:V1550</t>
  </si>
  <si>
    <t>Financing row 66</t>
  </si>
  <si>
    <t>With-SC08  Maximum dividend - reserve test (row 1543)</t>
  </si>
  <si>
    <t>Calculation_FSL row 1543 | may move: L</t>
  </si>
  <si>
    <t>Calculation_FSL!J1543:V1543</t>
  </si>
  <si>
    <t>Financing row 69</t>
  </si>
  <si>
    <t>With-SC09  Maximum dividend - cash test (row 1532)</t>
  </si>
  <si>
    <t>Calculation_FSL row 1532 | may move: LF</t>
  </si>
  <si>
    <t>Calculation_FSL!J1532:V1532</t>
  </si>
  <si>
    <t>Financing row 70</t>
  </si>
  <si>
    <t>With-SC10  Dividend paid (row 1556)</t>
  </si>
  <si>
    <t>Calculation_FSL row 1556 | may move: LF</t>
  </si>
  <si>
    <t>Calculation_FSL!J1556:V1556</t>
  </si>
  <si>
    <t>Financing row 71</t>
  </si>
  <si>
    <t>With-SC11  Retained earnings (row 1560)</t>
  </si>
  <si>
    <t>Calculation_FSL row 1560 | may move: LF</t>
  </si>
  <si>
    <t>Calculation_FSL!J1560:V1560</t>
  </si>
  <si>
    <t>Financing row 76</t>
  </si>
  <si>
    <t>With-FC IRR of the v29 FCFF (Output_FSL!J137): v29 / model / difference</t>
  </si>
  <si>
    <t>With-FC Payback period (Output_FSL!J138): v29 / model / difference</t>
  </si>
  <si>
    <t>Case With status matrix (per line: status, largest difference over the years)</t>
  </si>
  <si>
    <t>go to line</t>
  </si>
  <si>
    <t>Case With: lines that match v29 within the tolerance</t>
  </si>
  <si>
    <t>lines</t>
  </si>
  <si>
    <t>Case With: lines that differ only through an active requested change</t>
  </si>
  <si>
    <t>Case With: lines that differ because inputs / switches were changed</t>
  </si>
  <si>
    <t>Case With: lines with an unexplained difference</t>
  </si>
  <si>
    <t>Case With: reconciled lines</t>
  </si>
  <si>
    <t>Case With: largest difference over all lines and years (incl. requested changes)</t>
  </si>
  <si>
    <t>Case With: largest difference on lines not affected by an active requested change</t>
  </si>
  <si>
    <t>CASE WITHOUT  -  WITHOUT BUMN case (Sapphire OFF)  -  benchmark: v29 recalculated with Output_FSL!G35 = 0</t>
  </si>
  <si>
    <t>Without-IS01  Net sales</t>
  </si>
  <si>
    <t>Output_FSL row 44 (G35 = 0)</t>
  </si>
  <si>
    <t>Out: w/o BUMN row 9</t>
  </si>
  <si>
    <t>Without-IS02  Cost of sales</t>
  </si>
  <si>
    <t>Output_FSL row 45 (G35 = 0)</t>
  </si>
  <si>
    <t>Out: w/o BUMN row 12</t>
  </si>
  <si>
    <t>Without-IS03  Gross profit</t>
  </si>
  <si>
    <t>Output_FSL row 46 (G35 = 0)</t>
  </si>
  <si>
    <t>Out: w/o BUMN row 13</t>
  </si>
  <si>
    <t>Without-IS04  Operating expenses</t>
  </si>
  <si>
    <t>Output_FSL row 48 (G35 = 0)</t>
  </si>
  <si>
    <t>Out: w/o BUMN row 14 + Out: w/o BUMN row 15</t>
  </si>
  <si>
    <t>Without-IS05  EBITDA</t>
  </si>
  <si>
    <t>Output_FSL row 49 (G35 = 0)</t>
  </si>
  <si>
    <t>Out: w/o BUMN row 16</t>
  </si>
  <si>
    <t>Without-IS06  Depreciation &amp; amortization</t>
  </si>
  <si>
    <t>Output_FSL row 51 (G35 = 0)</t>
  </si>
  <si>
    <t>Out: w/o BUMN row 17</t>
  </si>
  <si>
    <t>Without-IS07  EBIT</t>
  </si>
  <si>
    <t>Output_FSL row 52 (G35 = 0)</t>
  </si>
  <si>
    <t>Out: w/o BUMN row 18</t>
  </si>
  <si>
    <t>Without-IS08  Financing cost</t>
  </si>
  <si>
    <t>Output_FSL row 54 (G35 = 0) | may move: L</t>
  </si>
  <si>
    <t>Out: w/o BUMN row 23</t>
  </si>
  <si>
    <t>Without-IS09  EBT</t>
  </si>
  <si>
    <t>Output_FSL row 55 (G35 = 0) | may move: L</t>
  </si>
  <si>
    <t>Out: w/o BUMN row 24</t>
  </si>
  <si>
    <t>Without-IS10  Tax</t>
  </si>
  <si>
    <t>Output_FSL row 57 (G35 = 0) | may move: L</t>
  </si>
  <si>
    <t>Out: w/o BUMN row 25</t>
  </si>
  <si>
    <t>Without-IS11  Net profit</t>
  </si>
  <si>
    <t>Output_FSL row 58 (G35 = 0) | may move: L</t>
  </si>
  <si>
    <t>Out: w/o BUMN row 26</t>
  </si>
  <si>
    <t>Without-CF01  Net income</t>
  </si>
  <si>
    <t>Output_FSL row 70 (G35 = 0) | may move: L</t>
  </si>
  <si>
    <t>Out: w/o BUMN row 218</t>
  </si>
  <si>
    <t>Without-CF02  Depreciation</t>
  </si>
  <si>
    <t>Output_FSL row 71 (G35 = 0)</t>
  </si>
  <si>
    <t>Out: w/o BUMN row 219</t>
  </si>
  <si>
    <t>Without-CF03  Change in net working capital</t>
  </si>
  <si>
    <t>Output_FSL row 72 (G35 = 0)</t>
  </si>
  <si>
    <t>Out: w/o BUMN row 221</t>
  </si>
  <si>
    <t>Without-CF04  Cash flow from operation</t>
  </si>
  <si>
    <t>Output_FSL row 73 (G35 = 0) | may move: L</t>
  </si>
  <si>
    <t>Out: w/o BUMN row 222</t>
  </si>
  <si>
    <t>Without-CF05  Other investment (Sapphire x switch)</t>
  </si>
  <si>
    <t>Output_FSL row 76 (G35 = 0)</t>
  </si>
  <si>
    <t>Without-CF06  Fix asset acquisition (2023 column = pre-2024 spend)</t>
  </si>
  <si>
    <t>Output_FSL row 77 (G35 = 0)</t>
  </si>
  <si>
    <t>Out: w/o BUMN row 223 + Out: w/o BUMN row 224</t>
  </si>
  <si>
    <t>Without-CF07  Cash flow from investing</t>
  </si>
  <si>
    <t>Output_FSL row 78 (G35 = 0)</t>
  </si>
  <si>
    <t>Out: w/o BUMN row 225</t>
  </si>
  <si>
    <t>Without-CF08  Equity injection</t>
  </si>
  <si>
    <t>Output_FSL row 81 (G35 = 0) | may move: LF</t>
  </si>
  <si>
    <t>Out: w/o BUMN row 226</t>
  </si>
  <si>
    <t>Without-CF09  Loan repayment</t>
  </si>
  <si>
    <t>Output_FSL row 82 (G35 = 0) | may move: L</t>
  </si>
  <si>
    <t>Out: w/o BUMN row 227 + Out: w/o BUMN row 228</t>
  </si>
  <si>
    <t>Without-CF10  Dividend payment</t>
  </si>
  <si>
    <t>Output_FSL row 83 (G35 = 0) | may move: LF</t>
  </si>
  <si>
    <t>Out: w/o BUMN row 229 + Out: w/o BUMN row 230</t>
  </si>
  <si>
    <t>Without-CF11  Cash flow from financing</t>
  </si>
  <si>
    <t>Output_FSL row 84 (G35 = 0) | may move: LF</t>
  </si>
  <si>
    <t>Out: w/o BUMN row 231</t>
  </si>
  <si>
    <t>Without-CF12  Net cash flow</t>
  </si>
  <si>
    <t>Output_FSL row 86 (G35 = 0) | may move: LF</t>
  </si>
  <si>
    <t>Out: w/o BUMN row 232</t>
  </si>
  <si>
    <t>Without-CF13  Ending cash balance (2023 = opening)</t>
  </si>
  <si>
    <t>Output_FSL row 88 (G35 = 0) | may move: LF</t>
  </si>
  <si>
    <t>Out: w/o BUMN row 233</t>
  </si>
  <si>
    <t>Without-BS01  Cash</t>
  </si>
  <si>
    <t>Output_FSL row 95 (G35 = 0) | may move: LF</t>
  </si>
  <si>
    <t>Out: w/o BUMN row 190</t>
  </si>
  <si>
    <t>Without-BS02  Inventory</t>
  </si>
  <si>
    <t>Output_FSL row 96 (G35 = 0)</t>
  </si>
  <si>
    <t>Out: w/o BUMN row 191</t>
  </si>
  <si>
    <t>Without-BS03  Account receivables</t>
  </si>
  <si>
    <t>Output_FSL row 97 (G35 = 0)</t>
  </si>
  <si>
    <t>Out: w/o BUMN row 192</t>
  </si>
  <si>
    <t>Without-BS04  Fix asset</t>
  </si>
  <si>
    <t>Output_FSL row 98 (G35 = 0)</t>
  </si>
  <si>
    <t>Out: w/o BUMN row 193</t>
  </si>
  <si>
    <t>Without-BS05  Other assets</t>
  </si>
  <si>
    <t>Output_FSL row 99 (G35 = 0)</t>
  </si>
  <si>
    <t>Out: w/o BUMN row 194</t>
  </si>
  <si>
    <t>Without-BS06  Total assets</t>
  </si>
  <si>
    <t>Output_FSL row 100 (G35 = 0) | may move: LF</t>
  </si>
  <si>
    <t>Out: w/o BUMN row 195</t>
  </si>
  <si>
    <t>Without-BS07  Account payable</t>
  </si>
  <si>
    <t>Output_FSL row 103 (G35 = 0)</t>
  </si>
  <si>
    <t>Out: w/o BUMN row 198</t>
  </si>
  <si>
    <t>Without-BS08  Bank loan</t>
  </si>
  <si>
    <t>Output_FSL row 104 (G35 = 0) | may move: L</t>
  </si>
  <si>
    <t>Out: w/o BUMN row 199 + Out: w/o BUMN row 200 + Out: w/o BUMN row 201</t>
  </si>
  <si>
    <t>Without-BS09  Other liability</t>
  </si>
  <si>
    <t>Output_FSL row 105 (G35 = 0)</t>
  </si>
  <si>
    <t>Out: w/o BUMN row 202</t>
  </si>
  <si>
    <t>Without-BS10  Total liability</t>
  </si>
  <si>
    <t>Output_FSL row 106 (G35 = 0) | may move: L</t>
  </si>
  <si>
    <t>Out: w/o BUMN row 203</t>
  </si>
  <si>
    <t>Without-BS11  Equity (paid-in capital)</t>
  </si>
  <si>
    <t>Output_FSL row 109 (G35 = 0) | may move: LF</t>
  </si>
  <si>
    <t>Out: w/o BUMN row 207</t>
  </si>
  <si>
    <t>Without-BS12  Retained earnings</t>
  </si>
  <si>
    <t>Output_FSL row 111 (G35 = 0) | may move: LF</t>
  </si>
  <si>
    <t>Out: w/o BUMN row 208</t>
  </si>
  <si>
    <t>Without-BS13  Total equity</t>
  </si>
  <si>
    <t>Output_FSL row 112 (G35 = 0) | may move: LF</t>
  </si>
  <si>
    <t>Out: w/o BUMN row 209</t>
  </si>
  <si>
    <t>Without-BS14  Balance check (v29: ROUNDDOWN to 2 decimals)</t>
  </si>
  <si>
    <t>Output_FSL row 114 (G35 = 0)</t>
  </si>
  <si>
    <t>Out: w/o BUMN row 213</t>
  </si>
  <si>
    <t>Without-FC01  FCFF - EBIT</t>
  </si>
  <si>
    <t>Output_FSL row 120 (G35 = 0)</t>
  </si>
  <si>
    <t>Out: w/o BUMN row 241</t>
  </si>
  <si>
    <t>Without-FC02  FCFF - Tax (22% of positive EBIT)</t>
  </si>
  <si>
    <t>Output_FSL row 121 (G35 = 0)</t>
  </si>
  <si>
    <t>Out: w/o BUMN row 242</t>
  </si>
  <si>
    <t>Without-FC03  FCFF - Depreciation</t>
  </si>
  <si>
    <t>Output_FSL row 122 (G35 = 0)</t>
  </si>
  <si>
    <t>Out: w/o BUMN row 243</t>
  </si>
  <si>
    <t>Without-FC04  FCFF - Investment (FY2024 incl. pre-2024 spend)</t>
  </si>
  <si>
    <t>Output_FSL row 123 (G35 = 0)</t>
  </si>
  <si>
    <t>Out: w/o BUMN row 244</t>
  </si>
  <si>
    <t>Without-FC05  FCFF - Change in NWC</t>
  </si>
  <si>
    <t>Output_FSL row 124 (G35 = 0)</t>
  </si>
  <si>
    <t>Out: w/o BUMN row 245</t>
  </si>
  <si>
    <t>Without-FC06  Free cash flow to firm (v29 definition)</t>
  </si>
  <si>
    <t>Output_FSL row 125 (G35 = 0)</t>
  </si>
  <si>
    <t>Out: w/o BUMN row 246</t>
  </si>
  <si>
    <t>Without-FC07  Cumulative FCFF</t>
  </si>
  <si>
    <t>Output_FSL row 130 (G35 = 0)</t>
  </si>
  <si>
    <t>Out: w/o BUMN row 247</t>
  </si>
  <si>
    <t>Without-SC01  Working capital (Calculation_FSL row 1467)</t>
  </si>
  <si>
    <t>Calculation_FSL row 1467 (G35 = 0)</t>
  </si>
  <si>
    <t>Work. cap. row 121</t>
  </si>
  <si>
    <t>Without-SC02  Total investment IDR bn (row 1484; 2023 = pre-2024)</t>
  </si>
  <si>
    <t>Calculation_FSL row 1484 (G35 = 0)</t>
  </si>
  <si>
    <t>Capex row 80 + Capex row 210</t>
  </si>
  <si>
    <t>Without-SC03  Proceed from investor (row 1500)</t>
  </si>
  <si>
    <t>Calculation_FSL row 1500 (G35 = 0) | may move: LF</t>
  </si>
  <si>
    <t>Financing row 90</t>
  </si>
  <si>
    <t>Without-SC04  Existing loan repayment (row 1516)</t>
  </si>
  <si>
    <t>Calculation_FSL row 1516 (G35 = 0) | may move: L</t>
  </si>
  <si>
    <t>Without-SC05  Net income - Teluk Lamong lines (row 1546)</t>
  </si>
  <si>
    <t>Calculation_FSL row 1546 (G35 = 0)</t>
  </si>
  <si>
    <t>Out: w/o BUMN row 182</t>
  </si>
  <si>
    <t>Without-SC06  Net income - clean (row 1549)</t>
  </si>
  <si>
    <t>Calculation_FSL row 1549 (G35 = 0) | may move: L</t>
  </si>
  <si>
    <t>Out: w/o BUMN row 28</t>
  </si>
  <si>
    <t>Without-SC07  Dividend target (row 1550)</t>
  </si>
  <si>
    <t>Calculation_FSL row 1550 (G35 = 0) | may move: L</t>
  </si>
  <si>
    <t>Financing row 95</t>
  </si>
  <si>
    <t>Without-SC08  Maximum dividend - reserve test (row 1543)</t>
  </si>
  <si>
    <t>Calculation_FSL row 1543 (G35 = 0) | may move: L</t>
  </si>
  <si>
    <t>Financing row 98</t>
  </si>
  <si>
    <t>Without-SC09  Maximum dividend - cash test (row 1532)</t>
  </si>
  <si>
    <t>Calculation_FSL row 1532 (G35 = 0) | may move: LF</t>
  </si>
  <si>
    <t>Financing row 99</t>
  </si>
  <si>
    <t>Without-SC10  Dividend paid (row 1556)</t>
  </si>
  <si>
    <t>Calculation_FSL row 1556 (G35 = 0) | may move: LF</t>
  </si>
  <si>
    <t>Financing row 100</t>
  </si>
  <si>
    <t>Without-SC11  Retained earnings (row 1560)</t>
  </si>
  <si>
    <t>Calculation_FSL row 1560 (G35 = 0) | may move: LF</t>
  </si>
  <si>
    <t>Financing row 105</t>
  </si>
  <si>
    <t>Without-FC IRR of the v29 FCFF (Output_FSL!J137): v29 / model / difference</t>
  </si>
  <si>
    <t>Without-FC Payback period (Output_FSL!J138): v29 / model / difference</t>
  </si>
  <si>
    <t>Case Without status matrix (per line: status, largest difference over the years)</t>
  </si>
  <si>
    <t>Case Without: lines that match v29 within the tolerance</t>
  </si>
  <si>
    <t>Case Without: lines that differ only through an active requested change</t>
  </si>
  <si>
    <t>Case Without: lines that differ because inputs / switches were changed</t>
  </si>
  <si>
    <t>Case Without: lines with an unexplained difference</t>
  </si>
  <si>
    <t>Case Without: reconciled lines</t>
  </si>
  <si>
    <t>Case Without: largest difference over all lines and years (incl. requested changes)</t>
  </si>
  <si>
    <t>Case Without: largest difference on lines not affected by an active requested change</t>
  </si>
  <si>
    <t>E.   PROJECT-LEVEL RECONCILIATION - the 16 v29 business blocks (Output_Standalone (IDR), With BUMN case) vs the model businesses, line by line</t>
  </si>
  <si>
    <t>Model lines per block: revenue and costs of the businesses in the block, depreciation, interest allocated to the line (incl. the carried LT loan for E2 / P01), profit before tax, tax and net profit (With BUMN sheet, tax section). The Without BUMN case differs only in the Operatorship block. E2 and P01 differ from v29 in FY2026-27 through the requested LT loan change only.</t>
  </si>
  <si>
    <t>Block / line</t>
  </si>
  <si>
    <t>E1  NPLOG - Teluk Lamong existing  (Output_Standalone (IDR) title row 18; model E1)</t>
  </si>
  <si>
    <t xml:space="preserve">   Net sales - v29 (row 20)</t>
  </si>
  <si>
    <t xml:space="preserve">   Net sales - model</t>
  </si>
  <si>
    <t xml:space="preserve">      Net sales - difference</t>
  </si>
  <si>
    <t xml:space="preserve">   Cost of sales - v29 (row 21)</t>
  </si>
  <si>
    <t xml:space="preserve">   Cost of sales - model</t>
  </si>
  <si>
    <t xml:space="preserve">      Cost of sales - difference</t>
  </si>
  <si>
    <t xml:space="preserve">   Operating expenses - v29 (row 24)</t>
  </si>
  <si>
    <t xml:space="preserve">   Operating expenses - model</t>
  </si>
  <si>
    <t xml:space="preserve">      Operating expenses - difference</t>
  </si>
  <si>
    <t xml:space="preserve">   Depreciation &amp; amortization - v29 (row 27)</t>
  </si>
  <si>
    <t xml:space="preserve">   Depreciation &amp; amortization - model</t>
  </si>
  <si>
    <t xml:space="preserve">      Depreciation &amp; amortization - difference</t>
  </si>
  <si>
    <t xml:space="preserve">   Financing cost - v29 (row 30)</t>
  </si>
  <si>
    <t xml:space="preserve">   Financing cost - model</t>
  </si>
  <si>
    <t xml:space="preserve">      Financing cost - difference</t>
  </si>
  <si>
    <t xml:space="preserve">   EBT - v29 (row 31)</t>
  </si>
  <si>
    <t xml:space="preserve">   EBT - model</t>
  </si>
  <si>
    <t xml:space="preserve">      EBT - difference</t>
  </si>
  <si>
    <t xml:space="preserve">   Tax - v29 (row 33)</t>
  </si>
  <si>
    <t xml:space="preserve">   Tax - model</t>
  </si>
  <si>
    <t xml:space="preserve">      Tax - difference</t>
  </si>
  <si>
    <t xml:space="preserve">   Net profit - v29 (row 34)</t>
  </si>
  <si>
    <t xml:space="preserve">   Net profit - model</t>
  </si>
  <si>
    <t xml:space="preserve">      Net profit - difference</t>
  </si>
  <si>
    <t>P04  TTL Silo  (Output_Standalone (IDR) title row 42; model P04)</t>
  </si>
  <si>
    <t xml:space="preserve">   Net sales - v29 (row 44)</t>
  </si>
  <si>
    <t xml:space="preserve">   Cost of sales - v29 (row 45)</t>
  </si>
  <si>
    <t xml:space="preserve">   Operating expenses - v29 (row 48)</t>
  </si>
  <si>
    <t xml:space="preserve">   Depreciation &amp; amortization - v29 (row 51)</t>
  </si>
  <si>
    <t xml:space="preserve">   Financing cost - v29 (row 54)</t>
  </si>
  <si>
    <t xml:space="preserve">   EBT - v29 (row 55)</t>
  </si>
  <si>
    <t xml:space="preserve">   Tax - v29 (row 57)</t>
  </si>
  <si>
    <t xml:space="preserve">   Net profit - v29 (row 58)</t>
  </si>
  <si>
    <t>P05  Dumai  (Output_Standalone (IDR) title row 66; model P05)</t>
  </si>
  <si>
    <t xml:space="preserve">   Net sales - v29 (row 68)</t>
  </si>
  <si>
    <t xml:space="preserve">   Cost of sales - v29 (row 69)</t>
  </si>
  <si>
    <t xml:space="preserve">   Operating expenses - v29 (row 72)</t>
  </si>
  <si>
    <t xml:space="preserve">   Depreciation &amp; amortization - v29 (row 75)</t>
  </si>
  <si>
    <t xml:space="preserve">   Financing cost - v29 (row 78)</t>
  </si>
  <si>
    <t xml:space="preserve">   EBT - v29 (row 79)</t>
  </si>
  <si>
    <t xml:space="preserve">   Tax - v29 (row 81)</t>
  </si>
  <si>
    <t xml:space="preserve">   Net profit - v29 (row 82)</t>
  </si>
  <si>
    <t>P08  Trucking DMS Teluk Lamong  (Output_Standalone (IDR) title row 90; model P08)</t>
  </si>
  <si>
    <t xml:space="preserve">   Net sales - v29 (row 92)</t>
  </si>
  <si>
    <t xml:space="preserve">   Cost of sales - v29 (row 93)</t>
  </si>
  <si>
    <t xml:space="preserve">   Operating expenses - v29 (row 96)</t>
  </si>
  <si>
    <t xml:space="preserve">   Depreciation &amp; amortization - v29 (row 99)</t>
  </si>
  <si>
    <t xml:space="preserve">   Financing cost - v29 (row 102)</t>
  </si>
  <si>
    <t xml:space="preserve">   EBT - v29 (row 103)</t>
  </si>
  <si>
    <t xml:space="preserve">   Tax - v29 (row 105)</t>
  </si>
  <si>
    <t xml:space="preserve">   Net profit - v29 (row 106)</t>
  </si>
  <si>
    <t>E2  Cigading Existing  (Output_Standalone (IDR) title row 113; model E2)</t>
  </si>
  <si>
    <t xml:space="preserve">   Net sales - v29 (row 115)</t>
  </si>
  <si>
    <t xml:space="preserve">   Cost of sales - v29 (row 116)</t>
  </si>
  <si>
    <t xml:space="preserve">   Operating expenses - v29 (row 119)</t>
  </si>
  <si>
    <t xml:space="preserve">   Depreciation &amp; amortization - v29 (row 122)</t>
  </si>
  <si>
    <t xml:space="preserve">   Financing cost - v29 (row 125)</t>
  </si>
  <si>
    <t xml:space="preserve">   EBT - v29 (row 126)</t>
  </si>
  <si>
    <t xml:space="preserve">   Tax - v29 (row 128)</t>
  </si>
  <si>
    <t xml:space="preserve">   Net profit - v29 (row 129)</t>
  </si>
  <si>
    <t>P01  Cigading Expansion: Wharf 2  (Output_Standalone (IDR) title row 137; model P01)</t>
  </si>
  <si>
    <t xml:space="preserve">   Net sales - v29 (row 139)</t>
  </si>
  <si>
    <t xml:space="preserve">   Cost of sales - v29 (row 140)</t>
  </si>
  <si>
    <t xml:space="preserve">   Operating expenses - v29 (row 143)</t>
  </si>
  <si>
    <t xml:space="preserve">   Depreciation &amp; amortization - v29 (row 146)</t>
  </si>
  <si>
    <t xml:space="preserve">   Financing cost - v29 (row 149)</t>
  </si>
  <si>
    <t xml:space="preserve">   EBT - v29 (row 150)</t>
  </si>
  <si>
    <t xml:space="preserve">   Tax - v29 (row 152)</t>
  </si>
  <si>
    <t xml:space="preserve">   Net profit - v29 (row 153)</t>
  </si>
  <si>
    <t>P02  Cigading Extended Conveyor  (Output_Standalone (IDR) title row 160; model P02)</t>
  </si>
  <si>
    <t xml:space="preserve">   Net sales - v29 (row 162)</t>
  </si>
  <si>
    <t xml:space="preserve">   Cost of sales - v29 (row 163)</t>
  </si>
  <si>
    <t xml:space="preserve">   Operating expenses - v29 (row 166)</t>
  </si>
  <si>
    <t xml:space="preserve">   Depreciation &amp; amortization - v29 (row 169)</t>
  </si>
  <si>
    <t xml:space="preserve">   Financing cost - v29 (row 172)</t>
  </si>
  <si>
    <t xml:space="preserve">   EBT - v29 (row 173)</t>
  </si>
  <si>
    <t xml:space="preserve">   Tax - v29 (row 175)</t>
  </si>
  <si>
    <t xml:space="preserve">   Net profit - v29 (row 176)</t>
  </si>
  <si>
    <t>OP  Operatorship with BUMN (P12-P14)  (Output_Standalone (IDR) title row 183; model P12, P13, P14)</t>
  </si>
  <si>
    <t xml:space="preserve">   Net sales - v29 (row 185)</t>
  </si>
  <si>
    <t xml:space="preserve">   Cost of sales - v29 (row 186)</t>
  </si>
  <si>
    <t xml:space="preserve">   Operating expenses - v29 (row 189)</t>
  </si>
  <si>
    <t xml:space="preserve">   Depreciation &amp; amortization - v29 (row 192)</t>
  </si>
  <si>
    <t xml:space="preserve">   Financing cost - v29 (row 195)</t>
  </si>
  <si>
    <t xml:space="preserve">   EBT - v29 (row 196)</t>
  </si>
  <si>
    <t xml:space="preserve">   Tax - v29 (row 198)</t>
  </si>
  <si>
    <t xml:space="preserve">   Net profit - v29 (row 199)</t>
  </si>
  <si>
    <t>P03  KBS Warehouse Revitalization  (Output_Standalone (IDR) title row 206; model P03)</t>
  </si>
  <si>
    <t xml:space="preserve">   Net sales - v29 (row 208)</t>
  </si>
  <si>
    <t xml:space="preserve">   Cost of sales - v29 (row 209)</t>
  </si>
  <si>
    <t xml:space="preserve">   Operating expenses - v29 (row 212)</t>
  </si>
  <si>
    <t xml:space="preserve">   Depreciation &amp; amortization - v29 (row 215)</t>
  </si>
  <si>
    <t xml:space="preserve">   Financing cost - v29 (row 218)</t>
  </si>
  <si>
    <t xml:space="preserve">   EBT - v29 (row 219)</t>
  </si>
  <si>
    <t xml:space="preserve">   Tax - v29 (row 221)</t>
  </si>
  <si>
    <t xml:space="preserve">   Net profit - v29 (row 222)</t>
  </si>
  <si>
    <t>P09  Trucking DMS Cigading  (Output_Standalone (IDR) title row 229; model P09)</t>
  </si>
  <si>
    <t xml:space="preserve">   Net sales - v29 (row 231)</t>
  </si>
  <si>
    <t xml:space="preserve">   Cost of sales - v29 (row 232)</t>
  </si>
  <si>
    <t xml:space="preserve">   Operating expenses - v29 (row 235)</t>
  </si>
  <si>
    <t xml:space="preserve">   Depreciation &amp; amortization - v29 (row 238)</t>
  </si>
  <si>
    <t xml:space="preserve">   Financing cost - v29 (row 241)</t>
  </si>
  <si>
    <t xml:space="preserve">   EBT - v29 (row 242)</t>
  </si>
  <si>
    <t xml:space="preserve">   Tax - v29 (row 244)</t>
  </si>
  <si>
    <t xml:space="preserve">   Net profit - v29 (row 245)</t>
  </si>
  <si>
    <t>P06  Ciwandan Expansion  (Output_Standalone (IDR) title row 275; model P06)</t>
  </si>
  <si>
    <t xml:space="preserve">   Net sales - v29 (row 277)</t>
  </si>
  <si>
    <t xml:space="preserve">   Cost of sales - v29 (row 278)</t>
  </si>
  <si>
    <t xml:space="preserve">   Operating expenses - v29 (row 281)</t>
  </si>
  <si>
    <t xml:space="preserve">   Depreciation &amp; amortization - v29 (row 284)</t>
  </si>
  <si>
    <t xml:space="preserve">   Financing cost - v29 (row 287)</t>
  </si>
  <si>
    <t xml:space="preserve">   EBT - v29 (row 288)</t>
  </si>
  <si>
    <t xml:space="preserve">   Tax - v29 (row 290)</t>
  </si>
  <si>
    <t xml:space="preserve">   Net profit - v29 (row 291)</t>
  </si>
  <si>
    <t>P10  Trucking DMS Ciwandan  (Output_Standalone (IDR) title row 298; model P10)</t>
  </si>
  <si>
    <t xml:space="preserve">   Net sales - v29 (row 300)</t>
  </si>
  <si>
    <t xml:space="preserve">   Cost of sales - v29 (row 301)</t>
  </si>
  <si>
    <t xml:space="preserve">   Operating expenses - v29 (row 304)</t>
  </si>
  <si>
    <t xml:space="preserve">   Depreciation &amp; amortization - v29 (row 307)</t>
  </si>
  <si>
    <t xml:space="preserve">   Financing cost - v29 (row 310)</t>
  </si>
  <si>
    <t xml:space="preserve">   EBT - v29 (row 311)</t>
  </si>
  <si>
    <t xml:space="preserve">   Tax - v29 (row 313)</t>
  </si>
  <si>
    <t xml:space="preserve">   Net profit - v29 (row 314)</t>
  </si>
  <si>
    <t>BLW  Belawan incl. expansion (E3 + P07)  (Output_Standalone (IDR) title row 321; model E3, P07)</t>
  </si>
  <si>
    <t xml:space="preserve">   Net sales - v29 (row 323)</t>
  </si>
  <si>
    <t xml:space="preserve">   Cost of sales - v29 (row 324)</t>
  </si>
  <si>
    <t xml:space="preserve">   Operating expenses - v29 (row 327)</t>
  </si>
  <si>
    <t xml:space="preserve">   Depreciation &amp; amortization - v29 (row 330)</t>
  </si>
  <si>
    <t xml:space="preserve">   Financing cost - v29 (row 333)</t>
  </si>
  <si>
    <t xml:space="preserve">   EBT - v29 (row 334)</t>
  </si>
  <si>
    <t xml:space="preserve">   Tax - v29 (row 336)</t>
  </si>
  <si>
    <t xml:space="preserve">   Net profit - v29 (row 337)</t>
  </si>
  <si>
    <t>P11  Trucking DMS Belawan  (Output_Standalone (IDR) title row 344; model P11)</t>
  </si>
  <si>
    <t xml:space="preserve">   Net sales - v29 (row 346)</t>
  </si>
  <si>
    <t xml:space="preserve">   Cost of sales - v29 (row 347)</t>
  </si>
  <si>
    <t xml:space="preserve">   Operating expenses - v29 (row 350)</t>
  </si>
  <si>
    <t xml:space="preserve">   Depreciation &amp; amortization - v29 (row 353)</t>
  </si>
  <si>
    <t xml:space="preserve">   Financing cost - v29 (row 356)</t>
  </si>
  <si>
    <t xml:space="preserve">   EBT - v29 (row 357)</t>
  </si>
  <si>
    <t xml:space="preserve">   Tax - v29 (row 359)</t>
  </si>
  <si>
    <t xml:space="preserve">   Net profit - v29 (row 360)</t>
  </si>
  <si>
    <t>E4  Stevedoring WIN combine  (Output_Standalone (IDR) title row 459; model E4)</t>
  </si>
  <si>
    <t xml:space="preserve">   Net sales - v29 (row 461)</t>
  </si>
  <si>
    <t xml:space="preserve">   Cost of sales - v29 (row 462)</t>
  </si>
  <si>
    <t xml:space="preserve">   Operating expenses - v29 (row 465)</t>
  </si>
  <si>
    <t xml:space="preserve">   Depreciation &amp; amortization - v29 (row 468)</t>
  </si>
  <si>
    <t xml:space="preserve">   Financing cost - v29 (row 471)</t>
  </si>
  <si>
    <t xml:space="preserve">   EBT - v29 (row 472)</t>
  </si>
  <si>
    <t xml:space="preserve">   Tax - v29 (row 474)</t>
  </si>
  <si>
    <t xml:space="preserve">   Net profit - v29 (row 475)</t>
  </si>
  <si>
    <t>P15  TBM  (Output_Standalone (IDR) title row 482; model P15)</t>
  </si>
  <si>
    <t xml:space="preserve">   Net sales - v29 (row 484)</t>
  </si>
  <si>
    <t xml:space="preserve">   Cost of sales - v29 (row 485)</t>
  </si>
  <si>
    <t xml:space="preserve">   Operating expenses - v29 (row 488)</t>
  </si>
  <si>
    <t xml:space="preserve">   Depreciation &amp; amortization - v29 (row 491)</t>
  </si>
  <si>
    <t xml:space="preserve">   Financing cost - v29 (row 494)</t>
  </si>
  <si>
    <t xml:space="preserve">   EBT - v29 (row 495)</t>
  </si>
  <si>
    <t xml:space="preserve">   Tax - v29 (row 497)</t>
  </si>
  <si>
    <t xml:space="preserve">   Net profit - v29 (row 498)</t>
  </si>
  <si>
    <t>WIN branch revenue (v29 rows 369 / 392 / 415 / 438)</t>
  </si>
  <si>
    <t xml:space="preserve">   WIN Cilegon net sales - v29</t>
  </si>
  <si>
    <t xml:space="preserve">   WIN Cilegon net sales - model</t>
  </si>
  <si>
    <t xml:space="preserve">      WIN Cilegon - difference</t>
  </si>
  <si>
    <t xml:space="preserve">   WIN Makassar net sales - v29</t>
  </si>
  <si>
    <t xml:space="preserve">   WIN Makassar net sales - model</t>
  </si>
  <si>
    <t xml:space="preserve">      WIN Makassar - difference</t>
  </si>
  <si>
    <t xml:space="preserve">   WIN Surabaya net sales - v29</t>
  </si>
  <si>
    <t xml:space="preserve">   WIN Surabaya net sales - model</t>
  </si>
  <si>
    <t xml:space="preserve">      WIN Surabaya - difference</t>
  </si>
  <si>
    <t xml:space="preserve">   WIN Medan net sales - v29</t>
  </si>
  <si>
    <t xml:space="preserve">   WIN Medan net sales - model</t>
  </si>
  <si>
    <t xml:space="preserve">      WIN Medan - difference</t>
  </si>
  <si>
    <t>Largest difference over the WIN branches</t>
  </si>
  <si>
    <t>Block status matrix</t>
  </si>
  <si>
    <t>go to block</t>
  </si>
  <si>
    <t>Largest difference over all blocks, lines and years (incl. the LT loan change on E2 / P01)</t>
  </si>
  <si>
    <t>Largest difference on block lines not affected by an active requested change (incl. WIN branches)</t>
  </si>
  <si>
    <t>Blocks that match v29 within the tolerance (of 16)</t>
  </si>
  <si>
    <t>blocks</t>
  </si>
  <si>
    <t>Blocks that differ only through the requested LT loan change</t>
  </si>
  <si>
    <t>F.   v29 VALIDATION ROWS AND THE EFFECT OF EACH OPTIONAL CORRECTION IF APPLIED (live; sign convention = financial statements, With BUMN case)</t>
  </si>
  <si>
    <t>Working (IDR bn unless stated)</t>
  </si>
  <si>
    <t>F1  v29 data validation (Source Data 18-19)</t>
  </si>
  <si>
    <t>V1  sum of the 16 block profits before tax - Output_FSL EBT (v29 With BUMN; must be 0)</t>
  </si>
  <si>
    <t>V2  net sales: v29 With BUMN - Operatorship block - Without BUMN benchmark (must be 0)</t>
  </si>
  <si>
    <t>V2  EBITDA: v29 With BUMN - Operatorship block EBITDA - Without BUMN benchmark (must be 0)</t>
  </si>
  <si>
    <t>V2  net profit: v29 With BUMN - Operatorship block net profit - Without BUMN benchmark (must be 0)</t>
  </si>
  <si>
    <t>F2  Effect of each correction if applied (what the switch changes on its primary line; the reconciliation in D shows the full effect once a switch is ON)</t>
  </si>
  <si>
    <t>Each row is the corrected treatment minus the v29 treatment, computed from both paths whether or not the switch is ON (except C06, C10 and C11, which are balance-sheet amounts). Positive = higher revenue / profit / asset.</t>
  </si>
  <si>
    <t>C01  Revenue: WIN Makassar sugar at the row-852 tariff instead of nil in FY2034-36</t>
  </si>
  <si>
    <t>C01  EBITDA: revenue less the Makassar dock fee and maintenance ratios on it</t>
  </si>
  <si>
    <t>C02  D&amp;A: warehouse capex depreciated (v29 method: 20-year building life from commencement) instead of nil</t>
  </si>
  <si>
    <t>C03  D&amp;A: vintage method (in-service timing, life cap) minus the v29 method, all projects (sign: D&amp;A)</t>
  </si>
  <si>
    <t xml:space="preserve">      C05 working: Teluk Lamong existing assets (NPLOG) - depreciation capped at the remaining NBV</t>
  </si>
  <si>
    <t xml:space="preserve">      C05 working: Teluk Lamong existing assets (NPLOG) - NBV under the cap</t>
  </si>
  <si>
    <t xml:space="preserve">      C05 working: Cigading existing assets (SGT 2) - depreciation capped at the remaining NBV</t>
  </si>
  <si>
    <t xml:space="preserve">      C05 working: Cigading existing assets (SGT 2) - NBV under the cap</t>
  </si>
  <si>
    <t xml:space="preserve">      C05 working: Belawan existing assets - depreciation capped at the remaining NBV</t>
  </si>
  <si>
    <t xml:space="preserve">      C05 working: Belawan existing assets - NBV under the cap</t>
  </si>
  <si>
    <t xml:space="preserve">      C05 working: WIN existing assets - depreciation capped at the remaining NBV</t>
  </si>
  <si>
    <t xml:space="preserve">      C05 working: WIN existing assets - NBV under the cap</t>
  </si>
  <si>
    <t>C05  D&amp;A: existing-asset depreciation capped at NBV minus the v29 schedule (positive = less depreciation)</t>
  </si>
  <si>
    <t>C06  Balance sheet: Dec-23 assets under construction moved from other assets to fixed assets (no profit or cash effect)</t>
  </si>
  <si>
    <t>C07  Tax: entity method with loss carry-forward minus the v29 line method (positive = lower tax charge)</t>
  </si>
  <si>
    <t>C08  Cash: DMS equipment capex paid (nil in v29; depreciation unchanged)</t>
  </si>
  <si>
    <t>C09  Revenue: Belawan expansion volume held at the FY2034 level in FY2035-36 (P07 revenue)</t>
  </si>
  <si>
    <t>C09  Revenue: P14 entitlement on that volume (With BUMN case)</t>
  </si>
  <si>
    <t>C09  EBITDA: both revenues less Belawan unit costs, concession fee and the P14 operating cost</t>
  </si>
  <si>
    <t>C10  Balance sheet: opening receivables, actual minus v29 typed</t>
  </si>
  <si>
    <t>C10  Balance sheet: opening payables, actual minus v29 typed</t>
  </si>
  <si>
    <t>C10  Balance sheet: opening other liabilities, actual minus v29 plugged</t>
  </si>
  <si>
    <t>C10  Cash flow FY2024: working capital released from the higher actual opening balances (receivables - payables)</t>
  </si>
  <si>
    <t>C11  Balance sheet: inventory held at the Dec-23 balance instead of nil</t>
  </si>
  <si>
    <t>C12  Dividend base: minority share on every NPLOG line minus on E1 + P08 only (positive = lower profit attributable to FSL)</t>
  </si>
  <si>
    <t>C12  Dividends: payout x the change in the base (before the limits)</t>
  </si>
  <si>
    <t xml:space="preserve">      C13 working: Teluk Lamong staff cost grown with the staff-cost row (3.5%)</t>
  </si>
  <si>
    <t xml:space="preserve">      C13 working: Teluk Lamong staff cost grown with the legal-fee row (3.0%, as v29)</t>
  </si>
  <si>
    <t>C13  Operating expenses: staff cost at its own growth row minus at the legal-fee row (positive = lower cost)</t>
  </si>
  <si>
    <t xml:space="preserve">      C14 working: reserve limit on opening retained earnings + profit of the year</t>
  </si>
  <si>
    <t>C14  Dividends paid with the reserve test on retained earnings minus the v29 test (nil while the reserve test does not bind)</t>
  </si>
  <si>
    <t>S3 (funding rule) is now the equity basis control (Inputs 1; basis 2 = the v29 schedule). S5 (sustaining capex) and the synergy investment are inputs with a v29 value of nil.</t>
  </si>
  <si>
    <t>G.   BRIDGE FROM v29 TO THE REVISED BASELINE (live): net profit, closing cash, borrowings and total equity - each difference split into the requested changes and an unexplained remainder</t>
  </si>
  <si>
    <t>Components: LT loan interest (financing cost), its tax effect, loan principal timing, equity raised (residual requirement vs v29 schedule), dividends. "Other" = model - v29 - components: nil unless other inputs change.</t>
  </si>
  <si>
    <t>WITH BUMN case (Sapphire OFF)</t>
  </si>
  <si>
    <t xml:space="preserve">   Net profit - v29</t>
  </si>
  <si>
    <t xml:space="preserve">      + change in financing cost (LT loan interest FY2026-27 and any new debt)</t>
  </si>
  <si>
    <t xml:space="preserve">      + change in tax (shield on that interest under the v29 line method)</t>
  </si>
  <si>
    <t xml:space="preserve">      + other (EBIT differences; nil at the delivered settings)</t>
  </si>
  <si>
    <t>Net profit - revised baseline</t>
  </si>
  <si>
    <t xml:space="preserve">   Closing cash - v29</t>
  </si>
  <si>
    <t xml:space="preserve">      + cumulative change in net profit</t>
  </si>
  <si>
    <t xml:space="preserve">      + cumulative change in debt drawn / repaid (LT loan repaid in 2027 instead of 2025)</t>
  </si>
  <si>
    <t xml:space="preserve">      + cumulative change in equity raised (residual requirement vs v29 schedule)</t>
  </si>
  <si>
    <t xml:space="preserve">      + cumulative change in dividends paid</t>
  </si>
  <si>
    <t xml:space="preserve">      + other (operating, capex and working-capital differences; nil at the delivered settings)</t>
  </si>
  <si>
    <t>Closing cash - revised baseline</t>
  </si>
  <si>
    <t xml:space="preserve">   Borrowings - v29</t>
  </si>
  <si>
    <t xml:space="preserve">      + cumulative change in debt drawn less repaid (LT loan outstanding FY2025-26)</t>
  </si>
  <si>
    <t xml:space="preserve">      + other (nil)</t>
  </si>
  <si>
    <t>Borrowings - revised baseline</t>
  </si>
  <si>
    <t xml:space="preserve">   Total equity - v29</t>
  </si>
  <si>
    <t xml:space="preserve">      + cumulative change in equity raised</t>
  </si>
  <si>
    <t xml:space="preserve">      - cumulative change in dividends paid</t>
  </si>
  <si>
    <t>Total equity - revised baseline</t>
  </si>
  <si>
    <t>Largest "other" (unexplained) amount over the four bridges and all years</t>
  </si>
  <si>
    <t>WITHOUT BUMN case (Sapphire OFF)</t>
  </si>
  <si>
    <t>H.   CHECK WORKINGS - largest absolute value over the years of every row tested in A (each check adds these cells; click to see the row)</t>
  </si>
  <si>
    <t>Row tested (sheet, row, label)</t>
  </si>
  <si>
    <t>Largest |value|</t>
  </si>
  <si>
    <t>Years</t>
  </si>
  <si>
    <t>Go to row</t>
  </si>
  <si>
    <t>FSL Output - With BUMN row 265: Check: residual - residual inherited from v29 (Source Data 17; must be 0: the rebuild adds no imbalance)</t>
  </si>
  <si>
    <t>Dec-23 to FY2036</t>
  </si>
  <si>
    <t>go to row</t>
  </si>
  <si>
    <t>FSL Output - Without BUMN row 214: Check: residual - residual inherited from v29 (Source Data 17; must be 0: the rebuild adds no imbalance)</t>
  </si>
  <si>
    <t>FSL Output - With BUMN row 286: Cash flow statement closing cash - Funding Requirement closing cash</t>
  </si>
  <si>
    <t>FY2024-36</t>
  </si>
  <si>
    <t>FSL Output - Without BUMN row 235: Cash flow statement closing cash - Funding Requirement closing cash</t>
  </si>
  <si>
    <t>FSL Output - With BUMN row 287: Retained earnings roll-forward (opening + net profit - dividends - closing)</t>
  </si>
  <si>
    <t>FSL Output - Without BUMN row 236: Retained earnings roll-forward (opening + net profit - dividends - closing)</t>
  </si>
  <si>
    <t>FSL Output - With BUMN row 288: Fixed assets roll-forward (opening + capex - D&amp;A - write-off - closing)</t>
  </si>
  <si>
    <t>Capex &amp; Depreciation row 313: Check: sum of businesses - fixed assets roll-forward, With BUMN case (must be 0)</t>
  </si>
  <si>
    <t>FSL Output - Without BUMN row 237: Fixed assets roll-forward (opening + capex - D&amp;A - write-off - closing)</t>
  </si>
  <si>
    <t>Capex &amp; Depreciation row 311: Check: sum of businesses - fixed assets roll-forward, Without BUMN case (must be 0)</t>
  </si>
  <si>
    <t>FSL Output - With BUMN row 289: Borrowings roll-forward (opening + draws - repayments - closing; existing + facility + Badas)</t>
  </si>
  <si>
    <t>Financing row 36: Check: opening + draws - repayments - closing (must be 0)</t>
  </si>
  <si>
    <t>Financing row 21: Check: opening - repayments - closing (must be 0)</t>
  </si>
  <si>
    <t>Financing row 56: Check: opening + draws - repayments - closing (must be 0)</t>
  </si>
  <si>
    <t>FSL Output - Without BUMN row 238: Borrowings roll-forward (opening + draws - repayments - closing; existing + facility + Badas)</t>
  </si>
  <si>
    <t>Financing row 44: Check: opening + draws - repayments - closing (must be 0)</t>
  </si>
  <si>
    <t>Funding Requirement row 63: Check: gap - net debt - residual equity - unfunded (sources = uses; must be 0)</t>
  </si>
  <si>
    <t>Funding Requirement row 95: Check: gap - net debt - residual equity - unfunded (sources = uses; must be 0)</t>
  </si>
  <si>
    <t>FSL Output - With BUMN row 191: Check: line profits before tax + fees add up to the income statement (must be 0)</t>
  </si>
  <si>
    <t>FSL Output - With BUMN row 232: Check: entity operating profits (after write-offs) - EBIT of the income statement + write-off (must be 0)</t>
  </si>
  <si>
    <t>FSL Output - Without BUMN row 140: Check: line profits before tax + fees add up to the income statement (must be 0)</t>
  </si>
  <si>
    <t>FSL Output - Without BUMN row 181: Check: entity operating profits (after write-offs) - EBIT of the income statement + write-off (must be 0)</t>
  </si>
  <si>
    <t>Revenue Calculation row 217: Check: sum of businesses - With BUMN revenue (must be 0)</t>
  </si>
  <si>
    <t>Cost Calculation row 300: Check: revenue - cost of sales - opex - EBITDA, With BUMN case (must be 0)</t>
  </si>
  <si>
    <t>FSL Output - With BUMN row 12: Check: Without BUMN + contribution - With BUMN (must be 0)</t>
  </si>
  <si>
    <t>FSL Output - With BUMN row 16: Check: Without BUMN + contribution - With BUMN (must be 0)</t>
  </si>
  <si>
    <t>FSL Output - With BUMN row 20: Check: Without BUMN + contribution - With BUMN (must be 0)</t>
  </si>
  <si>
    <t>FSL Output - With BUMN row 24: Check: Without BUMN + contribution - With BUMN (must be 0)</t>
  </si>
  <si>
    <t>FSL Output - With BUMN row 28: Check: Without BUMN + contribution - With BUMN (must be 0)</t>
  </si>
  <si>
    <t>FSL Output - With BUMN row 32: Check: Without BUMN + contribution - With BUMN (must be 0)</t>
  </si>
  <si>
    <t>FSL Output - With BUMN row 36: Check: Without BUMN + contribution - With BUMN (must be 0)</t>
  </si>
  <si>
    <t>FSL Output - With BUMN row 40: Check: Without BUMN + contribution - With BUMN (must be 0)</t>
  </si>
  <si>
    <t>FSL Output - With BUMN row 44: Check: Without BUMN + contribution - With BUMN (must be 0)</t>
  </si>
  <si>
    <t>FSL Output - With BUMN row 48: Check: Without BUMN + contribution - With BUMN (must be 0)</t>
  </si>
  <si>
    <t>BUMN Synergy Calculation row 17: Grains: check - new SOE tariff + FSL entitlement - current tariff (must be 0: no double counting)</t>
  </si>
  <si>
    <t>BUMN Synergy Calculation row 28: Meals: check - new SOE tariff + FSL entitlement - current tariff (must be 0: no double counting)</t>
  </si>
  <si>
    <t>BUMN Synergy Calculation row 53: Check - new SOE tariff + FSL entitlement - current tariff (must be 0)</t>
  </si>
  <si>
    <t>BUMN Synergy Calculation row 76: Check - new SOE tariff + FSL entitlement - current tariff (must be 0)</t>
  </si>
  <si>
    <t>BUMN Synergy Calculation row 96: Check: FSL + SOE retained - total (must be 0)</t>
  </si>
  <si>
    <t>Project Cash Flows row 411: Check: businesses + effects - With BUMN FCFF (must be 0)</t>
  </si>
  <si>
    <t>Project Cash Flows row 422: Check: businesses + effects - Without BUMN FCFF (must be 0)</t>
  </si>
  <si>
    <t>Valuation — With BUMN row 50: Check: FCFF of years up to the valuation date included in the DCF (must be 0)</t>
  </si>
  <si>
    <t>Valuation — Without BUMN row 50: Check: FCFF of years up to the valuation date included in the DCF (must be 0)</t>
  </si>
  <si>
    <t>Project Cash Flows row 385: Check: Badas FCF in the valuation = illustrative FCF x inclusion (must be 0)</t>
  </si>
  <si>
    <t>Funding Requirement row 147: Check: capex-only request = Capex &amp; Depreciation J total (must be 0)</t>
  </si>
  <si>
    <t>Project Summary row 893: Check: revenue, EBITDA, net profit, FCFF, capex and equity bridges (sum of absolute differences; must be 0)</t>
  </si>
  <si>
    <t>Project Summary row 921: Check: revenue, EBITDA, net profit, FCFF, capex and equity bridges (sum of absolute differences; must be 0)</t>
  </si>
  <si>
    <t>Checks &amp; Reconciliation row 1292: V1  sum of the 16 block profits before tax - Output_FSL EBT (v29 With BUMN; must be 0)</t>
  </si>
  <si>
    <t>Checks &amp; Reconciliation row 1293: V2  net sales: v29 With BUMN - Operatorship block - Without BUMN benchmark (must be 0)</t>
  </si>
  <si>
    <t>Checks &amp; Reconciliation row 1294: V2  EBITDA: v29 With BUMN - Operatorship block EBITDA - Without BUMN benchmark (must be 0)</t>
  </si>
  <si>
    <t>Checks &amp; Reconciliation row 1295: V2  net profit: v29 With BUMN - Operatorship block net profit - Without BUMN benchmark (must be 0)</t>
  </si>
  <si>
    <t>Source Data row 844: Other investment (Sapphire x switch = 0)</t>
  </si>
  <si>
    <t>Source Data row 909: Other investment (Sapphire x switch = 0)</t>
  </si>
  <si>
    <t>SOURCE DATA - delivered input values (same rows as Inputs), v29 opening balance sheet, v29 benchmarks of both cases, v29 block lines, source-issue register (do not edit)</t>
  </si>
  <si>
    <t>Sections 1-16 mirror Inputs cell by cell (delivered revised baseline). 17 Dec-23 balance sheets and the v29 opening balance sheet; 18 v29 benchmark lines (With BUMN = Output_FSL as saved; Without BUMN = Output_FSL recalculated with G35 = 0) and correction data; 19 v29 business-block lines; 20 v29 source issues, scope and workbook notes.</t>
  </si>
  <si>
    <t>[Source Data]</t>
  </si>
  <si>
    <t>Source type</t>
  </si>
  <si>
    <t>v29 reference / rationale</t>
  </si>
  <si>
    <t>Delivered setting (v29 Output_FSL!F27 = 1). 1 = existing businesses + every project switched ON in section 2 (v29 saved case). 2 = existing businesses only (every project excluded).</t>
  </si>
  <si>
    <t>Delivered setting (v29 Output_FSL!G35 = 1). 1 = the With BUMN sheets include the FSL entitlement under the operatorship schemes (v29 saved case). 0 = both cases exclude them. The Without BUMN sheets always exclude them.</t>
  </si>
  <si>
    <t>User-requested change (v29 value in the note)</t>
  </si>
  <si>
    <t>v29: 2 (Call Rights scenario 4, Calculation_FSL!L1498:M1498). v29 issues new shares equal to the FY2026-27 project capex whether or not cash is short. Revised: new equity = the funding gap left after internal cash, committed funding and debt (Funding Requirement). Set 2 to reproduce v29.</t>
  </si>
  <si>
    <t>Delivered setting. Sensitivity lever; 0% = inputs as entered.</t>
  </si>
  <si>
    <t>Delivered setting. Choose 2024-2036; each reconciled line explains its difference for this year in a sentence.</t>
  </si>
  <si>
    <t>Delivered setting. Differences within this amount count as agreement (IDR 1 million; v29 Output_FSL displays one decimal and rounds its own balance check to two). At the delivered settings the differences are floating-point only (below 1e-6).</t>
  </si>
  <si>
    <t>delivered inclusion</t>
  </si>
  <si>
    <t>not in v29 (previous delivery: 31-Dec-2025). Requested: 31-Dec-2026. The DCF values FCFF from FY2027; cash, debt and other bridge items are the projected balances at this date (no FY2024-26 actuals supplied).</t>
  </si>
  <si>
    <t>Provisional default (not in v29)</t>
  </si>
  <si>
    <t>not in v29Provisional default; Not in v29. Basis: year-end - FY2027 cash flow is discounted one full year from 31-Dec-2026 (mid-year would use 0.5 years).</t>
  </si>
  <si>
    <t>v29 value</t>
  </si>
  <si>
    <t>v29 constant repeated in every year - edit any year on its own. Calculation_FSL!F17 (named range USD_IDR, one rate for all years)</t>
  </si>
  <si>
    <t>v29 value for each year. Input!K36:W36</t>
  </si>
  <si>
    <t>v29 value for each year. Input!K51:W51 (v29 active case 1)</t>
  </si>
  <si>
    <t>v29 value for each year. Input!K43:W43</t>
  </si>
  <si>
    <t>v29 value for each year. Input!K57:W57</t>
  </si>
  <si>
    <t>Derived from v29</t>
  </si>
  <si>
    <t>Derived from v29 for each year. Calculation_FSL!F41 + Input!K62:W62</t>
  </si>
  <si>
    <t>Calculation_FSL!F256 (=Input!J209*0+1100000: effective value used by the v29 formulas). EFFECTIVE v29 ASSUMPTION: the formula multiplies the Input value (FY2023 actual 1.99m t) by 0 and adds 1.10m t. The model uses what v29 actually applies.</t>
  </si>
  <si>
    <t>v29 value for each year. Input!K204:W204</t>
  </si>
  <si>
    <t>v29 value for each year. Calculation_FSL!J259:V259</t>
  </si>
  <si>
    <t>Derived from v29 for each year. Input!J223 + Input!K218:W218</t>
  </si>
  <si>
    <t>v29 value for each year. Input!K533:W533 (v29 active case 1)</t>
  </si>
  <si>
    <t>v29 value for each year. Input!K540:W540 (v29 active case 1)</t>
  </si>
  <si>
    <t>v29 value for each year. Input!K546:W546</t>
  </si>
  <si>
    <t>v29 constant repeated in every year - edit any year on its own. Calculation_FSL!J658</t>
  </si>
  <si>
    <t>v29 value for each year. Input!K699:W699</t>
  </si>
  <si>
    <t>v29 value for each year. Input!K706:W706</t>
  </si>
  <si>
    <t>v29 value for each year. Input!K712:W712</t>
  </si>
  <si>
    <t>v29 value for each year. Input!K719:W719</t>
  </si>
  <si>
    <t>v29 value for each year. Input!K725:W725</t>
  </si>
  <si>
    <t>v29 value for each year. Input!K732:W732</t>
  </si>
  <si>
    <t>v29 value for each year. Input!K738:W738</t>
  </si>
  <si>
    <t>v29 value for each year. Input!K745:W745</t>
  </si>
  <si>
    <t>v29 value for each year. Input!K751:W751</t>
  </si>
  <si>
    <t>v29 value for each year. Input!K758:W758</t>
  </si>
  <si>
    <t>v29 value for each year. Input!K844:W844</t>
  </si>
  <si>
    <t>v29 value for each year. Calculation_FSL!J853:V853 (= Input!K852:T852 for FY2024-33; = Input!U810:W810, empty, for FY2034-36)</t>
  </si>
  <si>
    <t>v29 value for each year. Input!K857:W857</t>
  </si>
  <si>
    <t>v29 value for each year. Input!K864:W864</t>
  </si>
  <si>
    <t>v29 value for each year. Input!K935:W935</t>
  </si>
  <si>
    <t>v29 value for each year. Input!K942:W942</t>
  </si>
  <si>
    <t>v29 value for each year. Input!K948:W948</t>
  </si>
  <si>
    <t>v29 value for each year. Input!K955:W955</t>
  </si>
  <si>
    <t>v29 value for each year. Input!K1016:W1016</t>
  </si>
  <si>
    <t>v29 value for each year. Input!K1023:W1023</t>
  </si>
  <si>
    <t>v29 value for each year. Input!K1029:W1029</t>
  </si>
  <si>
    <t>v29 value for each year. Input!K1036:W1036</t>
  </si>
  <si>
    <t>v29 value for each year. Input!K1042:W1042</t>
  </si>
  <si>
    <t>v29 value for each year. Input!K1049:W1049</t>
  </si>
  <si>
    <t>v29 value for each year. Input!K1055:W1055</t>
  </si>
  <si>
    <t>v29 value for each year. Input!K1062:W1062</t>
  </si>
  <si>
    <t>v29 constant repeated in every year - edit any year on its own. Input!K777</t>
  </si>
  <si>
    <t>v29 constant repeated in every year - edit any year on its own. Input!J874</t>
  </si>
  <si>
    <t>v29 constant repeated in every year - edit any year on its own. Input!J965</t>
  </si>
  <si>
    <t>v29 constant repeated in every year - edit any year on its own. Input!J1072</t>
  </si>
  <si>
    <t>v29 value for each year. Input!K400:W400</t>
  </si>
  <si>
    <t>v29 value for each year. Input!K407:W407</t>
  </si>
  <si>
    <t>v29 constant repeated in every year - edit any year on its own. Calculation_FSL!F366</t>
  </si>
  <si>
    <t>v29 constant repeated in every year - edit any year on its own. Calculation_FSL!F390</t>
  </si>
  <si>
    <t>Sum of Input!J420:W420. Input row 420 (case row selected by G420 = 1)</t>
  </si>
  <si>
    <t>Derived from v29 for each year. Input!J420:W420 / total</t>
  </si>
  <si>
    <t>v29 value for each year. Calculation_SOEs!J285:V285 (= Wharf 2 growth, Input row 400)</t>
  </si>
  <si>
    <t>v29 value for each year. Input!K445:W445</t>
  </si>
  <si>
    <t>v29 constant repeated in every year - edit any year on its own. Input!L464</t>
  </si>
  <si>
    <t>v29 constant repeated in every year - edit any year on its own. Input!L470</t>
  </si>
  <si>
    <t>v29 constant repeated in every year - edit any year on its own. Calculation_FSL!F429</t>
  </si>
  <si>
    <t>Sum of Input!J452:W452. Input row 452 (case row selected by G452 = 1)</t>
  </si>
  <si>
    <t>Derived from v29 for each year. Input!J452:W452 / total</t>
  </si>
  <si>
    <t>Calculation_FSL!F445 (=Calculation_SOEs!F369*0+1.7*Million: effective value). EFFECTIVE v29 ASSUMPTION: the link to Calculation_SOEs is neutralised by x0; 1.7m t is what v29 applies.</t>
  </si>
  <si>
    <t>Calculation_FSL!F452. Contractual revenue share (not an equity interest).</t>
  </si>
  <si>
    <t>v29 value for each year. Calculation_SOEs!J368:V368 (3% typed from 2026)</t>
  </si>
  <si>
    <t>v29 constant repeated in every year - edit any year on its own. Calculation_FSL!F446</t>
  </si>
  <si>
    <t>v29 constant repeated in every year - edit any year on its own. Calculation_FSL!F447</t>
  </si>
  <si>
    <t>v29 constant repeated in every year - edit any year on its own. Calculation_FSL!F448</t>
  </si>
  <si>
    <t>v29 constant repeated in every year - edit any year on its own. Calculation_FSL!F457</t>
  </si>
  <si>
    <t>v29 constant repeated in every year - edit any year on its own. Calculation_FSL!F458 (=(38/60*100%-10%)*0+50%: effective value 50%)</t>
  </si>
  <si>
    <t>Sum of Input!K1270:W1270. Input row 1270 (Calculation_FSL row 1477 reads K1270:W1270 for FY2024-36)</t>
  </si>
  <si>
    <t>Derived from v29 for each year. Input!K1270:W1270 / total</t>
  </si>
  <si>
    <t>v29 constant repeated in every year - edit any year on its own. Calculation_FSL!E133</t>
  </si>
  <si>
    <t>v29 constant repeated in every year - edit any year on its own. Calculation_FSL!F133</t>
  </si>
  <si>
    <t>v29 constant repeated in every year - edit any year on its own. Calculation_FSL!F132</t>
  </si>
  <si>
    <t>v29 constant repeated in every year - edit any year on its own. Calculation_FSL!F147</t>
  </si>
  <si>
    <t>Sum of Input!K1264:W1264. Input row 1264 (Calculation_FSL row 1478)</t>
  </si>
  <si>
    <t>Derived from v29 for each year. Input!K1264:W1264 / total</t>
  </si>
  <si>
    <t>v29 value for each year. Calculation_FSL!J174:V174</t>
  </si>
  <si>
    <t>v29 value for each year. Calculation_FSL!J175:V175</t>
  </si>
  <si>
    <t>v29 value for each year. Calculation_FSL!J183:V183</t>
  </si>
  <si>
    <t>v29 value for each year. Calculation_FSL!J214:V214</t>
  </si>
  <si>
    <t>v29 value for each year. Calculation_FSL!L216:V216</t>
  </si>
  <si>
    <t>v29 constant repeated in every year - edit any year on its own. Calculation_FSL!F209</t>
  </si>
  <si>
    <t>Sum of Calculation_FSL!J1474:V1474. Calculation_FSL row 1474: 6.485 (FY2026) and 0.325 (FY2027) are typed constants; the other years link to Input row 1258 x flag = 0</t>
  </si>
  <si>
    <t>Derived from v29 for each year. Calculation_FSL!J1474:V1474 / total</t>
  </si>
  <si>
    <t>Calculation_FSL!F514 (=Input!J490*0+1600000: effective value). EFFECTIVE v29 ASSUMPTION: Input!J490 (1.9m t) is multiplied by 0; 1.6m t is what v29 applies.</t>
  </si>
  <si>
    <t>Calculation_FSL!G512. Revenue share, not equity; shown for the total-benefit split.</t>
  </si>
  <si>
    <t>v29 value for each year. Input!K485:W485</t>
  </si>
  <si>
    <t>v29 value for each year. Input!K494:W494 (v29 active case, Input!G492 = 2)</t>
  </si>
  <si>
    <t>Sum of Input!K499:W499. Input row 499 (case row selected by G499) x Output_FSL!F38 in Calculation_FSL row 1479</t>
  </si>
  <si>
    <t>Derived from v29 for each year. Input!K499:W499 / total</t>
  </si>
  <si>
    <t>v29 value for each year. Calculation_SOEs!J450:V450</t>
  </si>
  <si>
    <t>v29 constant repeated in every year - edit any year on its own. Input!M619</t>
  </si>
  <si>
    <t>Sum of Input!K551:W551. Input row 551 (case row selected by G551; J552 = 14.025 total) x Output_FSL!F37 in Calculation_FSL row 1480</t>
  </si>
  <si>
    <t>Derived from v29 for each year. Input!K551:W551 / total</t>
  </si>
  <si>
    <t>Calculation_FSL!F483. Contract term applied to every year.</t>
  </si>
  <si>
    <t>Calculation_FSL!F233. Balance retained by the SOE partner.</t>
  </si>
  <si>
    <t>Calculation_FSL!F487. Balance retained by the SOE partner.</t>
  </si>
  <si>
    <t>Calculation_FSL!F561. Balance retained by the SOE partner.</t>
  </si>
  <si>
    <t>Calculation_FSL!F710. Balance retained by the SOE partner.</t>
  </si>
  <si>
    <t>Calculation_FSL!F242. v29 inconsistency C08: this equipment is depreciated but never bought (no capex in Calculation_FSL rows 1474-1481).</t>
  </si>
  <si>
    <t>Calculation_FSL!F496. v29 inconsistency C08: this equipment is depreciated but never bought (no capex in Calculation_FSL rows 1474-1481).</t>
  </si>
  <si>
    <t>Calculation_FSL!F570. v29 inconsistency C08: this equipment is depreciated but never bought (no capex in Calculation_FSL rows 1474-1481).</t>
  </si>
  <si>
    <t>Calculation_FSL!F719. v29 inconsistency C08: this equipment is depreciated but never bought (no capex in Calculation_FSL rows 1474-1481).</t>
  </si>
  <si>
    <t>v29 constant repeated in every year - edit any year on its own. Calculation_FSL!F239/F493/F567/F716</t>
  </si>
  <si>
    <t>v29 constant repeated in every year - edit any year on its own. Calculation_FSL!F228</t>
  </si>
  <si>
    <t>v29 constant repeated in every year - edit any year on its own. Calculation_FSL!F482</t>
  </si>
  <si>
    <t>v29 constant repeated in every year - edit any year on its own. Calculation_FSL!F556</t>
  </si>
  <si>
    <t>v29 constant repeated in every year - edit any year on its own. Calculation_FSL!F705</t>
  </si>
  <si>
    <t>v29 constant repeated in every year - edit any year on its own. Calculation_FSL!F222</t>
  </si>
  <si>
    <t>Input!N1138 (blank in v29). Not provided in v29 - land-lease revenue is nil until entered. TO CONFIRM.</t>
  </si>
  <si>
    <t>Input!O1151. Later years follow the annual tariff growth row.</t>
  </si>
  <si>
    <t>Input!P1164. Later years follow the annual tariff growth row.</t>
  </si>
  <si>
    <t>v29 value for each year. Input!K1133:W1133</t>
  </si>
  <si>
    <t>v29 value for each year. Calculation_FSL!J1102:V1102</t>
  </si>
  <si>
    <t>v29 value for each year. Calculation_FSL!J1109:V1109 (J1109:L1109 = ...*0+J1114/12; M1109 onwards = 1*Million/12 typed)</t>
  </si>
  <si>
    <t>v29 value for each year. Input!K1177:W1177</t>
  </si>
  <si>
    <t>v29 value for each year. Input!K1166:W1166</t>
  </si>
  <si>
    <t>v29 constant repeated in every year - edit any year on its own. Input!L1207</t>
  </si>
  <si>
    <t>v29 constant repeated in every year - edit any year on its own. Input!N1215</t>
  </si>
  <si>
    <t>Sum of Input!K1190:W1190. Input row 1190 x Output_FSL!F40 (= 0) in Calculation_FSL row 1481; Input!M1187 = 108 - 68 + K1276 = 40.0 for depreciation</t>
  </si>
  <si>
    <t>Derived from v29 for each year. Input!K1190:W1190 / total</t>
  </si>
  <si>
    <t>v29: Calculation_FSL!F53 (x120%); growth Input!K75:W75</t>
  </si>
  <si>
    <t>v29: Calculation_FSL!F59 (x120%); growth Input!K80:W80</t>
  </si>
  <si>
    <t>v29: Calculation_FSL!F70 (x120%); growth Input!K90:W90</t>
  </si>
  <si>
    <t>v29: Calculation_FSL!F76; growth Input!K95:W95</t>
  </si>
  <si>
    <t>v29: Calculation_FSL!F88; growth Input!K105:W105</t>
  </si>
  <si>
    <t>v29: Calculation_FSL!F94; growth Input!K110:W110</t>
  </si>
  <si>
    <t>v29: Input!I120 x150%; growth as applied by v29 = Input!K134:W134 (legal-fee row, 3.0%; Calculation_FSL row 120)</t>
  </si>
  <si>
    <t>v29: Calculation_FSL!F278; growth Input!K234:W234 (unit rate also applied to Wharf 2 / conveyor)</t>
  </si>
  <si>
    <t>v29: Calculation_FSL!F289; growth Input!K258:W258 (also Wharf 2 / conveyor)</t>
  </si>
  <si>
    <t>v29: Calculation_FSL!F300; growth Input!K266:W266 (also Wharf 2)</t>
  </si>
  <si>
    <t>v29: Calculation_FSL!F306; growth Input!K283:W283</t>
  </si>
  <si>
    <t>v29: Calculation_FSL!F312; growth Input!K291:W291</t>
  </si>
  <si>
    <t>v29: Calculation_FSL!F318; growth Input!K298:W298</t>
  </si>
  <si>
    <t>v29: Input!J582; growth K577:W577</t>
  </si>
  <si>
    <t>v29: Input!J589; growth K584:W584</t>
  </si>
  <si>
    <t>v29: Input!J603; growth K598:W598</t>
  </si>
  <si>
    <t>v29: Input!J610; growth K605:W605</t>
  </si>
  <si>
    <t>v29: Input!J617; growth K612:W612</t>
  </si>
  <si>
    <t>v29: Input!J631; growth K626:W626</t>
  </si>
  <si>
    <t>v29 value for each year. Input!K100:W100</t>
  </si>
  <si>
    <t>v29 value for each year. Input!K274:W274</t>
  </si>
  <si>
    <t>v29 value for each year. Input!K591:W591</t>
  </si>
  <si>
    <t>v29 constant repeated in every year - edit any year on its own. Calculation_FSL!F815</t>
  </si>
  <si>
    <t>v29 constant repeated in every year - edit any year on its own. Calculation_FSL!F883</t>
  </si>
  <si>
    <t>v29 constant repeated in every year - edit any year on its own. Calculation_FSL!F1049</t>
  </si>
  <si>
    <t>v29 value for each year. Input!K969:W969</t>
  </si>
  <si>
    <t>v29 constant repeated in every year - edit any year on its own. Calculation_FSL!F872</t>
  </si>
  <si>
    <t>v29 constant repeated in every year - edit any year on its own. Calculation_FSL!F950</t>
  </si>
  <si>
    <t>v29 constant repeated in every year - edit any year on its own. Calculation_FSL!F1038</t>
  </si>
  <si>
    <t>v29 value for each year. Input!K767:W767</t>
  </si>
  <si>
    <t>v29 value for each year. Input!K769:W769</t>
  </si>
  <si>
    <t>v29 value for each year. Input!K770:W770</t>
  </si>
  <si>
    <t>v29 value for each year. Input!K771:W771</t>
  </si>
  <si>
    <t>v29 value for each year. Input!K772:W772</t>
  </si>
  <si>
    <t>v29 value for each year. Input!K773:W773</t>
  </si>
  <si>
    <t>v29 constant repeated in every year - edit any year on its own. Calculation_FSL!E1185, E1297, E1354</t>
  </si>
  <si>
    <t>v29 constant repeated in every year - edit any year on its own. Calculation_FSL!F1169</t>
  </si>
  <si>
    <t>v29 constant repeated in every year - edit any year on its own. Calculation_FSL!F1170</t>
  </si>
  <si>
    <t>v29 constant repeated in every year - edit any year on its own. Calculation_FSL!F1171</t>
  </si>
  <si>
    <t>v29 constant repeated in every year - edit any year on its own. Calculation_FSL!F1172</t>
  </si>
  <si>
    <t>v29 constant repeated in every year - edit any year on its own. Calculation_FSL!F1173</t>
  </si>
  <si>
    <t>v29 constant repeated in every year - edit any year on its own. Calculation_FSL!F1174</t>
  </si>
  <si>
    <t>v29 constant repeated in every year - edit any year on its own. Calculation_FSL!F1191</t>
  </si>
  <si>
    <t>v29 constant repeated in every year - edit any year on its own. Calculation_FSL!F1192</t>
  </si>
  <si>
    <t>v29 constant repeated in every year - edit any year on its own. Calculation_FSL!F1193</t>
  </si>
  <si>
    <t>v29 constant repeated in every year - edit any year on its own. Calculation_FSL!F1194</t>
  </si>
  <si>
    <t>v29 constant repeated in every year - edit any year on its own. Calculation_FSL!F1195</t>
  </si>
  <si>
    <t>v29 constant repeated in every year - edit any year on its own. Calculation_FSL!F1196</t>
  </si>
  <si>
    <t>v29 constant repeated in every year - edit any year on its own. Calculation_FSL!F1178 (sign reversed)</t>
  </si>
  <si>
    <t>v29 constant repeated in every year - edit any year on its own. Calculation_FSL!F1179 (sign reversed)</t>
  </si>
  <si>
    <t>v29 constant repeated in every year - edit any year on its own. Calculation_FSL!F1180 (sign reversed)</t>
  </si>
  <si>
    <t>v29 constant repeated in every year - edit any year on its own. Calculation_FSL!F1200 (sign reversed)</t>
  </si>
  <si>
    <t>v29 constant repeated in every year - edit any year on its own. Calculation_FSL!F1201 (sign reversed)</t>
  </si>
  <si>
    <t>v29 constant repeated in every year - edit any year on its own. Calculation_FSL!F1202 (sign reversed)</t>
  </si>
  <si>
    <t>v29 constant repeated in every year - edit any year on its own. Calculation_FSL!E1233 (sign reversed)</t>
  </si>
  <si>
    <t>v29 constant repeated in every year - edit any year on its own. Calculation_FSL!F1233 (sign reversed)</t>
  </si>
  <si>
    <t>v29 constant repeated in every year - edit any year on its own. Calculation_FSL!E1234 (sign reversed)</t>
  </si>
  <si>
    <t>v29 constant repeated in every year - edit any year on its own. Calculation_FSL!F1234 (sign reversed)</t>
  </si>
  <si>
    <t>v29 constant repeated in every year - edit any year on its own. Calculation_FSL!E1257 (sign reversed)</t>
  </si>
  <si>
    <t>v29 constant repeated in every year - edit any year on its own. Calculation_FSL!F1257 (sign reversed)</t>
  </si>
  <si>
    <t>v29 constant repeated in every year - edit any year on its own. Calculation_FSL!E1258 (sign reversed)</t>
  </si>
  <si>
    <t>v29 constant repeated in every year - edit any year on its own. Calculation_FSL!F1258 (sign reversed)</t>
  </si>
  <si>
    <t>v29 constant repeated in every year - edit any year on its own. Calculation_FSL!F1420</t>
  </si>
  <si>
    <t>v29 constant repeated in every year - edit any year on its own. Calculation_FSL!F1279</t>
  </si>
  <si>
    <t>v29 constant repeated in every year - edit any year on its own. Calculation_FSL!F1283 (=F1279*70%)</t>
  </si>
  <si>
    <t>v29 constant repeated in every year - edit any year on its own. Calculation_FSL!F1290 (sign reversed)</t>
  </si>
  <si>
    <t>v29 constant repeated in every year - edit any year on its own. Calculation_FSL!F1291 (sign reversed)</t>
  </si>
  <si>
    <t>v29 constant repeated in every year - edit any year on its own. Calculation_FSL!F1292 (sign reversed)</t>
  </si>
  <si>
    <t>v29 constant repeated in every year - edit any year on its own. Calculation_FSL!E1320 (sign reversed)</t>
  </si>
  <si>
    <t>v29 constant repeated in every year - edit any year on its own. Calculation_FSL!F1307 (x120%)</t>
  </si>
  <si>
    <t>v29 constant repeated in every year - edit any year on its own. Calculation_FSL!F1431</t>
  </si>
  <si>
    <t>v29 constant repeated in every year - edit any year on its own. Calculation_FSL!F1347 (=Sheet3!G6 = 55,000 - 29,000)</t>
  </si>
  <si>
    <t>v29 constant repeated in every year - edit any year on its own. Calculation_FSL!F1348 (=Sheet3!G8)</t>
  </si>
  <si>
    <t>v29 constant repeated in every year - edit any year on its own. Calculation_FSL!F1351</t>
  </si>
  <si>
    <t>v29 constant repeated in every year - edit any year on its own. Calculation_FSL!F1352</t>
  </si>
  <si>
    <t>v29 constant repeated in every year - edit any year on its own. Calculation_FSL!F1357</t>
  </si>
  <si>
    <t>v29 constant repeated in every year - edit any year on its own. Calculation_FSL!F1365</t>
  </si>
  <si>
    <t>v29 constant repeated in every year - edit any year on its own. Calculation_FSL!F1441</t>
  </si>
  <si>
    <t>v29 constant repeated in every year - edit any year on its own. Calculation_FSL rows 1474-1481 (no synergy capex)</t>
  </si>
  <si>
    <t>not in v29 (no synergy capex). Only used if a synergy investment is entered above.</t>
  </si>
  <si>
    <t>v29 constant repeated in every year - edit any year on its own. Calculation_FSL rows 1474-1481 (no sustaining capex in v29)</t>
  </si>
  <si>
    <t>not in v29 (no sustaining capex). Only used if a sustaining capex % is entered above.</t>
  </si>
  <si>
    <t>not in v29Provisional default; v29 has no contract data. Basis: allowance for termination / demobilisation on contracts in progress. No effect at the v29 settings (P01 / P02 ON).</t>
  </si>
  <si>
    <t>v29 constant repeated in every year - edit any year on its own. Calculation_FSL!F1454</t>
  </si>
  <si>
    <t>v29 constant repeated in every year - edit any year on its own. Calculation_FSL!F1464</t>
  </si>
  <si>
    <t>v29 value for each year. Output_FSL!J96:V96 / Calculation_FSL!J1460:V1460</t>
  </si>
  <si>
    <t>Calculation_FSL!K1511 (= Input!K1237 "FSL Loan Repayment"). v29 repays it in FY2025 with investor proceeds. Principal and currency unchanged.</t>
  </si>
  <si>
    <t>Calculation_FSL!K1513 (= K1511 x USD_IDR / 1000). Held at the v29 IDR amount (v29 uses one exchange rate; no FX revaluation modelled).</t>
  </si>
  <si>
    <t>v29: repaid in FY2025 (Calculation_FSL!K1516). Not repaid in 2025: carried through 31-Dec-2026 and repaid in 2027. The exact 2027 date is not known - 30-Jun-2027 is provisional (TO CONFIRM). Enter 31-Dec-2025 to reproduce v29.</t>
  </si>
  <si>
    <t>Input!L388 + Input!L433 (15.27) / Calculation_FSL!K1513. v29 charges a full year of interest on the 195.18 in FY2025, the year it repays it; that rate (7.83%) is applied until the repayment date. TO CONFIRM.</t>
  </si>
  <si>
    <t>Input!L388 / (L388 + L433). Keeps the v29 FY2025 split of this interest between the two v29 tax lines (Output_Standalone (IDR) rows 125 and 149).</t>
  </si>
  <si>
    <t>v29 value for each year. Calculation_FSL!J1516 (= opening 224.518 - LT loan 195.18; sign reversed)</t>
  </si>
  <si>
    <t>v29 value for each year. Input!K388:W388 -&gt; Output_Standalone (IDR)!J125:V125</t>
  </si>
  <si>
    <t>v29 value for each year. Input!K433:W433 (L433 = L434; later years 0) -&gt; Output_Standalone (IDR)!J149:V149</t>
  </si>
  <si>
    <t>not in v29Provisional default; No facility in v29. Basis: about 2x FY2026 EBITDA - indicative senior bank capacity; prevents unlimited borrowing.</t>
  </si>
  <si>
    <t>not in v29Provisional default; Fees not in v29. Basis: typical 1% arrangement fee for IDR bank loans.</t>
  </si>
  <si>
    <t>Call Rights!H69 note: 'Tenor 5 IDR'. Contract term.</t>
  </si>
  <si>
    <t>Call Rights!H68 note: 'Tenor 4+1'. Equal annual repayments after the grace period.</t>
  </si>
  <si>
    <t>not in v29Provisional default; v29 has no covenant. Basis: typical senior-debt covenant for infrastructure.</t>
  </si>
  <si>
    <t>v29 constant repeated in every year - edit any year on its own. v29 has no new debt (Calculation_FSL!F1524 debt portion = 0%)</t>
  </si>
  <si>
    <t>Derived from v29, repeated in every year - edit any year on its own. Call Rights!H71 note: '10%-11%' (IDR)</t>
  </si>
  <si>
    <t>Provisional value repeated in every year - edit any year on its own. not in v29</t>
  </si>
  <si>
    <t>v29 value for each year. Calculation_FSL!L1498:M1498 ('Ass Oct 2025': FY2026 = FY2026 capex, FY2027 = FY2027 + FY2028 capex) -&gt; Call Rights row 48 -&gt; Calculation_FSL row 1500</t>
  </si>
  <si>
    <t>Calculation FKS PoV!D165. Basis 2: equity above the commitment (and debt) is an unfunded shortfall. Basis 1: the residual requirement is not capped; Funding Requirement compares it with this amount.</t>
  </si>
  <si>
    <t>v29 constant repeated in every year - edit any year on its own. Calculation_FSL!J1531 (hard-coded -3.00)</t>
  </si>
  <si>
    <t>v29 constant repeated in every year - edit any year on its own. v29 earns no interest on cash</t>
  </si>
  <si>
    <t>Calculation_FSL!F1537. Legal parameter.</t>
  </si>
  <si>
    <t>Calculation_FSL!F1538. Legal parameter.</t>
  </si>
  <si>
    <t>v29 constant repeated in every year - edit any year on its own. Calculation_FSL!F1550</t>
  </si>
  <si>
    <t>v29 constant repeated in every year - edit any year on its own. Calculation_FSL rows 1545-1556 (no minority dividends in v29)</t>
  </si>
  <si>
    <t>v29 constant repeated in every year - edit any year on its own. Output_Standalone (IDR)!J33 (22% typed into each tax formula)</t>
  </si>
  <si>
    <t>not in v29Provisional default; Not in v29. Basis: nil (NPLOG reported an FY2023 loss of 87.2bn, BS_Historical!C52 - confirm losses available). No effect unless C07 = 1.</t>
  </si>
  <si>
    <t>not in v29Provisional default; Not in v29. Basis: nil. No effect unless C07 = 1.</t>
  </si>
  <si>
    <t>Calculation_FSL!F1547 (65% applied to the Teluk Lamong existing and DMS Teluk Lamong lines). v29 applies it to two NPLOG lines only (E1, P08); switch C12 applies it to every NPLOG line. Interpreted as a 65% economic interest (35% non-controlling interest) - TO CONFIRM legal shareholding.</t>
  </si>
  <si>
    <t>v29 implicit (no minority adjustment). Confirm.</t>
  </si>
  <si>
    <t>v29 implicit (no minority adjustment). New entity.</t>
  </si>
  <si>
    <t>not in v29Provisional default; v29 has no discount rate (its 10% investor target IRR is not a WACC). Basis: market yield 7.01% on 24-Sep-2026 (Trading Economics).</t>
  </si>
  <si>
    <t>not in v29Provisional default; Basis: Damodaran Jan-2026 (Baa2). Removed because the equity premium below already includes country risk.</t>
  </si>
  <si>
    <t>not in v29Provisional default; Basis: Damodaran Jan-2026 country risk premium table.</t>
  </si>
  <si>
    <t>not in v29Provisional default; Basis: Damodaran Jan-2026 unlevered betas - Transportation 0.71, Railroads 0.81, Trucking 0.87; 0.80 for bulk port handling with volume risk.</t>
  </si>
  <si>
    <t>not in v29Provisional default; Basis: moderate leverage for transport infrastructure (Damodaran D/E: Transportation 36%, Trucking 25%).</t>
  </si>
  <si>
    <t>Call Rights!H71 note: '10%-11%'. Same basis as the new debt rate (section 10).</t>
  </si>
  <si>
    <t>not in v29Provisional default; Basis: small unlisted company concentrated on a few port sites.</t>
  </si>
  <si>
    <t>not in v29Provisional default; v29 has no terminal assumption or concession terms. Basis: close to Bank Indonesia's 2.5% +/- 1% inflation target - no real growth, so normalised reinvestment is the only capex.</t>
  </si>
  <si>
    <t>not in v29Provisional default; v29 has no sustaining capex, so its FY2036 cash flow (depreciation added back, no capex) cannot be capitalised as it stands. Basis: 4% of revenue, a common sustaining level for port and terminal operators. Used in the terminal value only - the forecast statements are unchanged.</t>
  </si>
  <si>
    <t>Delivered setting. When Badas is in the valuation (register switch 1) its funding is part of the FSL cash roll-forward and this control has no effect (no double counting).</t>
  </si>
  <si>
    <t>Dummy value (no FS data)</t>
  </si>
  <si>
    <t>not in v29. Below 100% creates a non-controlling interest.</t>
  </si>
  <si>
    <t>not in v29. Contract term (as the Ciwandan 52% share).</t>
  </si>
  <si>
    <t>not in v29. First day of operations; the first year is pro-rated. Capex timing is set separately (spending % row) - the first capex year is not the first revenue year.</t>
  </si>
  <si>
    <t>not in v29. Recruitment, training and commissioning costs.</t>
  </si>
  <si>
    <t>Board deck Dec-2024, Stage 2 (Badas 10.0 USD mn) - not in v29Provisional default; Basis: board deck Stage 2 amount. Replace with the FS capex budget.</t>
  </si>
  <si>
    <t>Dummy values by year. not in v29</t>
  </si>
  <si>
    <t>not in v29. Balance = equipment.</t>
  </si>
  <si>
    <t>not in v29. Drawn as capex is spent; the rest is equity.</t>
  </si>
  <si>
    <t>not in v29. Equal annual repayments after the grace period.</t>
  </si>
  <si>
    <t>Dummy value repeated in every year. not in v29</t>
  </si>
  <si>
    <t>Blank by design</t>
  </si>
  <si>
    <t>not in v29. Shown in Funding Requirement and Project Summary.</t>
  </si>
  <si>
    <t>not in v29. Blank = nothing requested.</t>
  </si>
  <si>
    <t>Blank by design - enter values by year. not in v29</t>
  </si>
  <si>
    <t>Delivered setting. Excluded from the valuation in every case.</t>
  </si>
  <si>
    <t>not in v29Provisional default; No financing plan for these projects. Basis: equity-funded unless debt is arranged.</t>
  </si>
  <si>
    <t>Delivered: 0 (v29)</t>
  </si>
  <si>
    <t>v29: Calculation_FSL!T853:V853 read Input!U810:W810 (an empty row) instead of Input!U852:W852, so the sugar tariff applied in FY2034-36 is nil and Makassar sugar revenue drops to zero.</t>
  </si>
  <si>
    <t>v29: Calculation_FSL!F461 (depreciation base) = Input!L1270, an empty FY2025 cell; the 6.02 USD mn warehouse capex (Input!M1270) is spent but never depreciated.</t>
  </si>
  <si>
    <t>v29: Project depreciation = total capex (incl. spend before FY2024 and spend of later years) x proportion / life x USD_IDR, from the start-year flag, without end (e.g. Wharf 2 Calculation_FSL!J371:V376, conveyor J414:V419, silo J153:V158, Ciwandan J526:V531, Belawan J602:V607, DMS J244); only Dumai equipment stops after its life (row 197). Assets keep depreciating after their useful life and before they are built.</t>
  </si>
  <si>
    <t>v29: Existing-asset schedules (Calculation_FSL!F41 + Input row 62, Input!J223 + row 218, Input row 546, WIN rows) run for the whole forecast; Output_FSL!V98 fixed assets reach -235.7 in FY2036.</t>
  </si>
  <si>
    <t>v29: The Dec-23 Wharf 2 / conveyor assets under construction (197.4bn, BS_Historical!C20 etc.) stay inside 'Other Assets' (Output_FSL!I99 = 331.3, held flat), while depreciation is charged on the full 12.8 + 8.0 USD mn incl. that spend.</t>
  </si>
  <si>
    <t>v29: Tax = 22% x MAX(0, profit before tax) of each of the 16 Output_Standalone (IDR) blocks (e.g. J33, J57, J81, ... J497); a loss in one block (Cigading existing FY2024-26) is never relieved against profits elsewhere, and the Cigading loan interest reduces only that block.</t>
  </si>
  <si>
    <t>v29: DMS equipment of 0.04 / 0.04 / 0.03 / 0.04 USD mn is depreciated (Calculation_FSL rows 244, 498, 569, 721) but no capex appears in the investment schedule (rows 1474-1481).</t>
  </si>
  <si>
    <t>v29: Calculation_SOEs!J450:V450 (Belawan expansion volume) ends at 550,000 t in FY2034; FY2035-36 are empty, so the P07 expansion and the P14 entitlement on it fall to nil in FY2035-36.</t>
  </si>
  <si>
    <t>v29: Output_FSL!I97 = 45.0 (receivables) and I103 = 14.672 (payables) are typed, whereas BS_Historical shows 104.1 and 23.3; other liabilities I105 = BS_Historical!V28/1000 - 65.83 + 15.32 is a plug. The v29 balance sheet is out of balance by 0.006 in every year (Output_FSL row 114 hides this with ROUNDDOWN to 2 decimals).</t>
  </si>
  <si>
    <t>v29: Calculation_FSL!J1460:S1460 hold inventory at the Dec-23 balance (formula ...*0+$I$1460); T1460:V1460 omit the +$I$1460 term, so inventory is nil from FY2034 (Output_FSL!T96:V96 likewise).</t>
  </si>
  <si>
    <t>v29: Calculation_FSL!J1546:J1547 apply the 65% FSL share to the Teluk Lamong existing block and the DMS Teluk Lamong block only; the silo (P04) and the Teluk Lamong operatorship (P12), also NPLOG lines, are treated as 100% FSL.</t>
  </si>
  <si>
    <t>v29: Calculation_FSL row 120 (staff costs) is grown with Input row 134 (legal fees growth, 3.0%) instead of Input row 139 (staff cost growth, 3.5%).</t>
  </si>
  <si>
    <t>v29: Calculation_FSL!J1541 = Output_FSL!I60 and L1541 = Output_FSL!K60, where row 60 accumulates net profit without deducting dividends paid; the statutory-reserve limit is therefore tested against a balance higher than retained earnings. Not binding at the delivered settings.</t>
  </si>
  <si>
    <t>17.   DEC-23 BALANCE SHEETS BY ENTITY (v29 BS_Historical, IDR mn converted to IDR bn), THE v29 OPENING BALANCE SHEET (Output_FSL column I) AND THE OPENING BALANCES USED</t>
  </si>
  <si>
    <t>Line item</t>
  </si>
  <si>
    <t>v29 cells (NPLOG / SGT / BLW / WIN)</t>
  </si>
  <si>
    <t>SGT 2</t>
  </si>
  <si>
    <t>Belawan</t>
  </si>
  <si>
    <t>Consolidated (actual)</t>
  </si>
  <si>
    <t>Cash and cash equivalents</t>
  </si>
  <si>
    <t>C7 / G7 / K7 / O7</t>
  </si>
  <si>
    <t>Time deposits</t>
  </si>
  <si>
    <t>C8 / - / - / O8</t>
  </si>
  <si>
    <t>Trade receivables</t>
  </si>
  <si>
    <t>C9 / G9 / K9 / O9</t>
  </si>
  <si>
    <t>Inventories</t>
  </si>
  <si>
    <t>C10 / G10 / K10 / O10</t>
  </si>
  <si>
    <t>Fixed assets - net book value</t>
  </si>
  <si>
    <t>C18+C19 / G20+G21 / K17+K18 / O18+O19</t>
  </si>
  <si>
    <t>Assets under construction (Wharf 2 / conveyor)</t>
  </si>
  <si>
    <t>C20 / G25 / K19 / O20</t>
  </si>
  <si>
    <t>Other assets (balance)</t>
  </si>
  <si>
    <t>Total assets</t>
  </si>
  <si>
    <t>C27 / G31 / K24 / O24</t>
  </si>
  <si>
    <t>Trade payables</t>
  </si>
  <si>
    <t>C31 / G38 / K27 / O28</t>
  </si>
  <si>
    <t>Bank loans</t>
  </si>
  <si>
    <t>C36 / G36+G50 / - / -</t>
  </si>
  <si>
    <t>Lease liabilities</t>
  </si>
  <si>
    <t>C38+C44 / G43+G51 / - / -</t>
  </si>
  <si>
    <t>Employee benefit obligations</t>
  </si>
  <si>
    <t>C37 / G52 / K33 / O34</t>
  </si>
  <si>
    <t>Other liabilities (balance)</t>
  </si>
  <si>
    <t>Total liabilities</t>
  </si>
  <si>
    <t>C46 / G55 / K39 / O42</t>
  </si>
  <si>
    <t>Share capital and additional paid-in capital</t>
  </si>
  <si>
    <t>C49+C50 / G58 / K41 / O45</t>
  </si>
  <si>
    <t>Retained earnings and other equity (balance)</t>
  </si>
  <si>
    <t>Total equity</t>
  </si>
  <si>
    <t>C54 / G63 / K45 / O50</t>
  </si>
  <si>
    <t>Check: assets - liabilities - equity (must be 0)</t>
  </si>
  <si>
    <t>Memo: FY2023 net profit / (loss)</t>
  </si>
  <si>
    <t>PT Sentral Gudang Terminal is mapped to Belawan (v29 BS_Historical). Consolidated = simple aggregation of the four entities, as in v29 (no intercompany data). No FY2024-25 actuals supplied. Paid-in capital per v29 BS_Historical!V32 (= C49 + C50 + G58 + K41 + O45).</t>
  </si>
  <si>
    <t>v29 opening balance sheet (Output_FSL column I = 31-Dec-2023) - the balances v29 starts from</t>
  </si>
  <si>
    <t>v29 cell</t>
  </si>
  <si>
    <t>v29 formula / note</t>
  </si>
  <si>
    <t>Cash</t>
  </si>
  <si>
    <t>Output_FSL!I88</t>
  </si>
  <si>
    <t>v29 formula: BS_Historical!V7/1000</t>
  </si>
  <si>
    <t>Inventory</t>
  </si>
  <si>
    <t>Output_FSL!I96</t>
  </si>
  <si>
    <t>v29 formula: BS_Historical!V10/1000</t>
  </si>
  <si>
    <t>Account receivables (typed)</t>
  </si>
  <si>
    <t>Output_FSL!I97</t>
  </si>
  <si>
    <t>typed 45.0 - BS_Historical shows 104.1</t>
  </si>
  <si>
    <t>Fixed asset</t>
  </si>
  <si>
    <t>Output_FSL!I98</t>
  </si>
  <si>
    <t>v29 formula: BS_Historical!V17/1000 (excl. assets under construction)</t>
  </si>
  <si>
    <t>Other assets (incl. time deposits and the Dec-23 assets under construction)</t>
  </si>
  <si>
    <t>Output_FSL!I99</t>
  </si>
  <si>
    <t>v29 formula: BS_Historical!V23/1000</t>
  </si>
  <si>
    <t>Output_FSL!I100</t>
  </si>
  <si>
    <t>sum</t>
  </si>
  <si>
    <t>Account payable (typed)</t>
  </si>
  <si>
    <t>Output_FSL!I103</t>
  </si>
  <si>
    <t>typed 14.672 - BS_Historical shows 23.3</t>
  </si>
  <si>
    <t>Bank loan</t>
  </si>
  <si>
    <t>Output_FSL!I104</t>
  </si>
  <si>
    <t>v29 formula: BS_Historical!V27/1000</t>
  </si>
  <si>
    <t>Other liability (plug)</t>
  </si>
  <si>
    <t>Output_FSL!I105</t>
  </si>
  <si>
    <t>v29 formula: BS_Historical!V28/1000 - 65.83 + 15.32</t>
  </si>
  <si>
    <t>Total liability</t>
  </si>
  <si>
    <t>Output_FSL!I106</t>
  </si>
  <si>
    <t>Equity (paid-in capital)</t>
  </si>
  <si>
    <t>Output_FSL!I109</t>
  </si>
  <si>
    <t>v29 formula: BS_Historical!V32/1000</t>
  </si>
  <si>
    <t>Retained earnings</t>
  </si>
  <si>
    <t>Output_FSL!I111</t>
  </si>
  <si>
    <t>v29 formula: BS_Historical!V33/1000</t>
  </si>
  <si>
    <t>Output_FSL!I112</t>
  </si>
  <si>
    <t>v29 residual: total assets - total liabilities - total equity (unrounded; v29 row 114 rounds it down to 0.00)</t>
  </si>
  <si>
    <t>Inconsistency C10: typed receivables / payables and the plug do not balance; the same residual appears in every v29 year.</t>
  </si>
  <si>
    <t>Opening balance sheet used by the model: v29 balances as delivered (switch C10 = 0) or actual Dec-23 balances (C10 = 1)</t>
  </si>
  <si>
    <t>Trade receivables (v29 typed 45.0 / actual 104.1)</t>
  </si>
  <si>
    <t>Fixed assets - net book value excl. assets under construction</t>
  </si>
  <si>
    <t>Assets under construction at Dec-23 (inside other assets in v29; moved to fixed assets by C06)</t>
  </si>
  <si>
    <t>Other assets (incl. time deposits and the assets under construction)</t>
  </si>
  <si>
    <t>Memo: time deposits within other assets</t>
  </si>
  <si>
    <t>Trade payables (v29 typed 14.672 / actual 23.3)</t>
  </si>
  <si>
    <t>Other liabilities (v29 plugged 55.9 / actual 106.4)</t>
  </si>
  <si>
    <t>Memo: lease liabilities within other liabilities</t>
  </si>
  <si>
    <t>Memo: employee benefit obligations within other liabilities</t>
  </si>
  <si>
    <t>Share capital and APIC</t>
  </si>
  <si>
    <t>Retained earnings and other equity</t>
  </si>
  <si>
    <t>Expected opening residual (assets - liabilities - equity) = v29 residual while C10 = 0, nil when C10 = 1</t>
  </si>
  <si>
    <t>Existing fixed assets NBV - NPLOG (BS_Historical)</t>
  </si>
  <si>
    <t>Existing fixed assets NBV - SGT 2 (BS_Historical)</t>
  </si>
  <si>
    <t>Existing fixed assets NBV - Belawan (SGdT) (BS_Historical)</t>
  </si>
  <si>
    <t>Existing fixed assets NBV - WIN (BS_Historical)</t>
  </si>
  <si>
    <t>NPLOG book equity (for the minority-interest memo)</t>
  </si>
  <si>
    <t>Existing-asset pools: the four entity NBVs add up to the v29 fixed-asset line (826.0). Their depreciation follows the v29 schedules (Inputs section 4).</t>
  </si>
  <si>
    <t>18.   v29 BENCHMARK LINES FOR BOTH CASES (values copied from V29_Ruby_FM_Danantara.xlsm; do not edit) AND CORRECTION DATA</t>
  </si>
  <si>
    <t>v29 With BUMN case: Output_FSL as saved (Sapphire off). v29 Without BUMN case: the same workbook recalculated with the operatorship switch off (Output_FSL!G35 = 0) - a derived benchmark; its income-statement lines equal Output_FSL less the Operatorship block (Output_Standalone (IDR) rows 185-199). Column D gives the v29 row; the v29 column of each year is in the row below the header (I = 2023, J = 2024 ... V = 2036). IDR bn; v29 signs kept (costs, capex, dividends negative).</t>
  </si>
  <si>
    <t>LibreOffice recalculation of the unchanged workbook reproduces every Excel cached value of Output_FSL, Output_Standalone (IDR) and Calculation_FSL (15,783 numeric cells, 0 differences), so the recalculated Without BUMN values are reliable.</t>
  </si>
  <si>
    <t>v29 column for each year -&gt;</t>
  </si>
  <si>
    <t>Dec-23 / pre-2024</t>
  </si>
  <si>
    <t>v29 line (IDR bn unless stated)</t>
  </si>
  <si>
    <t>v29 WITH BUMN case (BUMN ON, Sapphire OFF) - Output_FSL as saved: Sapphire switch D2 = 0, scenario F27 = 1, operatorship switch G35 = 1, TBM G40 = 0</t>
  </si>
  <si>
    <t>Income statement (Output_FSL rows 44-58; costs negative)</t>
  </si>
  <si>
    <t>Net sales</t>
  </si>
  <si>
    <t>Gross profit</t>
  </si>
  <si>
    <t>Operating expenses</t>
  </si>
  <si>
    <t>Depreciation &amp; amortization</t>
  </si>
  <si>
    <t>Financing cost</t>
  </si>
  <si>
    <t>EBT</t>
  </si>
  <si>
    <t>Tax</t>
  </si>
  <si>
    <t>Net profit</t>
  </si>
  <si>
    <t>Cash flow statement (Output_FSL rows 70-88; outflows negative)</t>
  </si>
  <si>
    <t>Net income</t>
  </si>
  <si>
    <t>Depreciation</t>
  </si>
  <si>
    <t>Change in net working capital</t>
  </si>
  <si>
    <t>Cash flow from operation</t>
  </si>
  <si>
    <t>Other investment (Sapphire x switch = 0)</t>
  </si>
  <si>
    <t>Fix asset acquisition (2023 column = spend before FY2024)</t>
  </si>
  <si>
    <t>Cash flow from investing</t>
  </si>
  <si>
    <t>Equity injection</t>
  </si>
  <si>
    <t>Loan repayment</t>
  </si>
  <si>
    <t>Dividend payment</t>
  </si>
  <si>
    <t>Cash flow from financing</t>
  </si>
  <si>
    <t>Net cash flow</t>
  </si>
  <si>
    <t>Ending balance (2023 column = opening)</t>
  </si>
  <si>
    <t>Balance sheet (Output_FSL rows 95-114; 2023 column = 31-Dec-2023 opening)</t>
  </si>
  <si>
    <t>Account receivables</t>
  </si>
  <si>
    <t>Fix asset</t>
  </si>
  <si>
    <t>Other assets</t>
  </si>
  <si>
    <t>Account payable</t>
  </si>
  <si>
    <t>Other liability</t>
  </si>
  <si>
    <t>Balance check (v29: ROUNDDOWN to 2 decimals)</t>
  </si>
  <si>
    <t>Free cash flow and investment results with v29 definitions (Output_FSL rows 120-138)</t>
  </si>
  <si>
    <t>Tax (22% of positive EBIT)</t>
  </si>
  <si>
    <t>+ Depreciation</t>
  </si>
  <si>
    <t>Investment (FY2024 incl. the pre-2024 spend)</t>
  </si>
  <si>
    <t>Change in NWC</t>
  </si>
  <si>
    <t>Free cash flow to firm</t>
  </si>
  <si>
    <t>Cumulative FCFF</t>
  </si>
  <si>
    <t>IRR (Output_FSL!J137: XIRR of the FY2026-36 adjusted FCFF)</t>
  </si>
  <si>
    <t>Output_FSL!J137</t>
  </si>
  <si>
    <t>Payback period (Output_FSL!J138)</t>
  </si>
  <si>
    <t>Output_FSL!J138</t>
  </si>
  <si>
    <t>Supporting schedules (Calculation_FSL)</t>
  </si>
  <si>
    <t>Working capital (receivables + inventory - payables)</t>
  </si>
  <si>
    <t>Total investment IDR bn (2023 = pre-2024)</t>
  </si>
  <si>
    <t>Proceed from investor (equity injection)</t>
  </si>
  <si>
    <t>Existing loan repayment</t>
  </si>
  <si>
    <t>Net income - Teluk Lamong (NPLOG existing + DMS TTL)</t>
  </si>
  <si>
    <t>Net income - clean (dividend base)</t>
  </si>
  <si>
    <t>Dividend target (30% x clean net income)</t>
  </si>
  <si>
    <t>Maximum dividend - reserve test</t>
  </si>
  <si>
    <t>Maximum dividend - cash test</t>
  </si>
  <si>
    <t>Dividend paid</t>
  </si>
  <si>
    <t>Retained earnings (row 1560)</t>
  </si>
  <si>
    <t>v29 WITHOUT BUMN case (BUMN OFF, Sapphire OFF) - Output_FSL recalculated in LibreOffice with the operatorship switch Output_FSL!G35 = 0 (everything else as saved). Income-statement lines equal Output_FSL less the Operatorship block (Output_Standalone (IDR) rows 185-199) exactly.</t>
  </si>
  <si>
    <t>Output_FSL!J44:V44 (G35=0)</t>
  </si>
  <si>
    <t>Output_FSL!J45:V45 (G35=0)</t>
  </si>
  <si>
    <t>Output_FSL!J46:V46 (G35=0)</t>
  </si>
  <si>
    <t>Output_FSL!J48:V48 (G35=0)</t>
  </si>
  <si>
    <t>Output_FSL!J49:V49 (G35=0)</t>
  </si>
  <si>
    <t>Output_FSL!J51:V51 (G35=0)</t>
  </si>
  <si>
    <t>Output_FSL!J52:V52 (G35=0)</t>
  </si>
  <si>
    <t>Output_FSL!J54:V54 (G35=0)</t>
  </si>
  <si>
    <t>Output_FSL!J55:V55 (G35=0)</t>
  </si>
  <si>
    <t>Output_FSL!J57:V57 (G35=0)</t>
  </si>
  <si>
    <t>Output_FSL!J58:V58 (G35=0)</t>
  </si>
  <si>
    <t>Output_FSL!J70:V70 (G35=0)</t>
  </si>
  <si>
    <t>Output_FSL!J71:V71 (G35=0)</t>
  </si>
  <si>
    <t>Output_FSL!J72:V72 (G35=0)</t>
  </si>
  <si>
    <t>Output_FSL!J73:V73 (G35=0)</t>
  </si>
  <si>
    <t>Output_FSL!J76:V76 (G35=0)</t>
  </si>
  <si>
    <t>Output_FSL!I77:V77 (G35=0)</t>
  </si>
  <si>
    <t>Output_FSL!J78:V78 (G35=0)</t>
  </si>
  <si>
    <t>Output_FSL!J81:V81 (G35=0)</t>
  </si>
  <si>
    <t>Output_FSL!J82:V82 (G35=0)</t>
  </si>
  <si>
    <t>Output_FSL!J83:V83 (G35=0)</t>
  </si>
  <si>
    <t>Output_FSL!J84:V84 (G35=0)</t>
  </si>
  <si>
    <t>Output_FSL!J86:V86 (G35=0)</t>
  </si>
  <si>
    <t>Output_FSL!I88:V88 (G35=0)</t>
  </si>
  <si>
    <t>Output_FSL!I95:V95 (G35=0)</t>
  </si>
  <si>
    <t>Output_FSL!I96:V96 (G35=0)</t>
  </si>
  <si>
    <t>Output_FSL!I97:V97 (G35=0)</t>
  </si>
  <si>
    <t>Output_FSL!I98:V98 (G35=0)</t>
  </si>
  <si>
    <t>Output_FSL!I99:V99 (G35=0)</t>
  </si>
  <si>
    <t>Output_FSL!I100:V100 (G35=0)</t>
  </si>
  <si>
    <t>Output_FSL!I103:V103 (G35=0)</t>
  </si>
  <si>
    <t>Output_FSL!I104:V104 (G35=0)</t>
  </si>
  <si>
    <t>Output_FSL!I105:V105 (G35=0)</t>
  </si>
  <si>
    <t>Output_FSL!I106:V106 (G35=0)</t>
  </si>
  <si>
    <t>Output_FSL!I109:V109 (G35=0)</t>
  </si>
  <si>
    <t>Output_FSL!I111:V111 (G35=0)</t>
  </si>
  <si>
    <t>Output_FSL!I112:V112 (G35=0)</t>
  </si>
  <si>
    <t>Output_FSL!I114:V114 (G35=0)</t>
  </si>
  <si>
    <t>Output_FSL!J120:V120 (G35=0)</t>
  </si>
  <si>
    <t>Output_FSL!J121:V121 (G35=0)</t>
  </si>
  <si>
    <t>Output_FSL!J122:V122 (G35=0)</t>
  </si>
  <si>
    <t>Output_FSL!J123:V123 (G35=0)</t>
  </si>
  <si>
    <t>Output_FSL!J124:V124 (G35=0)</t>
  </si>
  <si>
    <t>Output_FSL!J125:V125 (G35=0)</t>
  </si>
  <si>
    <t>Output_FSL!J130:V130 (G35=0)</t>
  </si>
  <si>
    <t>Calculation_FSL!I1467:V1467 (G35=0)</t>
  </si>
  <si>
    <t>Calculation_FSL!I1484:V1484 (G35=0)</t>
  </si>
  <si>
    <t>Calculation_FSL!J1500:V1500 (G35=0)</t>
  </si>
  <si>
    <t>Calculation_FSL!J1516:V1516 (G35=0)</t>
  </si>
  <si>
    <t>Calculation_FSL!J1546:V1546 (G35=0)</t>
  </si>
  <si>
    <t>Calculation_FSL!J1549:V1549 (G35=0)</t>
  </si>
  <si>
    <t>Calculation_FSL!J1550:V1550 (G35=0)</t>
  </si>
  <si>
    <t>Calculation_FSL!J1543:V1543 (G35=0)</t>
  </si>
  <si>
    <t>Calculation_FSL!J1532:V1532 (G35=0)</t>
  </si>
  <si>
    <t>Calculation_FSL!J1556:V1556 (G35=0)</t>
  </si>
  <si>
    <t>Calculation_FSL!J1560:V1560 (G35=0)</t>
  </si>
  <si>
    <t>Correction data (v29 cells not applied by v29, used only when the corresponding switch is ON)</t>
  </si>
  <si>
    <t>C01  WIN Makassar sugar tariff in Input row 852 (all years; v29 applies it only until FY2033)</t>
  </si>
  <si>
    <t>Input!K852:W852</t>
  </si>
  <si>
    <t>C01  delta applied when ON = row-852 tariff - tariff applied by v29 (Inputs)</t>
  </si>
  <si>
    <t>C13  Teluk Lamong staff-cost growth in Input row 139 (not referenced by v29)</t>
  </si>
  <si>
    <t>Input!K139:W139</t>
  </si>
  <si>
    <t>C13  delta applied when ON = row-139 growth - growth applied by v29 (row 134, Inputs)</t>
  </si>
  <si>
    <t>C09  delta applied when ON = FY2034 Belawan additional volume carried into FY2035-36</t>
  </si>
  <si>
    <t>C11  delta applied when ON = Dec-23 inventory balance restored in FY2034-36</t>
  </si>
  <si>
    <t>v29 constants</t>
  </si>
  <si>
    <t>Exchange rate (named range USD_IDR)</t>
  </si>
  <si>
    <t>Calculation_FSL!F17</t>
  </si>
  <si>
    <t>FSL share of Teluk Lamong profit in the dividend base</t>
  </si>
  <si>
    <t>Calculation_FSL!F1547</t>
  </si>
  <si>
    <t>Warehouse depreciation base (=Input!L1270, empty cell)</t>
  </si>
  <si>
    <t>Calculation_FSL!F461</t>
  </si>
  <si>
    <t>Acquire Sapphire switch (0 = off)</t>
  </si>
  <si>
    <t>Output_FSL!D2</t>
  </si>
  <si>
    <t>Operatorship with BUMN switch, delivered (G35)</t>
  </si>
  <si>
    <t>Output_FSL!G35</t>
  </si>
  <si>
    <t>v29 IRR of the FCFF (XIRR of FY2026-36 flows) - v29 With BUMN</t>
  </si>
  <si>
    <t>v29 payback period (years) - v29 With BUMN</t>
  </si>
  <si>
    <t>v29 IRR of the FCFF - Without BUMN (G35 = 0 recalculation)</t>
  </si>
  <si>
    <t>Output_FSL!J137 (G35=0)</t>
  </si>
  <si>
    <t>v29 payback period - Without BUMN (G35 = 0 recalculation)</t>
  </si>
  <si>
    <t>Output_FSL!J138 (G35=0)</t>
  </si>
  <si>
    <t>Other-liability plug deducted in Output_FSL!I105</t>
  </si>
  <si>
    <t>Output_FSL!I105 (=BS_Historical!V28/Thousands-65.83+15.32)</t>
  </si>
  <si>
    <t>Other-liability plug added back in Output_FSL!I105</t>
  </si>
  <si>
    <t>Last year v29 holds inventory at the Dec-23 balance</t>
  </si>
  <si>
    <t>Calculation_FSL!J1460:S1460 (=...*0+$I$1460); T1460:V1460 omit the term</t>
  </si>
  <si>
    <t>19.   v29 BUSINESS-BLOCK LINES (Output_Standalone (IDR), v29 With BUMN case) FOR THE PROJECT-LEVEL RECONCILIATION - block title row + offset (2 sales, 3 cost of sales, 6 opex, 9 D&amp;A, 12 financing, 13 EBT, 15 tax, 16 net profit)</t>
  </si>
  <si>
    <t>The Without BUMN case differs from these blocks only in the Operatorship block (all lines nil when G35 = 0); every other block is identical in both cases.</t>
  </si>
  <si>
    <t>E1  NPLOG - Teluk Lamong existing (title row 18; model businesses E1)</t>
  </si>
  <si>
    <t>E1 Net sales</t>
  </si>
  <si>
    <t>Output_Standalone (IDR)!J20:V20</t>
  </si>
  <si>
    <t>Output_Standalone (IDR)!J21:V21</t>
  </si>
  <si>
    <t>E1 Operating expenses</t>
  </si>
  <si>
    <t>Output_Standalone (IDR)!J24:V24</t>
  </si>
  <si>
    <t>E1 Depreciation &amp; amortization</t>
  </si>
  <si>
    <t>Output_Standalone (IDR)!J27:V27</t>
  </si>
  <si>
    <t>E1 Financing cost</t>
  </si>
  <si>
    <t>Output_Standalone (IDR)!J30:V30</t>
  </si>
  <si>
    <t>E1 EBT</t>
  </si>
  <si>
    <t>Output_Standalone (IDR)!J31:V31</t>
  </si>
  <si>
    <t>E1 Tax</t>
  </si>
  <si>
    <t>Output_Standalone (IDR)!J33:V33</t>
  </si>
  <si>
    <t>E1 Net profit</t>
  </si>
  <si>
    <t>Output_Standalone (IDR)!J34:V34</t>
  </si>
  <si>
    <t>P04  TTL Silo (title row 42; model businesses P04)</t>
  </si>
  <si>
    <t>P04 Net sales</t>
  </si>
  <si>
    <t>Output_Standalone (IDR)!J44:V44</t>
  </si>
  <si>
    <t>P04 Cost of sales</t>
  </si>
  <si>
    <t>Output_Standalone (IDR)!J45:V45</t>
  </si>
  <si>
    <t>P04 Operating expenses</t>
  </si>
  <si>
    <t>Output_Standalone (IDR)!J48:V48</t>
  </si>
  <si>
    <t>P04 Depreciation &amp; amortization</t>
  </si>
  <si>
    <t>Output_Standalone (IDR)!J51:V51</t>
  </si>
  <si>
    <t>P04 Financing cost</t>
  </si>
  <si>
    <t>Output_Standalone (IDR)!J54:V54</t>
  </si>
  <si>
    <t>P04 EBT</t>
  </si>
  <si>
    <t>Output_Standalone (IDR)!J55:V55</t>
  </si>
  <si>
    <t>P04 Tax</t>
  </si>
  <si>
    <t>Output_Standalone (IDR)!J57:V57</t>
  </si>
  <si>
    <t>P04 Net profit</t>
  </si>
  <si>
    <t>Output_Standalone (IDR)!J58:V58</t>
  </si>
  <si>
    <t>P05  Dumai (title row 66; model businesses P05)</t>
  </si>
  <si>
    <t>P05 Net sales</t>
  </si>
  <si>
    <t>Output_Standalone (IDR)!J68:V68</t>
  </si>
  <si>
    <t>P05 Cost of sales</t>
  </si>
  <si>
    <t>Output_Standalone (IDR)!J69:V69</t>
  </si>
  <si>
    <t>P05 Operating expenses</t>
  </si>
  <si>
    <t>Output_Standalone (IDR)!J72:V72</t>
  </si>
  <si>
    <t>P05 Depreciation &amp; amortization</t>
  </si>
  <si>
    <t>Output_Standalone (IDR)!J75:V75</t>
  </si>
  <si>
    <t>P05 Financing cost</t>
  </si>
  <si>
    <t>Output_Standalone (IDR)!J78:V78</t>
  </si>
  <si>
    <t>P05 EBT</t>
  </si>
  <si>
    <t>Output_Standalone (IDR)!J79:V79</t>
  </si>
  <si>
    <t>P05 Tax</t>
  </si>
  <si>
    <t>Output_Standalone (IDR)!J81:V81</t>
  </si>
  <si>
    <t>P05 Net profit</t>
  </si>
  <si>
    <t>Output_Standalone (IDR)!J82:V82</t>
  </si>
  <si>
    <t>P08  Trucking DMS Teluk Lamong (title row 90; model businesses P08)</t>
  </si>
  <si>
    <t>P08 Net sales</t>
  </si>
  <si>
    <t>Output_Standalone (IDR)!J92:V92</t>
  </si>
  <si>
    <t>P08 Cost of sales</t>
  </si>
  <si>
    <t>Output_Standalone (IDR)!J93:V93</t>
  </si>
  <si>
    <t>P08 Operating expenses</t>
  </si>
  <si>
    <t>Output_Standalone (IDR)!J96:V96</t>
  </si>
  <si>
    <t>P08 Depreciation &amp; amortization</t>
  </si>
  <si>
    <t>Output_Standalone (IDR)!J99:V99</t>
  </si>
  <si>
    <t>P08 Financing cost</t>
  </si>
  <si>
    <t>Output_Standalone (IDR)!J102:V102</t>
  </si>
  <si>
    <t>P08 EBT</t>
  </si>
  <si>
    <t>Output_Standalone (IDR)!J103:V103</t>
  </si>
  <si>
    <t>P08 Tax</t>
  </si>
  <si>
    <t>Output_Standalone (IDR)!J105:V105</t>
  </si>
  <si>
    <t>P08 Net profit</t>
  </si>
  <si>
    <t>Output_Standalone (IDR)!J106:V106</t>
  </si>
  <si>
    <t>E2  Cigading Existing (title row 113; model businesses E2)</t>
  </si>
  <si>
    <t>E2 Net sales</t>
  </si>
  <si>
    <t>Output_Standalone (IDR)!J115:V115</t>
  </si>
  <si>
    <t>Output_Standalone (IDR)!J116:V116</t>
  </si>
  <si>
    <t>E2 Operating expenses</t>
  </si>
  <si>
    <t>Output_Standalone (IDR)!J119:V119</t>
  </si>
  <si>
    <t>E2 Depreciation &amp; amortization</t>
  </si>
  <si>
    <t>Output_Standalone (IDR)!J122:V122</t>
  </si>
  <si>
    <t>E2 Financing cost</t>
  </si>
  <si>
    <t>Output_Standalone (IDR)!J125:V125</t>
  </si>
  <si>
    <t>E2 EBT</t>
  </si>
  <si>
    <t>Output_Standalone (IDR)!J126:V126</t>
  </si>
  <si>
    <t>E2 Tax</t>
  </si>
  <si>
    <t>Output_Standalone (IDR)!J128:V128</t>
  </si>
  <si>
    <t>E2 Net profit</t>
  </si>
  <si>
    <t>Output_Standalone (IDR)!J129:V129</t>
  </si>
  <si>
    <t>P01  Cigading Expansion: Wharf 2 (title row 137; model businesses P01)</t>
  </si>
  <si>
    <t>P01 Net sales</t>
  </si>
  <si>
    <t>Output_Standalone (IDR)!J139:V139</t>
  </si>
  <si>
    <t>P01 Cost of sales</t>
  </si>
  <si>
    <t>Output_Standalone (IDR)!J140:V140</t>
  </si>
  <si>
    <t>P01 Operating expenses</t>
  </si>
  <si>
    <t>Output_Standalone (IDR)!J143:V143</t>
  </si>
  <si>
    <t>P01 Depreciation &amp; amortization</t>
  </si>
  <si>
    <t>Output_Standalone (IDR)!J146:V146</t>
  </si>
  <si>
    <t>P01 Financing cost</t>
  </si>
  <si>
    <t>Output_Standalone (IDR)!J149:V149</t>
  </si>
  <si>
    <t>P01 EBT</t>
  </si>
  <si>
    <t>Output_Standalone (IDR)!J150:V150</t>
  </si>
  <si>
    <t>P01 Tax</t>
  </si>
  <si>
    <t>Output_Standalone (IDR)!J152:V152</t>
  </si>
  <si>
    <t>P01 Net profit</t>
  </si>
  <si>
    <t>Output_Standalone (IDR)!J153:V153</t>
  </si>
  <si>
    <t>P02  Cigading Extended Conveyor (title row 160; model businesses P02)</t>
  </si>
  <si>
    <t>P02 Net sales</t>
  </si>
  <si>
    <t>Output_Standalone (IDR)!J162:V162</t>
  </si>
  <si>
    <t>P02 Cost of sales</t>
  </si>
  <si>
    <t>Output_Standalone (IDR)!J163:V163</t>
  </si>
  <si>
    <t>P02 Operating expenses</t>
  </si>
  <si>
    <t>Output_Standalone (IDR)!J166:V166</t>
  </si>
  <si>
    <t>P02 Depreciation &amp; amortization</t>
  </si>
  <si>
    <t>Output_Standalone (IDR)!J169:V169</t>
  </si>
  <si>
    <t>P02 Financing cost</t>
  </si>
  <si>
    <t>Output_Standalone (IDR)!J172:V172</t>
  </si>
  <si>
    <t>P02 EBT</t>
  </si>
  <si>
    <t>Output_Standalone (IDR)!J173:V173</t>
  </si>
  <si>
    <t>P02 Tax</t>
  </si>
  <si>
    <t>Output_Standalone (IDR)!J175:V175</t>
  </si>
  <si>
    <t>P02 Net profit</t>
  </si>
  <si>
    <t>Output_Standalone (IDR)!J176:V176</t>
  </si>
  <si>
    <t>OP  Operatorship with BUMN (P12-P14) (title row 183; model businesses P12, P13, P14)</t>
  </si>
  <si>
    <t>OP Net sales</t>
  </si>
  <si>
    <t>Output_Standalone (IDR)!J185:V185</t>
  </si>
  <si>
    <t>OP Cost of sales</t>
  </si>
  <si>
    <t>Output_Standalone (IDR)!J186:V186</t>
  </si>
  <si>
    <t>OP Operating expenses</t>
  </si>
  <si>
    <t>Output_Standalone (IDR)!J189:V189</t>
  </si>
  <si>
    <t>OP Depreciation &amp; amortization</t>
  </si>
  <si>
    <t>Output_Standalone (IDR)!J192:V192</t>
  </si>
  <si>
    <t>OP Financing cost</t>
  </si>
  <si>
    <t>Output_Standalone (IDR)!J195:V195</t>
  </si>
  <si>
    <t>OP EBT</t>
  </si>
  <si>
    <t>Output_Standalone (IDR)!J196:V196</t>
  </si>
  <si>
    <t>OP Tax</t>
  </si>
  <si>
    <t>Output_Standalone (IDR)!J198:V198</t>
  </si>
  <si>
    <t>OP Net profit</t>
  </si>
  <si>
    <t>Output_Standalone (IDR)!J199:V199</t>
  </si>
  <si>
    <t>P03  KBS Warehouse Revitalization (title row 206; model businesses P03)</t>
  </si>
  <si>
    <t>P03 Net sales</t>
  </si>
  <si>
    <t>Output_Standalone (IDR)!J208:V208</t>
  </si>
  <si>
    <t>P03 Cost of sales</t>
  </si>
  <si>
    <t>Output_Standalone (IDR)!J209:V209</t>
  </si>
  <si>
    <t>P03 Operating expenses</t>
  </si>
  <si>
    <t>Output_Standalone (IDR)!J212:V212</t>
  </si>
  <si>
    <t>P03 Depreciation &amp; amortization</t>
  </si>
  <si>
    <t>Output_Standalone (IDR)!J215:V215</t>
  </si>
  <si>
    <t>P03 Financing cost</t>
  </si>
  <si>
    <t>Output_Standalone (IDR)!J218:V218</t>
  </si>
  <si>
    <t>P03 EBT</t>
  </si>
  <si>
    <t>Output_Standalone (IDR)!J219:V219</t>
  </si>
  <si>
    <t>P03 Tax</t>
  </si>
  <si>
    <t>Output_Standalone (IDR)!J221:V221</t>
  </si>
  <si>
    <t>P03 Net profit</t>
  </si>
  <si>
    <t>Output_Standalone (IDR)!J222:V222</t>
  </si>
  <si>
    <t>P09  Trucking DMS Cigading (title row 229; model businesses P09)</t>
  </si>
  <si>
    <t>P09 Net sales</t>
  </si>
  <si>
    <t>Output_Standalone (IDR)!J231:V231</t>
  </si>
  <si>
    <t>P09 Cost of sales</t>
  </si>
  <si>
    <t>Output_Standalone (IDR)!J232:V232</t>
  </si>
  <si>
    <t>P09 Operating expenses</t>
  </si>
  <si>
    <t>Output_Standalone (IDR)!J235:V235</t>
  </si>
  <si>
    <t>P09 Depreciation &amp; amortization</t>
  </si>
  <si>
    <t>Output_Standalone (IDR)!J238:V238</t>
  </si>
  <si>
    <t>P09 Financing cost</t>
  </si>
  <si>
    <t>Output_Standalone (IDR)!J241:V241</t>
  </si>
  <si>
    <t>P09 EBT</t>
  </si>
  <si>
    <t>Output_Standalone (IDR)!J242:V242</t>
  </si>
  <si>
    <t>P09 Tax</t>
  </si>
  <si>
    <t>Output_Standalone (IDR)!J244:V244</t>
  </si>
  <si>
    <t>P09 Net profit</t>
  </si>
  <si>
    <t>Output_Standalone (IDR)!J245:V245</t>
  </si>
  <si>
    <t>P06  Ciwandan Expansion (title row 275; model businesses P06)</t>
  </si>
  <si>
    <t>P06 Net sales</t>
  </si>
  <si>
    <t>Output_Standalone (IDR)!J277:V277</t>
  </si>
  <si>
    <t>P06 Cost of sales</t>
  </si>
  <si>
    <t>Output_Standalone (IDR)!J278:V278</t>
  </si>
  <si>
    <t>P06 Operating expenses</t>
  </si>
  <si>
    <t>Output_Standalone (IDR)!J281:V281</t>
  </si>
  <si>
    <t>P06 Depreciation &amp; amortization</t>
  </si>
  <si>
    <t>Output_Standalone (IDR)!J284:V284</t>
  </si>
  <si>
    <t>P06 Financing cost</t>
  </si>
  <si>
    <t>Output_Standalone (IDR)!J287:V287</t>
  </si>
  <si>
    <t>P06 EBT</t>
  </si>
  <si>
    <t>Output_Standalone (IDR)!J288:V288</t>
  </si>
  <si>
    <t>P06 Tax</t>
  </si>
  <si>
    <t>Output_Standalone (IDR)!J290:V290</t>
  </si>
  <si>
    <t>P06 Net profit</t>
  </si>
  <si>
    <t>Output_Standalone (IDR)!J291:V291</t>
  </si>
  <si>
    <t>P10  Trucking DMS Ciwandan (title row 298; model businesses P10)</t>
  </si>
  <si>
    <t>P10 Net sales</t>
  </si>
  <si>
    <t>Output_Standalone (IDR)!J300:V300</t>
  </si>
  <si>
    <t>P10 Cost of sales</t>
  </si>
  <si>
    <t>Output_Standalone (IDR)!J301:V301</t>
  </si>
  <si>
    <t>P10 Operating expenses</t>
  </si>
  <si>
    <t>Output_Standalone (IDR)!J304:V304</t>
  </si>
  <si>
    <t>P10 Depreciation &amp; amortization</t>
  </si>
  <si>
    <t>Output_Standalone (IDR)!J307:V307</t>
  </si>
  <si>
    <t>P10 Financing cost</t>
  </si>
  <si>
    <t>Output_Standalone (IDR)!J310:V310</t>
  </si>
  <si>
    <t>P10 EBT</t>
  </si>
  <si>
    <t>Output_Standalone (IDR)!J311:V311</t>
  </si>
  <si>
    <t>P10 Tax</t>
  </si>
  <si>
    <t>Output_Standalone (IDR)!J313:V313</t>
  </si>
  <si>
    <t>P10 Net profit</t>
  </si>
  <si>
    <t>Output_Standalone (IDR)!J314:V314</t>
  </si>
  <si>
    <t>BLW  Belawan incl. expansion (E3 + P07) (title row 321; model businesses E3, P07)</t>
  </si>
  <si>
    <t>BLW Net sales</t>
  </si>
  <si>
    <t>Output_Standalone (IDR)!J323:V323</t>
  </si>
  <si>
    <t>BLW Cost of sales</t>
  </si>
  <si>
    <t>Output_Standalone (IDR)!J324:V324</t>
  </si>
  <si>
    <t>BLW Operating expenses</t>
  </si>
  <si>
    <t>Output_Standalone (IDR)!J327:V327</t>
  </si>
  <si>
    <t>BLW Depreciation &amp; amortization</t>
  </si>
  <si>
    <t>Output_Standalone (IDR)!J330:V330</t>
  </si>
  <si>
    <t>BLW Financing cost</t>
  </si>
  <si>
    <t>Output_Standalone (IDR)!J333:V333</t>
  </si>
  <si>
    <t>BLW EBT</t>
  </si>
  <si>
    <t>Output_Standalone (IDR)!J334:V334</t>
  </si>
  <si>
    <t>BLW Tax</t>
  </si>
  <si>
    <t>Output_Standalone (IDR)!J336:V336</t>
  </si>
  <si>
    <t>BLW Net profit</t>
  </si>
  <si>
    <t>Output_Standalone (IDR)!J337:V337</t>
  </si>
  <si>
    <t>P11  Trucking DMS Belawan (title row 344; model businesses P11)</t>
  </si>
  <si>
    <t>P11 Net sales</t>
  </si>
  <si>
    <t>Output_Standalone (IDR)!J346:V346</t>
  </si>
  <si>
    <t>P11 Cost of sales</t>
  </si>
  <si>
    <t>Output_Standalone (IDR)!J347:V347</t>
  </si>
  <si>
    <t>P11 Operating expenses</t>
  </si>
  <si>
    <t>Output_Standalone (IDR)!J350:V350</t>
  </si>
  <si>
    <t>P11 Depreciation &amp; amortization</t>
  </si>
  <si>
    <t>Output_Standalone (IDR)!J353:V353</t>
  </si>
  <si>
    <t>P11 Financing cost</t>
  </si>
  <si>
    <t>Output_Standalone (IDR)!J356:V356</t>
  </si>
  <si>
    <t>P11 EBT</t>
  </si>
  <si>
    <t>Output_Standalone (IDR)!J357:V357</t>
  </si>
  <si>
    <t>P11 Tax</t>
  </si>
  <si>
    <t>Output_Standalone (IDR)!J359:V359</t>
  </si>
  <si>
    <t>P11 Net profit</t>
  </si>
  <si>
    <t>Output_Standalone (IDR)!J360:V360</t>
  </si>
  <si>
    <t>E4  Stevedoring WIN combine (title row 459; model businesses E4)</t>
  </si>
  <si>
    <t>E4 Net sales</t>
  </si>
  <si>
    <t>Output_Standalone (IDR)!J461:V461</t>
  </si>
  <si>
    <t>Output_Standalone (IDR)!J462:V462</t>
  </si>
  <si>
    <t>E4 Operating expenses</t>
  </si>
  <si>
    <t>Output_Standalone (IDR)!J465:V465</t>
  </si>
  <si>
    <t>E4 Depreciation &amp; amortization</t>
  </si>
  <si>
    <t>Output_Standalone (IDR)!J468:V468</t>
  </si>
  <si>
    <t>E4 Financing cost</t>
  </si>
  <si>
    <t>Output_Standalone (IDR)!J471:V471</t>
  </si>
  <si>
    <t>E4 EBT</t>
  </si>
  <si>
    <t>Output_Standalone (IDR)!J472:V472</t>
  </si>
  <si>
    <t>E4 Tax</t>
  </si>
  <si>
    <t>Output_Standalone (IDR)!J474:V474</t>
  </si>
  <si>
    <t>E4 Net profit</t>
  </si>
  <si>
    <t>Output_Standalone (IDR)!J475:V475</t>
  </si>
  <si>
    <t>P15  TBM (title row 482; model businesses P15)</t>
  </si>
  <si>
    <t>P15 Net sales</t>
  </si>
  <si>
    <t>Output_Standalone (IDR)!J484:V484</t>
  </si>
  <si>
    <t>P15 Cost of sales</t>
  </si>
  <si>
    <t>Output_Standalone (IDR)!J485:V485</t>
  </si>
  <si>
    <t>P15 Operating expenses</t>
  </si>
  <si>
    <t>Output_Standalone (IDR)!J488:V488</t>
  </si>
  <si>
    <t>P15 Depreciation &amp; amortization</t>
  </si>
  <si>
    <t>Output_Standalone (IDR)!J491:V491</t>
  </si>
  <si>
    <t>P15 Financing cost</t>
  </si>
  <si>
    <t>Output_Standalone (IDR)!J494:V494</t>
  </si>
  <si>
    <t>P15 EBT</t>
  </si>
  <si>
    <t>Output_Standalone (IDR)!J495:V495</t>
  </si>
  <si>
    <t>P15 Tax</t>
  </si>
  <si>
    <t>Output_Standalone (IDR)!J497:V497</t>
  </si>
  <si>
    <t>P15 Net profit</t>
  </si>
  <si>
    <t>Output_Standalone (IDR)!J498:V498</t>
  </si>
  <si>
    <t>WIN branch revenue (Output_Standalone (IDR))</t>
  </si>
  <si>
    <t>WIN Cilegon net sales</t>
  </si>
  <si>
    <t>Output_Standalone (IDR)!J369:V369</t>
  </si>
  <si>
    <t>WIN Makassar net sales</t>
  </si>
  <si>
    <t>Output_Standalone (IDR)!J392:V392</t>
  </si>
  <si>
    <t>WIN Surabaya net sales</t>
  </si>
  <si>
    <t>Output_Standalone (IDR)!J415:V415</t>
  </si>
  <si>
    <t>WIN Medan net sales</t>
  </si>
  <si>
    <t>Output_Standalone (IDR)!J438:V438</t>
  </si>
  <si>
    <t>20.   v29 INCONSISTENCY REGISTER AND PROPOSED CORRECTIONS (switches on Inputs section 16, all OFF as delivered), SCOPE ITEMS, v29 WORKBOOK NOTES</t>
  </si>
  <si>
    <t>ID / item</t>
  </si>
  <si>
    <t>v29 behaviour (exact cells)</t>
  </si>
  <si>
    <t>Treatment when the switch is ON</t>
  </si>
  <si>
    <t>Quantified</t>
  </si>
  <si>
    <t>Calculation_FSL!T853:V853 read Input!U810:W810 (an empty row) instead of Input!U852:W852, so the sugar tariff applied in FY2034-36 is nil and Makassar sugar revenue drops to zero.</t>
  </si>
  <si>
    <t>The Input row 852 tariff (41,753 IDR/t) is applied in FY2034-36 (Source Data section 18 holds the row-852 values).</t>
  </si>
  <si>
    <t>Revenue Calculation B (E4); Checks &amp; Reconciliation F</t>
  </si>
  <si>
    <t>Calculation_FSL!F461 (depreciation base) = Input!L1270, an empty FY2025 cell; the 6.02 USD mn warehouse capex (Input!M1270) is spent but never depreciated.</t>
  </si>
  <si>
    <t>The warehouse capex is depreciated (v29 method: 20-year building life from the commencement year, or by vintage with C03).</t>
  </si>
  <si>
    <t>Capex &amp; Depreciation B (P03)</t>
  </si>
  <si>
    <t>Project depreciation = total capex (incl. spend before FY2024 and spend of later years) x proportion / life x USD_IDR, from the start-year flag, without end (e.g. Wharf 2 Calculation_FSL!J371:V376, conveyor J414:V419, silo J153:V158, Ciwandan J526:V531, Belawan J602:V607, DMS J244); only Dumai equipment stops after its life (row 197). Assets keep depreciating after their useful life and before they are built.</t>
  </si>
  <si>
    <t>Each vintage is placed in service at commissioning (or when spent later) and depreciated straight-line over its useful life only.</t>
  </si>
  <si>
    <t>Capex &amp; Depreciation B</t>
  </si>
  <si>
    <t>Existing-asset schedules (Calculation_FSL!F41 + Input row 62, Input!J223 + row 218, Input row 546, WIN rows) run for the whole forecast; Output_FSL!V98 fixed assets reach -235.7 in FY2036.</t>
  </si>
  <si>
    <t>Depreciation of each existing pool is capped at its remaining net book value.</t>
  </si>
  <si>
    <t>Capex &amp; Depreciation C</t>
  </si>
  <si>
    <t>The Dec-23 Wharf 2 / conveyor assets under construction (197.4bn, BS_Historical!C20 etc.) stay inside 'Other Assets' (Output_FSL!I99 = 331.3, held flat), while depreciation is charged on the full 12.8 + 8.0 USD mn incl. that spend.</t>
  </si>
  <si>
    <t>The 197.4bn is transferred to fixed assets at 1-Jan-2024 (other assets reduced by the same amount); no effect on profit, cash or equity.</t>
  </si>
  <si>
    <t>FSL Output sheets - balance sheet</t>
  </si>
  <si>
    <t>Tax = 22% x MAX(0, profit before tax) of each of the 16 Output_Standalone (IDR) blocks (e.g. J33, J57, J81, ... J497); a loss in one block (Cigading existing FY2024-26) is never relieved against profits elsewhere, and the Cigading loan interest reduces only that block.</t>
  </si>
  <si>
    <t>Tax per legal entity on operating profit with tax losses carried forward; interest deducted at group level.</t>
  </si>
  <si>
    <t>FSL Output sheets - tax section</t>
  </si>
  <si>
    <t>DMS equipment of 0.04 / 0.04 / 0.03 / 0.04 USD mn is depreciated (Calculation_FSL rows 244, 498, 569, 721) but no capex appears in the investment schedule (rows 1474-1481).</t>
  </si>
  <si>
    <t>The equipment capex is spent in the first operating year of each DMS business.</t>
  </si>
  <si>
    <t>Capex &amp; Depreciation A</t>
  </si>
  <si>
    <t>Calculation_SOEs!J450:V450 (Belawan expansion volume) ends at 550,000 t in FY2034; FY2035-36 are empty, so the P07 expansion and the P14 entitlement on it fall to nil in FY2035-36.</t>
  </si>
  <si>
    <t>The FY2034 volume is held in FY2035-36.</t>
  </si>
  <si>
    <t>Revenue Calculation C (P07)</t>
  </si>
  <si>
    <t>Output_FSL!I97 = 45.0 (receivables) and I103 = 14.672 (payables) are typed, whereas BS_Historical shows 104.1 and 23.3; other liabilities I105 = BS_Historical!V28/1000 - 65.83 + 15.32 is a plug. The v29 balance sheet is out of balance by 0.006 in every year (Output_FSL row 114 hides this with ROUNDDOWN to 2 decimals).</t>
  </si>
  <si>
    <t>Actual Dec-23 balances are used (receivables 104.1, payables 23.3, other liabilities 106.4); the balance sheet then balances exactly.</t>
  </si>
  <si>
    <t>Source Data 17; Working Capital C</t>
  </si>
  <si>
    <t>Calculation_FSL!J1460:S1460 hold inventory at the Dec-23 balance (formula ...*0+$I$1460); T1460:V1460 omit the +$I$1460 term, so inventory is nil from FY2034 (Output_FSL!T96:V96 likewise).</t>
  </si>
  <si>
    <t>Inventory is held at the Dec-23 balance in every year.</t>
  </si>
  <si>
    <t>Working Capital C</t>
  </si>
  <si>
    <t>Calculation_FSL!J1546:J1547 apply the 65% FSL share to the Teluk Lamong existing block and the DMS Teluk Lamong block only; the silo (P04) and the Teluk Lamong operatorship (P12), also NPLOG lines, are treated as 100% FSL.</t>
  </si>
  <si>
    <t>The 65% share is applied to every NPLOG line (E1, P04, P08, P12) in the dividend base and the profit attributable to FSL.</t>
  </si>
  <si>
    <t>Financing D/E (dividends)</t>
  </si>
  <si>
    <t>Calculation_FSL row 120 (staff costs) is grown with Input row 134 (legal fees growth, 3.0%) instead of Input row 139 (staff cost growth, 3.5%).</t>
  </si>
  <si>
    <t>The staff-cost growth row (3.5%) is applied.</t>
  </si>
  <si>
    <t>Cost Calculation A (E1)</t>
  </si>
  <si>
    <t>Calculation_FSL!J1541 = Output_FSL!I60 and L1541 = Output_FSL!K60, where row 60 accumulates net profit without deducting dividends paid; the statutory-reserve limit is therefore tested against a balance higher than retained earnings. Not binding at the delivered settings.</t>
  </si>
  <si>
    <t>The reserve test uses opening retained earnings (after dividends) plus the profit of the year.</t>
  </si>
  <si>
    <t>Scope and policy items (not corrections)</t>
  </si>
  <si>
    <t>S1  Sapphire</t>
  </si>
  <si>
    <t>v29 contains Sapphire operations, acquisition (120 USD mn use of funds) and financing, but Output_FSL is computed with the Sapphire switch off (Output_FSL!D2 = 0; row 76 = Output_Sapphire x 0). Calculation_FSL and Output_Standalone (IDR) contain no Sapphire reference.</t>
  </si>
  <si>
    <t>Excluded completely. Output_FSL (Sapphire off) is the benchmark, so nothing is deducted a second time.</t>
  </si>
  <si>
    <t>S2  Sheet3 and Calculation_SOEs dependencies</t>
  </si>
  <si>
    <t>Belawan operatorship tariffs come from Sheet3 (G6, G8); the conveyor volume index and Belawan expansion volume from Calculation_SOEs (rows 328, 368, 450).</t>
  </si>
  <si>
    <t>Values embedded as inputs with their references; links removed (no value change).</t>
  </si>
  <si>
    <t>S3  Call Rights feeding FSL financing</t>
  </si>
  <si>
    <t>Equity injections = project capex of FY2026 and FY2027 (+FY2028) (Calculation_FSL!L1498:M1498, scenario 4 'Ass Oct 2025' via Call Rights row 48).</t>
  </si>
  <si>
    <t>Available as equity basis 2 (Inputs 1, share of the year's project capex: 100% in FY2026-27). The revised baseline (basis 1, requested) raises new equity only for the residual funding requirement after internal cash, committed funding and debt (Funding Requirement).</t>
  </si>
  <si>
    <t>S4  Valuation</t>
  </si>
  <si>
    <t>No company DCF in v29; a legacy equity value of 114 USD mn is typed (Call Rights!F41). Output_FSL rows 120-138 give an FCFF, IRR and payback with v29 definitions.</t>
  </si>
  <si>
    <t>v29 FCFF / IRR / payback reproduced for reference at the end of each FSL Output sheet. The DCF (Valuation - Without BUMN / With BUMN) values FCFF after 31-Dec-2026 with provisional parameters that do not touch the statements.</t>
  </si>
  <si>
    <t>S5  Sustaining capex</t>
  </si>
  <si>
    <t>None in v29 (assets fully depreciated within the forecast are not replaced).</t>
  </si>
  <si>
    <t>None in the forecast (sustaining capex % = 0). The terminal value uses a provisional normalised reinvestment assumption (Inputs section 12).</t>
  </si>
  <si>
    <t>S6  Pre-2024 capex in v29 returns</t>
  </si>
  <si>
    <t>Output_FSL!J123 = J77 + I77 adds the pre-2024 spend (198.4bn) to the FY2024 investment; the IRR (row 137) uses FY2026-36 flows only.</t>
  </si>
  <si>
    <t>Reproduced as such in the v29 reference block; the model DCF treats pre-2024 spend as sunk.</t>
  </si>
  <si>
    <t>Active scenario selections in v29</t>
  </si>
  <si>
    <t>Cell</t>
  </si>
  <si>
    <t>Selector</t>
  </si>
  <si>
    <t>Value  |  Meaning  |  Treatment</t>
  </si>
  <si>
    <t>Acquire Sapphire</t>
  </si>
  <si>
    <t>0  |  Sapphire excluded from Output_FSL (row 76 = Output_Sapphire x 0)  |  Model excludes Sapphire entirely; nothing deducted twice</t>
  </si>
  <si>
    <t>Output_FSL!D4</t>
  </si>
  <si>
    <t>Scenario</t>
  </si>
  <si>
    <t>1  |  Base scenario  |  Base case</t>
  </si>
  <si>
    <t>Output_FSL!F27</t>
  </si>
  <si>
    <t>Revenue scenario (with ruby 1 / without 0)</t>
  </si>
  <si>
    <t>1  |  Column G flags in force: all businesses ON except TBM (G40 = 0)  |  Delivered register: P01-P14 ON, P15 OFF</t>
  </si>
  <si>
    <t>Operatorship with BUMN flag</t>
  </si>
  <si>
    <t>1  |  With BUMN case (BUMN ON)  |  Without BUMN benchmark = G35 recalculated as 0</t>
  </si>
  <si>
    <t>Input!G32</t>
  </si>
  <si>
    <t>Input case selector</t>
  </si>
  <si>
    <t>1  |  Baseline case rows used throughout Input  |  Baseline rows used; alternative rows noted on Inputs</t>
  </si>
  <si>
    <t>Input!G492</t>
  </si>
  <si>
    <t>Ciwandan tariff case</t>
  </si>
  <si>
    <t>2 (typed)  |  Case 2 tariff row 494  |  Row 494 used (Inputs section 5)</t>
  </si>
  <si>
    <t>'Call Rights'!E59 (-&gt; Calculation_FSL!F1494)</t>
  </si>
  <si>
    <t>Investor scenario</t>
  </si>
  <si>
    <t>4  |  Equity injection = project capex of FY2026 (25.808) and FY2027 + FY2028 (9.837) USD mn  |  Equity basis 2 (Inputs 1) with the scheduled-equity row (Inputs 10); revised baseline: residual requirement</t>
  </si>
  <si>
    <t>Hardcodes and overrides inside v29 calculations</t>
  </si>
  <si>
    <t>Content</t>
  </si>
  <si>
    <t>Effect  |  Treatment</t>
  </si>
  <si>
    <t>Calculation_FSL!F256</t>
  </si>
  <si>
    <t>Cigading FY2024 volume = Input!J209*0+1,100,000</t>
  </si>
  <si>
    <t>Overrides the FY2023 actual (1.99m t)  |  Kept (cgd.v24), noted</t>
  </si>
  <si>
    <t>Calculation_FSL!F514</t>
  </si>
  <si>
    <t>Ciwandan first-year volume = Input!J490*0+1,600,000</t>
  </si>
  <si>
    <t>Overrides 1.9m t in Input  |  Kept (cwd.v1), noted</t>
  </si>
  <si>
    <t>Calculation_FSL!F445</t>
  </si>
  <si>
    <t>Warehouse volume = Calculation_SOEs!F369*0+1.7*Million</t>
  </si>
  <si>
    <t>Link neutralised by x0  |  Kept (whr.v), link removed</t>
  </si>
  <si>
    <t>Calculation_FSL!L1474:M1474</t>
  </si>
  <si>
    <t>Dumai capex 6.485 and 0.325 USD mn typed (other years link to Input row 1258)</t>
  </si>
  <si>
    <t>Typed constants inside a linked row  |  Values used (Inputs 5, Dumai capex by year), noted</t>
  </si>
  <si>
    <t>Output_FSL!I97 / I103</t>
  </si>
  <si>
    <t>Opening AR 45.0 and AP 14.672 typed</t>
  </si>
  <si>
    <t>Differs from BS_Historical actuals  |  Reproduced (C10 restores the actuals)</t>
  </si>
  <si>
    <t>Other liability = BS_Historical!V28/1000 - 65.83 + 15.32</t>
  </si>
  <si>
    <t>Plug; balance sheet still out by 0.006  |  Reproduced (C10 removes the plug)</t>
  </si>
  <si>
    <t>Calculation_FSL!T1460:V1460</t>
  </si>
  <si>
    <t>Inventory formula without the Dec-23 term</t>
  </si>
  <si>
    <t>Inventory nil from FY2034  |  Reproduced (C11 holds it)</t>
  </si>
  <si>
    <t>Calculation_FSL!T853:V853</t>
  </si>
  <si>
    <t>Makassar sugar tariff = Input!U810:W810 (empty row)</t>
  </si>
  <si>
    <t>Revenue nil FY2034-36  |  Reproduced (C01 applies row 852)</t>
  </si>
  <si>
    <t>Warehouse depreciation base = Input!L1270 (empty)</t>
  </si>
  <si>
    <t>No depreciation  |  Reproduced (C02 depreciates the capex)</t>
  </si>
  <si>
    <t>Input!M1187</t>
  </si>
  <si>
    <t>TBM capex for depreciation = 108 - 68 + K1276 = 40.0 USD mn</t>
  </si>
  <si>
    <t>Board figure 108 reduced by 68 without explanation  |  v29 40.0 USD mn used (TBM off) - TO CONFIRM</t>
  </si>
  <si>
    <t>Calculation_FSL!J1531</t>
  </si>
  <si>
    <t>Minimum cash -3.00 typed</t>
  </si>
  <si>
    <t>Dividend cash cap  |  Kept (g.mincash)</t>
  </si>
  <si>
    <t>Output_FSL!J123</t>
  </si>
  <si>
    <t>FY2024 investment = J77 + I77 (adds the pre-2024 spend)</t>
  </si>
  <si>
    <t>v29 FCFF / IRR include sunk spend in FY2024  |  Reproduced in the v29 reference block only (S6)</t>
  </si>
  <si>
    <t>Sapphire: v29 contains Sapphire operations, acquisition (120 USD mn use of funds), financing and consolidation, but Output_FSL is computed with the Sapphire switch off (Output_FSL!D2 = 0; row 76 = Sapphire x 0), and Calculation_FSL / Output_Standalone (IDR) contain no Sapphire reference. The model therefore starts from FSL figures that already exclude Sapphire and deducts nothing further. Check V5 confirms the switch and the nil Sapphire flows.</t>
  </si>
  <si>
    <t>Investor call-right / buy-back pricing (Call Rights, Simulation): reproduced only where it drives FSL (scheduled equity injections, equity basis 2). The investor-return calculation is not carried in the revised model.</t>
  </si>
  <si>
    <t>TBM additional Teluk Lamong grains volume and Cigading ethanol / additional volumes: disabled in v29 (Additional Volume = 0). WIN Tapin: not in the v29 WIN balance sheet or forecasts.</t>
  </si>
  <si>
    <t>Screenshot Stage 2 projects not in v29: Badas is modelled as the P19 template (DUMMY data); Port long-term WH storage and Vietnam can be entered as funding-only projects F01-F05 - Capex &amp; Depreciation section 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</si>
</sst>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Red]\(#,##0.0\);\-"/>
    <numFmt numFmtId="165" formatCode="#,##0.000;[Red]\(#,##0.000\);\-"/>
    <numFmt numFmtId="166" formatCode="dd\-mmm\-yyyy"/>
    <numFmt numFmtId="167" formatCode="#,##0.00;[Red]\(#,##0.00\);\-"/>
    <numFmt numFmtId="168" formatCode="0.0000"/>
    <numFmt numFmtId="169" formatCode="0.0%;[Red]\-0.0%;\-"/>
    <numFmt numFmtId="170" formatCode="0.00%;[Red]\-0.00%;\-"/>
    <numFmt numFmtId="171" formatCode="#,##0;[Red]\(#,##0\);\-"/>
    <numFmt numFmtId="172" formatCode="0.0000%;[Red]\-0.0000%;\-"/>
    <numFmt numFmtId="173" formatCode="0.00\x;[Red]\-0.00\x;\-"/>
    <numFmt numFmtId="174" formatCode="0;[Red]\-0;\-"/>
    <numFmt numFmtId="175" formatCode="0.0\x;[Red]\-0.0\x;\-"/>
    <numFmt numFmtId="176" formatCode="\+0.00%;\-0.00%;0.00%"/>
  </numFmts>
  <fonts count="50" x14ac:knownFonts="1">
    <font>
      <sz val="11"/>
      <color theme="1"/>
      <name val="Calibri"/>
      <family val="2"/>
      <charset val="1"/>
    </font>
    <font>
      <b/>
      <sz val="14"/>
      <color rgb="FF1F3864"/>
      <name val="Arial"/>
      <charset val="1"/>
    </font>
    <font>
      <i/>
      <sz val="9"/>
      <color rgb="FF595959"/>
      <name val="Arial"/>
      <charset val="1"/>
    </font>
    <font>
      <sz val="8"/>
      <color rgb="FF808080"/>
      <name val="Arial"/>
      <charset val="1"/>
    </font>
    <font>
      <b/>
      <sz val="8"/>
      <color rgb="FF000000"/>
      <name val="Arial"/>
      <charset val="1"/>
    </font>
    <font>
      <u/>
      <sz val="8"/>
      <color rgb="FF0563C1"/>
      <name val="Arial"/>
      <charset val="1"/>
    </font>
    <font>
      <b/>
      <sz val="11"/>
      <color rgb="FF1F3864"/>
      <name val="Arial"/>
      <charset val="1"/>
    </font>
    <font>
      <sz val="9"/>
      <color rgb="FF000000"/>
      <name val="Arial"/>
      <charset val="1"/>
    </font>
    <font>
      <b/>
      <sz val="9"/>
      <color rgb="FF000000"/>
      <name val="Arial"/>
      <charset val="1"/>
    </font>
    <font>
      <b/>
      <sz val="9"/>
      <color rgb="FF008000"/>
      <name val="Arial"/>
      <charset val="1"/>
    </font>
    <font>
      <b/>
      <sz val="8"/>
      <color rgb="FFFFFFFF"/>
      <name val="Arial"/>
      <charset val="1"/>
    </font>
    <font>
      <i/>
      <sz val="8"/>
      <color rgb="FF808080"/>
      <name val="Arial"/>
      <charset val="1"/>
    </font>
    <font>
      <sz val="9"/>
      <color rgb="FF008000"/>
      <name val="Arial"/>
      <charset val="1"/>
    </font>
    <font>
      <u/>
      <sz val="9"/>
      <color rgb="FF0563C1"/>
      <name val="Arial"/>
      <charset val="1"/>
    </font>
    <font>
      <b/>
      <sz val="9"/>
      <color rgb="FFC00000"/>
      <name val="Arial"/>
      <charset val="1"/>
    </font>
    <font>
      <sz val="9"/>
      <color rgb="FF808080"/>
      <name val="Arial"/>
      <charset val="1"/>
    </font>
    <font>
      <b/>
      <sz val="9"/>
      <color rgb="FF1F3864"/>
      <name val="Arial"/>
      <charset val="1"/>
    </font>
    <font>
      <sz val="8"/>
      <color rgb="FF595959"/>
      <name val="Arial"/>
      <charset val="1"/>
    </font>
    <font>
      <sz val="9"/>
      <color rgb="FF595959"/>
      <name val="Arial"/>
      <charset val="1"/>
    </font>
    <font>
      <sz val="8"/>
      <color rgb="FF0000FF"/>
      <name val="Arial"/>
      <charset val="1"/>
    </font>
    <font>
      <b/>
      <sz val="8"/>
      <color rgb="FF1F3864"/>
      <name val="Arial"/>
      <charset val="1"/>
    </font>
    <font>
      <b/>
      <sz val="8"/>
      <color rgb="FFC00000"/>
      <name val="Arial"/>
      <charset val="1"/>
    </font>
    <font>
      <sz val="8"/>
      <color rgb="FF7F6000"/>
      <name val="Arial"/>
      <charset val="1"/>
    </font>
    <font>
      <sz val="8"/>
      <color rgb="FF000000"/>
      <name val="Arial"/>
      <charset val="1"/>
    </font>
    <font>
      <b/>
      <sz val="10"/>
      <color rgb="FF1F3864"/>
      <name val="Arial"/>
      <charset val="1"/>
    </font>
    <font>
      <sz val="9"/>
      <color rgb="FF0000FF"/>
      <name val="Arial"/>
      <charset val="1"/>
    </font>
    <font>
      <i/>
      <sz val="8"/>
      <color rgb="FF595959"/>
      <name val="Arial"/>
      <charset val="1"/>
    </font>
    <font>
      <sz val="8"/>
      <color rgb="FF1F3864"/>
      <name val="Arial"/>
      <charset val="1"/>
    </font>
    <font>
      <sz val="8"/>
      <color rgb="FFC00000"/>
      <name val="Arial"/>
      <charset val="1"/>
    </font>
    <font>
      <b/>
      <sz val="7"/>
      <color rgb="FFC00000"/>
      <name val="Arial"/>
      <charset val="1"/>
    </font>
    <font>
      <b/>
      <sz val="9"/>
      <color rgb="FF0000FF"/>
      <name val="Arial"/>
      <charset val="1"/>
    </font>
    <font>
      <sz val="8"/>
      <color rgb="FF008000"/>
      <name val="Arial"/>
      <charset val="1"/>
    </font>
    <font>
      <b/>
      <sz val="9"/>
      <color rgb="FFFFFFFF"/>
      <name val="Arial"/>
      <charset val="1"/>
    </font>
    <font>
      <b/>
      <u/>
      <sz val="9"/>
      <color rgb="FF000000"/>
      <name val="Arial"/>
      <charset val="1"/>
    </font>
    <font>
      <i/>
      <sz val="7"/>
      <color rgb="FF595959"/>
      <name val="Arial"/>
      <charset val="1"/>
    </font>
    <font>
      <b/>
      <u/>
      <sz val="9"/>
      <color rgb="FF595959"/>
      <name val="Arial"/>
      <charset val="1"/>
    </font>
    <font>
      <sz val="7"/>
      <color rgb="FF808080"/>
      <name val="Arial"/>
      <charset val="1"/>
    </font>
    <font>
      <sz val="7"/>
      <color rgb="FF595959"/>
      <name val="Arial"/>
      <charset val="1"/>
    </font>
    <font>
      <b/>
      <sz val="8"/>
      <color rgb="FF006100"/>
      <name val="Arial"/>
      <charset val="1"/>
    </font>
    <font>
      <b/>
      <sz val="8"/>
      <color rgb="FF9C5700"/>
      <name val="Arial"/>
      <charset val="1"/>
    </font>
    <font>
      <b/>
      <sz val="8"/>
      <color rgb="FFC55A11"/>
      <name val="Arial"/>
      <charset val="1"/>
    </font>
    <font>
      <b/>
      <sz val="8"/>
      <color rgb="FF595959"/>
      <name val="Arial"/>
      <charset val="1"/>
    </font>
    <font>
      <b/>
      <sz val="10"/>
      <color rgb="FF000000"/>
      <name val="Arial"/>
      <charset val="1"/>
    </font>
    <font>
      <i/>
      <sz val="8"/>
      <color rgb="FFC00000"/>
      <name val="Arial"/>
      <charset val="1"/>
    </font>
    <font>
      <b/>
      <sz val="8"/>
      <color rgb="FF008000"/>
      <name val="Arial"/>
      <charset val="1"/>
    </font>
    <font>
      <b/>
      <u/>
      <sz val="9"/>
      <color rgb="FFC00000"/>
      <name val="Arial"/>
      <charset val="1"/>
    </font>
    <font>
      <u/>
      <sz val="7"/>
      <color rgb="FF0563C1"/>
      <name val="Arial"/>
      <charset val="1"/>
    </font>
    <font>
      <sz val="8"/>
      <color rgb="FF262626"/>
      <name val="Arial"/>
      <charset val="1"/>
    </font>
    <font>
      <i/>
      <sz val="9"/>
      <color rgb="FF000000"/>
      <name val="Arial"/>
      <charset val="1"/>
    </font>
    <font>
      <b/>
      <sz val="8"/>
      <color rgb="FF7F6000"/>
      <name val="Arial"/>
      <charset val="1"/>
    </font>
  </fonts>
  <fills count="13">
    <fill>
      <patternFill patternType="none"/>
    </fill>
    <fill>
      <patternFill patternType="gray125"/>
    </fill>
    <fill>
      <patternFill patternType="solid">
        <fgColor rgb="FFDCE6F1"/>
        <bgColor rgb="FFDDEBF7"/>
      </patternFill>
    </fill>
    <fill>
      <patternFill patternType="solid">
        <fgColor rgb="FF2E5C8A"/>
        <bgColor rgb="FF1F4E79"/>
      </patternFill>
    </fill>
    <fill>
      <patternFill patternType="solid">
        <fgColor rgb="FFEDEDED"/>
        <bgColor rgb="FFF2F2F2"/>
      </patternFill>
    </fill>
    <fill>
      <patternFill patternType="solid">
        <fgColor rgb="FFE2EFDA"/>
        <bgColor rgb="FFEDEDED"/>
      </patternFill>
    </fill>
    <fill>
      <patternFill patternType="solid">
        <fgColor rgb="FFD0E4F5"/>
        <bgColor rgb="FFDCE6F1"/>
      </patternFill>
    </fill>
    <fill>
      <patternFill patternType="solid">
        <fgColor rgb="FFFFD966"/>
        <bgColor rgb="FFFFEB9C"/>
      </patternFill>
    </fill>
    <fill>
      <patternFill patternType="solid">
        <fgColor rgb="FFFCE4D6"/>
        <bgColor rgb="FFFFF2CC"/>
      </patternFill>
    </fill>
    <fill>
      <patternFill patternType="solid">
        <fgColor rgb="FFFFF2CC"/>
        <bgColor rgb="FFFCE4D6"/>
      </patternFill>
    </fill>
    <fill>
      <patternFill patternType="solid">
        <fgColor rgb="FFE4DFEC"/>
        <bgColor rgb="FFDCE6F1"/>
      </patternFill>
    </fill>
    <fill>
      <patternFill patternType="solid">
        <fgColor rgb="FF1F3864"/>
        <bgColor rgb="FF1F4E79"/>
      </patternFill>
    </fill>
    <fill>
      <patternFill patternType="solid">
        <fgColor rgb="FFDDEBF7"/>
        <bgColor rgb="FFDCE6F1"/>
      </patternFill>
    </fill>
  </fills>
  <borders count="2">
    <border>
      <left/>
      <right/>
      <top/>
      <bottom/>
      <diagonal/>
    </border>
    <border>
      <left/>
      <right/>
      <top style="thin">
        <color rgb="FF7F7F7F"/>
      </top>
      <bottom/>
      <diagonal/>
    </border>
  </borders>
  <cellStyleXfs count="1">
    <xf numFmtId="0" fontId="0" fillId="0" borderId="0"/>
  </cellStyleXfs>
  <cellXfs count="256">
    <xf numFmtId="0" fontId="0" fillId="0" borderId="0" xfId="0"/>
    <xf numFmtId="165" fontId="23" fillId="0" borderId="0" xfId="0" applyNumberFormat="1" applyFont="1" applyBorder="1"/>
    <xf numFmtId="167" fontId="23" fillId="0" borderId="0" xfId="0" applyNumberFormat="1" applyFont="1" applyBorder="1"/>
    <xf numFmtId="0" fontId="21" fillId="0" borderId="0" xfId="0" applyFont="1" applyBorder="1"/>
    <xf numFmtId="0" fontId="28" fillId="0" borderId="0" xfId="0" applyFont="1" applyBorder="1" applyAlignment="1">
      <alignment vertical="top" wrapText="1"/>
    </xf>
    <xf numFmtId="0" fontId="17" fillId="0" borderId="0" xfId="0" applyFont="1" applyBorder="1" applyAlignment="1">
      <alignment wrapText="1"/>
    </xf>
    <xf numFmtId="0" fontId="23" fillId="0" borderId="0" xfId="0" applyFont="1" applyBorder="1" applyAlignment="1">
      <alignment wrapText="1"/>
    </xf>
    <xf numFmtId="0" fontId="23" fillId="0" borderId="0" xfId="0" applyFont="1" applyBorder="1"/>
    <xf numFmtId="0" fontId="17" fillId="0" borderId="0" xfId="0" applyFont="1" applyBorder="1"/>
    <xf numFmtId="0" fontId="10" fillId="3" borderId="0" xfId="0" applyFont="1" applyFill="1" applyBorder="1" applyAlignment="1">
      <alignment vertical="center" wrapText="1"/>
    </xf>
    <xf numFmtId="0" fontId="7" fillId="0" borderId="0" xfId="0" applyFont="1" applyBorder="1" applyAlignment="1">
      <alignment vertical="top" wrapText="1"/>
    </xf>
    <xf numFmtId="0" fontId="9" fillId="0" borderId="0" xfId="0" applyFont="1" applyBorder="1"/>
    <xf numFmtId="0" fontId="9" fillId="0" borderId="0" xfId="0" applyFont="1" applyBorder="1" applyAlignment="1">
      <alignment wrapText="1"/>
    </xf>
    <xf numFmtId="0" fontId="1" fillId="0" borderId="0" xfId="0" applyFont="1"/>
    <xf numFmtId="0" fontId="2" fillId="0" borderId="0" xfId="0" applyFont="1"/>
    <xf numFmtId="0" fontId="3" fillId="0" borderId="0" xfId="0" applyFont="1" applyAlignment="1">
      <alignment horizontal="right"/>
    </xf>
    <xf numFmtId="0" fontId="4" fillId="0" borderId="0" xfId="0" applyFont="1" applyAlignment="1">
      <alignment horizontal="center" shrinkToFit="1"/>
    </xf>
    <xf numFmtId="0" fontId="5" fillId="0" borderId="0" xfId="0" applyFont="1" applyAlignment="1">
      <alignment horizontal="center" shrinkToFit="1"/>
    </xf>
    <xf numFmtId="0" fontId="6" fillId="2" borderId="0" xfId="0" applyFont="1" applyFill="1"/>
    <xf numFmtId="0" fontId="7" fillId="2" borderId="0" xfId="0" applyFont="1" applyFill="1"/>
    <xf numFmtId="0" fontId="7" fillId="0" borderId="0" xfId="0" applyFont="1" applyAlignment="1">
      <alignment vertical="top" wrapText="1"/>
    </xf>
    <xf numFmtId="0" fontId="8" fillId="0" borderId="0" xfId="0" applyFont="1"/>
    <xf numFmtId="0" fontId="5" fillId="0" borderId="0" xfId="0" applyFont="1"/>
    <xf numFmtId="0" fontId="7" fillId="0" borderId="0" xfId="0" applyFont="1"/>
    <xf numFmtId="0" fontId="8" fillId="0" borderId="0" xfId="0" applyFont="1" applyAlignment="1">
      <alignment vertical="top" wrapText="1"/>
    </xf>
    <xf numFmtId="0" fontId="10" fillId="3" borderId="0" xfId="0" applyFont="1" applyFill="1" applyAlignment="1">
      <alignment vertical="center" wrapText="1"/>
    </xf>
    <xf numFmtId="164" fontId="9" fillId="0" borderId="0" xfId="0" applyNumberFormat="1" applyFont="1"/>
    <xf numFmtId="1" fontId="9" fillId="0" borderId="0" xfId="0" applyNumberFormat="1" applyFont="1"/>
    <xf numFmtId="0" fontId="11" fillId="0" borderId="0" xfId="0" applyFont="1"/>
    <xf numFmtId="164" fontId="12" fillId="0" borderId="0" xfId="0" applyNumberFormat="1" applyFont="1"/>
    <xf numFmtId="165" fontId="12" fillId="0" borderId="0" xfId="0" applyNumberFormat="1" applyFont="1"/>
    <xf numFmtId="165" fontId="9" fillId="0" borderId="0" xfId="0" applyNumberFormat="1" applyFont="1"/>
    <xf numFmtId="0" fontId="13" fillId="0" borderId="0" xfId="0" applyFont="1"/>
    <xf numFmtId="166" fontId="12" fillId="0" borderId="0" xfId="0" applyNumberFormat="1" applyFont="1"/>
    <xf numFmtId="167" fontId="12" fillId="0" borderId="0" xfId="0" applyNumberFormat="1" applyFont="1"/>
    <xf numFmtId="168" fontId="12" fillId="0" borderId="0" xfId="0" applyNumberFormat="1" applyFont="1"/>
    <xf numFmtId="0" fontId="14" fillId="0" borderId="0" xfId="0" applyFont="1" applyAlignment="1">
      <alignment vertical="top" wrapText="1"/>
    </xf>
    <xf numFmtId="1" fontId="12" fillId="0" borderId="0" xfId="0" applyNumberFormat="1" applyFont="1"/>
    <xf numFmtId="1" fontId="15" fillId="0" borderId="0" xfId="0" applyNumberFormat="1" applyFont="1"/>
    <xf numFmtId="169" fontId="12" fillId="0" borderId="0" xfId="0" applyNumberFormat="1" applyFont="1"/>
    <xf numFmtId="169" fontId="15" fillId="0" borderId="0" xfId="0" applyNumberFormat="1" applyFont="1"/>
    <xf numFmtId="165" fontId="15" fillId="0" borderId="0" xfId="0" applyNumberFormat="1" applyFont="1"/>
    <xf numFmtId="0" fontId="16" fillId="0" borderId="0" xfId="0" applyFont="1"/>
    <xf numFmtId="0" fontId="15" fillId="0" borderId="0" xfId="0" applyFont="1"/>
    <xf numFmtId="0" fontId="17" fillId="0" borderId="0" xfId="0" applyFont="1"/>
    <xf numFmtId="1" fontId="7" fillId="0" borderId="0" xfId="0" applyNumberFormat="1" applyFont="1"/>
    <xf numFmtId="167" fontId="9" fillId="0" borderId="0" xfId="0" applyNumberFormat="1" applyFont="1"/>
    <xf numFmtId="170" fontId="12" fillId="0" borderId="0" xfId="0" applyNumberFormat="1" applyFont="1"/>
    <xf numFmtId="171" fontId="12" fillId="0" borderId="0" xfId="0" applyNumberFormat="1" applyFont="1"/>
    <xf numFmtId="0" fontId="18" fillId="0" borderId="0" xfId="0" applyFont="1" applyAlignment="1">
      <alignment vertical="top" wrapText="1"/>
    </xf>
    <xf numFmtId="0" fontId="19" fillId="4" borderId="0" xfId="0" applyFont="1" applyFill="1" applyAlignment="1">
      <alignment horizontal="center"/>
    </xf>
    <xf numFmtId="0" fontId="19" fillId="5" borderId="0" xfId="0" applyFont="1" applyFill="1" applyAlignment="1">
      <alignment horizontal="center"/>
    </xf>
    <xf numFmtId="0" fontId="20" fillId="6" borderId="0" xfId="0" applyFont="1" applyFill="1" applyAlignment="1">
      <alignment horizontal="center"/>
    </xf>
    <xf numFmtId="0" fontId="21" fillId="7" borderId="0" xfId="0" applyFont="1" applyFill="1" applyAlignment="1">
      <alignment horizontal="center"/>
    </xf>
    <xf numFmtId="0" fontId="21" fillId="8" borderId="0" xfId="0" applyFont="1" applyFill="1" applyAlignment="1">
      <alignment horizontal="center"/>
    </xf>
    <xf numFmtId="0" fontId="22" fillId="9" borderId="0" xfId="0" applyFont="1" applyFill="1" applyAlignment="1">
      <alignment horizontal="center"/>
    </xf>
    <xf numFmtId="0" fontId="19" fillId="10" borderId="0" xfId="0" applyFont="1" applyFill="1" applyAlignment="1">
      <alignment horizontal="center"/>
    </xf>
    <xf numFmtId="0" fontId="23" fillId="0" borderId="0" xfId="0" applyFont="1" applyAlignment="1">
      <alignment horizontal="center"/>
    </xf>
    <xf numFmtId="0" fontId="24" fillId="2" borderId="0" xfId="0" applyFont="1" applyFill="1"/>
    <xf numFmtId="0" fontId="10" fillId="3" borderId="0" xfId="0" applyFont="1" applyFill="1"/>
    <xf numFmtId="0" fontId="7" fillId="3" borderId="0" xfId="0" applyFont="1" applyFill="1"/>
    <xf numFmtId="1" fontId="25" fillId="9" borderId="0" xfId="0" applyNumberFormat="1" applyFont="1" applyFill="1"/>
    <xf numFmtId="0" fontId="21" fillId="0" borderId="0" xfId="0" applyFont="1" applyAlignment="1">
      <alignment horizontal="center"/>
    </xf>
    <xf numFmtId="0" fontId="26" fillId="0" borderId="0" xfId="0" applyFont="1"/>
    <xf numFmtId="0" fontId="7" fillId="0" borderId="0" xfId="0" applyFont="1" applyAlignment="1">
      <alignment wrapText="1"/>
    </xf>
    <xf numFmtId="1" fontId="25" fillId="6" borderId="0" xfId="0" applyNumberFormat="1" applyFont="1" applyFill="1"/>
    <xf numFmtId="0" fontId="27" fillId="0" borderId="0" xfId="0" applyFont="1"/>
    <xf numFmtId="169" fontId="25" fillId="9" borderId="0" xfId="0" applyNumberFormat="1" applyFont="1" applyFill="1"/>
    <xf numFmtId="165" fontId="25" fillId="9" borderId="0" xfId="0" applyNumberFormat="1" applyFont="1" applyFill="1"/>
    <xf numFmtId="168" fontId="7" fillId="0" borderId="0" xfId="0" applyNumberFormat="1" applyFont="1"/>
    <xf numFmtId="0" fontId="23" fillId="0" borderId="0" xfId="0" applyFont="1"/>
    <xf numFmtId="0" fontId="3" fillId="0" borderId="0" xfId="0" applyFont="1" applyAlignment="1">
      <alignment horizontal="center"/>
    </xf>
    <xf numFmtId="0" fontId="3" fillId="0" borderId="0" xfId="0" applyFont="1"/>
    <xf numFmtId="1" fontId="8" fillId="0" borderId="0" xfId="0" applyNumberFormat="1" applyFont="1"/>
    <xf numFmtId="1" fontId="25" fillId="4" borderId="0" xfId="0" applyNumberFormat="1" applyFont="1" applyFill="1"/>
    <xf numFmtId="0" fontId="23" fillId="0" borderId="0" xfId="0" applyFont="1" applyAlignment="1">
      <alignment wrapText="1"/>
    </xf>
    <xf numFmtId="1" fontId="21" fillId="0" borderId="0" xfId="0" applyNumberFormat="1" applyFont="1"/>
    <xf numFmtId="0" fontId="26" fillId="0" borderId="0" xfId="0" applyFont="1" applyAlignment="1">
      <alignment horizontal="right"/>
    </xf>
    <xf numFmtId="1" fontId="4" fillId="0" borderId="0" xfId="0" applyNumberFormat="1" applyFont="1"/>
    <xf numFmtId="1" fontId="17" fillId="0" borderId="0" xfId="0" applyNumberFormat="1" applyFont="1"/>
    <xf numFmtId="1" fontId="10" fillId="11" borderId="0" xfId="0" applyNumberFormat="1" applyFont="1" applyFill="1" applyAlignment="1">
      <alignment horizontal="right"/>
    </xf>
    <xf numFmtId="1" fontId="10" fillId="3" borderId="0" xfId="0" applyNumberFormat="1" applyFont="1" applyFill="1" applyAlignment="1">
      <alignment horizontal="right"/>
    </xf>
    <xf numFmtId="166" fontId="25" fillId="6" borderId="0" xfId="0" applyNumberFormat="1" applyFont="1" applyFill="1"/>
    <xf numFmtId="1" fontId="25" fillId="8" borderId="0" xfId="0" applyNumberFormat="1" applyFont="1" applyFill="1"/>
    <xf numFmtId="0" fontId="28" fillId="0" borderId="0" xfId="0" applyFont="1"/>
    <xf numFmtId="0" fontId="17" fillId="0" borderId="0" xfId="0" applyFont="1" applyAlignment="1">
      <alignment wrapText="1"/>
    </xf>
    <xf numFmtId="171" fontId="25" fillId="4" borderId="0" xfId="0" applyNumberFormat="1" applyFont="1" applyFill="1"/>
    <xf numFmtId="169" fontId="25" fillId="4" borderId="0" xfId="0" applyNumberFormat="1" applyFont="1" applyFill="1"/>
    <xf numFmtId="165" fontId="25" fillId="5" borderId="0" xfId="0" applyNumberFormat="1" applyFont="1" applyFill="1"/>
    <xf numFmtId="164" fontId="25" fillId="4" borderId="0" xfId="0" applyNumberFormat="1" applyFont="1" applyFill="1"/>
    <xf numFmtId="0" fontId="11" fillId="0" borderId="0" xfId="0" applyFont="1" applyAlignment="1">
      <alignment wrapText="1"/>
    </xf>
    <xf numFmtId="172" fontId="25" fillId="4" borderId="0" xfId="0" applyNumberFormat="1" applyFont="1" applyFill="1"/>
    <xf numFmtId="165" fontId="25" fillId="4" borderId="0" xfId="0" applyNumberFormat="1" applyFont="1" applyFill="1"/>
    <xf numFmtId="170" fontId="25" fillId="4" borderId="0" xfId="0" applyNumberFormat="1" applyFont="1" applyFill="1"/>
    <xf numFmtId="167" fontId="25" fillId="4" borderId="0" xfId="0" applyNumberFormat="1" applyFont="1" applyFill="1"/>
    <xf numFmtId="170" fontId="4" fillId="0" borderId="0" xfId="0" applyNumberFormat="1" applyFont="1"/>
    <xf numFmtId="170" fontId="25" fillId="5" borderId="0" xfId="0" applyNumberFormat="1" applyFont="1" applyFill="1"/>
    <xf numFmtId="173" fontId="25" fillId="4" borderId="0" xfId="0" applyNumberFormat="1" applyFont="1" applyFill="1"/>
    <xf numFmtId="1" fontId="25" fillId="5" borderId="0" xfId="0" applyNumberFormat="1" applyFont="1" applyFill="1"/>
    <xf numFmtId="169" fontId="25" fillId="8" borderId="0" xfId="0" applyNumberFormat="1" applyFont="1" applyFill="1"/>
    <xf numFmtId="169" fontId="25" fillId="5" borderId="0" xfId="0" applyNumberFormat="1" applyFont="1" applyFill="1"/>
    <xf numFmtId="164" fontId="25" fillId="8" borderId="0" xfId="0" applyNumberFormat="1" applyFont="1" applyFill="1"/>
    <xf numFmtId="170" fontId="25" fillId="8" borderId="0" xfId="0" applyNumberFormat="1" applyFont="1" applyFill="1"/>
    <xf numFmtId="173" fontId="25" fillId="8" borderId="0" xfId="0" applyNumberFormat="1" applyFont="1" applyFill="1"/>
    <xf numFmtId="170" fontId="7" fillId="0" borderId="0" xfId="0" applyNumberFormat="1" applyFont="1"/>
    <xf numFmtId="169" fontId="7" fillId="0" borderId="0" xfId="0" applyNumberFormat="1" applyFont="1"/>
    <xf numFmtId="173" fontId="7" fillId="0" borderId="0" xfId="0" applyNumberFormat="1" applyFont="1"/>
    <xf numFmtId="170" fontId="8" fillId="0" borderId="0" xfId="0" applyNumberFormat="1" applyFont="1"/>
    <xf numFmtId="171" fontId="7" fillId="0" borderId="0" xfId="0" applyNumberFormat="1" applyFont="1"/>
    <xf numFmtId="0" fontId="7" fillId="7" borderId="0" xfId="0" applyFont="1" applyFill="1"/>
    <xf numFmtId="0" fontId="11" fillId="7" borderId="0" xfId="0" applyFont="1" applyFill="1"/>
    <xf numFmtId="169" fontId="25" fillId="7" borderId="0" xfId="0" applyNumberFormat="1" applyFont="1" applyFill="1"/>
    <xf numFmtId="0" fontId="29" fillId="7" borderId="0" xfId="0" applyFont="1" applyFill="1"/>
    <xf numFmtId="0" fontId="7" fillId="7" borderId="0" xfId="0" applyFont="1" applyFill="1" applyAlignment="1">
      <alignment wrapText="1"/>
    </xf>
    <xf numFmtId="166" fontId="25" fillId="7" borderId="0" xfId="0" applyNumberFormat="1" applyFont="1" applyFill="1"/>
    <xf numFmtId="171" fontId="25" fillId="7" borderId="0" xfId="0" applyNumberFormat="1" applyFont="1" applyFill="1"/>
    <xf numFmtId="167" fontId="25" fillId="7" borderId="0" xfId="0" applyNumberFormat="1" applyFont="1" applyFill="1"/>
    <xf numFmtId="167" fontId="25" fillId="8" borderId="0" xfId="0" applyNumberFormat="1" applyFont="1" applyFill="1"/>
    <xf numFmtId="170" fontId="25" fillId="7" borderId="0" xfId="0" applyNumberFormat="1" applyFont="1" applyFill="1"/>
    <xf numFmtId="1" fontId="25" fillId="7" borderId="0" xfId="0" applyNumberFormat="1" applyFont="1" applyFill="1"/>
    <xf numFmtId="164" fontId="25" fillId="7" borderId="0" xfId="0" applyNumberFormat="1" applyFont="1" applyFill="1"/>
    <xf numFmtId="49" fontId="25" fillId="10" borderId="0" xfId="0" applyNumberFormat="1" applyFont="1" applyFill="1"/>
    <xf numFmtId="169" fontId="25" fillId="10" borderId="0" xfId="0" applyNumberFormat="1" applyFont="1" applyFill="1"/>
    <xf numFmtId="166" fontId="25" fillId="10" borderId="0" xfId="0" applyNumberFormat="1" applyFont="1" applyFill="1"/>
    <xf numFmtId="171" fontId="25" fillId="10" borderId="0" xfId="0" applyNumberFormat="1" applyFont="1" applyFill="1"/>
    <xf numFmtId="167" fontId="25" fillId="10" borderId="0" xfId="0" applyNumberFormat="1" applyFont="1" applyFill="1"/>
    <xf numFmtId="1" fontId="25" fillId="10" borderId="0" xfId="0" applyNumberFormat="1" applyFont="1" applyFill="1"/>
    <xf numFmtId="164" fontId="25" fillId="10" borderId="0" xfId="0" applyNumberFormat="1" applyFont="1" applyFill="1"/>
    <xf numFmtId="0" fontId="17" fillId="0" borderId="0" xfId="0" applyFont="1" applyAlignment="1">
      <alignment horizontal="center"/>
    </xf>
    <xf numFmtId="1" fontId="23" fillId="0" borderId="0" xfId="0" applyNumberFormat="1" applyFont="1"/>
    <xf numFmtId="0" fontId="21" fillId="0" borderId="0" xfId="0" applyFont="1"/>
    <xf numFmtId="169" fontId="4" fillId="0" borderId="0" xfId="0" applyNumberFormat="1" applyFont="1"/>
    <xf numFmtId="1" fontId="30" fillId="9" borderId="0" xfId="0" applyNumberFormat="1" applyFont="1" applyFill="1"/>
    <xf numFmtId="0" fontId="8" fillId="0" borderId="0" xfId="0" applyFont="1" applyAlignment="1">
      <alignment wrapText="1"/>
    </xf>
    <xf numFmtId="1" fontId="14" fillId="0" borderId="0" xfId="0" applyNumberFormat="1" applyFont="1"/>
    <xf numFmtId="0" fontId="4" fillId="0" borderId="0" xfId="0" applyFont="1"/>
    <xf numFmtId="0" fontId="17" fillId="0" borderId="0" xfId="0" applyFont="1" applyAlignment="1">
      <alignment vertical="top" wrapText="1"/>
    </xf>
    <xf numFmtId="166" fontId="31" fillId="0" borderId="0" xfId="0" applyNumberFormat="1" applyFont="1" applyAlignment="1">
      <alignment horizontal="right"/>
    </xf>
    <xf numFmtId="171" fontId="31" fillId="0" borderId="0" xfId="0" applyNumberFormat="1" applyFont="1" applyAlignment="1">
      <alignment horizontal="right"/>
    </xf>
    <xf numFmtId="169" fontId="31" fillId="0" borderId="0" xfId="0" applyNumberFormat="1" applyFont="1" applyAlignment="1">
      <alignment horizontal="right"/>
    </xf>
    <xf numFmtId="167" fontId="31" fillId="0" borderId="0" xfId="0" applyNumberFormat="1" applyFont="1" applyAlignment="1">
      <alignment horizontal="right"/>
    </xf>
    <xf numFmtId="170" fontId="31" fillId="0" borderId="0" xfId="0" applyNumberFormat="1" applyFont="1" applyAlignment="1">
      <alignment horizontal="right"/>
    </xf>
    <xf numFmtId="1" fontId="31" fillId="0" borderId="0" xfId="0" applyNumberFormat="1" applyFont="1" applyAlignment="1">
      <alignment horizontal="right"/>
    </xf>
    <xf numFmtId="170" fontId="23" fillId="0" borderId="0" xfId="0" applyNumberFormat="1" applyFont="1" applyAlignment="1">
      <alignment horizontal="right"/>
    </xf>
    <xf numFmtId="164" fontId="31" fillId="0" borderId="0" xfId="0" applyNumberFormat="1" applyFont="1" applyAlignment="1">
      <alignment horizontal="right"/>
    </xf>
    <xf numFmtId="0" fontId="26" fillId="0" borderId="0" xfId="0" applyFont="1" applyAlignment="1">
      <alignment vertical="top"/>
    </xf>
    <xf numFmtId="0" fontId="23" fillId="0" borderId="0" xfId="0" applyFont="1" applyAlignment="1">
      <alignment horizontal="right"/>
    </xf>
    <xf numFmtId="169" fontId="23" fillId="0" borderId="0" xfId="0" applyNumberFormat="1" applyFont="1" applyAlignment="1">
      <alignment horizontal="right"/>
    </xf>
    <xf numFmtId="1" fontId="31" fillId="0" borderId="0" xfId="0" applyNumberFormat="1" applyFont="1"/>
    <xf numFmtId="0" fontId="31" fillId="0" borderId="0" xfId="0" applyFont="1" applyAlignment="1">
      <alignment wrapText="1"/>
    </xf>
    <xf numFmtId="0" fontId="32" fillId="3" borderId="0" xfId="0" applyFont="1" applyFill="1"/>
    <xf numFmtId="1" fontId="32" fillId="11" borderId="0" xfId="0" applyNumberFormat="1" applyFont="1" applyFill="1" applyAlignment="1">
      <alignment horizontal="right"/>
    </xf>
    <xf numFmtId="1" fontId="32" fillId="3" borderId="0" xfId="0" applyNumberFormat="1" applyFont="1" applyFill="1" applyAlignment="1">
      <alignment horizontal="right"/>
    </xf>
    <xf numFmtId="174" fontId="7" fillId="0" borderId="0" xfId="0" applyNumberFormat="1" applyFont="1"/>
    <xf numFmtId="0" fontId="33" fillId="0" borderId="0" xfId="0" applyFont="1"/>
    <xf numFmtId="0" fontId="34" fillId="0" borderId="0" xfId="0" applyFont="1"/>
    <xf numFmtId="171" fontId="8" fillId="0" borderId="0" xfId="0" applyNumberFormat="1" applyFont="1"/>
    <xf numFmtId="0" fontId="0" fillId="0" borderId="1" xfId="0" applyBorder="1"/>
    <xf numFmtId="164" fontId="8" fillId="0" borderId="1" xfId="0" applyNumberFormat="1" applyFont="1" applyBorder="1"/>
    <xf numFmtId="164" fontId="7" fillId="0" borderId="0" xfId="0" applyNumberFormat="1" applyFont="1"/>
    <xf numFmtId="164" fontId="8" fillId="0" borderId="0" xfId="0" applyNumberFormat="1" applyFont="1"/>
    <xf numFmtId="165" fontId="7" fillId="0" borderId="0" xfId="0" applyNumberFormat="1" applyFont="1"/>
    <xf numFmtId="171" fontId="8" fillId="0" borderId="1" xfId="0" applyNumberFormat="1" applyFont="1" applyBorder="1"/>
    <xf numFmtId="0" fontId="35" fillId="0" borderId="0" xfId="0" applyFont="1"/>
    <xf numFmtId="0" fontId="36" fillId="0" borderId="0" xfId="0" applyFont="1"/>
    <xf numFmtId="167" fontId="7" fillId="0" borderId="0" xfId="0" applyNumberFormat="1" applyFont="1"/>
    <xf numFmtId="0" fontId="26" fillId="0" borderId="0" xfId="0" applyFont="1" applyAlignment="1">
      <alignment horizontal="right" wrapText="1"/>
    </xf>
    <xf numFmtId="167" fontId="8" fillId="0" borderId="0" xfId="0" applyNumberFormat="1" applyFont="1"/>
    <xf numFmtId="167" fontId="8" fillId="0" borderId="1" xfId="0" applyNumberFormat="1" applyFont="1" applyBorder="1"/>
    <xf numFmtId="0" fontId="37" fillId="0" borderId="0" xfId="0" applyFont="1"/>
    <xf numFmtId="170" fontId="23" fillId="0" borderId="0" xfId="0" applyNumberFormat="1" applyFont="1"/>
    <xf numFmtId="167" fontId="4" fillId="0" borderId="0" xfId="0" applyNumberFormat="1" applyFont="1"/>
    <xf numFmtId="167" fontId="23" fillId="0" borderId="0" xfId="0" applyNumberFormat="1" applyFont="1"/>
    <xf numFmtId="0" fontId="37" fillId="0" borderId="0" xfId="0" applyFont="1" applyAlignment="1">
      <alignment wrapText="1"/>
    </xf>
    <xf numFmtId="165" fontId="8" fillId="0" borderId="1" xfId="0" applyNumberFormat="1" applyFont="1" applyBorder="1"/>
    <xf numFmtId="0" fontId="38" fillId="0" borderId="0" xfId="0" applyFont="1"/>
    <xf numFmtId="164" fontId="3" fillId="0" borderId="0" xfId="0" applyNumberFormat="1" applyFont="1" applyAlignment="1">
      <alignment horizontal="right"/>
    </xf>
    <xf numFmtId="164" fontId="19" fillId="4" borderId="0" xfId="0" applyNumberFormat="1" applyFont="1" applyFill="1" applyAlignment="1">
      <alignment horizontal="right"/>
    </xf>
    <xf numFmtId="165" fontId="23" fillId="0" borderId="0" xfId="0" applyNumberFormat="1" applyFont="1"/>
    <xf numFmtId="0" fontId="39" fillId="0" borderId="0" xfId="0" applyFont="1"/>
    <xf numFmtId="0" fontId="40" fillId="0" borderId="0" xfId="0" applyFont="1"/>
    <xf numFmtId="0" fontId="41" fillId="0" borderId="0" xfId="0" applyFont="1"/>
    <xf numFmtId="167" fontId="31" fillId="0" borderId="0" xfId="0" applyNumberFormat="1" applyFont="1"/>
    <xf numFmtId="173" fontId="8" fillId="0" borderId="0" xfId="0" applyNumberFormat="1" applyFont="1"/>
    <xf numFmtId="164" fontId="8" fillId="12" borderId="0" xfId="0" applyNumberFormat="1" applyFont="1" applyFill="1"/>
    <xf numFmtId="164" fontId="9" fillId="0" borderId="1" xfId="0" applyNumberFormat="1" applyFont="1" applyBorder="1"/>
    <xf numFmtId="0" fontId="14" fillId="0" borderId="0" xfId="0" applyFont="1"/>
    <xf numFmtId="166" fontId="7" fillId="0" borderId="0" xfId="0" applyNumberFormat="1" applyFont="1"/>
    <xf numFmtId="164" fontId="42" fillId="12" borderId="0" xfId="0" applyNumberFormat="1" applyFont="1" applyFill="1"/>
    <xf numFmtId="175" fontId="7" fillId="0" borderId="0" xfId="0" applyNumberFormat="1" applyFont="1"/>
    <xf numFmtId="170" fontId="17" fillId="0" borderId="0" xfId="0" applyNumberFormat="1" applyFont="1"/>
    <xf numFmtId="176" fontId="32" fillId="3" borderId="0" xfId="0" applyNumberFormat="1" applyFont="1" applyFill="1" applyAlignment="1">
      <alignment horizontal="center"/>
    </xf>
    <xf numFmtId="164" fontId="17" fillId="0" borderId="0" xfId="0" applyNumberFormat="1" applyFont="1"/>
    <xf numFmtId="164" fontId="8" fillId="0" borderId="0" xfId="0" applyNumberFormat="1" applyFont="1" applyAlignment="1">
      <alignment horizontal="right"/>
    </xf>
    <xf numFmtId="164" fontId="7" fillId="0" borderId="0" xfId="0" applyNumberFormat="1" applyFont="1" applyAlignment="1">
      <alignment horizontal="right"/>
    </xf>
    <xf numFmtId="169" fontId="7" fillId="0" borderId="0" xfId="0" applyNumberFormat="1" applyFont="1" applyAlignment="1">
      <alignment horizontal="right"/>
    </xf>
    <xf numFmtId="167" fontId="7" fillId="0" borderId="0" xfId="0" applyNumberFormat="1" applyFont="1" applyAlignment="1">
      <alignment horizontal="right"/>
    </xf>
    <xf numFmtId="164" fontId="8" fillId="0" borderId="0" xfId="0" applyNumberFormat="1" applyFont="1" applyAlignment="1">
      <alignment horizontal="right" wrapText="1"/>
    </xf>
    <xf numFmtId="0" fontId="14" fillId="0" borderId="0" xfId="0" applyFont="1" applyAlignment="1">
      <alignment wrapText="1"/>
    </xf>
    <xf numFmtId="0" fontId="43" fillId="0" borderId="0" xfId="0" applyFont="1"/>
    <xf numFmtId="169" fontId="8" fillId="0" borderId="0" xfId="0" applyNumberFormat="1" applyFont="1"/>
    <xf numFmtId="167" fontId="23" fillId="0" borderId="0" xfId="0" applyNumberFormat="1" applyFont="1" applyAlignment="1">
      <alignment horizontal="right"/>
    </xf>
    <xf numFmtId="0" fontId="17" fillId="0" borderId="0" xfId="0" applyFont="1" applyAlignment="1">
      <alignment horizontal="right"/>
    </xf>
    <xf numFmtId="1" fontId="44" fillId="0" borderId="0" xfId="0" applyNumberFormat="1" applyFont="1"/>
    <xf numFmtId="164" fontId="44" fillId="0" borderId="0" xfId="0" applyNumberFormat="1" applyFont="1" applyAlignment="1">
      <alignment horizontal="right"/>
    </xf>
    <xf numFmtId="169" fontId="44" fillId="0" borderId="0" xfId="0" applyNumberFormat="1" applyFont="1" applyAlignment="1">
      <alignment horizontal="right"/>
    </xf>
    <xf numFmtId="167" fontId="44" fillId="0" borderId="0" xfId="0" applyNumberFormat="1" applyFont="1" applyAlignment="1">
      <alignment horizontal="right"/>
    </xf>
    <xf numFmtId="0" fontId="43" fillId="0" borderId="0" xfId="0" applyFont="1" applyAlignment="1">
      <alignment vertical="top"/>
    </xf>
    <xf numFmtId="0" fontId="24" fillId="0" borderId="0" xfId="0" applyFont="1"/>
    <xf numFmtId="0" fontId="7" fillId="0" borderId="0" xfId="0" applyFont="1" applyAlignment="1">
      <alignment indent="1"/>
    </xf>
    <xf numFmtId="165" fontId="3" fillId="0" borderId="0" xfId="0" applyNumberFormat="1" applyFont="1"/>
    <xf numFmtId="1" fontId="3" fillId="0" borderId="0" xfId="0" applyNumberFormat="1" applyFont="1"/>
    <xf numFmtId="0" fontId="4" fillId="0" borderId="0" xfId="0" applyFont="1" applyAlignment="1">
      <alignment wrapText="1"/>
    </xf>
    <xf numFmtId="165" fontId="31" fillId="0" borderId="0" xfId="0" applyNumberFormat="1" applyFont="1"/>
    <xf numFmtId="173" fontId="23" fillId="0" borderId="0" xfId="0" applyNumberFormat="1" applyFont="1"/>
    <xf numFmtId="173" fontId="3" fillId="0" borderId="0" xfId="0" applyNumberFormat="1" applyFont="1"/>
    <xf numFmtId="169" fontId="31" fillId="0" borderId="0" xfId="0" applyNumberFormat="1" applyFont="1"/>
    <xf numFmtId="164" fontId="31" fillId="0" borderId="0" xfId="0" applyNumberFormat="1" applyFont="1"/>
    <xf numFmtId="170" fontId="31" fillId="0" borderId="0" xfId="0" applyNumberFormat="1" applyFont="1"/>
    <xf numFmtId="173" fontId="31" fillId="0" borderId="0" xfId="0" applyNumberFormat="1" applyFont="1"/>
    <xf numFmtId="0" fontId="45" fillId="0" borderId="0" xfId="0" applyFont="1"/>
    <xf numFmtId="0" fontId="16" fillId="12" borderId="0" xfId="0" applyFont="1" applyFill="1"/>
    <xf numFmtId="0" fontId="11" fillId="12" borderId="0" xfId="0" applyFont="1" applyFill="1"/>
    <xf numFmtId="0" fontId="17" fillId="12" borderId="0" xfId="0" applyFont="1" applyFill="1"/>
    <xf numFmtId="0" fontId="4" fillId="12" borderId="0" xfId="0" applyFont="1" applyFill="1"/>
    <xf numFmtId="165" fontId="23" fillId="12" borderId="0" xfId="0" applyNumberFormat="1" applyFont="1" applyFill="1"/>
    <xf numFmtId="165" fontId="36" fillId="12" borderId="0" xfId="0" applyNumberFormat="1" applyFont="1" applyFill="1"/>
    <xf numFmtId="0" fontId="46" fillId="0" borderId="0" xfId="0" applyFont="1"/>
    <xf numFmtId="165" fontId="4" fillId="0" borderId="0" xfId="0" applyNumberFormat="1" applyFont="1"/>
    <xf numFmtId="165" fontId="8" fillId="0" borderId="0" xfId="0" applyNumberFormat="1" applyFont="1"/>
    <xf numFmtId="0" fontId="46" fillId="0" borderId="0" xfId="0" applyFont="1" applyAlignment="1">
      <alignment wrapText="1"/>
    </xf>
    <xf numFmtId="0" fontId="17" fillId="12" borderId="0" xfId="0" applyFont="1" applyFill="1" applyAlignment="1">
      <alignment wrapText="1"/>
    </xf>
    <xf numFmtId="0" fontId="4" fillId="12" borderId="0" xfId="0" applyFont="1" applyFill="1" applyAlignment="1">
      <alignment wrapText="1"/>
    </xf>
    <xf numFmtId="168" fontId="23" fillId="0" borderId="0" xfId="0" applyNumberFormat="1" applyFont="1"/>
    <xf numFmtId="165" fontId="36" fillId="0" borderId="0" xfId="0" applyNumberFormat="1" applyFont="1"/>
    <xf numFmtId="0" fontId="7" fillId="12" borderId="0" xfId="0" applyFont="1" applyFill="1"/>
    <xf numFmtId="0" fontId="10" fillId="3" borderId="0" xfId="0" applyFont="1" applyFill="1" applyAlignment="1">
      <alignment wrapText="1"/>
    </xf>
    <xf numFmtId="0" fontId="36" fillId="0" borderId="0" xfId="0" applyFont="1" applyAlignment="1">
      <alignment wrapText="1"/>
    </xf>
    <xf numFmtId="164" fontId="30" fillId="4" borderId="0" xfId="0" applyNumberFormat="1" applyFont="1" applyFill="1"/>
    <xf numFmtId="0" fontId="48" fillId="0" borderId="0" xfId="0" applyFont="1"/>
    <xf numFmtId="165" fontId="48" fillId="0" borderId="0" xfId="0" applyNumberFormat="1" applyFont="1"/>
    <xf numFmtId="165" fontId="30" fillId="4" borderId="0" xfId="0" applyNumberFormat="1" applyFont="1" applyFill="1"/>
    <xf numFmtId="165" fontId="14" fillId="0" borderId="0" xfId="0" applyNumberFormat="1" applyFont="1"/>
    <xf numFmtId="0" fontId="34" fillId="0" borderId="0" xfId="0" applyFont="1" applyAlignment="1">
      <alignment wrapText="1"/>
    </xf>
    <xf numFmtId="1" fontId="49" fillId="0" borderId="0" xfId="0" applyNumberFormat="1" applyFont="1"/>
    <xf numFmtId="167" fontId="4" fillId="0" borderId="0" xfId="0" applyNumberFormat="1" applyFont="1" applyBorder="1"/>
    <xf numFmtId="165" fontId="4" fillId="0" borderId="0" xfId="0" applyNumberFormat="1" applyFont="1" applyBorder="1"/>
    <xf numFmtId="0" fontId="0" fillId="0" borderId="0" xfId="0" applyBorder="1"/>
    <xf numFmtId="0" fontId="21" fillId="0" borderId="0" xfId="0" applyFont="1" applyBorder="1" applyAlignment="1">
      <alignment horizontal="center"/>
    </xf>
    <xf numFmtId="166" fontId="9" fillId="0" borderId="0" xfId="0" applyNumberFormat="1" applyFont="1" applyBorder="1" applyAlignment="1">
      <alignment horizontal="left"/>
    </xf>
    <xf numFmtId="0" fontId="8" fillId="0" borderId="0" xfId="0" applyFont="1" applyBorder="1" applyAlignment="1">
      <alignment horizontal="left"/>
    </xf>
    <xf numFmtId="170" fontId="9" fillId="0" borderId="0" xfId="0" applyNumberFormat="1" applyFont="1" applyBorder="1" applyAlignment="1">
      <alignment horizontal="left"/>
    </xf>
    <xf numFmtId="169" fontId="9" fillId="0" borderId="0" xfId="0" applyNumberFormat="1" applyFont="1" applyBorder="1" applyAlignment="1">
      <alignment horizontal="left"/>
    </xf>
    <xf numFmtId="0" fontId="8" fillId="0" borderId="0" xfId="0" applyFont="1" applyBorder="1"/>
    <xf numFmtId="0" fontId="47" fillId="0" borderId="0" xfId="0" applyFont="1" applyBorder="1" applyAlignment="1">
      <alignment vertical="top" wrapText="1"/>
    </xf>
    <xf numFmtId="0" fontId="3" fillId="0" borderId="0" xfId="0" applyFont="1" applyBorder="1"/>
  </cellXfs>
  <cellStyles count="1">
    <cellStyle name="Normal" xfId="0" builtinId="0"/>
  </cellStyles>
  <dxfs count="101">
    <dxf>
      <font>
        <b/>
        <sz val="8"/>
        <color rgb="FFC00000"/>
        <name val="Arial"/>
        <charset val="1"/>
      </font>
      <fill>
        <patternFill>
          <bgColor rgb="FFFFD966"/>
        </patternFill>
      </fill>
    </dxf>
    <dxf>
      <font>
        <b/>
        <sz val="8"/>
        <color rgb="FF9C0006"/>
        <name val="Arial"/>
        <charset val="1"/>
      </font>
      <fill>
        <patternFill>
          <bgColor rgb="FFFFC7CE"/>
        </patternFill>
      </fill>
    </dxf>
    <dxf>
      <font>
        <b/>
        <sz val="8"/>
        <color rgb="FF006100"/>
        <name val="Arial"/>
        <charset val="1"/>
      </font>
      <fill>
        <patternFill>
          <bgColor rgb="FFC6EFCE"/>
        </patternFill>
      </fill>
    </dxf>
    <dxf>
      <font>
        <b/>
        <sz val="8"/>
        <color rgb="FFC55A11"/>
        <name val="Arial"/>
        <charset val="1"/>
      </font>
      <fill>
        <patternFill>
          <bgColor rgb="FFFCE4D6"/>
        </patternFill>
      </fill>
    </dxf>
    <dxf>
      <font>
        <b/>
        <sz val="8"/>
        <color rgb="FF006100"/>
        <name val="Arial"/>
        <charset val="1"/>
      </font>
      <fill>
        <patternFill>
          <bgColor rgb="FFC6EFCE"/>
        </patternFill>
      </fill>
    </dxf>
    <dxf>
      <font>
        <b/>
        <sz val="8"/>
        <color rgb="FF006100"/>
        <name val="Arial"/>
        <charset val="1"/>
      </font>
      <fill>
        <patternFill>
          <bgColor rgb="FFC6EFCE"/>
        </patternFill>
      </fill>
    </dxf>
    <dxf>
      <font>
        <b/>
        <sz val="8"/>
        <color rgb="FF595959"/>
        <name val="Arial"/>
        <charset val="1"/>
      </font>
      <fill>
        <patternFill>
          <bgColor rgb="FFF2F2F2"/>
        </patternFill>
      </fill>
    </dxf>
    <dxf>
      <font>
        <b/>
        <sz val="8"/>
        <color rgb="FF006100"/>
        <name val="Arial"/>
        <charset val="1"/>
      </font>
      <fill>
        <patternFill>
          <bgColor rgb="FFC6EFCE"/>
        </patternFill>
      </fill>
    </dxf>
    <dxf>
      <font>
        <b/>
        <sz val="8"/>
        <color rgb="FF006100"/>
        <name val="Arial"/>
        <charset val="1"/>
      </font>
      <fill>
        <patternFill>
          <bgColor rgb="FFC6EFCE"/>
        </patternFill>
      </fill>
    </dxf>
    <dxf>
      <font>
        <b/>
        <sz val="8"/>
        <color rgb="FF1F4E79"/>
        <name val="Arial"/>
        <charset val="1"/>
      </font>
      <fill>
        <patternFill>
          <bgColor rgb="FFDDEBF7"/>
        </patternFill>
      </fill>
    </dxf>
    <dxf>
      <font>
        <b/>
        <sz val="8"/>
        <color rgb="FF1F3864"/>
        <name val="Arial"/>
        <charset val="1"/>
      </font>
      <fill>
        <patternFill>
          <bgColor rgb="FFD0E4F5"/>
        </patternFill>
      </fill>
    </dxf>
    <dxf>
      <font>
        <b/>
        <sz val="8"/>
        <color rgb="FFC55A11"/>
        <name val="Arial"/>
        <charset val="1"/>
      </font>
      <fill>
        <patternFill>
          <bgColor rgb="FFFCE4D6"/>
        </patternFill>
      </fill>
    </dxf>
    <dxf>
      <font>
        <b/>
        <sz val="8"/>
        <color rgb="FF9C5700"/>
        <name val="Arial"/>
        <charset val="1"/>
      </font>
      <fill>
        <patternFill>
          <bgColor rgb="FFFFEB9C"/>
        </patternFill>
      </fill>
    </dxf>
    <dxf>
      <font>
        <b/>
        <sz val="8"/>
        <color rgb="FF9C0006"/>
        <name val="Arial"/>
        <charset val="1"/>
      </font>
      <fill>
        <patternFill>
          <bgColor rgb="FFFFC7CE"/>
        </patternFill>
      </fill>
    </dxf>
    <dxf>
      <font>
        <b/>
        <sz val="8"/>
        <color rgb="FF9C0006"/>
        <name val="Arial"/>
        <charset val="1"/>
      </font>
      <fill>
        <patternFill>
          <bgColor rgb="FFFFC7CE"/>
        </patternFill>
      </fill>
    </dxf>
    <dxf>
      <font>
        <b/>
        <sz val="8"/>
        <color rgb="FF006100"/>
        <name val="Arial"/>
        <charset val="1"/>
      </font>
      <fill>
        <patternFill>
          <bgColor rgb="FFC6EFCE"/>
        </patternFill>
      </fill>
    </dxf>
    <dxf>
      <font>
        <b/>
        <sz val="8"/>
        <color rgb="FFC00000"/>
        <name val="Arial"/>
        <charset val="1"/>
      </font>
      <fill>
        <patternFill>
          <bgColor rgb="FFFFD966"/>
        </patternFill>
      </fill>
    </dxf>
    <dxf>
      <font>
        <b/>
        <sz val="8"/>
        <color rgb="FF9C0006"/>
        <name val="Arial"/>
        <charset val="1"/>
      </font>
      <fill>
        <patternFill>
          <bgColor rgb="FFFFC7CE"/>
        </patternFill>
      </fill>
    </dxf>
    <dxf>
      <font>
        <b/>
        <sz val="8"/>
        <color rgb="FF006100"/>
        <name val="Arial"/>
        <charset val="1"/>
      </font>
      <fill>
        <patternFill>
          <bgColor rgb="FFC6EFCE"/>
        </patternFill>
      </fill>
    </dxf>
    <dxf>
      <font>
        <b/>
        <sz val="8"/>
        <color rgb="FFC55A11"/>
        <name val="Arial"/>
        <charset val="1"/>
      </font>
      <fill>
        <patternFill>
          <bgColor rgb="FFFCE4D6"/>
        </patternFill>
      </fill>
    </dxf>
    <dxf>
      <font>
        <b/>
        <sz val="8"/>
        <color rgb="FF006100"/>
        <name val="Arial"/>
        <charset val="1"/>
      </font>
      <fill>
        <patternFill>
          <bgColor rgb="FFC6EFCE"/>
        </patternFill>
      </fill>
    </dxf>
    <dxf>
      <font>
        <b/>
        <sz val="8"/>
        <color rgb="FF006100"/>
        <name val="Arial"/>
        <charset val="1"/>
      </font>
      <fill>
        <patternFill>
          <bgColor rgb="FFC6EFCE"/>
        </patternFill>
      </fill>
    </dxf>
    <dxf>
      <font>
        <b/>
        <sz val="8"/>
        <color rgb="FF595959"/>
        <name val="Arial"/>
        <charset val="1"/>
      </font>
      <fill>
        <patternFill>
          <bgColor rgb="FFF2F2F2"/>
        </patternFill>
      </fill>
    </dxf>
    <dxf>
      <font>
        <b/>
        <sz val="8"/>
        <color rgb="FF006100"/>
        <name val="Arial"/>
        <charset val="1"/>
      </font>
      <fill>
        <patternFill>
          <bgColor rgb="FFC6EFCE"/>
        </patternFill>
      </fill>
    </dxf>
    <dxf>
      <font>
        <b/>
        <sz val="8"/>
        <color rgb="FF006100"/>
        <name val="Arial"/>
        <charset val="1"/>
      </font>
      <fill>
        <patternFill>
          <bgColor rgb="FFC6EFCE"/>
        </patternFill>
      </fill>
    </dxf>
    <dxf>
      <font>
        <b/>
        <sz val="8"/>
        <color rgb="FF1F4E79"/>
        <name val="Arial"/>
        <charset val="1"/>
      </font>
      <fill>
        <patternFill>
          <bgColor rgb="FFDDEBF7"/>
        </patternFill>
      </fill>
    </dxf>
    <dxf>
      <font>
        <b/>
        <sz val="8"/>
        <color rgb="FF1F3864"/>
        <name val="Arial"/>
        <charset val="1"/>
      </font>
      <fill>
        <patternFill>
          <bgColor rgb="FFD0E4F5"/>
        </patternFill>
      </fill>
    </dxf>
    <dxf>
      <font>
        <b/>
        <sz val="8"/>
        <color rgb="FFC55A11"/>
        <name val="Arial"/>
        <charset val="1"/>
      </font>
      <fill>
        <patternFill>
          <bgColor rgb="FFFCE4D6"/>
        </patternFill>
      </fill>
    </dxf>
    <dxf>
      <font>
        <b/>
        <sz val="8"/>
        <color rgb="FF9C5700"/>
        <name val="Arial"/>
        <charset val="1"/>
      </font>
      <fill>
        <patternFill>
          <bgColor rgb="FFFFEB9C"/>
        </patternFill>
      </fill>
    </dxf>
    <dxf>
      <font>
        <b/>
        <sz val="8"/>
        <color rgb="FF9C0006"/>
        <name val="Arial"/>
        <charset val="1"/>
      </font>
      <fill>
        <patternFill>
          <bgColor rgb="FFFFC7CE"/>
        </patternFill>
      </fill>
    </dxf>
    <dxf>
      <font>
        <b/>
        <sz val="8"/>
        <color rgb="FF9C0006"/>
        <name val="Arial"/>
        <charset val="1"/>
      </font>
      <fill>
        <patternFill>
          <bgColor rgb="FFFFC7CE"/>
        </patternFill>
      </fill>
    </dxf>
    <dxf>
      <font>
        <b/>
        <sz val="8"/>
        <color rgb="FF006100"/>
        <name val="Arial"/>
        <charset val="1"/>
      </font>
      <fill>
        <patternFill>
          <bgColor rgb="FFC6EFCE"/>
        </patternFill>
      </fill>
    </dxf>
    <dxf>
      <font>
        <b/>
        <sz val="8"/>
        <color rgb="FFC00000"/>
        <name val="Arial"/>
        <charset val="1"/>
      </font>
      <fill>
        <patternFill>
          <bgColor rgb="FFFFD966"/>
        </patternFill>
      </fill>
    </dxf>
    <dxf>
      <font>
        <b/>
        <sz val="8"/>
        <color rgb="FF9C0006"/>
        <name val="Arial"/>
        <charset val="1"/>
      </font>
      <fill>
        <patternFill>
          <bgColor rgb="FFFFC7CE"/>
        </patternFill>
      </fill>
    </dxf>
    <dxf>
      <font>
        <b/>
        <sz val="8"/>
        <color rgb="FF006100"/>
        <name val="Arial"/>
        <charset val="1"/>
      </font>
      <fill>
        <patternFill>
          <bgColor rgb="FFC6EFCE"/>
        </patternFill>
      </fill>
    </dxf>
    <dxf>
      <font>
        <b/>
        <sz val="8"/>
        <color rgb="FFC55A11"/>
        <name val="Arial"/>
        <charset val="1"/>
      </font>
      <fill>
        <patternFill>
          <bgColor rgb="FFFCE4D6"/>
        </patternFill>
      </fill>
    </dxf>
    <dxf>
      <font>
        <b/>
        <sz val="8"/>
        <color rgb="FF006100"/>
        <name val="Arial"/>
        <charset val="1"/>
      </font>
      <fill>
        <patternFill>
          <bgColor rgb="FFC6EFCE"/>
        </patternFill>
      </fill>
    </dxf>
    <dxf>
      <font>
        <b/>
        <sz val="8"/>
        <color rgb="FF006100"/>
        <name val="Arial"/>
        <charset val="1"/>
      </font>
      <fill>
        <patternFill>
          <bgColor rgb="FFC6EFCE"/>
        </patternFill>
      </fill>
    </dxf>
    <dxf>
      <font>
        <b/>
        <sz val="8"/>
        <color rgb="FF595959"/>
        <name val="Arial"/>
        <charset val="1"/>
      </font>
      <fill>
        <patternFill>
          <bgColor rgb="FFF2F2F2"/>
        </patternFill>
      </fill>
    </dxf>
    <dxf>
      <font>
        <b/>
        <sz val="8"/>
        <color rgb="FF006100"/>
        <name val="Arial"/>
        <charset val="1"/>
      </font>
      <fill>
        <patternFill>
          <bgColor rgb="FFC6EFCE"/>
        </patternFill>
      </fill>
    </dxf>
    <dxf>
      <font>
        <b/>
        <sz val="8"/>
        <color rgb="FF006100"/>
        <name val="Arial"/>
        <charset val="1"/>
      </font>
      <fill>
        <patternFill>
          <bgColor rgb="FFC6EFCE"/>
        </patternFill>
      </fill>
    </dxf>
    <dxf>
      <font>
        <b/>
        <sz val="8"/>
        <color rgb="FF1F4E79"/>
        <name val="Arial"/>
        <charset val="1"/>
      </font>
      <fill>
        <patternFill>
          <bgColor rgb="FFDDEBF7"/>
        </patternFill>
      </fill>
    </dxf>
    <dxf>
      <font>
        <b/>
        <sz val="8"/>
        <color rgb="FF1F3864"/>
        <name val="Arial"/>
        <charset val="1"/>
      </font>
      <fill>
        <patternFill>
          <bgColor rgb="FFD0E4F5"/>
        </patternFill>
      </fill>
    </dxf>
    <dxf>
      <font>
        <b/>
        <sz val="8"/>
        <color rgb="FFC55A11"/>
        <name val="Arial"/>
        <charset val="1"/>
      </font>
      <fill>
        <patternFill>
          <bgColor rgb="FFFCE4D6"/>
        </patternFill>
      </fill>
    </dxf>
    <dxf>
      <font>
        <b/>
        <sz val="8"/>
        <color rgb="FF9C5700"/>
        <name val="Arial"/>
        <charset val="1"/>
      </font>
      <fill>
        <patternFill>
          <bgColor rgb="FFFFEB9C"/>
        </patternFill>
      </fill>
    </dxf>
    <dxf>
      <font>
        <b/>
        <sz val="8"/>
        <color rgb="FF9C0006"/>
        <name val="Arial"/>
        <charset val="1"/>
      </font>
      <fill>
        <patternFill>
          <bgColor rgb="FFFFC7CE"/>
        </patternFill>
      </fill>
    </dxf>
    <dxf>
      <font>
        <b/>
        <sz val="8"/>
        <color rgb="FF9C0006"/>
        <name val="Arial"/>
        <charset val="1"/>
      </font>
      <fill>
        <patternFill>
          <bgColor rgb="FFFFC7CE"/>
        </patternFill>
      </fill>
    </dxf>
    <dxf>
      <font>
        <b/>
        <sz val="8"/>
        <color rgb="FF006100"/>
        <name val="Arial"/>
        <charset val="1"/>
      </font>
      <fill>
        <patternFill>
          <bgColor rgb="FFC6EFCE"/>
        </patternFill>
      </fill>
    </dxf>
    <dxf>
      <font>
        <b/>
        <sz val="8"/>
        <color rgb="FFC00000"/>
        <name val="Arial"/>
        <charset val="1"/>
      </font>
      <fill>
        <patternFill>
          <bgColor rgb="FFFFD966"/>
        </patternFill>
      </fill>
    </dxf>
    <dxf>
      <font>
        <b/>
        <sz val="8"/>
        <color rgb="FF9C0006"/>
        <name val="Arial"/>
        <charset val="1"/>
      </font>
      <fill>
        <patternFill>
          <bgColor rgb="FFFFC7CE"/>
        </patternFill>
      </fill>
    </dxf>
    <dxf>
      <font>
        <b/>
        <sz val="8"/>
        <color rgb="FF006100"/>
        <name val="Arial"/>
        <charset val="1"/>
      </font>
      <fill>
        <patternFill>
          <bgColor rgb="FFC6EFCE"/>
        </patternFill>
      </fill>
    </dxf>
    <dxf>
      <font>
        <b/>
        <sz val="8"/>
        <color rgb="FFC55A11"/>
        <name val="Arial"/>
        <charset val="1"/>
      </font>
      <fill>
        <patternFill>
          <bgColor rgb="FFFCE4D6"/>
        </patternFill>
      </fill>
    </dxf>
    <dxf>
      <font>
        <b/>
        <sz val="8"/>
        <color rgb="FF006100"/>
        <name val="Arial"/>
        <charset val="1"/>
      </font>
      <fill>
        <patternFill>
          <bgColor rgb="FFC6EFCE"/>
        </patternFill>
      </fill>
    </dxf>
    <dxf>
      <font>
        <b/>
        <sz val="8"/>
        <color rgb="FF006100"/>
        <name val="Arial"/>
        <charset val="1"/>
      </font>
      <fill>
        <patternFill>
          <bgColor rgb="FFC6EFCE"/>
        </patternFill>
      </fill>
    </dxf>
    <dxf>
      <font>
        <b/>
        <sz val="8"/>
        <color rgb="FF595959"/>
        <name val="Arial"/>
        <charset val="1"/>
      </font>
      <fill>
        <patternFill>
          <bgColor rgb="FFF2F2F2"/>
        </patternFill>
      </fill>
    </dxf>
    <dxf>
      <font>
        <b/>
        <sz val="8"/>
        <color rgb="FF006100"/>
        <name val="Arial"/>
        <charset val="1"/>
      </font>
      <fill>
        <patternFill>
          <bgColor rgb="FFC6EFCE"/>
        </patternFill>
      </fill>
    </dxf>
    <dxf>
      <font>
        <b/>
        <sz val="8"/>
        <color rgb="FF006100"/>
        <name val="Arial"/>
        <charset val="1"/>
      </font>
      <fill>
        <patternFill>
          <bgColor rgb="FFC6EFCE"/>
        </patternFill>
      </fill>
    </dxf>
    <dxf>
      <font>
        <b/>
        <sz val="8"/>
        <color rgb="FF1F4E79"/>
        <name val="Arial"/>
        <charset val="1"/>
      </font>
      <fill>
        <patternFill>
          <bgColor rgb="FFDDEBF7"/>
        </patternFill>
      </fill>
    </dxf>
    <dxf>
      <font>
        <b/>
        <sz val="8"/>
        <color rgb="FF1F3864"/>
        <name val="Arial"/>
        <charset val="1"/>
      </font>
      <fill>
        <patternFill>
          <bgColor rgb="FFD0E4F5"/>
        </patternFill>
      </fill>
    </dxf>
    <dxf>
      <font>
        <b/>
        <sz val="8"/>
        <color rgb="FFC55A11"/>
        <name val="Arial"/>
        <charset val="1"/>
      </font>
      <fill>
        <patternFill>
          <bgColor rgb="FFFCE4D6"/>
        </patternFill>
      </fill>
    </dxf>
    <dxf>
      <font>
        <b/>
        <sz val="8"/>
        <color rgb="FF9C5700"/>
        <name val="Arial"/>
        <charset val="1"/>
      </font>
      <fill>
        <patternFill>
          <bgColor rgb="FFFFEB9C"/>
        </patternFill>
      </fill>
    </dxf>
    <dxf>
      <font>
        <b/>
        <sz val="8"/>
        <color rgb="FF9C0006"/>
        <name val="Arial"/>
        <charset val="1"/>
      </font>
      <fill>
        <patternFill>
          <bgColor rgb="FFFFC7CE"/>
        </patternFill>
      </fill>
    </dxf>
    <dxf>
      <font>
        <b/>
        <sz val="8"/>
        <color rgb="FF9C0006"/>
        <name val="Arial"/>
        <charset val="1"/>
      </font>
      <fill>
        <patternFill>
          <bgColor rgb="FFFFC7CE"/>
        </patternFill>
      </fill>
    </dxf>
    <dxf>
      <font>
        <b/>
        <sz val="8"/>
        <color rgb="FF006100"/>
        <name val="Arial"/>
        <charset val="1"/>
      </font>
      <fill>
        <patternFill>
          <bgColor rgb="FFC6EFCE"/>
        </patternFill>
      </fill>
    </dxf>
    <dxf>
      <font>
        <b/>
        <sz val="8"/>
        <color rgb="FFC00000"/>
        <name val="Arial"/>
        <charset val="1"/>
      </font>
      <fill>
        <patternFill>
          <bgColor rgb="FFFFD966"/>
        </patternFill>
      </fill>
    </dxf>
    <dxf>
      <font>
        <b/>
        <sz val="8"/>
        <color rgb="FF9C0006"/>
        <name val="Arial"/>
        <charset val="1"/>
      </font>
      <fill>
        <patternFill>
          <bgColor rgb="FFFFC7CE"/>
        </patternFill>
      </fill>
    </dxf>
    <dxf>
      <font>
        <b/>
        <sz val="8"/>
        <color rgb="FF006100"/>
        <name val="Arial"/>
        <charset val="1"/>
      </font>
      <fill>
        <patternFill>
          <bgColor rgb="FFC6EFCE"/>
        </patternFill>
      </fill>
    </dxf>
    <dxf>
      <font>
        <b/>
        <sz val="8"/>
        <color rgb="FFC55A11"/>
        <name val="Arial"/>
        <charset val="1"/>
      </font>
      <fill>
        <patternFill>
          <bgColor rgb="FFFCE4D6"/>
        </patternFill>
      </fill>
    </dxf>
    <dxf>
      <font>
        <b/>
        <sz val="8"/>
        <color rgb="FF006100"/>
        <name val="Arial"/>
        <charset val="1"/>
      </font>
      <fill>
        <patternFill>
          <bgColor rgb="FFC6EFCE"/>
        </patternFill>
      </fill>
    </dxf>
    <dxf>
      <font>
        <b/>
        <sz val="8"/>
        <color rgb="FF006100"/>
        <name val="Arial"/>
        <charset val="1"/>
      </font>
      <fill>
        <patternFill>
          <bgColor rgb="FFC6EFCE"/>
        </patternFill>
      </fill>
    </dxf>
    <dxf>
      <font>
        <b/>
        <sz val="8"/>
        <color rgb="FF595959"/>
        <name val="Arial"/>
        <charset val="1"/>
      </font>
      <fill>
        <patternFill>
          <bgColor rgb="FFF2F2F2"/>
        </patternFill>
      </fill>
    </dxf>
    <dxf>
      <font>
        <b/>
        <sz val="8"/>
        <color rgb="FF006100"/>
        <name val="Arial"/>
        <charset val="1"/>
      </font>
      <fill>
        <patternFill>
          <bgColor rgb="FFC6EFCE"/>
        </patternFill>
      </fill>
    </dxf>
    <dxf>
      <font>
        <b/>
        <sz val="8"/>
        <color rgb="FF006100"/>
        <name val="Arial"/>
        <charset val="1"/>
      </font>
      <fill>
        <patternFill>
          <bgColor rgb="FFC6EFCE"/>
        </patternFill>
      </fill>
    </dxf>
    <dxf>
      <font>
        <b/>
        <sz val="8"/>
        <color rgb="FF1F4E79"/>
        <name val="Arial"/>
        <charset val="1"/>
      </font>
      <fill>
        <patternFill>
          <bgColor rgb="FFDDEBF7"/>
        </patternFill>
      </fill>
    </dxf>
    <dxf>
      <font>
        <b/>
        <sz val="8"/>
        <color rgb="FF1F3864"/>
        <name val="Arial"/>
        <charset val="1"/>
      </font>
      <fill>
        <patternFill>
          <bgColor rgb="FFD0E4F5"/>
        </patternFill>
      </fill>
    </dxf>
    <dxf>
      <font>
        <b/>
        <sz val="8"/>
        <color rgb="FFC55A11"/>
        <name val="Arial"/>
        <charset val="1"/>
      </font>
      <fill>
        <patternFill>
          <bgColor rgb="FFFCE4D6"/>
        </patternFill>
      </fill>
    </dxf>
    <dxf>
      <font>
        <b/>
        <sz val="8"/>
        <color rgb="FF9C5700"/>
        <name val="Arial"/>
        <charset val="1"/>
      </font>
      <fill>
        <patternFill>
          <bgColor rgb="FFFFEB9C"/>
        </patternFill>
      </fill>
    </dxf>
    <dxf>
      <font>
        <b/>
        <sz val="8"/>
        <color rgb="FF9C0006"/>
        <name val="Arial"/>
        <charset val="1"/>
      </font>
      <fill>
        <patternFill>
          <bgColor rgb="FFFFC7CE"/>
        </patternFill>
      </fill>
    </dxf>
    <dxf>
      <font>
        <b/>
        <sz val="8"/>
        <color rgb="FF9C0006"/>
        <name val="Arial"/>
        <charset val="1"/>
      </font>
      <fill>
        <patternFill>
          <bgColor rgb="FFFFC7CE"/>
        </patternFill>
      </fill>
    </dxf>
    <dxf>
      <font>
        <b/>
        <sz val="8"/>
        <color rgb="FF006100"/>
        <name val="Arial"/>
        <charset val="1"/>
      </font>
      <fill>
        <patternFill>
          <bgColor rgb="FFC6EFCE"/>
        </patternFill>
      </fill>
    </dxf>
    <dxf>
      <font>
        <b/>
        <sz val="8"/>
        <color rgb="FFC00000"/>
        <name val="Arial"/>
        <charset val="1"/>
      </font>
      <fill>
        <patternFill>
          <bgColor rgb="FFFFD966"/>
        </patternFill>
      </fill>
    </dxf>
    <dxf>
      <font>
        <b/>
        <sz val="8"/>
        <color rgb="FF9C0006"/>
        <name val="Arial"/>
        <charset val="1"/>
      </font>
      <fill>
        <patternFill>
          <bgColor rgb="FFFFC7CE"/>
        </patternFill>
      </fill>
    </dxf>
    <dxf>
      <font>
        <b/>
        <sz val="8"/>
        <color rgb="FF006100"/>
        <name val="Arial"/>
        <charset val="1"/>
      </font>
      <fill>
        <patternFill>
          <bgColor rgb="FFC6EFCE"/>
        </patternFill>
      </fill>
    </dxf>
    <dxf>
      <font>
        <b/>
        <sz val="8"/>
        <color rgb="FFC55A11"/>
        <name val="Arial"/>
        <charset val="1"/>
      </font>
      <fill>
        <patternFill>
          <bgColor rgb="FFFCE4D6"/>
        </patternFill>
      </fill>
    </dxf>
    <dxf>
      <font>
        <b/>
        <sz val="8"/>
        <color rgb="FF006100"/>
        <name val="Arial"/>
        <charset val="1"/>
      </font>
      <fill>
        <patternFill>
          <bgColor rgb="FFC6EFCE"/>
        </patternFill>
      </fill>
    </dxf>
    <dxf>
      <font>
        <b/>
        <sz val="8"/>
        <color rgb="FF006100"/>
        <name val="Arial"/>
        <charset val="1"/>
      </font>
      <fill>
        <patternFill>
          <bgColor rgb="FFC6EFCE"/>
        </patternFill>
      </fill>
    </dxf>
    <dxf>
      <font>
        <b/>
        <sz val="8"/>
        <color rgb="FF595959"/>
        <name val="Arial"/>
        <charset val="1"/>
      </font>
      <fill>
        <patternFill>
          <bgColor rgb="FFF2F2F2"/>
        </patternFill>
      </fill>
    </dxf>
    <dxf>
      <font>
        <b/>
        <sz val="8"/>
        <color rgb="FF006100"/>
        <name val="Arial"/>
        <charset val="1"/>
      </font>
      <fill>
        <patternFill>
          <bgColor rgb="FFC6EFCE"/>
        </patternFill>
      </fill>
    </dxf>
    <dxf>
      <font>
        <b/>
        <sz val="8"/>
        <color rgb="FF006100"/>
        <name val="Arial"/>
        <charset val="1"/>
      </font>
      <fill>
        <patternFill>
          <bgColor rgb="FFC6EFCE"/>
        </patternFill>
      </fill>
    </dxf>
    <dxf>
      <font>
        <b/>
        <sz val="8"/>
        <color rgb="FF1F4E79"/>
        <name val="Arial"/>
        <charset val="1"/>
      </font>
      <fill>
        <patternFill>
          <bgColor rgb="FFDDEBF7"/>
        </patternFill>
      </fill>
    </dxf>
    <dxf>
      <font>
        <b/>
        <sz val="8"/>
        <color rgb="FF1F3864"/>
        <name val="Arial"/>
        <charset val="1"/>
      </font>
      <fill>
        <patternFill>
          <bgColor rgb="FFD0E4F5"/>
        </patternFill>
      </fill>
    </dxf>
    <dxf>
      <font>
        <b/>
        <sz val="8"/>
        <color rgb="FFC55A11"/>
        <name val="Arial"/>
        <charset val="1"/>
      </font>
      <fill>
        <patternFill>
          <bgColor rgb="FFFCE4D6"/>
        </patternFill>
      </fill>
    </dxf>
    <dxf>
      <font>
        <b/>
        <sz val="8"/>
        <color rgb="FF9C5700"/>
        <name val="Arial"/>
        <charset val="1"/>
      </font>
      <fill>
        <patternFill>
          <bgColor rgb="FFFFEB9C"/>
        </patternFill>
      </fill>
    </dxf>
    <dxf>
      <font>
        <b/>
        <sz val="8"/>
        <color rgb="FF9C0006"/>
        <name val="Arial"/>
        <charset val="1"/>
      </font>
      <fill>
        <patternFill>
          <bgColor rgb="FFFFC7CE"/>
        </patternFill>
      </fill>
    </dxf>
    <dxf>
      <font>
        <b/>
        <sz val="8"/>
        <color rgb="FF9C0006"/>
        <name val="Arial"/>
        <charset val="1"/>
      </font>
      <fill>
        <patternFill>
          <bgColor rgb="FFFFC7CE"/>
        </patternFill>
      </fill>
    </dxf>
    <dxf>
      <font>
        <b/>
        <sz val="8"/>
        <color rgb="FF006100"/>
        <name val="Arial"/>
        <charset val="1"/>
      </font>
      <fill>
        <patternFill>
          <bgColor rgb="FFC6EFCE"/>
        </patternFill>
      </fill>
    </dxf>
    <dxf>
      <font>
        <b/>
        <sz val="8"/>
        <color rgb="FF006100"/>
        <name val="Arial"/>
        <charset val="1"/>
      </font>
      <fill>
        <patternFill>
          <bgColor rgb="FFC6EFCE"/>
        </patternFill>
      </fill>
    </dxf>
    <dxf>
      <font>
        <b/>
        <sz val="8"/>
        <color rgb="FFC00000"/>
        <name val="Arial"/>
        <charset val="1"/>
      </font>
      <fill>
        <patternFill>
          <bgColor rgb="FFFFD966"/>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8000"/>
      <rgbColor rgb="FF000080"/>
      <rgbColor rgb="FF7F6000"/>
      <rgbColor rgb="FF800080"/>
      <rgbColor rgb="FF2E5C8A"/>
      <rgbColor rgb="FFE4DFEC"/>
      <rgbColor rgb="FF808080"/>
      <rgbColor rgb="FF9999FF"/>
      <rgbColor rgb="FF7030A0"/>
      <rgbColor rgb="FFFFF2CC"/>
      <rgbColor rgb="FFDDEBF7"/>
      <rgbColor rgb="FF660066"/>
      <rgbColor rgb="FFFF8080"/>
      <rgbColor rgb="FF0563C1"/>
      <rgbColor rgb="FFD0E4F5"/>
      <rgbColor rgb="FF000080"/>
      <rgbColor rgb="FFFF00FF"/>
      <rgbColor rgb="FFF2F2F2"/>
      <rgbColor rgb="FF00FFFF"/>
      <rgbColor rgb="FF800080"/>
      <rgbColor rgb="FF800000"/>
      <rgbColor rgb="FF008080"/>
      <rgbColor rgb="FF0000FF"/>
      <rgbColor rgb="FF00CCFF"/>
      <rgbColor rgb="FFE2EFDA"/>
      <rgbColor rgb="FFC6EFCE"/>
      <rgbColor rgb="FFFFEB9C"/>
      <rgbColor rgb="FFDCE6F1"/>
      <rgbColor rgb="FFFCE4D6"/>
      <rgbColor rgb="FFEDEDED"/>
      <rgbColor rgb="FFFFC7CE"/>
      <rgbColor rgb="FF3366FF"/>
      <rgbColor rgb="FF33CCCC"/>
      <rgbColor rgb="FF99CC00"/>
      <rgbColor rgb="FFFFD966"/>
      <rgbColor rgb="FFFF9900"/>
      <rgbColor rgb="FFC55A11"/>
      <rgbColor rgb="FF595959"/>
      <rgbColor rgb="FF7F7F7F"/>
      <rgbColor rgb="FF1F3864"/>
      <rgbColor rgb="FF548235"/>
      <rgbColor rgb="FF006100"/>
      <rgbColor rgb="FF333300"/>
      <rgbColor rgb="FF9C5700"/>
      <rgbColor rgb="FF993366"/>
      <rgbColor rgb="FF1F4E79"/>
      <rgbColor rgb="FF26262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pageSetUpPr fitToPage="1"/>
  </sheetPr>
  <dimension ref="B1:T215"/>
  <sheetViews>
    <sheetView showGridLines="0" zoomScale="85" zoomScaleNormal="85" workbookViewId="0">
      <pane ySplit="4" topLeftCell="A5" activePane="bottomLeft" state="frozen"/>
      <selection pane="bottomLeft"/>
    </sheetView>
  </sheetViews>
  <sheetFormatPr defaultColWidth="8.7109375" defaultRowHeight="15" x14ac:dyDescent="0.25"/>
  <cols>
    <col min="1" max="1" width="1.5703125" customWidth="1"/>
    <col min="2" max="2" width="112" customWidth="1"/>
    <col min="3" max="3" width="16" customWidth="1"/>
    <col min="4" max="4" width="13" customWidth="1"/>
    <col min="5" max="7" width="30" customWidth="1"/>
    <col min="8" max="8" width="44" customWidth="1"/>
  </cols>
  <sheetData>
    <row r="1" spans="2:20" ht="18" x14ac:dyDescent="0.25">
      <c r="B1" s="13" t="s">
        <v>0</v>
      </c>
    </row>
    <row r="2" spans="2:20" x14ac:dyDescent="0.25">
      <c r="B2" s="14" t="s">
        <v>1</v>
      </c>
    </row>
    <row r="3" spans="2:20" x14ac:dyDescent="0.25">
      <c r="B3" s="15" t="s">
        <v>2</v>
      </c>
      <c r="C3" s="16" t="s">
        <v>3</v>
      </c>
      <c r="D3" s="17" t="s">
        <v>4</v>
      </c>
      <c r="E3" s="17" t="s">
        <v>5</v>
      </c>
      <c r="F3" s="17" t="s">
        <v>6</v>
      </c>
      <c r="G3" s="17" t="s">
        <v>7</v>
      </c>
      <c r="H3" s="17" t="s">
        <v>8</v>
      </c>
      <c r="I3" s="17" t="s">
        <v>9</v>
      </c>
      <c r="J3" s="17" t="s">
        <v>10</v>
      </c>
      <c r="K3" s="17" t="s">
        <v>11</v>
      </c>
      <c r="L3" s="17" t="s">
        <v>12</v>
      </c>
      <c r="M3" s="17" t="s">
        <v>13</v>
      </c>
      <c r="N3" s="17" t="s">
        <v>14</v>
      </c>
      <c r="O3" s="17" t="s">
        <v>15</v>
      </c>
      <c r="P3" s="17" t="s">
        <v>16</v>
      </c>
      <c r="Q3" s="17" t="s">
        <v>17</v>
      </c>
      <c r="R3" s="17" t="s">
        <v>18</v>
      </c>
      <c r="S3" s="17" t="s">
        <v>19</v>
      </c>
      <c r="T3" s="17" t="s">
        <v>20</v>
      </c>
    </row>
    <row r="6" spans="2:20" x14ac:dyDescent="0.25">
      <c r="B6" s="18" t="s">
        <v>21</v>
      </c>
      <c r="C6" s="19"/>
      <c r="D6" s="19"/>
      <c r="E6" s="19"/>
      <c r="F6" s="19"/>
      <c r="G6" s="19"/>
      <c r="H6" s="19"/>
    </row>
    <row r="7" spans="2:20" ht="38.25" customHeight="1" x14ac:dyDescent="0.25">
      <c r="B7" s="20" t="s">
        <v>22</v>
      </c>
    </row>
    <row r="8" spans="2:20" ht="26.25" customHeight="1" x14ac:dyDescent="0.25">
      <c r="B8" s="21" t="s">
        <v>23</v>
      </c>
      <c r="C8" s="12" t="str">
        <f>'Checks &amp; Reconciliation'!$C$7</f>
        <v>Differs - inputs / switches changed: 46 line(s) affected</v>
      </c>
      <c r="D8" s="12"/>
      <c r="E8" s="12"/>
      <c r="F8" s="12"/>
      <c r="G8" s="12"/>
      <c r="H8" s="22" t="s">
        <v>24</v>
      </c>
    </row>
    <row r="9" spans="2:20" x14ac:dyDescent="0.25">
      <c r="B9" s="23" t="s">
        <v>25</v>
      </c>
      <c r="C9" s="11" t="str">
        <f>'Checks &amp; Reconciliation'!$C$8</f>
        <v>YES - all 16 v29 business blocks reproduced (14 identical; 2 differ only through the LT loan interest in FY2026-27)</v>
      </c>
      <c r="D9" s="11"/>
      <c r="E9" s="11"/>
      <c r="F9" s="11"/>
      <c r="G9" s="11"/>
      <c r="H9" s="22" t="s">
        <v>24</v>
      </c>
    </row>
    <row r="10" spans="2:20" x14ac:dyDescent="0.25">
      <c r="B10" s="23" t="s">
        <v>26</v>
      </c>
      <c r="C10" s="11" t="str">
        <f>'Checks &amp; Reconciliation'!$C$9</f>
        <v>Differs - inputs changed</v>
      </c>
      <c r="D10" s="11"/>
      <c r="E10" s="11"/>
      <c r="F10" s="11"/>
      <c r="G10" s="11"/>
      <c r="H10" s="22" t="s">
        <v>24</v>
      </c>
    </row>
    <row r="11" spans="2:20" x14ac:dyDescent="0.25">
      <c r="B11" s="21" t="s">
        <v>27</v>
      </c>
      <c r="C11" s="11" t="str">
        <f>'Checks &amp; Reconciliation'!$C$12</f>
        <v>YES - all 36 checks pass (balance sheet, cash, roll-forwards, funding sources = uses, tax, bridges, valuation, capex, Badas, summaries)</v>
      </c>
      <c r="D11" s="11"/>
      <c r="E11" s="11"/>
      <c r="F11" s="11"/>
      <c r="G11" s="11"/>
      <c r="H11" s="22" t="s">
        <v>24</v>
      </c>
    </row>
    <row r="12" spans="2:20" x14ac:dyDescent="0.25">
      <c r="B12" s="23" t="s">
        <v>28</v>
      </c>
      <c r="C12" s="11" t="str">
        <f>'Checks &amp; Reconciliation'!$C$13</f>
        <v>1 warning(s) about the result - see section B</v>
      </c>
      <c r="D12" s="11"/>
      <c r="E12" s="11"/>
      <c r="F12" s="11"/>
      <c r="G12" s="11"/>
      <c r="H12" s="22" t="s">
        <v>24</v>
      </c>
    </row>
    <row r="13" spans="2:20" x14ac:dyDescent="0.25">
      <c r="B13" s="21" t="s">
        <v>29</v>
      </c>
      <c r="C13" s="11" t="str">
        <f>'Checks &amp; Reconciliation'!$C$15</f>
        <v>13 v29 source issues documented; corrections ON: 0 of 13 - v29 treatment kept (incl. its 0.006 balance-sheet residual and negative fixed assets)</v>
      </c>
      <c r="D13" s="11"/>
      <c r="E13" s="11"/>
      <c r="F13" s="11"/>
      <c r="G13" s="11"/>
      <c r="H13" s="22" t="s">
        <v>24</v>
      </c>
    </row>
    <row r="14" spans="2:20" x14ac:dyDescent="0.25">
      <c r="B14" s="23" t="s">
        <v>30</v>
      </c>
      <c r="C14" s="11" t="str">
        <f>'Checks &amp; Reconciliation'!$C$16</f>
        <v>33 item(s): provisional valuation / funding parameters, the LT loan terms, Badas FS data and open source questions</v>
      </c>
      <c r="D14" s="11"/>
      <c r="E14" s="11"/>
      <c r="F14" s="11"/>
      <c r="G14" s="11"/>
      <c r="H14" s="22" t="s">
        <v>24</v>
      </c>
    </row>
    <row r="15" spans="2:20" ht="26.25" customHeight="1" x14ac:dyDescent="0.25">
      <c r="B15" s="21" t="s">
        <v>31</v>
      </c>
      <c r="C15" s="12" t="str">
        <f>'Checks &amp; Reconciliation'!$C$18</f>
        <v>Requested changes active: LT loan repaid FY2027 + equity = residual requirement | inputs changed vs the delivered baseline: 1 row(s) / switch(es) (Inputs column U) | Corrections ON: none</v>
      </c>
      <c r="D15" s="12"/>
      <c r="E15" s="12"/>
      <c r="F15" s="12"/>
      <c r="G15" s="12"/>
      <c r="H15" s="22" t="s">
        <v>24</v>
      </c>
    </row>
    <row r="16" spans="2:20" x14ac:dyDescent="0.25">
      <c r="B16" s="21" t="s">
        <v>32</v>
      </c>
      <c r="C16" s="11" t="str">
        <f>'Checks &amp; Reconciliation'!$C$19</f>
        <v>Scenario 1 | projects in the valuation: 15 of 19 | BUMN control: ON | valuation date 31-Dec-2026 | Badas IN the valuation (DUMMY)</v>
      </c>
      <c r="D16" s="11"/>
      <c r="E16" s="11"/>
      <c r="F16" s="11"/>
      <c r="G16" s="11"/>
      <c r="H16" s="22" t="s">
        <v>24</v>
      </c>
    </row>
    <row r="18" spans="2:6" ht="26.25" customHeight="1" x14ac:dyDescent="0.25">
      <c r="B18" s="24" t="s">
        <v>33</v>
      </c>
    </row>
    <row r="19" spans="2:6" ht="13.5" customHeight="1" x14ac:dyDescent="0.25">
      <c r="B19" s="25" t="s">
        <v>34</v>
      </c>
      <c r="C19" s="25" t="s">
        <v>35</v>
      </c>
      <c r="D19" s="25" t="s">
        <v>36</v>
      </c>
      <c r="E19" s="25" t="s">
        <v>37</v>
      </c>
      <c r="F19" s="25" t="s">
        <v>38</v>
      </c>
    </row>
    <row r="20" spans="2:6" x14ac:dyDescent="0.25">
      <c r="B20" s="23" t="s">
        <v>39</v>
      </c>
      <c r="C20" s="26">
        <f>'Valuation — With BUMN'!$E$67</f>
        <v>4633.2654972130422</v>
      </c>
      <c r="D20" s="26">
        <f>'Valuation — Without BUMN'!$E$67</f>
        <v>4121.4079207574405</v>
      </c>
      <c r="E20" s="22" t="s">
        <v>40</v>
      </c>
      <c r="F20" s="22" t="s">
        <v>41</v>
      </c>
    </row>
    <row r="21" spans="2:6" x14ac:dyDescent="0.25">
      <c r="B21" s="23" t="s">
        <v>42</v>
      </c>
      <c r="C21" s="26">
        <f>'Valuation — With BUMN'!$E$74</f>
        <v>3959.7432619574893</v>
      </c>
      <c r="D21" s="26">
        <f>'Valuation — Without BUMN'!$E$74</f>
        <v>3536.8633949278205</v>
      </c>
      <c r="E21" s="22" t="s">
        <v>43</v>
      </c>
      <c r="F21" s="22" t="s">
        <v>44</v>
      </c>
    </row>
    <row r="22" spans="2:6" x14ac:dyDescent="0.25">
      <c r="B22" s="23" t="s">
        <v>45</v>
      </c>
      <c r="C22" s="26">
        <f>'Valuation — With BUMN'!$E$75</f>
        <v>243.45178370473343</v>
      </c>
      <c r="D22" s="26">
        <f>'Valuation — Without BUMN'!$E$75</f>
        <v>217.4524066970686</v>
      </c>
      <c r="E22" s="22" t="s">
        <v>46</v>
      </c>
      <c r="F22" s="22" t="s">
        <v>47</v>
      </c>
    </row>
    <row r="23" spans="2:6" x14ac:dyDescent="0.25">
      <c r="B23" s="23" t="s">
        <v>48</v>
      </c>
      <c r="C23" s="26">
        <f>'Funding Requirement'!$E$21</f>
        <v>28.884162758641565</v>
      </c>
      <c r="D23" s="26">
        <f>'Funding Requirement'!$F$21</f>
        <v>76.665204077581919</v>
      </c>
      <c r="E23" s="22" t="s">
        <v>49</v>
      </c>
      <c r="F23" s="22" t="s">
        <v>50</v>
      </c>
    </row>
    <row r="24" spans="2:6" x14ac:dyDescent="0.25">
      <c r="B24" s="23" t="s">
        <v>51</v>
      </c>
      <c r="C24" s="27">
        <f>'Funding Requirement'!$E$23</f>
        <v>2027</v>
      </c>
      <c r="D24" s="27">
        <f>'Funding Requirement'!$F$23</f>
        <v>2027</v>
      </c>
      <c r="E24" s="22" t="s">
        <v>52</v>
      </c>
      <c r="F24" s="22" t="s">
        <v>53</v>
      </c>
    </row>
    <row r="25" spans="2:6" x14ac:dyDescent="0.25">
      <c r="B25" s="23" t="s">
        <v>54</v>
      </c>
      <c r="C25" s="26">
        <f>'Funding Requirement'!$E$14</f>
        <v>28.884162758641565</v>
      </c>
      <c r="D25" s="26">
        <f>'Funding Requirement'!$F$14</f>
        <v>76.665204077581919</v>
      </c>
      <c r="E25" s="22" t="s">
        <v>55</v>
      </c>
      <c r="F25" s="22" t="s">
        <v>56</v>
      </c>
    </row>
    <row r="26" spans="2:6" ht="14.25" customHeight="1" x14ac:dyDescent="0.25">
      <c r="B26" s="24" t="s">
        <v>57</v>
      </c>
      <c r="C26" s="26">
        <f>'Valuation — With BUMN'!$E$116</f>
        <v>511.8575764556017</v>
      </c>
      <c r="D26" s="28" t="s">
        <v>58</v>
      </c>
      <c r="E26" s="22" t="s">
        <v>59</v>
      </c>
    </row>
    <row r="27" spans="2:6" ht="14.25" customHeight="1" x14ac:dyDescent="0.25">
      <c r="B27" s="20" t="s">
        <v>60</v>
      </c>
      <c r="C27" s="29">
        <f>'Project Cash Flows'!$E$379</f>
        <v>14.116098408150656</v>
      </c>
      <c r="D27" s="28" t="s">
        <v>58</v>
      </c>
      <c r="E27" s="22" t="s">
        <v>61</v>
      </c>
    </row>
    <row r="28" spans="2:6" ht="26.25" customHeight="1" x14ac:dyDescent="0.25">
      <c r="B28" s="24" t="s">
        <v>62</v>
      </c>
    </row>
    <row r="29" spans="2:6" ht="14.25" customHeight="1" x14ac:dyDescent="0.25">
      <c r="B29" s="20" t="s">
        <v>63</v>
      </c>
      <c r="C29" s="30">
        <f>'FSL Output - Without BUMN'!J9</f>
        <v>494.5710789383395</v>
      </c>
      <c r="D29" s="28" t="s">
        <v>58</v>
      </c>
      <c r="E29" s="22" t="s">
        <v>64</v>
      </c>
    </row>
    <row r="30" spans="2:6" ht="14.25" customHeight="1" x14ac:dyDescent="0.25">
      <c r="B30" s="20" t="s">
        <v>65</v>
      </c>
      <c r="C30" s="30">
        <f>'BUMN Synergy Calculation'!J98</f>
        <v>127.49380734818928</v>
      </c>
      <c r="D30" s="28" t="s">
        <v>58</v>
      </c>
      <c r="E30" s="22" t="s">
        <v>66</v>
      </c>
    </row>
    <row r="31" spans="2:6" ht="14.25" customHeight="1" x14ac:dyDescent="0.25">
      <c r="B31" s="24" t="s">
        <v>67</v>
      </c>
      <c r="C31" s="31">
        <f>'FSL Output - With BUMN'!J59</f>
        <v>622.0648862865288</v>
      </c>
      <c r="D31" s="28" t="s">
        <v>58</v>
      </c>
      <c r="E31" s="22" t="s">
        <v>68</v>
      </c>
    </row>
    <row r="33" spans="2:8" ht="14.25" customHeight="1" x14ac:dyDescent="0.25">
      <c r="B33" s="24" t="s">
        <v>69</v>
      </c>
    </row>
    <row r="34" spans="2:8" ht="26.25" customHeight="1" x14ac:dyDescent="0.25">
      <c r="B34" s="32" t="s">
        <v>4</v>
      </c>
      <c r="C34" s="10" t="s">
        <v>70</v>
      </c>
      <c r="D34" s="10"/>
      <c r="E34" s="10"/>
      <c r="F34" s="10"/>
      <c r="G34" s="10"/>
      <c r="H34" s="10"/>
    </row>
    <row r="35" spans="2:8" ht="14.25" customHeight="1" x14ac:dyDescent="0.25">
      <c r="B35" s="32" t="s">
        <v>71</v>
      </c>
      <c r="C35" s="10" t="s">
        <v>72</v>
      </c>
      <c r="D35" s="10"/>
      <c r="E35" s="10"/>
      <c r="F35" s="10"/>
      <c r="G35" s="10"/>
      <c r="H35" s="10"/>
    </row>
    <row r="36" spans="2:8" ht="14.25" customHeight="1" x14ac:dyDescent="0.25">
      <c r="B36" s="32" t="s">
        <v>73</v>
      </c>
      <c r="C36" s="10" t="s">
        <v>74</v>
      </c>
      <c r="D36" s="10"/>
      <c r="E36" s="10"/>
      <c r="F36" s="10"/>
      <c r="G36" s="10"/>
      <c r="H36" s="10"/>
    </row>
    <row r="37" spans="2:8" ht="14.25" customHeight="1" x14ac:dyDescent="0.25">
      <c r="B37" s="32" t="s">
        <v>75</v>
      </c>
      <c r="C37" s="10" t="s">
        <v>76</v>
      </c>
      <c r="D37" s="10"/>
      <c r="E37" s="10"/>
      <c r="F37" s="10"/>
      <c r="G37" s="10"/>
      <c r="H37" s="10"/>
    </row>
    <row r="38" spans="2:8" ht="14.25" customHeight="1" x14ac:dyDescent="0.25">
      <c r="B38" s="32" t="s">
        <v>77</v>
      </c>
      <c r="C38" s="10" t="s">
        <v>78</v>
      </c>
      <c r="D38" s="10"/>
      <c r="E38" s="10"/>
      <c r="F38" s="10"/>
      <c r="G38" s="10"/>
      <c r="H38" s="10"/>
    </row>
    <row r="39" spans="2:8" ht="26.25" customHeight="1" x14ac:dyDescent="0.25">
      <c r="B39" s="32" t="s">
        <v>79</v>
      </c>
      <c r="C39" s="10" t="s">
        <v>80</v>
      </c>
      <c r="D39" s="10"/>
      <c r="E39" s="10"/>
      <c r="F39" s="10"/>
      <c r="G39" s="10"/>
      <c r="H39" s="10"/>
    </row>
    <row r="40" spans="2:8" ht="14.25" customHeight="1" x14ac:dyDescent="0.25">
      <c r="B40" s="32" t="s">
        <v>81</v>
      </c>
      <c r="C40" s="10" t="s">
        <v>82</v>
      </c>
      <c r="D40" s="10"/>
      <c r="E40" s="10"/>
      <c r="F40" s="10"/>
      <c r="G40" s="10"/>
      <c r="H40" s="10"/>
    </row>
    <row r="41" spans="2:8" ht="14.25" customHeight="1" x14ac:dyDescent="0.25">
      <c r="B41" s="32" t="s">
        <v>11</v>
      </c>
      <c r="C41" s="10" t="s">
        <v>83</v>
      </c>
      <c r="D41" s="10"/>
      <c r="E41" s="10"/>
      <c r="F41" s="10"/>
      <c r="G41" s="10"/>
      <c r="H41" s="10"/>
    </row>
    <row r="42" spans="2:8" ht="14.25" customHeight="1" x14ac:dyDescent="0.25">
      <c r="B42" s="32" t="s">
        <v>84</v>
      </c>
      <c r="C42" s="10" t="s">
        <v>85</v>
      </c>
      <c r="D42" s="10"/>
      <c r="E42" s="10"/>
      <c r="F42" s="10"/>
      <c r="G42" s="10"/>
      <c r="H42" s="10"/>
    </row>
    <row r="43" spans="2:8" ht="14.25" customHeight="1" x14ac:dyDescent="0.25">
      <c r="B43" s="32" t="s">
        <v>86</v>
      </c>
      <c r="C43" s="10" t="s">
        <v>87</v>
      </c>
      <c r="D43" s="10"/>
      <c r="E43" s="10"/>
      <c r="F43" s="10"/>
      <c r="G43" s="10"/>
      <c r="H43" s="10"/>
    </row>
    <row r="44" spans="2:8" ht="14.25" customHeight="1" x14ac:dyDescent="0.25">
      <c r="B44" s="32" t="s">
        <v>88</v>
      </c>
      <c r="C44" s="10" t="s">
        <v>89</v>
      </c>
      <c r="D44" s="10"/>
      <c r="E44" s="10"/>
      <c r="F44" s="10"/>
      <c r="G44" s="10"/>
      <c r="H44" s="10"/>
    </row>
    <row r="45" spans="2:8" ht="14.25" customHeight="1" x14ac:dyDescent="0.25">
      <c r="B45" s="32" t="s">
        <v>90</v>
      </c>
      <c r="C45" s="10" t="s">
        <v>91</v>
      </c>
      <c r="D45" s="10"/>
      <c r="E45" s="10"/>
      <c r="F45" s="10"/>
      <c r="G45" s="10"/>
      <c r="H45" s="10"/>
    </row>
    <row r="46" spans="2:8" ht="14.25" customHeight="1" x14ac:dyDescent="0.25">
      <c r="B46" s="32" t="s">
        <v>92</v>
      </c>
      <c r="C46" s="10" t="s">
        <v>93</v>
      </c>
      <c r="D46" s="10"/>
      <c r="E46" s="10"/>
      <c r="F46" s="10"/>
      <c r="G46" s="10"/>
      <c r="H46" s="10"/>
    </row>
    <row r="47" spans="2:8" ht="14.25" customHeight="1" x14ac:dyDescent="0.25">
      <c r="B47" s="32" t="s">
        <v>94</v>
      </c>
      <c r="C47" s="10" t="s">
        <v>95</v>
      </c>
      <c r="D47" s="10"/>
      <c r="E47" s="10"/>
      <c r="F47" s="10"/>
      <c r="G47" s="10"/>
      <c r="H47" s="10"/>
    </row>
    <row r="48" spans="2:8" ht="14.25" customHeight="1" x14ac:dyDescent="0.25">
      <c r="B48" s="32" t="s">
        <v>96</v>
      </c>
      <c r="C48" s="10" t="s">
        <v>97</v>
      </c>
      <c r="D48" s="10"/>
      <c r="E48" s="10"/>
      <c r="F48" s="10"/>
      <c r="G48" s="10"/>
      <c r="H48" s="10"/>
    </row>
    <row r="49" spans="2:8" ht="14.25" customHeight="1" x14ac:dyDescent="0.25">
      <c r="B49" s="32" t="s">
        <v>98</v>
      </c>
      <c r="C49" s="10" t="s">
        <v>99</v>
      </c>
      <c r="D49" s="10"/>
      <c r="E49" s="10"/>
      <c r="F49" s="10"/>
      <c r="G49" s="10"/>
      <c r="H49" s="10"/>
    </row>
    <row r="50" spans="2:8" ht="14.25" customHeight="1" x14ac:dyDescent="0.25">
      <c r="B50" s="32" t="s">
        <v>20</v>
      </c>
      <c r="C50" s="10" t="s">
        <v>100</v>
      </c>
      <c r="D50" s="10"/>
      <c r="E50" s="10"/>
      <c r="F50" s="10"/>
      <c r="G50" s="10"/>
      <c r="H50" s="10"/>
    </row>
    <row r="52" spans="2:8" x14ac:dyDescent="0.25">
      <c r="B52" s="18" t="s">
        <v>101</v>
      </c>
      <c r="C52" s="19"/>
      <c r="D52" s="19"/>
      <c r="E52" s="19"/>
      <c r="F52" s="19"/>
      <c r="G52" s="19"/>
      <c r="H52" s="19"/>
    </row>
    <row r="53" spans="2:8" ht="38.25" customHeight="1" x14ac:dyDescent="0.25">
      <c r="B53" s="20" t="s">
        <v>102</v>
      </c>
    </row>
    <row r="54" spans="2:8" ht="14.25" customHeight="1" x14ac:dyDescent="0.25">
      <c r="B54" s="20" t="s">
        <v>103</v>
      </c>
      <c r="C54" s="33">
        <f>Inputs!$E$93</f>
        <v>46387</v>
      </c>
      <c r="D54" s="28"/>
      <c r="E54" s="22" t="s">
        <v>104</v>
      </c>
    </row>
    <row r="55" spans="2:8" ht="14.25" customHeight="1" x14ac:dyDescent="0.25">
      <c r="B55" s="20" t="s">
        <v>105</v>
      </c>
      <c r="C55" s="34">
        <f>'Valuation — With BUMN'!K46</f>
        <v>1</v>
      </c>
      <c r="D55" s="28" t="s">
        <v>106</v>
      </c>
      <c r="E55" s="22" t="s">
        <v>107</v>
      </c>
    </row>
    <row r="56" spans="2:8" ht="14.25" customHeight="1" x14ac:dyDescent="0.25">
      <c r="B56" s="20" t="s">
        <v>108</v>
      </c>
      <c r="C56" s="35">
        <f>'Valuation — With BUMN'!K47</f>
        <v>0.89392257085838167</v>
      </c>
      <c r="D56" s="28"/>
      <c r="E56" s="22" t="s">
        <v>109</v>
      </c>
    </row>
    <row r="57" spans="2:8" ht="38.25" customHeight="1" x14ac:dyDescent="0.25">
      <c r="B57" s="20" t="s">
        <v>110</v>
      </c>
    </row>
    <row r="58" spans="2:8" ht="14.25" customHeight="1" x14ac:dyDescent="0.25">
      <c r="B58" s="24" t="s">
        <v>111</v>
      </c>
      <c r="C58" s="31">
        <f>Financing!J14</f>
        <v>195.18</v>
      </c>
      <c r="D58" s="28" t="s">
        <v>58</v>
      </c>
      <c r="E58" s="22" t="s">
        <v>112</v>
      </c>
    </row>
    <row r="59" spans="2:8" ht="14.25" customHeight="1" x14ac:dyDescent="0.25">
      <c r="B59" s="20" t="s">
        <v>113</v>
      </c>
      <c r="C59" s="30">
        <f>Financing!J16</f>
        <v>15.273450177769659</v>
      </c>
      <c r="D59" s="28" t="s">
        <v>58</v>
      </c>
      <c r="E59" s="22" t="s">
        <v>114</v>
      </c>
    </row>
    <row r="60" spans="2:8" ht="14.25" customHeight="1" x14ac:dyDescent="0.25">
      <c r="B60" s="20" t="s">
        <v>115</v>
      </c>
      <c r="C60" s="30">
        <f>Financing!K16</f>
        <v>7.5739574854145433</v>
      </c>
      <c r="D60" s="28" t="s">
        <v>58</v>
      </c>
      <c r="E60" s="22" t="s">
        <v>116</v>
      </c>
    </row>
    <row r="61" spans="2:8" ht="14.25" customHeight="1" x14ac:dyDescent="0.25">
      <c r="B61" s="20" t="s">
        <v>117</v>
      </c>
      <c r="C61" s="30">
        <f>Financing!K13</f>
        <v>195.18</v>
      </c>
      <c r="D61" s="28" t="s">
        <v>58</v>
      </c>
      <c r="E61" s="22" t="s">
        <v>118</v>
      </c>
    </row>
    <row r="62" spans="2:8" ht="14.25" customHeight="1" x14ac:dyDescent="0.25">
      <c r="B62" s="20" t="s">
        <v>119</v>
      </c>
      <c r="C62" s="33">
        <f>Inputs!$E$494</f>
        <v>46568</v>
      </c>
      <c r="D62" s="28"/>
      <c r="E62" s="22" t="s">
        <v>120</v>
      </c>
    </row>
    <row r="63" spans="2:8" ht="38.25" customHeight="1" x14ac:dyDescent="0.25">
      <c r="B63" s="20" t="s">
        <v>121</v>
      </c>
    </row>
    <row r="64" spans="2:8" ht="38.25" customHeight="1" x14ac:dyDescent="0.25">
      <c r="B64" s="20" t="s">
        <v>122</v>
      </c>
    </row>
    <row r="65" spans="2:8" ht="26.25" customHeight="1" x14ac:dyDescent="0.25">
      <c r="B65" s="20" t="s">
        <v>123</v>
      </c>
    </row>
    <row r="66" spans="2:8" ht="26.25" customHeight="1" x14ac:dyDescent="0.25">
      <c r="B66" s="36" t="s">
        <v>124</v>
      </c>
    </row>
    <row r="67" spans="2:8" ht="14.25" customHeight="1" x14ac:dyDescent="0.25">
      <c r="B67" s="20" t="s">
        <v>125</v>
      </c>
      <c r="E67" s="22" t="s">
        <v>126</v>
      </c>
      <c r="F67" s="22" t="s">
        <v>127</v>
      </c>
      <c r="G67" s="22" t="s">
        <v>128</v>
      </c>
    </row>
    <row r="69" spans="2:8" x14ac:dyDescent="0.25">
      <c r="B69" s="18" t="s">
        <v>129</v>
      </c>
      <c r="C69" s="19"/>
      <c r="D69" s="19"/>
      <c r="E69" s="19"/>
      <c r="F69" s="19"/>
      <c r="G69" s="19"/>
      <c r="H69" s="19"/>
    </row>
    <row r="70" spans="2:8" ht="38.25" customHeight="1" x14ac:dyDescent="0.25">
      <c r="B70" s="20" t="s">
        <v>130</v>
      </c>
    </row>
    <row r="71" spans="2:8" ht="26.25" customHeight="1" x14ac:dyDescent="0.25">
      <c r="B71" s="20" t="s">
        <v>131</v>
      </c>
    </row>
    <row r="72" spans="2:8" ht="13.5" customHeight="1" x14ac:dyDescent="0.25">
      <c r="B72" s="25" t="s">
        <v>132</v>
      </c>
      <c r="C72" s="25" t="s">
        <v>133</v>
      </c>
      <c r="D72" s="25" t="s">
        <v>134</v>
      </c>
      <c r="E72" s="25" t="s">
        <v>135</v>
      </c>
    </row>
    <row r="73" spans="2:8" ht="14.25" customHeight="1" x14ac:dyDescent="0.25">
      <c r="B73" s="20" t="s">
        <v>136</v>
      </c>
      <c r="C73" s="37">
        <f>Inputs!$E$42</f>
        <v>1</v>
      </c>
      <c r="D73" s="38">
        <v>1</v>
      </c>
      <c r="E73" s="22" t="s">
        <v>137</v>
      </c>
    </row>
    <row r="74" spans="2:8" ht="14.25" customHeight="1" x14ac:dyDescent="0.25">
      <c r="B74" s="20" t="s">
        <v>138</v>
      </c>
      <c r="C74" s="37">
        <f>Inputs!$E$43</f>
        <v>1</v>
      </c>
      <c r="D74" s="38">
        <v>1</v>
      </c>
      <c r="E74" s="22" t="s">
        <v>139</v>
      </c>
    </row>
    <row r="75" spans="2:8" ht="14.25" customHeight="1" x14ac:dyDescent="0.25">
      <c r="B75" s="20" t="s">
        <v>140</v>
      </c>
      <c r="C75" s="37">
        <f>Inputs!$E$44</f>
        <v>1</v>
      </c>
      <c r="D75" s="38">
        <v>1</v>
      </c>
      <c r="E75" s="22" t="s">
        <v>141</v>
      </c>
    </row>
    <row r="76" spans="2:8" ht="14.25" customHeight="1" x14ac:dyDescent="0.25">
      <c r="B76" s="20" t="s">
        <v>142</v>
      </c>
      <c r="C76" s="39">
        <f>Inputs!$E$45</f>
        <v>0</v>
      </c>
      <c r="D76" s="40">
        <v>0</v>
      </c>
      <c r="E76" s="22" t="s">
        <v>143</v>
      </c>
    </row>
    <row r="77" spans="2:8" ht="14.25" customHeight="1" x14ac:dyDescent="0.25">
      <c r="B77" s="20" t="s">
        <v>144</v>
      </c>
      <c r="C77" s="37">
        <f>Inputs!$E$82</f>
        <v>1</v>
      </c>
      <c r="D77" s="38">
        <v>0</v>
      </c>
      <c r="E77" s="22" t="s">
        <v>145</v>
      </c>
    </row>
    <row r="78" spans="2:8" ht="14.25" customHeight="1" x14ac:dyDescent="0.25">
      <c r="B78" s="20" t="s">
        <v>146</v>
      </c>
      <c r="C78" s="37">
        <f>Inputs!$E$568</f>
        <v>1</v>
      </c>
      <c r="D78" s="38">
        <v>1</v>
      </c>
      <c r="E78" s="22" t="s">
        <v>147</v>
      </c>
    </row>
    <row r="79" spans="2:8" ht="14.25" customHeight="1" x14ac:dyDescent="0.25">
      <c r="B79" s="20" t="s">
        <v>148</v>
      </c>
      <c r="C79" s="37">
        <f>Inputs!$E$49</f>
        <v>2036</v>
      </c>
      <c r="D79" s="38">
        <v>2036</v>
      </c>
      <c r="E79" s="22" t="s">
        <v>149</v>
      </c>
    </row>
    <row r="80" spans="2:8" ht="14.25" customHeight="1" x14ac:dyDescent="0.25">
      <c r="B80" s="20" t="s">
        <v>150</v>
      </c>
      <c r="C80" s="30">
        <f>Inputs!$E$50</f>
        <v>1E-3</v>
      </c>
      <c r="D80" s="41">
        <v>1E-3</v>
      </c>
      <c r="E80" s="22" t="s">
        <v>151</v>
      </c>
    </row>
    <row r="81" spans="2:8" ht="14.25" customHeight="1" x14ac:dyDescent="0.25">
      <c r="B81" s="36" t="str">
        <f>"Koreksi opsional yang ON (Inputs 16, teknis): "&amp;Inputs!$E$753&amp;" dari 13 | baris input / saklar yang berubah dari baseline yang diserahkan: "&amp;'Checks &amp; Reconciliation'!$E$21</f>
        <v>Koreksi opsional yang ON (Inputs 16, teknis): 0 dari 13 | baris input / saklar yang berubah dari baseline yang diserahkan: 1</v>
      </c>
    </row>
    <row r="82" spans="2:8" ht="26.25" customHeight="1" x14ac:dyDescent="0.25">
      <c r="B82" s="20" t="s">
        <v>152</v>
      </c>
    </row>
    <row r="84" spans="2:8" x14ac:dyDescent="0.25">
      <c r="B84" s="18" t="s">
        <v>153</v>
      </c>
      <c r="C84" s="19"/>
      <c r="D84" s="19"/>
      <c r="E84" s="19"/>
      <c r="F84" s="19"/>
      <c r="G84" s="19"/>
      <c r="H84" s="19"/>
    </row>
    <row r="85" spans="2:8" ht="14.25" customHeight="1" x14ac:dyDescent="0.25">
      <c r="B85" s="42" t="s">
        <v>4</v>
      </c>
      <c r="C85" s="10" t="s">
        <v>154</v>
      </c>
      <c r="D85" s="10"/>
      <c r="E85" s="10"/>
      <c r="F85" s="10"/>
      <c r="G85" s="10"/>
      <c r="H85" s="10"/>
    </row>
    <row r="86" spans="2:8" ht="14.25" customHeight="1" x14ac:dyDescent="0.25">
      <c r="B86" s="42" t="s">
        <v>73</v>
      </c>
      <c r="C86" s="10" t="s">
        <v>155</v>
      </c>
      <c r="D86" s="10"/>
      <c r="E86" s="10"/>
      <c r="F86" s="10"/>
      <c r="G86" s="10"/>
      <c r="H86" s="10"/>
    </row>
    <row r="87" spans="2:8" ht="14.25" customHeight="1" x14ac:dyDescent="0.25">
      <c r="B87" s="42" t="s">
        <v>75</v>
      </c>
      <c r="C87" s="10" t="s">
        <v>156</v>
      </c>
      <c r="D87" s="10"/>
      <c r="E87" s="10"/>
      <c r="F87" s="10"/>
      <c r="G87" s="10"/>
      <c r="H87" s="10"/>
    </row>
    <row r="88" spans="2:8" ht="14.25" customHeight="1" x14ac:dyDescent="0.25">
      <c r="B88" s="42" t="s">
        <v>79</v>
      </c>
      <c r="C88" s="10" t="s">
        <v>157</v>
      </c>
      <c r="D88" s="10"/>
      <c r="E88" s="10"/>
      <c r="F88" s="10"/>
      <c r="G88" s="10"/>
      <c r="H88" s="10"/>
    </row>
    <row r="89" spans="2:8" ht="14.25" customHeight="1" x14ac:dyDescent="0.25">
      <c r="B89" s="42" t="s">
        <v>81</v>
      </c>
      <c r="C89" s="10" t="s">
        <v>158</v>
      </c>
      <c r="D89" s="10"/>
      <c r="E89" s="10"/>
      <c r="F89" s="10"/>
      <c r="G89" s="10"/>
      <c r="H89" s="10"/>
    </row>
    <row r="90" spans="2:8" ht="14.25" customHeight="1" x14ac:dyDescent="0.25">
      <c r="B90" s="42" t="s">
        <v>159</v>
      </c>
      <c r="C90" s="10" t="s">
        <v>160</v>
      </c>
      <c r="D90" s="10"/>
      <c r="E90" s="10"/>
      <c r="F90" s="10"/>
      <c r="G90" s="10"/>
      <c r="H90" s="10"/>
    </row>
    <row r="91" spans="2:8" ht="14.25" customHeight="1" x14ac:dyDescent="0.25">
      <c r="B91" s="42" t="s">
        <v>161</v>
      </c>
      <c r="C91" s="10" t="s">
        <v>162</v>
      </c>
      <c r="D91" s="10"/>
      <c r="E91" s="10"/>
      <c r="F91" s="10"/>
      <c r="G91" s="10"/>
      <c r="H91" s="10"/>
    </row>
    <row r="92" spans="2:8" ht="14.25" customHeight="1" x14ac:dyDescent="0.25">
      <c r="B92" s="42" t="s">
        <v>163</v>
      </c>
      <c r="C92" s="10" t="s">
        <v>164</v>
      </c>
      <c r="D92" s="10"/>
      <c r="E92" s="10"/>
      <c r="F92" s="10"/>
      <c r="G92" s="10"/>
      <c r="H92" s="10"/>
    </row>
    <row r="93" spans="2:8" ht="14.25" customHeight="1" x14ac:dyDescent="0.25">
      <c r="B93" s="42" t="s">
        <v>165</v>
      </c>
      <c r="C93" s="10" t="s">
        <v>166</v>
      </c>
      <c r="D93" s="10"/>
      <c r="E93" s="10"/>
      <c r="F93" s="10"/>
      <c r="G93" s="10"/>
      <c r="H93" s="10"/>
    </row>
    <row r="95" spans="2:8" ht="26.25" customHeight="1" x14ac:dyDescent="0.25">
      <c r="B95" s="24" t="s">
        <v>167</v>
      </c>
    </row>
    <row r="96" spans="2:8" ht="13.5" customHeight="1" x14ac:dyDescent="0.25">
      <c r="B96" s="25" t="s">
        <v>168</v>
      </c>
      <c r="C96" s="25" t="s">
        <v>169</v>
      </c>
      <c r="D96" s="25" t="s">
        <v>170</v>
      </c>
      <c r="E96" s="25" t="s">
        <v>171</v>
      </c>
      <c r="F96" s="25" t="s">
        <v>172</v>
      </c>
      <c r="G96" s="25" t="s">
        <v>173</v>
      </c>
      <c r="H96" s="25" t="s">
        <v>174</v>
      </c>
    </row>
    <row r="97" spans="2:8" x14ac:dyDescent="0.25">
      <c r="B97" s="23" t="s">
        <v>175</v>
      </c>
      <c r="C97" s="37">
        <f>Inputs!$H$60</f>
        <v>1</v>
      </c>
      <c r="D97" s="43" t="s">
        <v>176</v>
      </c>
      <c r="E97" s="22" t="s">
        <v>177</v>
      </c>
      <c r="F97" s="22" t="s">
        <v>178</v>
      </c>
      <c r="G97" s="22" t="s">
        <v>179</v>
      </c>
      <c r="H97" s="44" t="s">
        <v>180</v>
      </c>
    </row>
    <row r="98" spans="2:8" x14ac:dyDescent="0.25">
      <c r="B98" s="23" t="s">
        <v>181</v>
      </c>
      <c r="C98" s="37">
        <f>Inputs!$H$61</f>
        <v>1</v>
      </c>
      <c r="D98" s="43" t="s">
        <v>176</v>
      </c>
      <c r="E98" s="22" t="s">
        <v>182</v>
      </c>
      <c r="F98" s="22" t="s">
        <v>183</v>
      </c>
      <c r="G98" s="22" t="s">
        <v>184</v>
      </c>
      <c r="H98" s="44" t="s">
        <v>185</v>
      </c>
    </row>
    <row r="99" spans="2:8" x14ac:dyDescent="0.25">
      <c r="B99" s="23" t="s">
        <v>186</v>
      </c>
      <c r="C99" s="37">
        <f>Inputs!$H$62</f>
        <v>1</v>
      </c>
      <c r="D99" s="43" t="s">
        <v>176</v>
      </c>
      <c r="E99" s="22" t="s">
        <v>187</v>
      </c>
      <c r="F99" s="22" t="s">
        <v>188</v>
      </c>
      <c r="G99" s="22" t="s">
        <v>189</v>
      </c>
      <c r="H99" s="44" t="s">
        <v>190</v>
      </c>
    </row>
    <row r="100" spans="2:8" x14ac:dyDescent="0.25">
      <c r="B100" s="23" t="s">
        <v>191</v>
      </c>
      <c r="C100" s="37">
        <f>Inputs!$H$63</f>
        <v>1</v>
      </c>
      <c r="D100" s="43" t="s">
        <v>176</v>
      </c>
      <c r="E100" s="22" t="s">
        <v>192</v>
      </c>
      <c r="F100" s="22" t="s">
        <v>193</v>
      </c>
      <c r="G100" s="22" t="s">
        <v>194</v>
      </c>
      <c r="H100" s="44" t="s">
        <v>195</v>
      </c>
    </row>
    <row r="101" spans="2:8" x14ac:dyDescent="0.25">
      <c r="B101" s="23" t="s">
        <v>196</v>
      </c>
      <c r="C101" s="37">
        <f>Inputs!$H$64</f>
        <v>1</v>
      </c>
      <c r="D101" s="37">
        <f>'Revenue Calculation'!$D$10</f>
        <v>2025</v>
      </c>
      <c r="E101" s="22" t="s">
        <v>197</v>
      </c>
      <c r="F101" s="22" t="s">
        <v>198</v>
      </c>
      <c r="G101" s="22" t="s">
        <v>199</v>
      </c>
      <c r="H101" s="44" t="s">
        <v>200</v>
      </c>
    </row>
    <row r="102" spans="2:8" x14ac:dyDescent="0.25">
      <c r="B102" s="23" t="s">
        <v>201</v>
      </c>
      <c r="C102" s="37">
        <f>Inputs!$H$65</f>
        <v>1</v>
      </c>
      <c r="D102" s="37">
        <f>'Revenue Calculation'!$D$11</f>
        <v>2025</v>
      </c>
      <c r="E102" s="22" t="s">
        <v>202</v>
      </c>
      <c r="F102" s="22" t="s">
        <v>203</v>
      </c>
      <c r="G102" s="22" t="s">
        <v>204</v>
      </c>
      <c r="H102" s="44" t="s">
        <v>205</v>
      </c>
    </row>
    <row r="103" spans="2:8" x14ac:dyDescent="0.25">
      <c r="B103" s="23" t="s">
        <v>206</v>
      </c>
      <c r="C103" s="37">
        <f>Inputs!$H$66</f>
        <v>1</v>
      </c>
      <c r="D103" s="37">
        <f>'Revenue Calculation'!$D$12</f>
        <v>2027</v>
      </c>
      <c r="E103" s="22" t="s">
        <v>207</v>
      </c>
      <c r="F103" s="22" t="s">
        <v>208</v>
      </c>
      <c r="G103" s="22" t="s">
        <v>209</v>
      </c>
      <c r="H103" s="44" t="s">
        <v>210</v>
      </c>
    </row>
    <row r="104" spans="2:8" x14ac:dyDescent="0.25">
      <c r="B104" s="23" t="s">
        <v>211</v>
      </c>
      <c r="C104" s="37">
        <f>Inputs!$H$67</f>
        <v>1</v>
      </c>
      <c r="D104" s="37">
        <f>'Revenue Calculation'!$D$13</f>
        <v>2027</v>
      </c>
      <c r="E104" s="22" t="s">
        <v>212</v>
      </c>
      <c r="F104" s="22" t="s">
        <v>213</v>
      </c>
      <c r="G104" s="22" t="s">
        <v>214</v>
      </c>
      <c r="H104" s="44" t="s">
        <v>215</v>
      </c>
    </row>
    <row r="105" spans="2:8" x14ac:dyDescent="0.25">
      <c r="B105" s="23" t="s">
        <v>216</v>
      </c>
      <c r="C105" s="37">
        <f>Inputs!$H$68</f>
        <v>1</v>
      </c>
      <c r="D105" s="37">
        <f>'Revenue Calculation'!$D$14</f>
        <v>2026</v>
      </c>
      <c r="E105" s="22" t="s">
        <v>217</v>
      </c>
      <c r="F105" s="22" t="s">
        <v>218</v>
      </c>
      <c r="G105" s="22" t="s">
        <v>219</v>
      </c>
      <c r="H105" s="44" t="s">
        <v>220</v>
      </c>
    </row>
    <row r="106" spans="2:8" x14ac:dyDescent="0.25">
      <c r="B106" s="23" t="s">
        <v>221</v>
      </c>
      <c r="C106" s="37">
        <f>Inputs!$H$69</f>
        <v>1</v>
      </c>
      <c r="D106" s="37">
        <f>'Revenue Calculation'!$D$15</f>
        <v>2028</v>
      </c>
      <c r="E106" s="22" t="s">
        <v>222</v>
      </c>
      <c r="F106" s="22" t="s">
        <v>223</v>
      </c>
      <c r="G106" s="22" t="s">
        <v>224</v>
      </c>
      <c r="H106" s="44" t="s">
        <v>225</v>
      </c>
    </row>
    <row r="107" spans="2:8" x14ac:dyDescent="0.25">
      <c r="B107" s="23" t="s">
        <v>226</v>
      </c>
      <c r="C107" s="37">
        <f>Inputs!$H$70</f>
        <v>1</v>
      </c>
      <c r="D107" s="37">
        <f>'Revenue Calculation'!$D$16</f>
        <v>2026</v>
      </c>
      <c r="E107" s="22" t="s">
        <v>227</v>
      </c>
      <c r="F107" s="22" t="s">
        <v>228</v>
      </c>
      <c r="G107" s="22" t="s">
        <v>229</v>
      </c>
      <c r="H107" s="44" t="s">
        <v>230</v>
      </c>
    </row>
    <row r="108" spans="2:8" x14ac:dyDescent="0.25">
      <c r="B108" s="23" t="s">
        <v>231</v>
      </c>
      <c r="C108" s="37">
        <f>Inputs!$H$71</f>
        <v>1</v>
      </c>
      <c r="D108" s="37">
        <f>'Revenue Calculation'!$D$17</f>
        <v>2027</v>
      </c>
      <c r="E108" s="22" t="s">
        <v>232</v>
      </c>
      <c r="F108" s="22" t="s">
        <v>233</v>
      </c>
      <c r="G108" s="22" t="s">
        <v>234</v>
      </c>
      <c r="H108" s="44" t="s">
        <v>235</v>
      </c>
    </row>
    <row r="109" spans="2:8" x14ac:dyDescent="0.25">
      <c r="B109" s="23" t="s">
        <v>236</v>
      </c>
      <c r="C109" s="37">
        <f>Inputs!$H$72</f>
        <v>1</v>
      </c>
      <c r="D109" s="37">
        <f>'Revenue Calculation'!$D$18</f>
        <v>2027</v>
      </c>
      <c r="E109" s="22" t="s">
        <v>237</v>
      </c>
      <c r="F109" s="22" t="s">
        <v>238</v>
      </c>
      <c r="G109" s="22" t="s">
        <v>239</v>
      </c>
      <c r="H109" s="44" t="s">
        <v>240</v>
      </c>
    </row>
    <row r="110" spans="2:8" x14ac:dyDescent="0.25">
      <c r="B110" s="23" t="s">
        <v>241</v>
      </c>
      <c r="C110" s="37">
        <f>Inputs!$H$73</f>
        <v>1</v>
      </c>
      <c r="D110" s="37">
        <f>'Revenue Calculation'!$D$19</f>
        <v>2028</v>
      </c>
      <c r="E110" s="22" t="s">
        <v>242</v>
      </c>
      <c r="F110" s="22" t="s">
        <v>243</v>
      </c>
      <c r="G110" s="22" t="s">
        <v>244</v>
      </c>
      <c r="H110" s="44" t="s">
        <v>245</v>
      </c>
    </row>
    <row r="111" spans="2:8" x14ac:dyDescent="0.25">
      <c r="B111" s="23" t="s">
        <v>246</v>
      </c>
      <c r="C111" s="37">
        <f>Inputs!$H$74</f>
        <v>1</v>
      </c>
      <c r="D111" s="37">
        <f>'Revenue Calculation'!$D$20</f>
        <v>2027</v>
      </c>
      <c r="E111" s="22" t="s">
        <v>247</v>
      </c>
      <c r="F111" s="22" t="s">
        <v>248</v>
      </c>
      <c r="G111" s="22" t="s">
        <v>249</v>
      </c>
      <c r="H111" s="44" t="s">
        <v>250</v>
      </c>
    </row>
    <row r="112" spans="2:8" x14ac:dyDescent="0.25">
      <c r="B112" s="23" t="s">
        <v>251</v>
      </c>
      <c r="C112" s="37">
        <f>Inputs!$H$75</f>
        <v>1</v>
      </c>
      <c r="D112" s="37">
        <f>'Revenue Calculation'!$D$21</f>
        <v>2026</v>
      </c>
      <c r="E112" s="22" t="s">
        <v>252</v>
      </c>
      <c r="F112" s="22" t="s">
        <v>253</v>
      </c>
      <c r="G112" s="22" t="s">
        <v>254</v>
      </c>
      <c r="H112" s="44" t="s">
        <v>255</v>
      </c>
    </row>
    <row r="113" spans="2:8" x14ac:dyDescent="0.25">
      <c r="B113" s="23" t="s">
        <v>256</v>
      </c>
      <c r="C113" s="37">
        <f>Inputs!$H$76</f>
        <v>1</v>
      </c>
      <c r="D113" s="37">
        <f>'Revenue Calculation'!$D$22</f>
        <v>2026</v>
      </c>
      <c r="E113" s="22" t="s">
        <v>257</v>
      </c>
      <c r="F113" s="22" t="s">
        <v>258</v>
      </c>
      <c r="G113" s="22" t="s">
        <v>259</v>
      </c>
      <c r="H113" s="44" t="s">
        <v>260</v>
      </c>
    </row>
    <row r="114" spans="2:8" x14ac:dyDescent="0.25">
      <c r="B114" s="23" t="s">
        <v>261</v>
      </c>
      <c r="C114" s="37">
        <f>Inputs!$H$77</f>
        <v>1</v>
      </c>
      <c r="D114" s="37">
        <f>'Revenue Calculation'!$D$23</f>
        <v>2026</v>
      </c>
      <c r="E114" s="22" t="s">
        <v>262</v>
      </c>
      <c r="F114" s="22" t="s">
        <v>263</v>
      </c>
      <c r="G114" s="22" t="s">
        <v>264</v>
      </c>
      <c r="H114" s="44" t="s">
        <v>265</v>
      </c>
    </row>
    <row r="115" spans="2:8" x14ac:dyDescent="0.25">
      <c r="B115" s="23" t="s">
        <v>266</v>
      </c>
      <c r="C115" s="37">
        <f>Inputs!$H$78</f>
        <v>0</v>
      </c>
      <c r="D115" s="37">
        <f>'Revenue Calculation'!$D$24</f>
        <v>2029</v>
      </c>
      <c r="E115" s="22" t="s">
        <v>267</v>
      </c>
      <c r="F115" s="22" t="s">
        <v>268</v>
      </c>
      <c r="G115" s="22" t="s">
        <v>269</v>
      </c>
      <c r="H115" s="44" t="s">
        <v>270</v>
      </c>
    </row>
    <row r="116" spans="2:8" x14ac:dyDescent="0.25">
      <c r="B116" s="23" t="str">
        <f>"P16  "&amp;Inputs!$E$605&amp;"  [Placeholder]"</f>
        <v>P16  Lampung  [Placeholder]</v>
      </c>
      <c r="C116" s="37">
        <f>Inputs!$H$79</f>
        <v>0</v>
      </c>
      <c r="D116" s="45" t="str">
        <f>IF(ISNUMBER(Inputs!$E$607),YEAR(Inputs!$E$607),"-")</f>
        <v>-</v>
      </c>
      <c r="E116" s="22" t="s">
        <v>271</v>
      </c>
      <c r="F116" s="22" t="s">
        <v>272</v>
      </c>
      <c r="G116" s="22" t="s">
        <v>273</v>
      </c>
      <c r="H116" s="44" t="s">
        <v>274</v>
      </c>
    </row>
    <row r="117" spans="2:8" x14ac:dyDescent="0.25">
      <c r="B117" s="23" t="str">
        <f>"P17  "&amp;Inputs!$E$639&amp;"  [Placeholder]"</f>
        <v>P17  Pipeline Project 2  [Placeholder]</v>
      </c>
      <c r="C117" s="37">
        <f>Inputs!$H$80</f>
        <v>0</v>
      </c>
      <c r="D117" s="45" t="str">
        <f>IF(ISNUMBER(Inputs!$E$641),YEAR(Inputs!$E$641),"-")</f>
        <v>-</v>
      </c>
      <c r="E117" s="22" t="s">
        <v>275</v>
      </c>
      <c r="F117" s="22" t="s">
        <v>276</v>
      </c>
      <c r="G117" s="22" t="s">
        <v>277</v>
      </c>
      <c r="H117" s="44" t="s">
        <v>274</v>
      </c>
    </row>
    <row r="118" spans="2:8" x14ac:dyDescent="0.25">
      <c r="B118" s="23" t="str">
        <f>"P18  "&amp;Inputs!$E$673&amp;"  [Placeholder]"</f>
        <v>P18  Pipeline Project 3  [Placeholder]</v>
      </c>
      <c r="C118" s="37">
        <f>Inputs!$H$81</f>
        <v>0</v>
      </c>
      <c r="D118" s="45" t="str">
        <f>IF(ISNUMBER(Inputs!$E$675),YEAR(Inputs!$E$675),"-")</f>
        <v>-</v>
      </c>
      <c r="E118" s="22" t="s">
        <v>278</v>
      </c>
      <c r="F118" s="22" t="s">
        <v>279</v>
      </c>
      <c r="G118" s="22" t="s">
        <v>280</v>
      </c>
      <c r="H118" s="44" t="s">
        <v>274</v>
      </c>
    </row>
    <row r="119" spans="2:8" x14ac:dyDescent="0.25">
      <c r="B119" s="23" t="s">
        <v>281</v>
      </c>
      <c r="C119" s="37">
        <f>Inputs!$H$82</f>
        <v>1</v>
      </c>
      <c r="D119" s="45">
        <f>YEAR(Inputs!$E$571)</f>
        <v>2029</v>
      </c>
      <c r="E119" s="22" t="s">
        <v>282</v>
      </c>
      <c r="F119" s="22" t="s">
        <v>283</v>
      </c>
      <c r="G119" s="22" t="s">
        <v>284</v>
      </c>
      <c r="H119" s="44" t="s">
        <v>285</v>
      </c>
    </row>
    <row r="121" spans="2:8" x14ac:dyDescent="0.25">
      <c r="B121" s="18" t="s">
        <v>286</v>
      </c>
      <c r="C121" s="19"/>
      <c r="D121" s="19"/>
      <c r="E121" s="19"/>
      <c r="F121" s="19"/>
      <c r="G121" s="19"/>
      <c r="H121" s="19"/>
    </row>
    <row r="122" spans="2:8" ht="26.25" customHeight="1" x14ac:dyDescent="0.25">
      <c r="B122" s="24" t="s">
        <v>287</v>
      </c>
    </row>
    <row r="123" spans="2:8" ht="14.25" customHeight="1" x14ac:dyDescent="0.25">
      <c r="B123" s="24" t="s">
        <v>288</v>
      </c>
      <c r="C123" s="46">
        <f>Inputs!$E$210</f>
        <v>8</v>
      </c>
      <c r="D123" s="28" t="s">
        <v>289</v>
      </c>
      <c r="E123" s="22" t="s">
        <v>290</v>
      </c>
    </row>
    <row r="124" spans="2:8" ht="14.25" customHeight="1" x14ac:dyDescent="0.25">
      <c r="B124" s="20" t="s">
        <v>291</v>
      </c>
      <c r="C124" s="47">
        <f>Inputs!G211</f>
        <v>0.27500000000000002</v>
      </c>
      <c r="D124" s="28" t="s">
        <v>292</v>
      </c>
      <c r="E124" s="22" t="s">
        <v>293</v>
      </c>
    </row>
    <row r="125" spans="2:8" ht="14.25" customHeight="1" x14ac:dyDescent="0.25">
      <c r="B125" s="20" t="s">
        <v>294</v>
      </c>
      <c r="C125" s="47">
        <f>Inputs!H211</f>
        <v>0.67500000000000004</v>
      </c>
      <c r="D125" s="28" t="s">
        <v>292</v>
      </c>
      <c r="E125" s="22" t="s">
        <v>295</v>
      </c>
    </row>
    <row r="126" spans="2:8" ht="14.25" customHeight="1" x14ac:dyDescent="0.25">
      <c r="B126" s="20" t="s">
        <v>296</v>
      </c>
      <c r="C126" s="47">
        <f>Inputs!I211</f>
        <v>0.05</v>
      </c>
      <c r="D126" s="28" t="s">
        <v>292</v>
      </c>
      <c r="E126" s="22" t="s">
        <v>297</v>
      </c>
    </row>
    <row r="127" spans="2:8" ht="14.25" customHeight="1" x14ac:dyDescent="0.25">
      <c r="B127" s="20" t="s">
        <v>298</v>
      </c>
      <c r="C127" s="48">
        <f>Inputs!$E$204</f>
        <v>2100000</v>
      </c>
      <c r="D127" s="28" t="s">
        <v>299</v>
      </c>
      <c r="E127" s="22" t="s">
        <v>300</v>
      </c>
    </row>
    <row r="128" spans="2:8" ht="14.25" customHeight="1" x14ac:dyDescent="0.25">
      <c r="B128" s="20" t="s">
        <v>301</v>
      </c>
      <c r="C128" s="37">
        <f>Inputs!$G$65</f>
        <v>2025</v>
      </c>
      <c r="D128" s="28"/>
      <c r="E128" s="22" t="s">
        <v>302</v>
      </c>
    </row>
    <row r="130" spans="2:5" ht="26.25" customHeight="1" x14ac:dyDescent="0.25">
      <c r="B130" s="24" t="s">
        <v>303</v>
      </c>
    </row>
    <row r="131" spans="2:5" ht="14.25" customHeight="1" x14ac:dyDescent="0.25">
      <c r="B131" s="20" t="s">
        <v>304</v>
      </c>
      <c r="C131" s="34">
        <f>'Capex &amp; Depreciation'!H9</f>
        <v>5.4</v>
      </c>
      <c r="D131" s="28" t="s">
        <v>289</v>
      </c>
      <c r="E131" s="22" t="s">
        <v>305</v>
      </c>
    </row>
    <row r="132" spans="2:5" ht="14.25" customHeight="1" x14ac:dyDescent="0.25">
      <c r="B132" s="20" t="s">
        <v>306</v>
      </c>
      <c r="C132" s="48">
        <f>'Capex &amp; Depreciation'!H51</f>
        <v>16265</v>
      </c>
      <c r="D132" s="28" t="s">
        <v>307</v>
      </c>
      <c r="E132" s="22" t="s">
        <v>308</v>
      </c>
    </row>
    <row r="133" spans="2:5" ht="14.25" customHeight="1" x14ac:dyDescent="0.25">
      <c r="B133" s="24" t="s">
        <v>309</v>
      </c>
      <c r="C133" s="31">
        <f>'Capex &amp; Depreciation'!H57</f>
        <v>87.831000000000003</v>
      </c>
      <c r="D133" s="28" t="s">
        <v>58</v>
      </c>
      <c r="E133" s="22" t="s">
        <v>310</v>
      </c>
    </row>
    <row r="134" spans="2:5" ht="14.25" customHeight="1" x14ac:dyDescent="0.25">
      <c r="B134" s="20" t="s">
        <v>311</v>
      </c>
      <c r="C134" s="34">
        <f>'Capex &amp; Depreciation'!$J$34</f>
        <v>0</v>
      </c>
      <c r="D134" s="28" t="s">
        <v>289</v>
      </c>
      <c r="E134" s="22" t="s">
        <v>312</v>
      </c>
    </row>
    <row r="135" spans="2:5" ht="26.25" customHeight="1" x14ac:dyDescent="0.25">
      <c r="B135" s="24" t="s">
        <v>313</v>
      </c>
    </row>
    <row r="136" spans="2:5" ht="14.25" customHeight="1" x14ac:dyDescent="0.25">
      <c r="B136" s="20" t="s">
        <v>314</v>
      </c>
      <c r="C136" s="30">
        <f>'Capex &amp; Depreciation'!$E$93</f>
        <v>130.12</v>
      </c>
      <c r="D136" s="28" t="s">
        <v>58</v>
      </c>
      <c r="E136" s="22" t="s">
        <v>315</v>
      </c>
    </row>
    <row r="137" spans="2:5" ht="14.25" customHeight="1" x14ac:dyDescent="0.25">
      <c r="B137" s="20" t="s">
        <v>316</v>
      </c>
      <c r="C137" s="30">
        <f>'Capex &amp; Depreciation'!J98</f>
        <v>7.4200198051661976</v>
      </c>
      <c r="D137" s="28" t="s">
        <v>58</v>
      </c>
      <c r="E137" s="22" t="s">
        <v>317</v>
      </c>
    </row>
    <row r="138" spans="2:5" ht="14.25" customHeight="1" x14ac:dyDescent="0.25">
      <c r="B138" s="24" t="s">
        <v>318</v>
      </c>
    </row>
    <row r="139" spans="2:5" ht="14.25" customHeight="1" x14ac:dyDescent="0.25">
      <c r="B139" s="24" t="s">
        <v>319</v>
      </c>
      <c r="C139" s="31">
        <f>'Revenue Calculation'!J104</f>
        <v>32.445</v>
      </c>
      <c r="D139" s="28" t="s">
        <v>58</v>
      </c>
      <c r="E139" s="22" t="s">
        <v>320</v>
      </c>
    </row>
    <row r="140" spans="2:5" ht="14.25" customHeight="1" x14ac:dyDescent="0.25">
      <c r="B140" s="20" t="s">
        <v>321</v>
      </c>
      <c r="C140" s="30">
        <f>'Cost Calculation'!J141</f>
        <v>29.909685528568144</v>
      </c>
      <c r="D140" s="28" t="s">
        <v>58</v>
      </c>
      <c r="E140" s="22" t="s">
        <v>322</v>
      </c>
    </row>
    <row r="141" spans="2:5" ht="14.25" customHeight="1" x14ac:dyDescent="0.25">
      <c r="B141" s="20" t="s">
        <v>323</v>
      </c>
      <c r="C141" s="30">
        <f>'Project Cash Flows'!J124</f>
        <v>17.541939264253518</v>
      </c>
      <c r="D141" s="28" t="s">
        <v>58</v>
      </c>
      <c r="E141" s="22" t="s">
        <v>324</v>
      </c>
    </row>
    <row r="142" spans="2:5" ht="14.25" customHeight="1" x14ac:dyDescent="0.25">
      <c r="B142" s="24" t="s">
        <v>325</v>
      </c>
    </row>
    <row r="143" spans="2:5" ht="14.25" customHeight="1" x14ac:dyDescent="0.25">
      <c r="B143" s="20" t="s">
        <v>326</v>
      </c>
      <c r="C143" s="30">
        <f>'Project Cash Flows'!K128</f>
        <v>25.521076207362977</v>
      </c>
      <c r="D143" s="28" t="s">
        <v>58</v>
      </c>
      <c r="E143" s="22" t="s">
        <v>327</v>
      </c>
    </row>
    <row r="144" spans="2:5" ht="14.25" customHeight="1" x14ac:dyDescent="0.25">
      <c r="B144" s="24" t="s">
        <v>328</v>
      </c>
      <c r="C144" s="31">
        <f>'Project Cash Flows'!$E$12</f>
        <v>270.90470772699769</v>
      </c>
      <c r="D144" s="28" t="s">
        <v>58</v>
      </c>
      <c r="E144" s="22" t="s">
        <v>329</v>
      </c>
    </row>
    <row r="145" spans="2:8" ht="14.25" customHeight="1" x14ac:dyDescent="0.25">
      <c r="B145" s="20" t="s">
        <v>330</v>
      </c>
      <c r="C145" s="39">
        <f>'Project Cash Flows'!$H$12</f>
        <v>0.22154718041419977</v>
      </c>
      <c r="D145" s="28" t="s">
        <v>292</v>
      </c>
      <c r="E145" s="22" t="s">
        <v>331</v>
      </c>
    </row>
    <row r="146" spans="2:8" ht="26.25" customHeight="1" x14ac:dyDescent="0.25">
      <c r="B146" s="49" t="s">
        <v>332</v>
      </c>
    </row>
    <row r="148" spans="2:8" x14ac:dyDescent="0.25">
      <c r="B148" s="18" t="s">
        <v>333</v>
      </c>
      <c r="C148" s="19"/>
      <c r="D148" s="19"/>
      <c r="E148" s="19"/>
      <c r="F148" s="19"/>
      <c r="G148" s="19"/>
      <c r="H148" s="19"/>
    </row>
    <row r="149" spans="2:8" ht="26.25" customHeight="1" x14ac:dyDescent="0.25">
      <c r="B149" s="20" t="s">
        <v>334</v>
      </c>
    </row>
    <row r="150" spans="2:8" ht="26.25" customHeight="1" x14ac:dyDescent="0.25">
      <c r="B150" s="20" t="s">
        <v>335</v>
      </c>
    </row>
    <row r="151" spans="2:8" ht="14.25" customHeight="1" x14ac:dyDescent="0.25">
      <c r="B151" s="20" t="s">
        <v>336</v>
      </c>
      <c r="C151" s="34">
        <f>'Capex &amp; Depreciation'!J24</f>
        <v>25.808301860553627</v>
      </c>
      <c r="D151" s="28" t="s">
        <v>289</v>
      </c>
      <c r="E151" s="22" t="s">
        <v>337</v>
      </c>
    </row>
    <row r="152" spans="2:8" ht="14.25" customHeight="1" x14ac:dyDescent="0.25">
      <c r="B152" s="20" t="s">
        <v>338</v>
      </c>
      <c r="C152" s="30">
        <f>'Capex &amp; Depreciation'!$E$375</f>
        <v>0</v>
      </c>
      <c r="D152" s="28" t="s">
        <v>289</v>
      </c>
      <c r="E152" s="22" t="s">
        <v>339</v>
      </c>
    </row>
    <row r="153" spans="2:8" ht="14.25" customHeight="1" x14ac:dyDescent="0.25">
      <c r="B153" s="20" t="s">
        <v>340</v>
      </c>
      <c r="C153" s="37">
        <f>'Capex &amp; Depreciation'!$E$46</f>
        <v>0</v>
      </c>
      <c r="D153" s="28"/>
      <c r="E153" s="22" t="s">
        <v>341</v>
      </c>
    </row>
    <row r="154" spans="2:8" ht="38.25" customHeight="1" x14ac:dyDescent="0.25">
      <c r="B154" s="20" t="s">
        <v>342</v>
      </c>
    </row>
    <row r="155" spans="2:8" ht="14.25" customHeight="1" x14ac:dyDescent="0.25">
      <c r="B155" s="20" t="s">
        <v>343</v>
      </c>
      <c r="C155" s="30">
        <f>'Capex &amp; Depreciation'!K354</f>
        <v>0</v>
      </c>
      <c r="D155" s="28" t="s">
        <v>58</v>
      </c>
      <c r="E155" s="22" t="s">
        <v>344</v>
      </c>
    </row>
    <row r="157" spans="2:8" x14ac:dyDescent="0.25">
      <c r="B157" s="18" t="s">
        <v>345</v>
      </c>
      <c r="C157" s="19"/>
      <c r="D157" s="19"/>
      <c r="E157" s="19"/>
      <c r="F157" s="19"/>
      <c r="G157" s="19"/>
      <c r="H157" s="19"/>
    </row>
    <row r="158" spans="2:8" ht="38.25" customHeight="1" x14ac:dyDescent="0.25">
      <c r="B158" s="20" t="s">
        <v>346</v>
      </c>
    </row>
    <row r="159" spans="2:8" ht="38.25" customHeight="1" x14ac:dyDescent="0.25">
      <c r="B159" s="20" t="s">
        <v>347</v>
      </c>
    </row>
    <row r="160" spans="2:8" ht="14.25" customHeight="1" x14ac:dyDescent="0.25">
      <c r="B160" s="20" t="s">
        <v>348</v>
      </c>
      <c r="C160" s="29">
        <f>'Funding Requirement'!K86</f>
        <v>76.665204077581919</v>
      </c>
      <c r="D160" s="28" t="s">
        <v>58</v>
      </c>
      <c r="E160" s="22" t="s">
        <v>349</v>
      </c>
    </row>
    <row r="161" spans="2:8" ht="14.25" customHeight="1" x14ac:dyDescent="0.25">
      <c r="B161" s="20" t="s">
        <v>350</v>
      </c>
      <c r="C161" s="29">
        <f>'Funding Requirement'!K54</f>
        <v>28.884162758641565</v>
      </c>
      <c r="D161" s="28" t="s">
        <v>58</v>
      </c>
      <c r="E161" s="22" t="s">
        <v>351</v>
      </c>
    </row>
    <row r="162" spans="2:8" ht="14.25" customHeight="1" x14ac:dyDescent="0.25">
      <c r="B162" s="20" t="s">
        <v>352</v>
      </c>
      <c r="C162" s="29">
        <f>'Funding Requirement'!K89</f>
        <v>76.665204077581919</v>
      </c>
      <c r="D162" s="28" t="s">
        <v>58</v>
      </c>
      <c r="E162" s="22" t="s">
        <v>353</v>
      </c>
    </row>
    <row r="163" spans="2:8" ht="14.25" customHeight="1" x14ac:dyDescent="0.25">
      <c r="B163" s="20" t="s">
        <v>354</v>
      </c>
      <c r="C163" s="29">
        <f>'Funding Requirement'!K135</f>
        <v>0</v>
      </c>
      <c r="D163" s="28" t="s">
        <v>58</v>
      </c>
      <c r="E163" s="22" t="s">
        <v>355</v>
      </c>
    </row>
    <row r="164" spans="2:8" ht="14.25" customHeight="1" x14ac:dyDescent="0.25">
      <c r="B164" s="20" t="s">
        <v>356</v>
      </c>
      <c r="C164" s="29">
        <f>'Funding Requirement'!$E$21</f>
        <v>28.884162758641565</v>
      </c>
      <c r="D164" s="28" t="s">
        <v>58</v>
      </c>
      <c r="E164" s="22" t="s">
        <v>49</v>
      </c>
    </row>
    <row r="165" spans="2:8" ht="14.25" customHeight="1" x14ac:dyDescent="0.25">
      <c r="B165" s="20" t="s">
        <v>357</v>
      </c>
      <c r="C165" s="29">
        <f>'Funding Requirement'!$F$21</f>
        <v>76.665204077581919</v>
      </c>
      <c r="D165" s="28" t="s">
        <v>58</v>
      </c>
      <c r="E165" s="22" t="s">
        <v>50</v>
      </c>
    </row>
    <row r="166" spans="2:8" ht="14.25" customHeight="1" x14ac:dyDescent="0.25">
      <c r="B166" s="20" t="s">
        <v>358</v>
      </c>
      <c r="C166" s="29">
        <f>'Funding Requirement'!$F$24</f>
        <v>32.53</v>
      </c>
      <c r="D166" s="28" t="s">
        <v>58</v>
      </c>
      <c r="E166" s="22" t="s">
        <v>359</v>
      </c>
    </row>
    <row r="167" spans="2:8" ht="26.25" customHeight="1" x14ac:dyDescent="0.25">
      <c r="B167" s="36" t="s">
        <v>360</v>
      </c>
    </row>
    <row r="169" spans="2:8" x14ac:dyDescent="0.25">
      <c r="B169" s="18" t="s">
        <v>361</v>
      </c>
      <c r="C169" s="19"/>
      <c r="D169" s="19"/>
      <c r="E169" s="19"/>
      <c r="F169" s="19"/>
      <c r="G169" s="19"/>
      <c r="H169" s="19"/>
    </row>
    <row r="170" spans="2:8" ht="50.25" customHeight="1" x14ac:dyDescent="0.25">
      <c r="B170" s="20" t="s">
        <v>362</v>
      </c>
    </row>
    <row r="171" spans="2:8" ht="14.25" customHeight="1" x14ac:dyDescent="0.25">
      <c r="B171" s="20" t="s">
        <v>363</v>
      </c>
      <c r="C171" s="47">
        <f>Inputs!$E$558</f>
        <v>0.11866512000000001</v>
      </c>
      <c r="D171" s="28" t="s">
        <v>292</v>
      </c>
      <c r="E171" s="22" t="s">
        <v>364</v>
      </c>
    </row>
    <row r="172" spans="2:8" ht="14.25" customHeight="1" x14ac:dyDescent="0.25">
      <c r="B172" s="20" t="s">
        <v>365</v>
      </c>
      <c r="C172" s="47">
        <f>Inputs!$E$559</f>
        <v>0.03</v>
      </c>
      <c r="D172" s="28" t="s">
        <v>292</v>
      </c>
      <c r="E172" s="22" t="s">
        <v>366</v>
      </c>
    </row>
    <row r="173" spans="2:8" ht="14.25" customHeight="1" x14ac:dyDescent="0.25">
      <c r="B173" s="20" t="s">
        <v>367</v>
      </c>
      <c r="C173" s="29">
        <f>'Valuation — Without BUMN'!$E$67</f>
        <v>4121.4079207574405</v>
      </c>
      <c r="D173" s="28" t="s">
        <v>58</v>
      </c>
      <c r="E173" s="22" t="s">
        <v>41</v>
      </c>
    </row>
    <row r="174" spans="2:8" ht="14.25" customHeight="1" x14ac:dyDescent="0.25">
      <c r="B174" s="20" t="s">
        <v>368</v>
      </c>
      <c r="C174" s="29">
        <f>'Valuation — With BUMN'!$E$67</f>
        <v>4633.2654972130422</v>
      </c>
      <c r="D174" s="28" t="s">
        <v>58</v>
      </c>
      <c r="E174" s="22" t="s">
        <v>40</v>
      </c>
    </row>
    <row r="175" spans="2:8" ht="14.25" customHeight="1" x14ac:dyDescent="0.25">
      <c r="B175" s="20" t="s">
        <v>369</v>
      </c>
      <c r="C175" s="29">
        <f>'Valuation — With BUMN'!$D$23</f>
        <v>195.18</v>
      </c>
      <c r="D175" s="28" t="s">
        <v>58</v>
      </c>
      <c r="E175" s="22" t="s">
        <v>370</v>
      </c>
    </row>
    <row r="176" spans="2:8" ht="14.25" customHeight="1" x14ac:dyDescent="0.25">
      <c r="B176" s="20" t="s">
        <v>371</v>
      </c>
      <c r="C176" s="29">
        <f>'Valuation — Without BUMN'!$E$74</f>
        <v>3536.8633949278205</v>
      </c>
      <c r="D176" s="28" t="s">
        <v>58</v>
      </c>
      <c r="E176" s="22" t="s">
        <v>44</v>
      </c>
    </row>
    <row r="177" spans="2:8" ht="14.25" customHeight="1" x14ac:dyDescent="0.25">
      <c r="B177" s="20" t="s">
        <v>372</v>
      </c>
      <c r="C177" s="29">
        <f>'Valuation — With BUMN'!$E$74</f>
        <v>3959.7432619574893</v>
      </c>
      <c r="D177" s="28" t="s">
        <v>58</v>
      </c>
      <c r="E177" s="22" t="s">
        <v>43</v>
      </c>
    </row>
    <row r="178" spans="2:8" ht="14.25" customHeight="1" x14ac:dyDescent="0.25">
      <c r="B178" s="49" t="s">
        <v>373</v>
      </c>
    </row>
    <row r="180" spans="2:8" x14ac:dyDescent="0.25">
      <c r="B180" s="18" t="s">
        <v>374</v>
      </c>
      <c r="C180" s="19"/>
      <c r="D180" s="19"/>
      <c r="E180" s="19"/>
      <c r="F180" s="19"/>
      <c r="G180" s="19"/>
      <c r="H180" s="19"/>
    </row>
    <row r="181" spans="2:8" ht="38.25" customHeight="1" x14ac:dyDescent="0.25">
      <c r="B181" s="20" t="s">
        <v>375</v>
      </c>
    </row>
    <row r="182" spans="2:8" ht="14.25" customHeight="1" x14ac:dyDescent="0.25">
      <c r="B182" s="20" t="s">
        <v>376</v>
      </c>
      <c r="C182" s="30">
        <f>'BUMN Synergy Calculation'!K98</f>
        <v>134.5364744389201</v>
      </c>
      <c r="D182" s="28" t="s">
        <v>58</v>
      </c>
      <c r="E182" s="22" t="s">
        <v>377</v>
      </c>
    </row>
    <row r="183" spans="2:8" ht="14.25" customHeight="1" x14ac:dyDescent="0.25">
      <c r="B183" s="24" t="s">
        <v>378</v>
      </c>
      <c r="C183" s="26">
        <f>'Valuation — With BUMN'!$E$116</f>
        <v>511.8575764556017</v>
      </c>
      <c r="D183" s="28" t="s">
        <v>58</v>
      </c>
      <c r="E183" s="22" t="s">
        <v>59</v>
      </c>
    </row>
    <row r="184" spans="2:8" ht="14.25" customHeight="1" x14ac:dyDescent="0.25">
      <c r="B184" s="20" t="s">
        <v>379</v>
      </c>
      <c r="C184" s="29">
        <f>'Valuation — With BUMN'!$E$118</f>
        <v>422.87986702966873</v>
      </c>
      <c r="D184" s="28" t="s">
        <v>58</v>
      </c>
      <c r="E184" s="22" t="s">
        <v>380</v>
      </c>
    </row>
    <row r="186" spans="2:8" x14ac:dyDescent="0.25">
      <c r="B186" s="18" t="s">
        <v>381</v>
      </c>
      <c r="C186" s="19"/>
      <c r="D186" s="19"/>
      <c r="E186" s="19"/>
      <c r="F186" s="19"/>
      <c r="G186" s="19"/>
      <c r="H186" s="19"/>
    </row>
    <row r="187" spans="2:8" ht="38.25" customHeight="1" x14ac:dyDescent="0.25">
      <c r="B187" s="20" t="s">
        <v>382</v>
      </c>
    </row>
    <row r="188" spans="2:8" ht="38.25" customHeight="1" x14ac:dyDescent="0.25">
      <c r="B188" s="20" t="s">
        <v>383</v>
      </c>
    </row>
    <row r="189" spans="2:8" ht="14.25" customHeight="1" x14ac:dyDescent="0.25">
      <c r="B189" s="20" t="s">
        <v>384</v>
      </c>
      <c r="C189" s="37">
        <f>'FS Data Request'!$E$5</f>
        <v>30</v>
      </c>
      <c r="D189" s="28"/>
      <c r="E189" s="22" t="s">
        <v>385</v>
      </c>
    </row>
    <row r="190" spans="2:8" ht="14.25" customHeight="1" x14ac:dyDescent="0.25">
      <c r="B190" s="20" t="s">
        <v>386</v>
      </c>
      <c r="C190" s="30">
        <f>'Revenue Calculation'!N185</f>
        <v>39.69</v>
      </c>
      <c r="D190" s="28" t="s">
        <v>58</v>
      </c>
      <c r="E190" s="22" t="s">
        <v>387</v>
      </c>
    </row>
    <row r="191" spans="2:8" ht="14.25" customHeight="1" x14ac:dyDescent="0.25">
      <c r="B191" s="20" t="s">
        <v>388</v>
      </c>
      <c r="C191" s="30">
        <f>'Cost Calculation'!N210</f>
        <v>20.002499999999998</v>
      </c>
      <c r="D191" s="28" t="s">
        <v>58</v>
      </c>
      <c r="E191" s="22" t="s">
        <v>389</v>
      </c>
    </row>
    <row r="192" spans="2:8" ht="14.25" customHeight="1" x14ac:dyDescent="0.25">
      <c r="B192" s="20" t="s">
        <v>390</v>
      </c>
      <c r="C192" s="39">
        <f>'Project Cash Flows'!$E$380</f>
        <v>2.9802322387695314E-9</v>
      </c>
      <c r="D192" s="28" t="s">
        <v>292</v>
      </c>
      <c r="E192" s="22" t="s">
        <v>391</v>
      </c>
    </row>
    <row r="193" spans="2:8" ht="14.25" customHeight="1" x14ac:dyDescent="0.25">
      <c r="B193" s="20" t="s">
        <v>392</v>
      </c>
      <c r="C193" s="39">
        <f>'Project Cash Flows'!$E$382</f>
        <v>2.9802322387695314E-9</v>
      </c>
      <c r="D193" s="28" t="s">
        <v>292</v>
      </c>
      <c r="E193" s="22" t="s">
        <v>393</v>
      </c>
    </row>
    <row r="194" spans="2:8" ht="14.25" customHeight="1" x14ac:dyDescent="0.25">
      <c r="B194" s="20" t="s">
        <v>394</v>
      </c>
      <c r="E194" s="22" t="s">
        <v>71</v>
      </c>
      <c r="F194" s="22" t="s">
        <v>395</v>
      </c>
      <c r="G194" s="22" t="s">
        <v>96</v>
      </c>
    </row>
    <row r="196" spans="2:8" x14ac:dyDescent="0.25">
      <c r="B196" s="18" t="s">
        <v>396</v>
      </c>
      <c r="C196" s="19"/>
      <c r="D196" s="19"/>
      <c r="E196" s="19"/>
      <c r="F196" s="19"/>
      <c r="G196" s="19"/>
      <c r="H196" s="19"/>
    </row>
    <row r="197" spans="2:8" ht="26.25" customHeight="1" x14ac:dyDescent="0.25">
      <c r="B197" s="20" t="s">
        <v>397</v>
      </c>
    </row>
    <row r="198" spans="2:8" ht="14.25" customHeight="1" x14ac:dyDescent="0.25">
      <c r="B198" s="20" t="str">
        <f>"P16  "&amp;Inputs!$E$605&amp;": "&amp;Inputs!$I$79</f>
        <v>P16  Lampung: Placeholder - inputs not yet populated (OFF)</v>
      </c>
      <c r="E198" s="22" t="s">
        <v>398</v>
      </c>
    </row>
    <row r="199" spans="2:8" ht="14.25" customHeight="1" x14ac:dyDescent="0.25">
      <c r="B199" s="20" t="str">
        <f>"P17  "&amp;Inputs!$E$639&amp;": "&amp;Inputs!$I$80</f>
        <v>P17  Pipeline Project 2: Placeholder - inputs not yet populated (OFF)</v>
      </c>
      <c r="E199" s="22" t="s">
        <v>399</v>
      </c>
    </row>
    <row r="200" spans="2:8" ht="14.25" customHeight="1" x14ac:dyDescent="0.25">
      <c r="B200" s="20" t="str">
        <f>"P18  "&amp;Inputs!$E$673&amp;": "&amp;Inputs!$I$81</f>
        <v>P18  Pipeline Project 3: Placeholder - inputs not yet populated (OFF)</v>
      </c>
      <c r="E200" s="22" t="s">
        <v>400</v>
      </c>
    </row>
    <row r="201" spans="2:8" ht="38.25" customHeight="1" x14ac:dyDescent="0.25">
      <c r="B201" s="20" t="s">
        <v>401</v>
      </c>
    </row>
    <row r="203" spans="2:8" x14ac:dyDescent="0.25">
      <c r="B203" s="18" t="s">
        <v>402</v>
      </c>
      <c r="C203" s="19"/>
      <c r="D203" s="19"/>
      <c r="E203" s="19"/>
      <c r="F203" s="19"/>
      <c r="G203" s="19"/>
      <c r="H203" s="19"/>
    </row>
    <row r="204" spans="2:8" ht="38.25" customHeight="1" x14ac:dyDescent="0.25">
      <c r="B204" s="20" t="s">
        <v>403</v>
      </c>
    </row>
    <row r="205" spans="2:8" ht="26.25" customHeight="1" x14ac:dyDescent="0.25">
      <c r="B205" s="20" t="s">
        <v>404</v>
      </c>
    </row>
    <row r="206" spans="2:8" ht="14.25" customHeight="1" x14ac:dyDescent="0.25">
      <c r="B206" s="20" t="s">
        <v>405</v>
      </c>
      <c r="C206" s="30">
        <f>'Checks &amp; Reconciliation'!$E$481</f>
        <v>163.82</v>
      </c>
      <c r="D206" s="28" t="s">
        <v>58</v>
      </c>
      <c r="E206" s="22" t="s">
        <v>406</v>
      </c>
    </row>
    <row r="207" spans="2:8" ht="14.25" customHeight="1" x14ac:dyDescent="0.25">
      <c r="B207" s="20" t="s">
        <v>407</v>
      </c>
      <c r="C207" s="30">
        <f>'Checks &amp; Reconciliation'!$E$830</f>
        <v>163.82</v>
      </c>
      <c r="D207" s="28" t="s">
        <v>58</v>
      </c>
      <c r="E207" s="22" t="s">
        <v>408</v>
      </c>
    </row>
    <row r="208" spans="2:8" ht="14.25" customHeight="1" x14ac:dyDescent="0.25">
      <c r="B208" s="20" t="s">
        <v>409</v>
      </c>
      <c r="C208" s="30">
        <f>'Checks &amp; Reconciliation'!$E$1359</f>
        <v>162.64999999999827</v>
      </c>
      <c r="D208" s="28" t="s">
        <v>58</v>
      </c>
      <c r="E208" s="22" t="s">
        <v>410</v>
      </c>
    </row>
    <row r="209" spans="2:8" ht="14.25" customHeight="1" x14ac:dyDescent="0.25">
      <c r="B209" s="20" t="s">
        <v>411</v>
      </c>
      <c r="C209" s="30">
        <f>'Source Data'!$E$813</f>
        <v>6.1319023219539304E-3</v>
      </c>
      <c r="D209" s="28" t="s">
        <v>58</v>
      </c>
      <c r="E209" s="22" t="s">
        <v>412</v>
      </c>
    </row>
    <row r="210" spans="2:8" ht="14.25" customHeight="1" x14ac:dyDescent="0.25">
      <c r="B210" s="20" t="s">
        <v>394</v>
      </c>
      <c r="E210" s="22" t="s">
        <v>413</v>
      </c>
      <c r="F210" s="22" t="s">
        <v>414</v>
      </c>
      <c r="G210" s="22" t="s">
        <v>415</v>
      </c>
    </row>
    <row r="212" spans="2:8" x14ac:dyDescent="0.25">
      <c r="B212" s="18" t="s">
        <v>416</v>
      </c>
      <c r="C212" s="19"/>
      <c r="D212" s="19"/>
      <c r="E212" s="19"/>
      <c r="F212" s="19"/>
      <c r="G212" s="19"/>
      <c r="H212" s="19"/>
    </row>
    <row r="213" spans="2:8" ht="38.25" customHeight="1" x14ac:dyDescent="0.25">
      <c r="B213" s="20" t="s">
        <v>417</v>
      </c>
    </row>
    <row r="214" spans="2:8" ht="50.25" customHeight="1" x14ac:dyDescent="0.25">
      <c r="B214" s="20" t="s">
        <v>418</v>
      </c>
    </row>
    <row r="215" spans="2:8" ht="38.25" customHeight="1" x14ac:dyDescent="0.25">
      <c r="B215" s="20" t="s">
        <v>419</v>
      </c>
    </row>
  </sheetData>
  <mergeCells count="35">
    <mergeCell ref="C89:H89"/>
    <mergeCell ref="C90:H90"/>
    <mergeCell ref="C91:H91"/>
    <mergeCell ref="C92:H92"/>
    <mergeCell ref="C93:H93"/>
    <mergeCell ref="C50:H50"/>
    <mergeCell ref="C85:H85"/>
    <mergeCell ref="C86:H86"/>
    <mergeCell ref="C87:H87"/>
    <mergeCell ref="C88:H88"/>
    <mergeCell ref="C45:H45"/>
    <mergeCell ref="C46:H46"/>
    <mergeCell ref="C47:H47"/>
    <mergeCell ref="C48:H48"/>
    <mergeCell ref="C49:H49"/>
    <mergeCell ref="C40:H40"/>
    <mergeCell ref="C41:H41"/>
    <mergeCell ref="C42:H42"/>
    <mergeCell ref="C43:H43"/>
    <mergeCell ref="C44:H44"/>
    <mergeCell ref="C35:H35"/>
    <mergeCell ref="C36:H36"/>
    <mergeCell ref="C37:H37"/>
    <mergeCell ref="C38:H38"/>
    <mergeCell ref="C39:H39"/>
    <mergeCell ref="C13:G13"/>
    <mergeCell ref="C14:G14"/>
    <mergeCell ref="C15:G15"/>
    <mergeCell ref="C16:G16"/>
    <mergeCell ref="C34:H34"/>
    <mergeCell ref="C8:G8"/>
    <mergeCell ref="C9:G9"/>
    <mergeCell ref="C10:G10"/>
    <mergeCell ref="C11:G11"/>
    <mergeCell ref="C12:G12"/>
  </mergeCells>
  <hyperlinks>
    <hyperlink ref="D3" location="Inputs!A1" display="Inputs" xr:uid="{00000000-0004-0000-0000-000000000000}"/>
    <hyperlink ref="E3" location="'FS Data Request'!A1" display="FS Request" xr:uid="{00000000-0004-0000-0000-000001000000}"/>
    <hyperlink ref="F3" location="'Revenue Calculation'!A1" display="Revenue" xr:uid="{00000000-0004-0000-0000-000002000000}"/>
    <hyperlink ref="G3" location="'Cost Calculation'!A1" display="Costs" xr:uid="{00000000-0004-0000-0000-000003000000}"/>
    <hyperlink ref="H3" location="'BUMN Synergy Calculation'!A1" display="BUMN Synergy" xr:uid="{00000000-0004-0000-0000-000004000000}"/>
    <hyperlink ref="I3" location="'Capex &amp; Depreciation'!A1" display="Capex" xr:uid="{00000000-0004-0000-0000-000005000000}"/>
    <hyperlink ref="J3" location="'Working Capital'!A1" display="Work. cap." xr:uid="{00000000-0004-0000-0000-000006000000}"/>
    <hyperlink ref="K3" location="Financing!A1" display="Financing" xr:uid="{00000000-0004-0000-0000-000007000000}"/>
    <hyperlink ref="L3" location="'Funding Requirement'!A1" display="Funding" xr:uid="{00000000-0004-0000-0000-000008000000}"/>
    <hyperlink ref="M3" location="'FSL Output - Without BUMN'!A1" display="Out: w/o BUMN" xr:uid="{00000000-0004-0000-0000-000009000000}"/>
    <hyperlink ref="N3" location="'FSL Output - With BUMN'!A1" display="Out: With BUMN" xr:uid="{00000000-0004-0000-0000-00000A000000}"/>
    <hyperlink ref="O3" location="'Valuation — Without BUMN'!A1" display="Val: w/o BUMN" xr:uid="{00000000-0004-0000-0000-00000B000000}"/>
    <hyperlink ref="P3" location="'Valuation — With BUMN'!A1" display="Val: With BUMN" xr:uid="{00000000-0004-0000-0000-00000C000000}"/>
    <hyperlink ref="Q3" location="'Project Cash Flows'!A1" display="Proj. CF" xr:uid="{00000000-0004-0000-0000-00000D000000}"/>
    <hyperlink ref="R3" location="'Project Summary'!A1" display="Proj. Summary" xr:uid="{00000000-0004-0000-0000-00000E000000}"/>
    <hyperlink ref="S3" location="'Checks &amp; Reconciliation'!A1" display="Checks" xr:uid="{00000000-0004-0000-0000-00000F000000}"/>
    <hyperlink ref="T3" location="'Source Data'!A1" display="Source Data" xr:uid="{00000000-0004-0000-0000-000010000000}"/>
    <hyperlink ref="H8" location="'Checks &amp; Reconciliation'!C7" display="Checks &amp; Reconciliation A" xr:uid="{00000000-0004-0000-0000-000011000000}"/>
    <hyperlink ref="H9" location="'Checks &amp; Reconciliation'!C8" display="Checks &amp; Reconciliation A" xr:uid="{00000000-0004-0000-0000-000012000000}"/>
    <hyperlink ref="H10" location="'Checks &amp; Reconciliation'!C9" display="Checks &amp; Reconciliation A" xr:uid="{00000000-0004-0000-0000-000013000000}"/>
    <hyperlink ref="H11" location="'Checks &amp; Reconciliation'!C12" display="Checks &amp; Reconciliation A" xr:uid="{00000000-0004-0000-0000-000014000000}"/>
    <hyperlink ref="H12" location="'Checks &amp; Reconciliation'!C13" display="Checks &amp; Reconciliation A" xr:uid="{00000000-0004-0000-0000-000015000000}"/>
    <hyperlink ref="H13" location="'Checks &amp; Reconciliation'!C15" display="Checks &amp; Reconciliation A" xr:uid="{00000000-0004-0000-0000-000016000000}"/>
    <hyperlink ref="H14" location="'Checks &amp; Reconciliation'!C16" display="Checks &amp; Reconciliation A" xr:uid="{00000000-0004-0000-0000-000017000000}"/>
    <hyperlink ref="H15" location="'Checks &amp; Reconciliation'!C18" display="Checks &amp; Reconciliation A" xr:uid="{00000000-0004-0000-0000-000018000000}"/>
    <hyperlink ref="H16" location="'Checks &amp; Reconciliation'!C19" display="Checks &amp; Reconciliation A" xr:uid="{00000000-0004-0000-0000-000019000000}"/>
    <hyperlink ref="E20" location="'Valuation — With BUMN'!E67" display="Valuation — With BUMN!E67" xr:uid="{00000000-0004-0000-0000-00001A000000}"/>
    <hyperlink ref="F20" location="'Valuation — Without BUMN'!E67" display="Valuation — Without BUMN!E67" xr:uid="{00000000-0004-0000-0000-00001B000000}"/>
    <hyperlink ref="E21" location="'Valuation — With BUMN'!E74" display="Valuation — With BUMN!E74" xr:uid="{00000000-0004-0000-0000-00001C000000}"/>
    <hyperlink ref="F21" location="'Valuation — Without BUMN'!E74" display="Valuation — Without BUMN!E74" xr:uid="{00000000-0004-0000-0000-00001D000000}"/>
    <hyperlink ref="E22" location="'Valuation — With BUMN'!E75" display="Valuation — With BUMN!E75" xr:uid="{00000000-0004-0000-0000-00001E000000}"/>
    <hyperlink ref="F22" location="'Valuation — Without BUMN'!E75" display="Valuation — Without BUMN!E75" xr:uid="{00000000-0004-0000-0000-00001F000000}"/>
    <hyperlink ref="E23" location="'Funding Requirement'!E21" display="Funding Requirement!E21" xr:uid="{00000000-0004-0000-0000-000020000000}"/>
    <hyperlink ref="F23" location="'Funding Requirement'!F21" display="Funding Requirement!F21" xr:uid="{00000000-0004-0000-0000-000021000000}"/>
    <hyperlink ref="E24" location="'Funding Requirement'!E23" display="Funding Requirement!E23" xr:uid="{00000000-0004-0000-0000-000022000000}"/>
    <hyperlink ref="F24" location="'Funding Requirement'!F23" display="Funding Requirement!F23" xr:uid="{00000000-0004-0000-0000-000023000000}"/>
    <hyperlink ref="E25" location="'Funding Requirement'!E14" display="Funding Requirement!E14" xr:uid="{00000000-0004-0000-0000-000024000000}"/>
    <hyperlink ref="F25" location="'Funding Requirement'!F14" display="Funding Requirement!F14" xr:uid="{00000000-0004-0000-0000-000025000000}"/>
    <hyperlink ref="E26" location="'Valuation — With BUMN'!E116" display="Valuation — With BUMN!E116" xr:uid="{00000000-0004-0000-0000-000026000000}"/>
    <hyperlink ref="E27" location="'Project Cash Flows'!E379" display="Project Cash Flows!E379" xr:uid="{00000000-0004-0000-0000-000027000000}"/>
    <hyperlink ref="E29" location="'FSL Output - Without BUMN'!J9" display="FSL Output - Without BUMN!J9" xr:uid="{00000000-0004-0000-0000-000028000000}"/>
    <hyperlink ref="E30" location="'BUMN Synergy Calculation'!J98" display="BUMN Synergy Calculation!J98" xr:uid="{00000000-0004-0000-0000-000029000000}"/>
    <hyperlink ref="E31" location="'FSL Output - With BUMN'!J59" display="FSL Output - With BUMN!J59" xr:uid="{00000000-0004-0000-0000-00002A000000}"/>
    <hyperlink ref="B34" location="Inputs!A1" display="Inputs" xr:uid="{00000000-0004-0000-0000-00002B000000}"/>
    <hyperlink ref="B35" location="'FS Data Request'!A1" display="FS Data Request" xr:uid="{00000000-0004-0000-0000-00002C000000}"/>
    <hyperlink ref="B36" location="'Revenue Calculation'!A1" display="Revenue Calculation" xr:uid="{00000000-0004-0000-0000-00002D000000}"/>
    <hyperlink ref="B37" location="'Cost Calculation'!A1" display="Cost Calculation" xr:uid="{00000000-0004-0000-0000-00002E000000}"/>
    <hyperlink ref="B38" location="'BUMN Synergy Calculation'!A1" display="BUMN Synergy Calculation" xr:uid="{00000000-0004-0000-0000-00002F000000}"/>
    <hyperlink ref="B39" location="'Capex &amp; Depreciation'!A1" display="Capex &amp; Depreciation" xr:uid="{00000000-0004-0000-0000-000030000000}"/>
    <hyperlink ref="B40" location="'Working Capital'!A1" display="Working Capital" xr:uid="{00000000-0004-0000-0000-000031000000}"/>
    <hyperlink ref="B41" location="Financing!A1" display="Financing" xr:uid="{00000000-0004-0000-0000-000032000000}"/>
    <hyperlink ref="B42" location="'Funding Requirement'!A1" display="Funding Requirement" xr:uid="{00000000-0004-0000-0000-000033000000}"/>
    <hyperlink ref="B43" location="'FSL Output - Without BUMN'!A1" display="FSL Output - Without BUMN" xr:uid="{00000000-0004-0000-0000-000034000000}"/>
    <hyperlink ref="B44" location="'FSL Output - With BUMN'!A1" display="FSL Output - With BUMN" xr:uid="{00000000-0004-0000-0000-000035000000}"/>
    <hyperlink ref="B45" location="'Valuation — Without BUMN'!A1" display="Valuation — Without BUMN" xr:uid="{00000000-0004-0000-0000-000036000000}"/>
    <hyperlink ref="B46" location="'Valuation — With BUMN'!A1" display="Valuation — With BUMN" xr:uid="{00000000-0004-0000-0000-000037000000}"/>
    <hyperlink ref="B47" location="'Project Cash Flows'!A1" display="Project Cash Flows" xr:uid="{00000000-0004-0000-0000-000038000000}"/>
    <hyperlink ref="B48" location="'Project Summary'!A1" display="Project Summary" xr:uid="{00000000-0004-0000-0000-000039000000}"/>
    <hyperlink ref="B49" location="'Checks &amp; Reconciliation'!A1" display="Checks &amp; Reconciliation" xr:uid="{00000000-0004-0000-0000-00003A000000}"/>
    <hyperlink ref="B50" location="'Source Data'!A1" display="Source Data" xr:uid="{00000000-0004-0000-0000-00003B000000}"/>
    <hyperlink ref="E54" location="Inputs!E93" display="Inputs!E93" xr:uid="{00000000-0004-0000-0000-00003C000000}"/>
    <hyperlink ref="E55" location="'Valuation — With BUMN'!K46" display="Valuation — With BUMN!K46" xr:uid="{00000000-0004-0000-0000-00003D000000}"/>
    <hyperlink ref="E56" location="'Valuation — With BUMN'!K47" display="Valuation — With BUMN!K47" xr:uid="{00000000-0004-0000-0000-00003E000000}"/>
    <hyperlink ref="E58" location="Financing!J14" display="Financing!J14" xr:uid="{00000000-0004-0000-0000-00003F000000}"/>
    <hyperlink ref="E59" location="Financing!J16" display="Financing!J16" xr:uid="{00000000-0004-0000-0000-000040000000}"/>
    <hyperlink ref="E60" location="Financing!K16" display="Financing!K16" xr:uid="{00000000-0004-0000-0000-000041000000}"/>
    <hyperlink ref="E61" location="Financing!K13" display="Financing!K13" xr:uid="{00000000-0004-0000-0000-000042000000}"/>
    <hyperlink ref="E62" location="Inputs!E494" display="Inputs!E494" xr:uid="{00000000-0004-0000-0000-000043000000}"/>
    <hyperlink ref="E67" location="Inputs!E494" display="Inputs 10 - tanggal pelunasan" xr:uid="{00000000-0004-0000-0000-000044000000}"/>
    <hyperlink ref="F67" location="Inputs!E44" display="Inputs 1 - basis ekuitas" xr:uid="{00000000-0004-0000-0000-000045000000}"/>
    <hyperlink ref="G67" location="'Checks &amp; Reconciliation'!B1337" display="Checks G - jembatan" xr:uid="{00000000-0004-0000-0000-000046000000}"/>
    <hyperlink ref="E73" location="Inputs!E42" display="Inputs!E42" xr:uid="{00000000-0004-0000-0000-000047000000}"/>
    <hyperlink ref="E74" location="Inputs!E43" display="Inputs!E43" xr:uid="{00000000-0004-0000-0000-000048000000}"/>
    <hyperlink ref="E75" location="Inputs!E44" display="Inputs!E44" xr:uid="{00000000-0004-0000-0000-000049000000}"/>
    <hyperlink ref="E76" location="Inputs!E45" display="Inputs!E45" xr:uid="{00000000-0004-0000-0000-00004A000000}"/>
    <hyperlink ref="E77" location="Inputs!E82" display="Inputs!E82" xr:uid="{00000000-0004-0000-0000-00004B000000}"/>
    <hyperlink ref="E78" location="Inputs!E568" display="Inputs!E568" xr:uid="{00000000-0004-0000-0000-00004C000000}"/>
    <hyperlink ref="E79" location="Inputs!E49" display="Inputs!E49" xr:uid="{00000000-0004-0000-0000-00004D000000}"/>
    <hyperlink ref="E80" location="Inputs!E50" display="Inputs!E50" xr:uid="{00000000-0004-0000-0000-00004E000000}"/>
    <hyperlink ref="E97" location="'Revenue Calculation'!B41" display="Revenue row 41" xr:uid="{00000000-0004-0000-0000-00004F000000}"/>
    <hyperlink ref="F97" location="'Cost Calculation'!B35" display="Costs row 35" xr:uid="{00000000-0004-0000-0000-000050000000}"/>
    <hyperlink ref="G97" location="'Capex &amp; Depreciation'!B231" display="Capex row 231 (D&amp;A)" xr:uid="{00000000-0004-0000-0000-000051000000}"/>
    <hyperlink ref="E98" location="'Revenue Calculation'!B47" display="Revenue row 47" xr:uid="{00000000-0004-0000-0000-000052000000}"/>
    <hyperlink ref="F98" location="'Cost Calculation'!B66" display="Costs row 66" xr:uid="{00000000-0004-0000-0000-000053000000}"/>
    <hyperlink ref="G98" location="'Capex &amp; Depreciation'!B232" display="Capex row 232 (D&amp;A)" xr:uid="{00000000-0004-0000-0000-000054000000}"/>
    <hyperlink ref="E99" location="'Revenue Calculation'!B53" display="Revenue row 53" xr:uid="{00000000-0004-0000-0000-000055000000}"/>
    <hyperlink ref="F99" location="'Cost Calculation'!B94" display="Costs row 94" xr:uid="{00000000-0004-0000-0000-000056000000}"/>
    <hyperlink ref="G99" location="'Capex &amp; Depreciation'!B233" display="Capex row 233 (D&amp;A)" xr:uid="{00000000-0004-0000-0000-000057000000}"/>
    <hyperlink ref="E100" location="'Revenue Calculation'!B92" display="Revenue row 92" xr:uid="{00000000-0004-0000-0000-000058000000}"/>
    <hyperlink ref="F100" location="'Cost Calculation'!B131" display="Costs row 131" xr:uid="{00000000-0004-0000-0000-000059000000}"/>
    <hyperlink ref="G100" location="'Capex &amp; Depreciation'!B234" display="Capex row 234 (D&amp;A)" xr:uid="{00000000-0004-0000-0000-00005A000000}"/>
    <hyperlink ref="E101" location="'Revenue Calculation'!B99" display="Revenue row 99" xr:uid="{00000000-0004-0000-0000-00005B000000}"/>
    <hyperlink ref="F101" location="'Cost Calculation'!B137" display="Costs row 137" xr:uid="{00000000-0004-0000-0000-00005C000000}"/>
    <hyperlink ref="G101" location="'Capex &amp; Depreciation'!B56" display="Capex row 56" xr:uid="{00000000-0004-0000-0000-00005D000000}"/>
    <hyperlink ref="E102" location="'Revenue Calculation'!B104" display="Revenue row 104" xr:uid="{00000000-0004-0000-0000-00005E000000}"/>
    <hyperlink ref="F102" location="'Cost Calculation'!B141" display="Costs row 141" xr:uid="{00000000-0004-0000-0000-00005F000000}"/>
    <hyperlink ref="G102" location="'Capex &amp; Depreciation'!B57" display="Capex row 57" xr:uid="{00000000-0004-0000-0000-000060000000}"/>
    <hyperlink ref="E103" location="'Revenue Calculation'!B111" display="Revenue row 111" xr:uid="{00000000-0004-0000-0000-000061000000}"/>
    <hyperlink ref="F103" location="'Cost Calculation'!B145" display="Costs row 145" xr:uid="{00000000-0004-0000-0000-000062000000}"/>
    <hyperlink ref="G103" location="'Capex &amp; Depreciation'!B58" display="Capex row 58" xr:uid="{00000000-0004-0000-0000-000063000000}"/>
    <hyperlink ref="E104" location="'Revenue Calculation'!B115" display="Revenue row 115" xr:uid="{00000000-0004-0000-0000-000064000000}"/>
    <hyperlink ref="F104" location="'Cost Calculation'!B149" display="Costs row 149" xr:uid="{00000000-0004-0000-0000-000065000000}"/>
    <hyperlink ref="G104" location="'Capex &amp; Depreciation'!B59" display="Capex row 59" xr:uid="{00000000-0004-0000-0000-000066000000}"/>
    <hyperlink ref="E105" location="'Revenue Calculation'!B122" display="Revenue row 122" xr:uid="{00000000-0004-0000-0000-000067000000}"/>
    <hyperlink ref="F105" location="'Cost Calculation'!B153" display="Costs row 153" xr:uid="{00000000-0004-0000-0000-000068000000}"/>
    <hyperlink ref="G105" location="'Capex &amp; Depreciation'!B60" display="Capex row 60" xr:uid="{00000000-0004-0000-0000-000069000000}"/>
    <hyperlink ref="E106" location="'Revenue Calculation'!B129" display="Revenue row 129" xr:uid="{00000000-0004-0000-0000-00006A000000}"/>
    <hyperlink ref="F106" location="'Cost Calculation'!B157" display="Costs row 157" xr:uid="{00000000-0004-0000-0000-00006B000000}"/>
    <hyperlink ref="G106" location="'Capex &amp; Depreciation'!B61" display="Capex row 61" xr:uid="{00000000-0004-0000-0000-00006C000000}"/>
    <hyperlink ref="E107" location="'Revenue Calculation'!B133" display="Revenue row 133" xr:uid="{00000000-0004-0000-0000-00006D000000}"/>
    <hyperlink ref="F107" location="'Cost Calculation'!B161" display="Costs row 161" xr:uid="{00000000-0004-0000-0000-00006E000000}"/>
    <hyperlink ref="G107" location="'Capex &amp; Depreciation'!B62" display="Capex row 62" xr:uid="{00000000-0004-0000-0000-00006F000000}"/>
    <hyperlink ref="E108" location="'Revenue Calculation'!B137" display="Revenue row 137" xr:uid="{00000000-0004-0000-0000-000070000000}"/>
    <hyperlink ref="F108" location="'Cost Calculation'!B165" display="Costs row 165" xr:uid="{00000000-0004-0000-0000-000071000000}"/>
    <hyperlink ref="G108" location="'Capex &amp; Depreciation'!B68" display="Capex row 68" xr:uid="{00000000-0004-0000-0000-000072000000}"/>
    <hyperlink ref="E109" location="'Revenue Calculation'!B140" display="Revenue row 140" xr:uid="{00000000-0004-0000-0000-000073000000}"/>
    <hyperlink ref="F109" location="'Cost Calculation'!B168" display="Costs row 168" xr:uid="{00000000-0004-0000-0000-000074000000}"/>
    <hyperlink ref="G109" location="'Capex &amp; Depreciation'!B69" display="Capex row 69" xr:uid="{00000000-0004-0000-0000-000075000000}"/>
    <hyperlink ref="E110" location="'Revenue Calculation'!B143" display="Revenue row 143" xr:uid="{00000000-0004-0000-0000-000076000000}"/>
    <hyperlink ref="F110" location="'Cost Calculation'!B171" display="Costs row 171" xr:uid="{00000000-0004-0000-0000-000077000000}"/>
    <hyperlink ref="G110" location="'Capex &amp; Depreciation'!B70" display="Capex row 70" xr:uid="{00000000-0004-0000-0000-000078000000}"/>
    <hyperlink ref="E111" location="'Revenue Calculation'!B146" display="Revenue row 146" xr:uid="{00000000-0004-0000-0000-000079000000}"/>
    <hyperlink ref="F111" location="'Cost Calculation'!B174" display="Costs row 174" xr:uid="{00000000-0004-0000-0000-00007A000000}"/>
    <hyperlink ref="G111" location="'Capex &amp; Depreciation'!B71" display="Capex row 71" xr:uid="{00000000-0004-0000-0000-00007B000000}"/>
    <hyperlink ref="E112" location="'BUMN Synergy Calculation'!B34" display="BUMN Synergy row 34" xr:uid="{00000000-0004-0000-0000-00007C000000}"/>
    <hyperlink ref="F112" location="'BUMN Synergy Calculation'!B37" display="BUMN Synergy row 37" xr:uid="{00000000-0004-0000-0000-00007D000000}"/>
    <hyperlink ref="G112" location="'Capex &amp; Depreciation'!B77" display="Capex row 77" xr:uid="{00000000-0004-0000-0000-00007E000000}"/>
    <hyperlink ref="E113" location="'BUMN Synergy Calculation'!B59" display="BUMN Synergy row 59" xr:uid="{00000000-0004-0000-0000-00007F000000}"/>
    <hyperlink ref="F113" location="'BUMN Synergy Calculation'!B62" display="BUMN Synergy row 62" xr:uid="{00000000-0004-0000-0000-000080000000}"/>
    <hyperlink ref="G113" location="'Capex &amp; Depreciation'!B78" display="Capex row 78" xr:uid="{00000000-0004-0000-0000-000081000000}"/>
    <hyperlink ref="E114" location="'BUMN Synergy Calculation'!B81" display="BUMN Synergy row 81" xr:uid="{00000000-0004-0000-0000-000082000000}"/>
    <hyperlink ref="F114" location="'BUMN Synergy Calculation'!B84" display="BUMN Synergy row 84" xr:uid="{00000000-0004-0000-0000-000083000000}"/>
    <hyperlink ref="G114" location="'Capex &amp; Depreciation'!B79" display="Capex row 79" xr:uid="{00000000-0004-0000-0000-000084000000}"/>
    <hyperlink ref="E115" location="'Revenue Calculation'!B157" display="Revenue row 157" xr:uid="{00000000-0004-0000-0000-000085000000}"/>
    <hyperlink ref="F115" location="'Cost Calculation'!B178" display="Costs row 178" xr:uid="{00000000-0004-0000-0000-000086000000}"/>
    <hyperlink ref="G115" location="'Capex &amp; Depreciation'!B63" display="Capex row 63" xr:uid="{00000000-0004-0000-0000-000087000000}"/>
    <hyperlink ref="E116" location="'Revenue Calculation'!B163" display="Revenue row 163" xr:uid="{00000000-0004-0000-0000-000088000000}"/>
    <hyperlink ref="F116" location="'Cost Calculation'!B186" display="Costs row 186" xr:uid="{00000000-0004-0000-0000-000089000000}"/>
    <hyperlink ref="G116" location="'Capex &amp; Depreciation'!B72" display="Capex row 72" xr:uid="{00000000-0004-0000-0000-00008A000000}"/>
    <hyperlink ref="E117" location="'Revenue Calculation'!B167" display="Revenue row 167" xr:uid="{00000000-0004-0000-0000-00008B000000}"/>
    <hyperlink ref="F117" location="'Cost Calculation'!B192" display="Costs row 192" xr:uid="{00000000-0004-0000-0000-00008C000000}"/>
    <hyperlink ref="G117" location="'Capex &amp; Depreciation'!B73" display="Capex row 73" xr:uid="{00000000-0004-0000-0000-00008D000000}"/>
    <hyperlink ref="E118" location="'Revenue Calculation'!B171" display="Revenue row 171" xr:uid="{00000000-0004-0000-0000-00008E000000}"/>
    <hyperlink ref="F118" location="'Cost Calculation'!B198" display="Costs row 198" xr:uid="{00000000-0004-0000-0000-00008F000000}"/>
    <hyperlink ref="G118" location="'Capex &amp; Depreciation'!B74" display="Capex row 74" xr:uid="{00000000-0004-0000-0000-000090000000}"/>
    <hyperlink ref="E119" location="'Revenue Calculation'!B185" display="Revenue row 185" xr:uid="{00000000-0004-0000-0000-000091000000}"/>
    <hyperlink ref="F119" location="'Cost Calculation'!B210" display="Costs row 210" xr:uid="{00000000-0004-0000-0000-000092000000}"/>
    <hyperlink ref="G119" location="'Capex &amp; Depreciation'!B27" display="Capex row 27" xr:uid="{00000000-0004-0000-0000-000093000000}"/>
    <hyperlink ref="E123" location="Inputs!E210" display="Inputs!E210" xr:uid="{00000000-0004-0000-0000-000094000000}"/>
    <hyperlink ref="E124" location="Inputs!G211" display="Inputs!G211" xr:uid="{00000000-0004-0000-0000-000095000000}"/>
    <hyperlink ref="E125" location="Inputs!H211" display="Inputs!H211" xr:uid="{00000000-0004-0000-0000-000096000000}"/>
    <hyperlink ref="E126" location="Inputs!I211" display="Inputs!I211" xr:uid="{00000000-0004-0000-0000-000097000000}"/>
    <hyperlink ref="E127" location="Inputs!E204" display="Inputs!E204" xr:uid="{00000000-0004-0000-0000-000098000000}"/>
    <hyperlink ref="E128" location="Inputs!G65" display="Inputs!G65" xr:uid="{00000000-0004-0000-0000-000099000000}"/>
    <hyperlink ref="E131" location="'Capex &amp; Depreciation'!H9" display="Capex &amp; Depreciation!H9" xr:uid="{00000000-0004-0000-0000-00009A000000}"/>
    <hyperlink ref="E132" location="'Capex &amp; Depreciation'!H51" display="Capex &amp; Depreciation!H51" xr:uid="{00000000-0004-0000-0000-00009B000000}"/>
    <hyperlink ref="E133" location="'Capex &amp; Depreciation'!H57" display="Capex &amp; Depreciation!H57" xr:uid="{00000000-0004-0000-0000-00009C000000}"/>
    <hyperlink ref="E134" location="'Capex &amp; Depreciation'!J34" display="Capex &amp; Depreciation!J34" xr:uid="{00000000-0004-0000-0000-00009D000000}"/>
    <hyperlink ref="E136" location="'Capex &amp; Depreciation'!E93" display="Capex &amp; Depreciation!E93" xr:uid="{00000000-0004-0000-0000-00009E000000}"/>
    <hyperlink ref="E137" location="'Capex &amp; Depreciation'!J98" display="Capex &amp; Depreciation!J98" xr:uid="{00000000-0004-0000-0000-00009F000000}"/>
    <hyperlink ref="E139" location="'Revenue Calculation'!J104" display="Revenue Calculation!J104" xr:uid="{00000000-0004-0000-0000-0000A0000000}"/>
    <hyperlink ref="E140" location="'Cost Calculation'!J141" display="Cost Calculation!J141" xr:uid="{00000000-0004-0000-0000-0000A1000000}"/>
    <hyperlink ref="E141" location="'Project Cash Flows'!J124" display="Project Cash Flows!J124" xr:uid="{00000000-0004-0000-0000-0000A2000000}"/>
    <hyperlink ref="E143" location="'Project Cash Flows'!K128" display="Project Cash Flows!K128" xr:uid="{00000000-0004-0000-0000-0000A3000000}"/>
    <hyperlink ref="E144" location="'Project Cash Flows'!E12" display="Project Cash Flows!E12" xr:uid="{00000000-0004-0000-0000-0000A4000000}"/>
    <hyperlink ref="E145" location="'Project Cash Flows'!H12" display="Project Cash Flows!H12" xr:uid="{00000000-0004-0000-0000-0000A5000000}"/>
    <hyperlink ref="E151" location="'Capex &amp; Depreciation'!J24" display="Capex &amp; Depreciation!J24" xr:uid="{00000000-0004-0000-0000-0000A6000000}"/>
    <hyperlink ref="E152" location="'Capex &amp; Depreciation'!E375" display="Capex &amp; Depreciation!E375" xr:uid="{00000000-0004-0000-0000-0000A7000000}"/>
    <hyperlink ref="E153" location="'Capex &amp; Depreciation'!E46" display="Capex &amp; Depreciation!E46" xr:uid="{00000000-0004-0000-0000-0000A8000000}"/>
    <hyperlink ref="E155" location="'Capex &amp; Depreciation'!K354" display="Capex &amp; Depreciation!K354" xr:uid="{00000000-0004-0000-0000-0000A9000000}"/>
    <hyperlink ref="E160" location="'Funding Requirement'!K86" display="Funding Requirement!K86" xr:uid="{00000000-0004-0000-0000-0000AA000000}"/>
    <hyperlink ref="E161" location="'Funding Requirement'!K54" display="Funding Requirement!K54" xr:uid="{00000000-0004-0000-0000-0000AB000000}"/>
    <hyperlink ref="E162" location="'Funding Requirement'!K89" display="Funding Requirement!K89" xr:uid="{00000000-0004-0000-0000-0000AC000000}"/>
    <hyperlink ref="E163" location="'Funding Requirement'!K135" display="Funding Requirement!K135" xr:uid="{00000000-0004-0000-0000-0000AD000000}"/>
    <hyperlink ref="E164" location="'Funding Requirement'!E21" display="Funding Requirement!E21" xr:uid="{00000000-0004-0000-0000-0000AE000000}"/>
    <hyperlink ref="E165" location="'Funding Requirement'!F21" display="Funding Requirement!F21" xr:uid="{00000000-0004-0000-0000-0000AF000000}"/>
    <hyperlink ref="E166" location="'Funding Requirement'!F24" display="Funding Requirement!F24" xr:uid="{00000000-0004-0000-0000-0000B0000000}"/>
    <hyperlink ref="E171" location="Inputs!E558" display="Inputs!E558" xr:uid="{00000000-0004-0000-0000-0000B1000000}"/>
    <hyperlink ref="E172" location="Inputs!E559" display="Inputs!E559" xr:uid="{00000000-0004-0000-0000-0000B2000000}"/>
    <hyperlink ref="E173" location="'Valuation — Without BUMN'!E67" display="Valuation — Without BUMN!E67" xr:uid="{00000000-0004-0000-0000-0000B3000000}"/>
    <hyperlink ref="E174" location="'Valuation — With BUMN'!E67" display="Valuation — With BUMN!E67" xr:uid="{00000000-0004-0000-0000-0000B4000000}"/>
    <hyperlink ref="E175" location="'Valuation — With BUMN'!D23" display="Valuation — With BUMN!D23" xr:uid="{00000000-0004-0000-0000-0000B5000000}"/>
    <hyperlink ref="E176" location="'Valuation — Without BUMN'!E74" display="Valuation — Without BUMN!E74" xr:uid="{00000000-0004-0000-0000-0000B6000000}"/>
    <hyperlink ref="E177" location="'Valuation — With BUMN'!E74" display="Valuation — With BUMN!E74" xr:uid="{00000000-0004-0000-0000-0000B7000000}"/>
    <hyperlink ref="E182" location="'BUMN Synergy Calculation'!K98" display="BUMN Synergy Calculation!K98" xr:uid="{00000000-0004-0000-0000-0000B8000000}"/>
    <hyperlink ref="E183" location="'Valuation — With BUMN'!E116" display="Valuation — With BUMN!E116" xr:uid="{00000000-0004-0000-0000-0000B9000000}"/>
    <hyperlink ref="E184" location="'Valuation — With BUMN'!E118" display="Valuation — With BUMN!E118" xr:uid="{00000000-0004-0000-0000-0000BA000000}"/>
    <hyperlink ref="E189" location="'FS Data Request'!E5" display="FS Data Request!E5" xr:uid="{00000000-0004-0000-0000-0000BB000000}"/>
    <hyperlink ref="E190" location="'Revenue Calculation'!N185" display="Revenue Calculation!N185" xr:uid="{00000000-0004-0000-0000-0000BC000000}"/>
    <hyperlink ref="E191" location="'Cost Calculation'!N210" display="Cost Calculation!N210" xr:uid="{00000000-0004-0000-0000-0000BD000000}"/>
    <hyperlink ref="E192" location="'Project Cash Flows'!E380" display="Project Cash Flows!E380" xr:uid="{00000000-0004-0000-0000-0000BE000000}"/>
    <hyperlink ref="E193" location="'Project Cash Flows'!E382" display="Project Cash Flows!E382" xr:uid="{00000000-0004-0000-0000-0000BF000000}"/>
    <hyperlink ref="E194" location="'FS Data Request'!A1" display="FS Data Request" xr:uid="{00000000-0004-0000-0000-0000C0000000}"/>
    <hyperlink ref="F194" location="Inputs!B571" display="Inputs 13 - Badas" xr:uid="{00000000-0004-0000-0000-0000C1000000}"/>
    <hyperlink ref="G194" location="'Project Summary'!A1" display="Project Summary" xr:uid="{00000000-0004-0000-0000-0000C2000000}"/>
    <hyperlink ref="E198" location="Inputs!E605" display="Inputs!E605" xr:uid="{00000000-0004-0000-0000-0000C3000000}"/>
    <hyperlink ref="E199" location="Inputs!E639" display="Inputs!E639" xr:uid="{00000000-0004-0000-0000-0000C4000000}"/>
    <hyperlink ref="E200" location="Inputs!E673" display="Inputs!E673" xr:uid="{00000000-0004-0000-0000-0000C5000000}"/>
    <hyperlink ref="E206" location="'Checks &amp; Reconciliation'!E481" display="Checks &amp; Reconciliation!E481" xr:uid="{00000000-0004-0000-0000-0000C6000000}"/>
    <hyperlink ref="E207" location="'Checks &amp; Reconciliation'!E830" display="Checks &amp; Reconciliation!E830" xr:uid="{00000000-0004-0000-0000-0000C7000000}"/>
    <hyperlink ref="E208" location="'Checks &amp; Reconciliation'!E1359" display="Checks &amp; Reconciliation!E1359" xr:uid="{00000000-0004-0000-0000-0000C8000000}"/>
    <hyperlink ref="E209" location="'Source Data'!E813" display="Source Data!E813" xr:uid="{00000000-0004-0000-0000-0000C9000000}"/>
    <hyperlink ref="E210" location="'Checks &amp; Reconciliation'!B135" display="With-IS01" xr:uid="{00000000-0004-0000-0000-0000CA000000}"/>
    <hyperlink ref="F210" location="'Checks &amp; Reconciliation'!B1337" display="Jembatan G" xr:uid="{00000000-0004-0000-0000-0000CB000000}"/>
    <hyperlink ref="G210" location="'Source Data'!B1129" display="Source Data 20 - masalah sumber" xr:uid="{00000000-0004-0000-0000-0000CC000000}"/>
  </hyperlinks>
  <pageMargins left="0.4" right="0.4" top="0.5" bottom="0.5" header="0.511811023622047" footer="0.5"/>
  <pageSetup paperSize="9" fitToHeight="0" orientation="landscape" horizontalDpi="300" verticalDpi="300"/>
  <headerFooter>
    <oddFooter>&amp;L&amp;A&amp;RPage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55A11"/>
    <pageSetUpPr fitToPage="1"/>
  </sheetPr>
  <dimension ref="B1:V754"/>
  <sheetViews>
    <sheetView showGridLines="0" tabSelected="1" zoomScale="85" zoomScaleNormal="85" workbookViewId="0">
      <pane xSplit="2" ySplit="4" topLeftCell="C53" activePane="bottomRight" state="frozen"/>
      <selection pane="topRight" activeCell="C1" sqref="C1"/>
      <selection pane="bottomLeft" activeCell="A5" sqref="A5"/>
      <selection pane="bottomRight" activeCell="F69" sqref="F69"/>
    </sheetView>
  </sheetViews>
  <sheetFormatPr defaultColWidth="8.7109375" defaultRowHeight="15" x14ac:dyDescent="0.25"/>
  <cols>
    <col min="1" max="1" width="1.5703125" customWidth="1"/>
    <col min="2" max="2" width="62" customWidth="1"/>
    <col min="3" max="3" width="11" customWidth="1"/>
    <col min="4" max="4" width="12" customWidth="1"/>
    <col min="5" max="5" width="14" customWidth="1"/>
    <col min="6" max="6" width="24" customWidth="1"/>
    <col min="7" max="20" width="10.5703125" customWidth="1"/>
    <col min="21" max="21" width="9" customWidth="1"/>
    <col min="22" max="22" width="95" customWidth="1"/>
  </cols>
  <sheetData>
    <row r="1" spans="2:20" ht="18" x14ac:dyDescent="0.25">
      <c r="B1" s="13" t="s">
        <v>420</v>
      </c>
    </row>
    <row r="2" spans="2:20" x14ac:dyDescent="0.25">
      <c r="B2" s="14" t="s">
        <v>421</v>
      </c>
    </row>
    <row r="3" spans="2:20" x14ac:dyDescent="0.25">
      <c r="B3" s="15" t="s">
        <v>2</v>
      </c>
      <c r="C3" s="17" t="s">
        <v>422</v>
      </c>
      <c r="D3" s="16" t="s">
        <v>423</v>
      </c>
      <c r="E3" s="17" t="s">
        <v>5</v>
      </c>
      <c r="F3" s="17" t="s">
        <v>6</v>
      </c>
      <c r="G3" s="17" t="s">
        <v>7</v>
      </c>
      <c r="H3" s="17" t="s">
        <v>8</v>
      </c>
      <c r="I3" s="17" t="s">
        <v>9</v>
      </c>
      <c r="J3" s="17" t="s">
        <v>10</v>
      </c>
      <c r="K3" s="17" t="s">
        <v>11</v>
      </c>
      <c r="L3" s="17" t="s">
        <v>12</v>
      </c>
      <c r="M3" s="17" t="s">
        <v>13</v>
      </c>
      <c r="N3" s="17" t="s">
        <v>14</v>
      </c>
      <c r="O3" s="17" t="s">
        <v>15</v>
      </c>
      <c r="P3" s="17" t="s">
        <v>16</v>
      </c>
      <c r="Q3" s="17" t="s">
        <v>17</v>
      </c>
      <c r="R3" s="17" t="s">
        <v>18</v>
      </c>
      <c r="S3" s="17" t="s">
        <v>19</v>
      </c>
      <c r="T3" s="17" t="s">
        <v>20</v>
      </c>
    </row>
    <row r="5" spans="2:20" x14ac:dyDescent="0.25">
      <c r="B5" s="42" t="s">
        <v>424</v>
      </c>
    </row>
    <row r="6" spans="2:20" x14ac:dyDescent="0.25">
      <c r="B6" s="44" t="s">
        <v>425</v>
      </c>
    </row>
    <row r="7" spans="2:20" x14ac:dyDescent="0.25">
      <c r="B7" s="44" t="s">
        <v>426</v>
      </c>
    </row>
    <row r="8" spans="2:20" x14ac:dyDescent="0.25">
      <c r="B8" s="44" t="s">
        <v>427</v>
      </c>
    </row>
    <row r="9" spans="2:20" x14ac:dyDescent="0.25">
      <c r="B9" s="44" t="s">
        <v>428</v>
      </c>
    </row>
    <row r="10" spans="2:20" x14ac:dyDescent="0.25">
      <c r="B10" s="44" t="s">
        <v>429</v>
      </c>
    </row>
    <row r="11" spans="2:20" x14ac:dyDescent="0.25">
      <c r="B11" s="44" t="s">
        <v>430</v>
      </c>
    </row>
    <row r="13" spans="2:20" x14ac:dyDescent="0.25">
      <c r="B13" s="42" t="s">
        <v>431</v>
      </c>
    </row>
    <row r="14" spans="2:20" x14ac:dyDescent="0.25">
      <c r="C14" s="50" t="s">
        <v>432</v>
      </c>
      <c r="D14" s="44" t="s">
        <v>433</v>
      </c>
    </row>
    <row r="15" spans="2:20" x14ac:dyDescent="0.25">
      <c r="C15" s="51" t="s">
        <v>434</v>
      </c>
      <c r="D15" s="44" t="s">
        <v>435</v>
      </c>
    </row>
    <row r="16" spans="2:20" x14ac:dyDescent="0.25">
      <c r="C16" s="52" t="s">
        <v>436</v>
      </c>
      <c r="D16" s="44" t="s">
        <v>437</v>
      </c>
    </row>
    <row r="17" spans="2:4" x14ac:dyDescent="0.25">
      <c r="C17" s="53" t="s">
        <v>438</v>
      </c>
      <c r="D17" s="44" t="s">
        <v>439</v>
      </c>
    </row>
    <row r="18" spans="2:4" x14ac:dyDescent="0.25">
      <c r="C18" s="54" t="s">
        <v>440</v>
      </c>
      <c r="D18" s="44" t="s">
        <v>441</v>
      </c>
    </row>
    <row r="19" spans="2:4" x14ac:dyDescent="0.25">
      <c r="C19" s="55" t="s">
        <v>442</v>
      </c>
      <c r="D19" s="44" t="s">
        <v>443</v>
      </c>
    </row>
    <row r="20" spans="2:4" x14ac:dyDescent="0.25">
      <c r="C20" s="56" t="s">
        <v>444</v>
      </c>
      <c r="D20" s="44" t="s">
        <v>445</v>
      </c>
    </row>
    <row r="21" spans="2:4" x14ac:dyDescent="0.25">
      <c r="C21" s="57" t="s">
        <v>446</v>
      </c>
      <c r="D21" s="44" t="s">
        <v>447</v>
      </c>
    </row>
    <row r="23" spans="2:4" x14ac:dyDescent="0.25">
      <c r="B23" s="42" t="s">
        <v>448</v>
      </c>
    </row>
    <row r="24" spans="2:4" x14ac:dyDescent="0.25">
      <c r="B24" s="22" t="s">
        <v>449</v>
      </c>
    </row>
    <row r="25" spans="2:4" x14ac:dyDescent="0.25">
      <c r="B25" s="22" t="s">
        <v>450</v>
      </c>
    </row>
    <row r="26" spans="2:4" x14ac:dyDescent="0.25">
      <c r="B26" s="22" t="s">
        <v>451</v>
      </c>
    </row>
    <row r="27" spans="2:4" x14ac:dyDescent="0.25">
      <c r="B27" s="22" t="s">
        <v>452</v>
      </c>
    </row>
    <row r="28" spans="2:4" x14ac:dyDescent="0.25">
      <c r="B28" s="22" t="s">
        <v>453</v>
      </c>
    </row>
    <row r="29" spans="2:4" x14ac:dyDescent="0.25">
      <c r="B29" s="22" t="s">
        <v>454</v>
      </c>
    </row>
    <row r="30" spans="2:4" x14ac:dyDescent="0.25">
      <c r="B30" s="22" t="s">
        <v>455</v>
      </c>
    </row>
    <row r="31" spans="2:4" x14ac:dyDescent="0.25">
      <c r="B31" s="22" t="s">
        <v>456</v>
      </c>
    </row>
    <row r="32" spans="2:4" x14ac:dyDescent="0.25">
      <c r="B32" s="22" t="s">
        <v>457</v>
      </c>
    </row>
    <row r="33" spans="2:22" x14ac:dyDescent="0.25">
      <c r="B33" s="22" t="s">
        <v>458</v>
      </c>
    </row>
    <row r="34" spans="2:22" x14ac:dyDescent="0.25">
      <c r="B34" s="22" t="s">
        <v>459</v>
      </c>
    </row>
    <row r="35" spans="2:22" x14ac:dyDescent="0.25">
      <c r="B35" s="22" t="s">
        <v>460</v>
      </c>
    </row>
    <row r="36" spans="2:22" x14ac:dyDescent="0.25">
      <c r="B36" s="22" t="s">
        <v>461</v>
      </c>
    </row>
    <row r="37" spans="2:22" x14ac:dyDescent="0.25">
      <c r="B37" s="22" t="s">
        <v>462</v>
      </c>
    </row>
    <row r="38" spans="2:22" x14ac:dyDescent="0.25">
      <c r="B38" s="22" t="s">
        <v>463</v>
      </c>
    </row>
    <row r="39" spans="2:22" x14ac:dyDescent="0.25">
      <c r="B39" s="22" t="s">
        <v>464</v>
      </c>
    </row>
    <row r="40" spans="2:22" x14ac:dyDescent="0.25">
      <c r="B40" s="58" t="s">
        <v>465</v>
      </c>
      <c r="C40" s="19"/>
      <c r="D40" s="19"/>
      <c r="E40" s="19"/>
      <c r="F40" s="19"/>
      <c r="G40" s="19"/>
      <c r="H40" s="19"/>
      <c r="I40" s="19"/>
      <c r="J40" s="19"/>
      <c r="K40" s="19"/>
      <c r="L40" s="19"/>
      <c r="M40" s="19"/>
      <c r="N40" s="19"/>
      <c r="O40" s="19"/>
      <c r="P40" s="19"/>
      <c r="Q40" s="19"/>
      <c r="R40" s="19"/>
      <c r="S40" s="19"/>
      <c r="T40" s="19"/>
      <c r="U40" s="19"/>
      <c r="V40" s="19"/>
    </row>
    <row r="41" spans="2:22" x14ac:dyDescent="0.25">
      <c r="B41" s="59" t="s">
        <v>442</v>
      </c>
      <c r="C41" s="59" t="s">
        <v>466</v>
      </c>
      <c r="D41" s="59" t="s">
        <v>467</v>
      </c>
      <c r="E41" s="59" t="s">
        <v>468</v>
      </c>
      <c r="F41" s="59" t="s">
        <v>469</v>
      </c>
      <c r="G41" s="60"/>
      <c r="H41" s="60"/>
      <c r="I41" s="60"/>
      <c r="J41" s="60"/>
      <c r="K41" s="60"/>
      <c r="L41" s="60"/>
      <c r="M41" s="60"/>
      <c r="N41" s="60"/>
      <c r="O41" s="60"/>
      <c r="P41" s="60"/>
      <c r="Q41" s="60"/>
      <c r="R41" s="60"/>
      <c r="S41" s="60"/>
      <c r="T41" s="60"/>
      <c r="U41" s="59" t="s">
        <v>470</v>
      </c>
      <c r="V41" s="59" t="s">
        <v>471</v>
      </c>
    </row>
    <row r="42" spans="2:22" x14ac:dyDescent="0.25">
      <c r="B42" s="23" t="s">
        <v>472</v>
      </c>
      <c r="C42" s="28" t="s">
        <v>473</v>
      </c>
      <c r="D42" s="55" t="s">
        <v>442</v>
      </c>
      <c r="E42" s="61">
        <v>1</v>
      </c>
      <c r="F42" s="44" t="s">
        <v>474</v>
      </c>
      <c r="U42" s="62" t="str">
        <f>IF(E42='Source Data'!E42,"","changed")</f>
        <v/>
      </c>
      <c r="V42" s="63" t="s">
        <v>475</v>
      </c>
    </row>
    <row r="43" spans="2:22" x14ac:dyDescent="0.25">
      <c r="B43" s="23" t="s">
        <v>476</v>
      </c>
      <c r="C43" s="28" t="s">
        <v>477</v>
      </c>
      <c r="D43" s="55" t="s">
        <v>442</v>
      </c>
      <c r="E43" s="61">
        <v>1</v>
      </c>
      <c r="F43" s="44" t="s">
        <v>478</v>
      </c>
      <c r="U43" s="62" t="str">
        <f>IF(E43='Source Data'!E43,"","changed")</f>
        <v/>
      </c>
      <c r="V43" s="63" t="s">
        <v>479</v>
      </c>
    </row>
    <row r="44" spans="2:22" ht="26.25" customHeight="1" x14ac:dyDescent="0.25">
      <c r="B44" s="64" t="s">
        <v>480</v>
      </c>
      <c r="C44" s="28" t="s">
        <v>473</v>
      </c>
      <c r="D44" s="52" t="s">
        <v>436</v>
      </c>
      <c r="E44" s="65">
        <v>1</v>
      </c>
      <c r="F44" s="44" t="s">
        <v>481</v>
      </c>
      <c r="U44" s="62" t="str">
        <f>IF(E44='Source Data'!E44,"","changed")</f>
        <v/>
      </c>
      <c r="V44" s="66" t="s">
        <v>482</v>
      </c>
    </row>
    <row r="45" spans="2:22" x14ac:dyDescent="0.25">
      <c r="B45" s="23" t="s">
        <v>483</v>
      </c>
      <c r="C45" s="28" t="s">
        <v>292</v>
      </c>
      <c r="D45" s="55" t="s">
        <v>442</v>
      </c>
      <c r="E45" s="67">
        <v>0</v>
      </c>
      <c r="F45" s="44" t="s">
        <v>484</v>
      </c>
      <c r="U45" s="62" t="str">
        <f>IF(E45='Source Data'!E45,"","changed")</f>
        <v/>
      </c>
      <c r="V45" s="63" t="s">
        <v>485</v>
      </c>
    </row>
    <row r="46" spans="2:22" x14ac:dyDescent="0.25">
      <c r="B46" s="23" t="s">
        <v>486</v>
      </c>
      <c r="C46" s="28" t="s">
        <v>292</v>
      </c>
      <c r="D46" s="55" t="s">
        <v>442</v>
      </c>
      <c r="E46" s="67">
        <v>0</v>
      </c>
      <c r="F46" s="44" t="s">
        <v>484</v>
      </c>
      <c r="U46" s="62" t="str">
        <f>IF(E46='Source Data'!E46,"","changed")</f>
        <v/>
      </c>
      <c r="V46" s="63" t="s">
        <v>485</v>
      </c>
    </row>
    <row r="47" spans="2:22" x14ac:dyDescent="0.25">
      <c r="B47" s="23" t="s">
        <v>487</v>
      </c>
      <c r="C47" s="28" t="s">
        <v>292</v>
      </c>
      <c r="D47" s="55" t="s">
        <v>442</v>
      </c>
      <c r="E47" s="67">
        <v>0</v>
      </c>
      <c r="F47" s="44" t="s">
        <v>484</v>
      </c>
      <c r="U47" s="62" t="str">
        <f>IF(E47='Source Data'!E47,"","changed")</f>
        <v/>
      </c>
      <c r="V47" s="63" t="s">
        <v>485</v>
      </c>
    </row>
    <row r="48" spans="2:22" x14ac:dyDescent="0.25">
      <c r="B48" s="23" t="s">
        <v>488</v>
      </c>
      <c r="C48" s="28" t="s">
        <v>292</v>
      </c>
      <c r="D48" s="55" t="s">
        <v>442</v>
      </c>
      <c r="E48" s="67">
        <v>0</v>
      </c>
      <c r="F48" s="44" t="s">
        <v>484</v>
      </c>
      <c r="U48" s="62" t="str">
        <f>IF(E48='Source Data'!E48,"","changed")</f>
        <v/>
      </c>
      <c r="V48" s="63" t="s">
        <v>485</v>
      </c>
    </row>
    <row r="49" spans="2:22" x14ac:dyDescent="0.25">
      <c r="B49" s="23" t="s">
        <v>489</v>
      </c>
      <c r="C49" s="28" t="s">
        <v>490</v>
      </c>
      <c r="D49" s="55" t="s">
        <v>442</v>
      </c>
      <c r="E49" s="61">
        <v>2036</v>
      </c>
      <c r="F49" s="44" t="s">
        <v>484</v>
      </c>
      <c r="U49" s="62" t="str">
        <f>IF(E49='Source Data'!E49,"","changed")</f>
        <v/>
      </c>
      <c r="V49" s="63" t="s">
        <v>491</v>
      </c>
    </row>
    <row r="50" spans="2:22" x14ac:dyDescent="0.25">
      <c r="B50" s="23" t="s">
        <v>492</v>
      </c>
      <c r="C50" s="28" t="s">
        <v>493</v>
      </c>
      <c r="D50" s="55" t="s">
        <v>442</v>
      </c>
      <c r="E50" s="68">
        <v>1E-3</v>
      </c>
      <c r="F50" s="44" t="s">
        <v>484</v>
      </c>
      <c r="U50" s="62" t="str">
        <f>IF(E50='Source Data'!E50,"","changed")</f>
        <v/>
      </c>
      <c r="V50" s="63" t="s">
        <v>494</v>
      </c>
    </row>
    <row r="51" spans="2:22" x14ac:dyDescent="0.25">
      <c r="B51" s="42" t="s">
        <v>495</v>
      </c>
    </row>
    <row r="52" spans="2:22" x14ac:dyDescent="0.25">
      <c r="B52" s="23" t="s">
        <v>496</v>
      </c>
      <c r="C52" s="28" t="s">
        <v>497</v>
      </c>
      <c r="E52" s="69">
        <f>1+$E$45</f>
        <v>1</v>
      </c>
    </row>
    <row r="53" spans="2:22" x14ac:dyDescent="0.25">
      <c r="B53" s="23" t="s">
        <v>498</v>
      </c>
      <c r="C53" s="28" t="s">
        <v>497</v>
      </c>
      <c r="E53" s="69">
        <f>1+$E$46</f>
        <v>1</v>
      </c>
    </row>
    <row r="54" spans="2:22" x14ac:dyDescent="0.25">
      <c r="B54" s="23" t="s">
        <v>499</v>
      </c>
      <c r="C54" s="28" t="s">
        <v>497</v>
      </c>
      <c r="E54" s="69">
        <f>1+$E$47</f>
        <v>1</v>
      </c>
    </row>
    <row r="55" spans="2:22" x14ac:dyDescent="0.25">
      <c r="B55" s="23" t="s">
        <v>500</v>
      </c>
      <c r="C55" s="28" t="s">
        <v>497</v>
      </c>
      <c r="E55" s="69">
        <f>1+$E$48</f>
        <v>1</v>
      </c>
      <c r="F55">
        <f>'Valuation — Without BUMN'!E75</f>
        <v>217.4524066970686</v>
      </c>
    </row>
    <row r="56" spans="2:22" x14ac:dyDescent="0.25">
      <c r="B56" s="23" t="s">
        <v>501</v>
      </c>
      <c r="E56" s="45">
        <f>$E$42</f>
        <v>1</v>
      </c>
    </row>
    <row r="58" spans="2:22" x14ac:dyDescent="0.25">
      <c r="B58" s="58" t="s">
        <v>502</v>
      </c>
      <c r="C58" s="19"/>
      <c r="D58" s="19"/>
      <c r="E58" s="19"/>
      <c r="F58" s="19"/>
      <c r="G58" s="19"/>
      <c r="H58" s="19"/>
      <c r="I58" s="19"/>
      <c r="J58" s="19"/>
      <c r="K58" s="19"/>
      <c r="L58" s="19"/>
      <c r="M58" s="19"/>
      <c r="N58" s="19"/>
      <c r="O58" s="19"/>
      <c r="P58" s="19"/>
      <c r="Q58" s="19"/>
      <c r="R58" s="19"/>
      <c r="S58" s="19"/>
      <c r="T58" s="19"/>
      <c r="U58" s="19"/>
      <c r="V58" s="19"/>
    </row>
    <row r="59" spans="2:22" ht="36" customHeight="1" x14ac:dyDescent="0.25">
      <c r="B59" s="25" t="s">
        <v>503</v>
      </c>
      <c r="C59" s="25" t="s">
        <v>504</v>
      </c>
      <c r="D59" s="25" t="s">
        <v>505</v>
      </c>
      <c r="E59" s="25" t="s">
        <v>506</v>
      </c>
      <c r="F59" s="25" t="s">
        <v>507</v>
      </c>
      <c r="G59" s="25" t="s">
        <v>508</v>
      </c>
      <c r="H59" s="25" t="s">
        <v>509</v>
      </c>
      <c r="I59" s="9" t="s">
        <v>510</v>
      </c>
      <c r="J59" s="9"/>
      <c r="K59" s="9"/>
      <c r="L59" s="9" t="s">
        <v>511</v>
      </c>
      <c r="M59" s="9"/>
      <c r="N59" s="9"/>
      <c r="O59" s="9" t="s">
        <v>512</v>
      </c>
      <c r="P59" s="9"/>
      <c r="Q59" s="9"/>
      <c r="R59" s="9" t="s">
        <v>513</v>
      </c>
      <c r="S59" s="9"/>
      <c r="T59" s="9"/>
      <c r="U59" s="60"/>
      <c r="V59" s="25" t="s">
        <v>514</v>
      </c>
    </row>
    <row r="60" spans="2:22" x14ac:dyDescent="0.25">
      <c r="B60" s="23" t="s">
        <v>515</v>
      </c>
      <c r="C60" s="70" t="s">
        <v>516</v>
      </c>
      <c r="D60" s="70" t="s">
        <v>517</v>
      </c>
      <c r="E60" s="71" t="s">
        <v>518</v>
      </c>
      <c r="F60" s="72" t="s">
        <v>519</v>
      </c>
      <c r="G60" s="71" t="s">
        <v>520</v>
      </c>
      <c r="H60" s="73">
        <v>1</v>
      </c>
      <c r="I60" s="8" t="s">
        <v>521</v>
      </c>
      <c r="J60" s="8"/>
      <c r="K60" s="8"/>
      <c r="L60" s="7" t="s">
        <v>180</v>
      </c>
      <c r="M60" s="7"/>
      <c r="N60" s="7"/>
      <c r="O60" s="7" t="s">
        <v>522</v>
      </c>
      <c r="P60" s="7"/>
      <c r="Q60" s="7"/>
      <c r="R60" s="22" t="s">
        <v>6</v>
      </c>
      <c r="S60" s="22" t="s">
        <v>7</v>
      </c>
      <c r="T60" s="22" t="s">
        <v>523</v>
      </c>
      <c r="V60" s="63" t="s">
        <v>524</v>
      </c>
    </row>
    <row r="61" spans="2:22" x14ac:dyDescent="0.25">
      <c r="B61" s="23" t="s">
        <v>525</v>
      </c>
      <c r="C61" s="70" t="s">
        <v>516</v>
      </c>
      <c r="D61" s="70" t="s">
        <v>526</v>
      </c>
      <c r="E61" s="71" t="s">
        <v>518</v>
      </c>
      <c r="F61" s="72" t="s">
        <v>519</v>
      </c>
      <c r="G61" s="71" t="s">
        <v>520</v>
      </c>
      <c r="H61" s="73">
        <v>1</v>
      </c>
      <c r="I61" s="8" t="s">
        <v>521</v>
      </c>
      <c r="J61" s="8"/>
      <c r="K61" s="8"/>
      <c r="L61" s="7" t="s">
        <v>185</v>
      </c>
      <c r="M61" s="7"/>
      <c r="N61" s="7"/>
      <c r="O61" s="7" t="s">
        <v>522</v>
      </c>
      <c r="P61" s="7"/>
      <c r="Q61" s="7"/>
      <c r="R61" s="22" t="s">
        <v>6</v>
      </c>
      <c r="S61" s="22" t="s">
        <v>7</v>
      </c>
      <c r="T61" s="22" t="s">
        <v>523</v>
      </c>
      <c r="V61" s="63" t="s">
        <v>527</v>
      </c>
    </row>
    <row r="62" spans="2:22" x14ac:dyDescent="0.25">
      <c r="B62" s="23" t="s">
        <v>528</v>
      </c>
      <c r="C62" s="70" t="s">
        <v>516</v>
      </c>
      <c r="D62" s="70" t="s">
        <v>529</v>
      </c>
      <c r="E62" s="71" t="s">
        <v>518</v>
      </c>
      <c r="F62" s="72" t="s">
        <v>519</v>
      </c>
      <c r="G62" s="71" t="s">
        <v>520</v>
      </c>
      <c r="H62" s="73">
        <v>1</v>
      </c>
      <c r="I62" s="8" t="s">
        <v>521</v>
      </c>
      <c r="J62" s="8"/>
      <c r="K62" s="8"/>
      <c r="L62" s="7" t="s">
        <v>190</v>
      </c>
      <c r="M62" s="7"/>
      <c r="N62" s="7"/>
      <c r="O62" s="7" t="s">
        <v>522</v>
      </c>
      <c r="P62" s="7"/>
      <c r="Q62" s="7"/>
      <c r="R62" s="22" t="s">
        <v>6</v>
      </c>
      <c r="S62" s="22" t="s">
        <v>7</v>
      </c>
      <c r="T62" s="22" t="s">
        <v>523</v>
      </c>
      <c r="V62" s="63" t="s">
        <v>530</v>
      </c>
    </row>
    <row r="63" spans="2:22" x14ac:dyDescent="0.25">
      <c r="B63" s="23" t="s">
        <v>531</v>
      </c>
      <c r="C63" s="70" t="s">
        <v>516</v>
      </c>
      <c r="D63" s="70" t="s">
        <v>532</v>
      </c>
      <c r="E63" s="71" t="s">
        <v>518</v>
      </c>
      <c r="F63" s="72" t="s">
        <v>519</v>
      </c>
      <c r="G63" s="71" t="s">
        <v>520</v>
      </c>
      <c r="H63" s="73">
        <v>1</v>
      </c>
      <c r="I63" s="8" t="s">
        <v>521</v>
      </c>
      <c r="J63" s="8"/>
      <c r="K63" s="8"/>
      <c r="L63" s="7" t="s">
        <v>195</v>
      </c>
      <c r="M63" s="7"/>
      <c r="N63" s="7"/>
      <c r="O63" s="7" t="s">
        <v>522</v>
      </c>
      <c r="P63" s="7"/>
      <c r="Q63" s="7"/>
      <c r="R63" s="22" t="s">
        <v>6</v>
      </c>
      <c r="S63" s="22" t="s">
        <v>7</v>
      </c>
      <c r="T63" s="22" t="s">
        <v>523</v>
      </c>
      <c r="V63" s="63" t="s">
        <v>533</v>
      </c>
    </row>
    <row r="64" spans="2:22" x14ac:dyDescent="0.25">
      <c r="B64" s="23" t="s">
        <v>534</v>
      </c>
      <c r="C64" s="70" t="s">
        <v>535</v>
      </c>
      <c r="D64" s="70" t="s">
        <v>526</v>
      </c>
      <c r="E64" s="61">
        <v>1</v>
      </c>
      <c r="F64" s="72" t="s">
        <v>536</v>
      </c>
      <c r="G64" s="74">
        <v>2025</v>
      </c>
      <c r="H64" s="73">
        <f>IF($E$56=1,$E$64,0)</f>
        <v>1</v>
      </c>
      <c r="I64" s="8" t="str">
        <f t="shared" ref="I64:I74" si="0">IF(H64=1,"Included - both cases",IF($E$56=2,"Excluded - scenario 2 (existing only)","Switched OFF"))</f>
        <v>Included - both cases</v>
      </c>
      <c r="J64" s="8"/>
      <c r="K64" s="8"/>
      <c r="L64" s="7" t="s">
        <v>200</v>
      </c>
      <c r="M64" s="7"/>
      <c r="N64" s="7"/>
      <c r="O64" s="7" t="s">
        <v>537</v>
      </c>
      <c r="P64" s="7"/>
      <c r="Q64" s="7"/>
      <c r="R64" s="22" t="s">
        <v>6</v>
      </c>
      <c r="S64" s="22" t="s">
        <v>7</v>
      </c>
      <c r="T64" s="22" t="s">
        <v>173</v>
      </c>
      <c r="V64" s="63" t="s">
        <v>538</v>
      </c>
    </row>
    <row r="65" spans="2:22" x14ac:dyDescent="0.25">
      <c r="B65" s="23" t="s">
        <v>539</v>
      </c>
      <c r="C65" s="70" t="s">
        <v>535</v>
      </c>
      <c r="D65" s="70" t="s">
        <v>526</v>
      </c>
      <c r="E65" s="61">
        <v>1</v>
      </c>
      <c r="F65" s="72" t="s">
        <v>536</v>
      </c>
      <c r="G65" s="74">
        <v>2025</v>
      </c>
      <c r="H65" s="73">
        <f>IF($E$56=1,$E$65,0)</f>
        <v>1</v>
      </c>
      <c r="I65" s="8" t="str">
        <f t="shared" si="0"/>
        <v>Included - both cases</v>
      </c>
      <c r="J65" s="8"/>
      <c r="K65" s="8"/>
      <c r="L65" s="7" t="s">
        <v>205</v>
      </c>
      <c r="M65" s="7"/>
      <c r="N65" s="7"/>
      <c r="O65" s="7" t="s">
        <v>540</v>
      </c>
      <c r="P65" s="7"/>
      <c r="Q65" s="7"/>
      <c r="R65" s="22" t="s">
        <v>6</v>
      </c>
      <c r="S65" s="22" t="s">
        <v>7</v>
      </c>
      <c r="T65" s="22" t="s">
        <v>173</v>
      </c>
      <c r="V65" s="63" t="s">
        <v>541</v>
      </c>
    </row>
    <row r="66" spans="2:22" ht="24.75" customHeight="1" x14ac:dyDescent="0.25">
      <c r="B66" s="23" t="s">
        <v>542</v>
      </c>
      <c r="C66" s="70" t="s">
        <v>543</v>
      </c>
      <c r="D66" s="70" t="s">
        <v>526</v>
      </c>
      <c r="E66" s="61">
        <v>1</v>
      </c>
      <c r="F66" s="72" t="s">
        <v>544</v>
      </c>
      <c r="G66" s="74">
        <v>2027</v>
      </c>
      <c r="H66" s="73">
        <f>IF($E$56=1,$E$66,0)</f>
        <v>1</v>
      </c>
      <c r="I66" s="8" t="str">
        <f t="shared" si="0"/>
        <v>Included - both cases</v>
      </c>
      <c r="J66" s="8"/>
      <c r="K66" s="8"/>
      <c r="L66" s="6" t="s">
        <v>210</v>
      </c>
      <c r="M66" s="6"/>
      <c r="N66" s="6"/>
      <c r="O66" s="6" t="s">
        <v>545</v>
      </c>
      <c r="P66" s="6"/>
      <c r="Q66" s="6"/>
      <c r="R66" s="22" t="s">
        <v>6</v>
      </c>
      <c r="S66" s="22" t="s">
        <v>7</v>
      </c>
      <c r="T66" s="22" t="s">
        <v>173</v>
      </c>
      <c r="V66" s="63" t="s">
        <v>546</v>
      </c>
    </row>
    <row r="67" spans="2:22" x14ac:dyDescent="0.25">
      <c r="B67" s="23" t="s">
        <v>547</v>
      </c>
      <c r="C67" s="70" t="s">
        <v>543</v>
      </c>
      <c r="D67" s="70" t="s">
        <v>517</v>
      </c>
      <c r="E67" s="61">
        <v>1</v>
      </c>
      <c r="F67" s="72" t="s">
        <v>544</v>
      </c>
      <c r="G67" s="74">
        <v>2027</v>
      </c>
      <c r="H67" s="73">
        <f>IF($E$56=1,$E$67,0)</f>
        <v>1</v>
      </c>
      <c r="I67" s="8" t="str">
        <f t="shared" si="0"/>
        <v>Included - both cases</v>
      </c>
      <c r="J67" s="8"/>
      <c r="K67" s="8"/>
      <c r="L67" s="7" t="s">
        <v>215</v>
      </c>
      <c r="M67" s="7"/>
      <c r="N67" s="7"/>
      <c r="O67" s="7" t="s">
        <v>548</v>
      </c>
      <c r="P67" s="7"/>
      <c r="Q67" s="7"/>
      <c r="R67" s="22" t="s">
        <v>6</v>
      </c>
      <c r="S67" s="22" t="s">
        <v>7</v>
      </c>
      <c r="T67" s="22" t="s">
        <v>173</v>
      </c>
      <c r="V67" s="63" t="s">
        <v>549</v>
      </c>
    </row>
    <row r="68" spans="2:22" x14ac:dyDescent="0.25">
      <c r="B68" s="23" t="s">
        <v>550</v>
      </c>
      <c r="C68" s="70" t="s">
        <v>543</v>
      </c>
      <c r="D68" s="70" t="s">
        <v>551</v>
      </c>
      <c r="E68" s="61">
        <v>1</v>
      </c>
      <c r="F68" s="72" t="s">
        <v>552</v>
      </c>
      <c r="G68" s="74">
        <v>2026</v>
      </c>
      <c r="H68" s="73">
        <f>IF($E$56=1,$E$68,0)</f>
        <v>1</v>
      </c>
      <c r="I68" s="8" t="str">
        <f t="shared" si="0"/>
        <v>Included - both cases</v>
      </c>
      <c r="J68" s="8"/>
      <c r="K68" s="8"/>
      <c r="L68" s="7" t="s">
        <v>220</v>
      </c>
      <c r="M68" s="7"/>
      <c r="N68" s="7"/>
      <c r="O68" s="7" t="s">
        <v>553</v>
      </c>
      <c r="P68" s="7"/>
      <c r="Q68" s="7"/>
      <c r="R68" s="22" t="s">
        <v>6</v>
      </c>
      <c r="S68" s="22" t="s">
        <v>7</v>
      </c>
      <c r="T68" s="22" t="s">
        <v>173</v>
      </c>
      <c r="V68" s="63" t="s">
        <v>554</v>
      </c>
    </row>
    <row r="69" spans="2:22" ht="24.75" customHeight="1" x14ac:dyDescent="0.25">
      <c r="B69" s="23" t="s">
        <v>555</v>
      </c>
      <c r="C69" s="70" t="s">
        <v>543</v>
      </c>
      <c r="D69" s="70" t="s">
        <v>556</v>
      </c>
      <c r="E69" s="61">
        <v>1</v>
      </c>
      <c r="F69" s="72" t="s">
        <v>557</v>
      </c>
      <c r="G69" s="74">
        <v>2028</v>
      </c>
      <c r="H69" s="73">
        <f>IF($E$56=1,$E$69,0)</f>
        <v>1</v>
      </c>
      <c r="I69" s="8" t="str">
        <f t="shared" si="0"/>
        <v>Included - both cases</v>
      </c>
      <c r="J69" s="8"/>
      <c r="K69" s="8"/>
      <c r="L69" s="7" t="s">
        <v>225</v>
      </c>
      <c r="M69" s="7"/>
      <c r="N69" s="7"/>
      <c r="O69" s="6" t="s">
        <v>545</v>
      </c>
      <c r="P69" s="6"/>
      <c r="Q69" s="6"/>
      <c r="R69" s="22" t="s">
        <v>6</v>
      </c>
      <c r="S69" s="22" t="s">
        <v>7</v>
      </c>
      <c r="T69" s="22" t="s">
        <v>173</v>
      </c>
      <c r="V69" s="63" t="s">
        <v>558</v>
      </c>
    </row>
    <row r="70" spans="2:22" x14ac:dyDescent="0.25">
      <c r="B70" s="23" t="s">
        <v>559</v>
      </c>
      <c r="C70" s="70" t="s">
        <v>543</v>
      </c>
      <c r="D70" s="70" t="s">
        <v>529</v>
      </c>
      <c r="E70" s="61">
        <v>1</v>
      </c>
      <c r="F70" s="72" t="s">
        <v>552</v>
      </c>
      <c r="G70" s="74">
        <v>2026</v>
      </c>
      <c r="H70" s="73">
        <f>IF($E$56=1,$E$70,0)</f>
        <v>1</v>
      </c>
      <c r="I70" s="8" t="str">
        <f t="shared" si="0"/>
        <v>Included - both cases</v>
      </c>
      <c r="J70" s="8"/>
      <c r="K70" s="8"/>
      <c r="L70" s="7" t="s">
        <v>230</v>
      </c>
      <c r="M70" s="7"/>
      <c r="N70" s="7"/>
      <c r="O70" s="7" t="s">
        <v>560</v>
      </c>
      <c r="P70" s="7"/>
      <c r="Q70" s="7"/>
      <c r="R70" s="22" t="s">
        <v>6</v>
      </c>
      <c r="S70" s="22" t="s">
        <v>7</v>
      </c>
      <c r="T70" s="22" t="s">
        <v>173</v>
      </c>
      <c r="V70" s="63" t="s">
        <v>561</v>
      </c>
    </row>
    <row r="71" spans="2:22" x14ac:dyDescent="0.25">
      <c r="B71" s="23" t="s">
        <v>562</v>
      </c>
      <c r="C71" s="70" t="s">
        <v>543</v>
      </c>
      <c r="D71" s="70" t="s">
        <v>517</v>
      </c>
      <c r="E71" s="61">
        <v>1</v>
      </c>
      <c r="F71" s="72" t="s">
        <v>544</v>
      </c>
      <c r="G71" s="74">
        <v>2027</v>
      </c>
      <c r="H71" s="73">
        <f>IF($E$56=1,$E$71,0)</f>
        <v>1</v>
      </c>
      <c r="I71" s="8" t="str">
        <f t="shared" si="0"/>
        <v>Included - both cases</v>
      </c>
      <c r="J71" s="8"/>
      <c r="K71" s="8"/>
      <c r="L71" s="7" t="s">
        <v>235</v>
      </c>
      <c r="M71" s="7"/>
      <c r="N71" s="7"/>
      <c r="O71" s="7" t="s">
        <v>563</v>
      </c>
      <c r="P71" s="7"/>
      <c r="Q71" s="7"/>
      <c r="R71" s="22" t="s">
        <v>6</v>
      </c>
      <c r="S71" s="22" t="s">
        <v>7</v>
      </c>
      <c r="T71" s="22" t="s">
        <v>173</v>
      </c>
      <c r="V71" s="63" t="s">
        <v>564</v>
      </c>
    </row>
    <row r="72" spans="2:22" x14ac:dyDescent="0.25">
      <c r="B72" s="23" t="s">
        <v>565</v>
      </c>
      <c r="C72" s="70" t="s">
        <v>543</v>
      </c>
      <c r="D72" s="70" t="s">
        <v>526</v>
      </c>
      <c r="E72" s="61">
        <v>1</v>
      </c>
      <c r="F72" s="72" t="s">
        <v>544</v>
      </c>
      <c r="G72" s="74">
        <v>2027</v>
      </c>
      <c r="H72" s="73">
        <f>IF($E$56=1,$E$72,0)</f>
        <v>1</v>
      </c>
      <c r="I72" s="8" t="str">
        <f t="shared" si="0"/>
        <v>Included - both cases</v>
      </c>
      <c r="J72" s="8"/>
      <c r="K72" s="8"/>
      <c r="L72" s="7" t="s">
        <v>240</v>
      </c>
      <c r="M72" s="7"/>
      <c r="N72" s="7"/>
      <c r="O72" s="7" t="s">
        <v>566</v>
      </c>
      <c r="P72" s="7"/>
      <c r="Q72" s="7"/>
      <c r="R72" s="22" t="s">
        <v>6</v>
      </c>
      <c r="S72" s="22" t="s">
        <v>7</v>
      </c>
      <c r="T72" s="22" t="s">
        <v>173</v>
      </c>
      <c r="V72" s="63" t="s">
        <v>567</v>
      </c>
    </row>
    <row r="73" spans="2:22" x14ac:dyDescent="0.25">
      <c r="B73" s="23" t="s">
        <v>568</v>
      </c>
      <c r="C73" s="70" t="s">
        <v>543</v>
      </c>
      <c r="D73" s="70" t="s">
        <v>556</v>
      </c>
      <c r="E73" s="61">
        <v>1</v>
      </c>
      <c r="F73" s="72" t="s">
        <v>557</v>
      </c>
      <c r="G73" s="74">
        <v>2028</v>
      </c>
      <c r="H73" s="73">
        <f>IF($E$56=1,$E$73,0)</f>
        <v>1</v>
      </c>
      <c r="I73" s="8" t="str">
        <f t="shared" si="0"/>
        <v>Included - both cases</v>
      </c>
      <c r="J73" s="8"/>
      <c r="K73" s="8"/>
      <c r="L73" s="7" t="s">
        <v>245</v>
      </c>
      <c r="M73" s="7"/>
      <c r="N73" s="7"/>
      <c r="O73" s="7" t="s">
        <v>566</v>
      </c>
      <c r="P73" s="7"/>
      <c r="Q73" s="7"/>
      <c r="R73" s="22" t="s">
        <v>6</v>
      </c>
      <c r="S73" s="22" t="s">
        <v>7</v>
      </c>
      <c r="T73" s="22" t="s">
        <v>173</v>
      </c>
      <c r="V73" s="63" t="s">
        <v>569</v>
      </c>
    </row>
    <row r="74" spans="2:22" x14ac:dyDescent="0.25">
      <c r="B74" s="23" t="s">
        <v>570</v>
      </c>
      <c r="C74" s="70" t="s">
        <v>543</v>
      </c>
      <c r="D74" s="70" t="s">
        <v>529</v>
      </c>
      <c r="E74" s="61">
        <v>1</v>
      </c>
      <c r="F74" s="72" t="s">
        <v>544</v>
      </c>
      <c r="G74" s="74">
        <v>2027</v>
      </c>
      <c r="H74" s="73">
        <f>IF($E$56=1,$E$74,0)</f>
        <v>1</v>
      </c>
      <c r="I74" s="8" t="str">
        <f t="shared" si="0"/>
        <v>Included - both cases</v>
      </c>
      <c r="J74" s="8"/>
      <c r="K74" s="8"/>
      <c r="L74" s="7" t="s">
        <v>250</v>
      </c>
      <c r="M74" s="7"/>
      <c r="N74" s="7"/>
      <c r="O74" s="7" t="s">
        <v>566</v>
      </c>
      <c r="P74" s="7"/>
      <c r="Q74" s="7"/>
      <c r="R74" s="22" t="s">
        <v>6</v>
      </c>
      <c r="S74" s="22" t="s">
        <v>7</v>
      </c>
      <c r="T74" s="22" t="s">
        <v>173</v>
      </c>
      <c r="V74" s="63" t="s">
        <v>571</v>
      </c>
    </row>
    <row r="75" spans="2:22" ht="24.75" customHeight="1" x14ac:dyDescent="0.25">
      <c r="B75" s="23" t="s">
        <v>572</v>
      </c>
      <c r="C75" s="70" t="s">
        <v>573</v>
      </c>
      <c r="D75" s="70" t="s">
        <v>517</v>
      </c>
      <c r="E75" s="61">
        <v>1</v>
      </c>
      <c r="F75" s="72" t="s">
        <v>552</v>
      </c>
      <c r="G75" s="74">
        <v>2026</v>
      </c>
      <c r="H75" s="73">
        <f>IF($E$56=1,$E$75*$E$43,0)</f>
        <v>1</v>
      </c>
      <c r="I75" s="8" t="str">
        <f>IF(H75=1,"Included - With BUMN case only",IF($E$56=2,"Excluded - scenario 2 (existing only)",IF($E$43=0,"Excluded - BUMN control OFF (section 1)","Switched OFF")))</f>
        <v>Included - With BUMN case only</v>
      </c>
      <c r="J75" s="8"/>
      <c r="K75" s="8"/>
      <c r="L75" s="6" t="s">
        <v>255</v>
      </c>
      <c r="M75" s="6"/>
      <c r="N75" s="6"/>
      <c r="O75" s="7" t="s">
        <v>574</v>
      </c>
      <c r="P75" s="7"/>
      <c r="Q75" s="7"/>
      <c r="R75" s="22" t="s">
        <v>6</v>
      </c>
      <c r="S75" s="22" t="s">
        <v>7</v>
      </c>
      <c r="T75" s="22" t="s">
        <v>173</v>
      </c>
      <c r="V75" s="63" t="s">
        <v>575</v>
      </c>
    </row>
    <row r="76" spans="2:22" x14ac:dyDescent="0.25">
      <c r="B76" s="23" t="s">
        <v>576</v>
      </c>
      <c r="C76" s="70" t="s">
        <v>573</v>
      </c>
      <c r="D76" s="70" t="s">
        <v>526</v>
      </c>
      <c r="E76" s="61">
        <v>1</v>
      </c>
      <c r="F76" s="72" t="s">
        <v>552</v>
      </c>
      <c r="G76" s="74">
        <v>2026</v>
      </c>
      <c r="H76" s="73">
        <f>IF($E$56=1,$E$76*$E$43,0)</f>
        <v>1</v>
      </c>
      <c r="I76" s="8" t="str">
        <f>IF(H76=1,"Included - With BUMN case only",IF($E$56=2,"Excluded - scenario 2 (existing only)",IF($E$43=0,"Excluded - BUMN control OFF (section 1)","Switched OFF")))</f>
        <v>Included - With BUMN case only</v>
      </c>
      <c r="J76" s="8"/>
      <c r="K76" s="8"/>
      <c r="L76" s="7" t="s">
        <v>260</v>
      </c>
      <c r="M76" s="7"/>
      <c r="N76" s="7"/>
      <c r="O76" s="7" t="s">
        <v>577</v>
      </c>
      <c r="P76" s="7"/>
      <c r="Q76" s="7"/>
      <c r="R76" s="22" t="s">
        <v>6</v>
      </c>
      <c r="S76" s="22" t="s">
        <v>7</v>
      </c>
      <c r="T76" s="22" t="s">
        <v>173</v>
      </c>
      <c r="V76" s="63" t="s">
        <v>578</v>
      </c>
    </row>
    <row r="77" spans="2:22" x14ac:dyDescent="0.25">
      <c r="B77" s="23" t="s">
        <v>579</v>
      </c>
      <c r="C77" s="70" t="s">
        <v>573</v>
      </c>
      <c r="D77" s="70" t="s">
        <v>529</v>
      </c>
      <c r="E77" s="61">
        <v>1</v>
      </c>
      <c r="F77" s="72" t="s">
        <v>552</v>
      </c>
      <c r="G77" s="74">
        <v>2026</v>
      </c>
      <c r="H77" s="73">
        <f>IF($E$56=1,$E$77*$E$43,0)</f>
        <v>1</v>
      </c>
      <c r="I77" s="8" t="str">
        <f>IF(H77=1,"Included - With BUMN case only",IF($E$56=2,"Excluded - scenario 2 (existing only)",IF($E$43=0,"Excluded - BUMN control OFF (section 1)","Switched OFF")))</f>
        <v>Included - With BUMN case only</v>
      </c>
      <c r="J77" s="8"/>
      <c r="K77" s="8"/>
      <c r="L77" s="7" t="s">
        <v>265</v>
      </c>
      <c r="M77" s="7"/>
      <c r="N77" s="7"/>
      <c r="O77" s="7" t="s">
        <v>577</v>
      </c>
      <c r="P77" s="7"/>
      <c r="Q77" s="7"/>
      <c r="R77" s="22" t="s">
        <v>6</v>
      </c>
      <c r="S77" s="22" t="s">
        <v>7</v>
      </c>
      <c r="T77" s="22" t="s">
        <v>173</v>
      </c>
      <c r="V77" s="63" t="s">
        <v>580</v>
      </c>
    </row>
    <row r="78" spans="2:22" x14ac:dyDescent="0.25">
      <c r="B78" s="23" t="s">
        <v>581</v>
      </c>
      <c r="C78" s="70" t="s">
        <v>582</v>
      </c>
      <c r="D78" s="70" t="s">
        <v>583</v>
      </c>
      <c r="E78" s="61">
        <v>0</v>
      </c>
      <c r="F78" s="72" t="s">
        <v>584</v>
      </c>
      <c r="G78" s="74">
        <v>2029</v>
      </c>
      <c r="H78" s="73">
        <f>IF($E$56=1,$E$78,0)</f>
        <v>0</v>
      </c>
      <c r="I78" s="8" t="str">
        <f>IF(H78=1,"Included - both cases",IF($E$56=2,"Excluded - scenario 2 (existing only)","Switched OFF"))</f>
        <v>Switched OFF</v>
      </c>
      <c r="J78" s="8"/>
      <c r="K78" s="8"/>
      <c r="L78" s="7" t="s">
        <v>270</v>
      </c>
      <c r="M78" s="7"/>
      <c r="N78" s="7"/>
      <c r="O78" s="7" t="s">
        <v>585</v>
      </c>
      <c r="P78" s="7"/>
      <c r="Q78" s="7"/>
      <c r="R78" s="22" t="s">
        <v>6</v>
      </c>
      <c r="S78" s="22" t="s">
        <v>7</v>
      </c>
      <c r="T78" s="22" t="s">
        <v>173</v>
      </c>
      <c r="V78" s="63" t="s">
        <v>586</v>
      </c>
    </row>
    <row r="79" spans="2:22" x14ac:dyDescent="0.25">
      <c r="B79" s="23" t="str">
        <f>"P16  "&amp;$E$605</f>
        <v>P16  Lampung</v>
      </c>
      <c r="C79" s="70" t="s">
        <v>444</v>
      </c>
      <c r="D79" s="70" t="s">
        <v>587</v>
      </c>
      <c r="E79" s="61">
        <v>0</v>
      </c>
      <c r="F79" s="72" t="s">
        <v>274</v>
      </c>
      <c r="G79" s="45" t="str">
        <f>IF(ISNUMBER($E$607),YEAR($E$607),"not set")</f>
        <v>not set</v>
      </c>
      <c r="H79" s="73">
        <f>IF($E$56=1,$E$79,0)*$E$634</f>
        <v>0</v>
      </c>
      <c r="I79" s="8" t="str">
        <f>IF(H79=1,"Included",IF($E$79=1,IF($E$634=0,"WARNING: switched ON but EXCLUDED until ready - missing inputs: "&amp;$G$633,"Excluded - scenario 2 (existing only)"),IF($E$634=1,"Ready - switched OFF","Placeholder - inputs not yet populated (OFF)")))</f>
        <v>Placeholder - inputs not yet populated (OFF)</v>
      </c>
      <c r="J79" s="8"/>
      <c r="K79" s="8"/>
      <c r="L79" s="7" t="s">
        <v>274</v>
      </c>
      <c r="M79" s="7"/>
      <c r="N79" s="7"/>
      <c r="O79" s="7" t="s">
        <v>588</v>
      </c>
      <c r="P79" s="7"/>
      <c r="Q79" s="7"/>
      <c r="R79" s="22" t="s">
        <v>6</v>
      </c>
      <c r="S79" s="22" t="s">
        <v>7</v>
      </c>
      <c r="T79" s="22" t="s">
        <v>173</v>
      </c>
      <c r="V79" s="63" t="s">
        <v>589</v>
      </c>
    </row>
    <row r="80" spans="2:22" x14ac:dyDescent="0.25">
      <c r="B80" s="23" t="str">
        <f>"P17  "&amp;$E$639</f>
        <v>P17  Pipeline Project 2</v>
      </c>
      <c r="C80" s="70" t="s">
        <v>444</v>
      </c>
      <c r="D80" s="70" t="s">
        <v>590</v>
      </c>
      <c r="E80" s="61">
        <v>0</v>
      </c>
      <c r="F80" s="72" t="s">
        <v>274</v>
      </c>
      <c r="G80" s="45" t="str">
        <f>IF(ISNUMBER($E$641),YEAR($E$641),"not set")</f>
        <v>not set</v>
      </c>
      <c r="H80" s="73">
        <f>IF($E$56=1,$E$80,0)*$E$668</f>
        <v>0</v>
      </c>
      <c r="I80" s="8" t="str">
        <f>IF(H80=1,"Included",IF($E$80=1,IF($E$668=0,"WARNING: switched ON but EXCLUDED until ready - missing inputs: "&amp;$G$667,"Excluded - scenario 2 (existing only)"),IF($E$668=1,"Ready - switched OFF","Placeholder - inputs not yet populated (OFF)")))</f>
        <v>Placeholder - inputs not yet populated (OFF)</v>
      </c>
      <c r="J80" s="8"/>
      <c r="K80" s="8"/>
      <c r="L80" s="7" t="s">
        <v>274</v>
      </c>
      <c r="M80" s="7"/>
      <c r="N80" s="7"/>
      <c r="O80" s="7" t="s">
        <v>588</v>
      </c>
      <c r="P80" s="7"/>
      <c r="Q80" s="7"/>
      <c r="R80" s="22" t="s">
        <v>6</v>
      </c>
      <c r="S80" s="22" t="s">
        <v>7</v>
      </c>
      <c r="T80" s="22" t="s">
        <v>173</v>
      </c>
      <c r="V80" s="63" t="s">
        <v>591</v>
      </c>
    </row>
    <row r="81" spans="2:22" x14ac:dyDescent="0.25">
      <c r="B81" s="23" t="str">
        <f>"P18  "&amp;$E$673</f>
        <v>P18  Pipeline Project 3</v>
      </c>
      <c r="C81" s="70" t="s">
        <v>444</v>
      </c>
      <c r="D81" s="70" t="s">
        <v>592</v>
      </c>
      <c r="E81" s="61">
        <v>0</v>
      </c>
      <c r="F81" s="72" t="s">
        <v>274</v>
      </c>
      <c r="G81" s="45" t="str">
        <f>IF(ISNUMBER($E$675),YEAR($E$675),"not set")</f>
        <v>not set</v>
      </c>
      <c r="H81" s="73">
        <f>IF($E$56=1,$E$81,0)*$E$702</f>
        <v>0</v>
      </c>
      <c r="I81" s="8" t="str">
        <f>IF(H81=1,"Included",IF($E$81=1,IF($E$702=0,"WARNING: switched ON but EXCLUDED until ready - missing inputs: "&amp;$G$701,"Excluded - scenario 2 (existing only)"),IF($E$702=1,"Ready - switched OFF","Placeholder - inputs not yet populated (OFF)")))</f>
        <v>Placeholder - inputs not yet populated (OFF)</v>
      </c>
      <c r="J81" s="8"/>
      <c r="K81" s="8"/>
      <c r="L81" s="7" t="s">
        <v>274</v>
      </c>
      <c r="M81" s="7"/>
      <c r="N81" s="7"/>
      <c r="O81" s="7" t="s">
        <v>588</v>
      </c>
      <c r="P81" s="7"/>
      <c r="Q81" s="7"/>
      <c r="R81" s="22" t="s">
        <v>6</v>
      </c>
      <c r="S81" s="22" t="s">
        <v>7</v>
      </c>
      <c r="T81" s="22" t="s">
        <v>173</v>
      </c>
      <c r="V81" s="63" t="s">
        <v>593</v>
      </c>
    </row>
    <row r="82" spans="2:22" ht="24.75" customHeight="1" x14ac:dyDescent="0.25">
      <c r="B82" s="23" t="s">
        <v>594</v>
      </c>
      <c r="C82" s="75" t="s">
        <v>595</v>
      </c>
      <c r="D82" s="70" t="s">
        <v>596</v>
      </c>
      <c r="E82" s="61">
        <v>1</v>
      </c>
      <c r="F82" s="72" t="s">
        <v>274</v>
      </c>
      <c r="G82" s="45">
        <f>YEAR($E$571)</f>
        <v>2029</v>
      </c>
      <c r="H82" s="73">
        <f>IF($E$56=1,$E$82,0)</f>
        <v>1</v>
      </c>
      <c r="I82" s="5" t="str">
        <f>IF(H82=1,"Included in the valuation - DUMMY inputs (FS Data Request)",IF($E$56=2,"Excluded - scenario 2 (existing only)",IF($E$568=1,"Not in the valuation (OFF) - capex in the funding request (DUMMY)","Not in the valuation or the funding request")))</f>
        <v>Included in the valuation - DUMMY inputs (FS Data Request)</v>
      </c>
      <c r="J82" s="5"/>
      <c r="K82" s="5"/>
      <c r="L82" s="7" t="s">
        <v>285</v>
      </c>
      <c r="M82" s="7"/>
      <c r="N82" s="7"/>
      <c r="O82" s="7" t="s">
        <v>597</v>
      </c>
      <c r="P82" s="7"/>
      <c r="Q82" s="7"/>
      <c r="R82" s="22" t="s">
        <v>6</v>
      </c>
      <c r="S82" s="22" t="s">
        <v>7</v>
      </c>
      <c r="T82" s="22" t="s">
        <v>173</v>
      </c>
      <c r="V82" s="63" t="s">
        <v>598</v>
      </c>
    </row>
    <row r="83" spans="2:22" x14ac:dyDescent="0.25">
      <c r="B83" s="23" t="str">
        <f>"F01  "&amp;IF(LEN($E$711&amp;"")=0,"Funding-only project 1 (blank)",$E$711)</f>
        <v>F01  Funding-only project 1 (blank)</v>
      </c>
      <c r="C83" s="70" t="s">
        <v>599</v>
      </c>
      <c r="D83" s="70" t="s">
        <v>600</v>
      </c>
      <c r="E83" s="71" t="s">
        <v>601</v>
      </c>
      <c r="F83" s="72" t="s">
        <v>274</v>
      </c>
      <c r="G83" s="71" t="s">
        <v>600</v>
      </c>
      <c r="H83" s="38">
        <v>0</v>
      </c>
      <c r="I83" s="8" t="str">
        <f>IF(N($E$712)=0,"Blank - contributes nothing",IF($E$714=1,"Funding request only (never valued)","Excluded from the funding request"))</f>
        <v>Blank - contributes nothing</v>
      </c>
      <c r="J83" s="8"/>
      <c r="K83" s="8"/>
      <c r="L83" s="7" t="s">
        <v>602</v>
      </c>
      <c r="M83" s="7"/>
      <c r="N83" s="7"/>
      <c r="O83" s="7" t="s">
        <v>603</v>
      </c>
      <c r="P83" s="7"/>
      <c r="Q83" s="7"/>
      <c r="V83" s="63" t="s">
        <v>604</v>
      </c>
    </row>
    <row r="84" spans="2:22" x14ac:dyDescent="0.25">
      <c r="B84" s="23" t="str">
        <f>"F02  "&amp;IF(LEN($E$716&amp;"")=0,"Funding-only project 2 (blank)",$E$716)</f>
        <v>F02  Funding-only project 2 (blank)</v>
      </c>
      <c r="C84" s="70" t="s">
        <v>599</v>
      </c>
      <c r="D84" s="70" t="s">
        <v>600</v>
      </c>
      <c r="E84" s="71" t="s">
        <v>601</v>
      </c>
      <c r="F84" s="72" t="s">
        <v>274</v>
      </c>
      <c r="G84" s="71" t="s">
        <v>600</v>
      </c>
      <c r="H84" s="38">
        <v>0</v>
      </c>
      <c r="I84" s="8" t="str">
        <f>IF(N($E$717)=0,"Blank - contributes nothing",IF($E$719=1,"Funding request only (never valued)","Excluded from the funding request"))</f>
        <v>Blank - contributes nothing</v>
      </c>
      <c r="J84" s="8"/>
      <c r="K84" s="8"/>
      <c r="L84" s="7" t="s">
        <v>602</v>
      </c>
      <c r="M84" s="7"/>
      <c r="N84" s="7"/>
      <c r="O84" s="7" t="s">
        <v>603</v>
      </c>
      <c r="P84" s="7"/>
      <c r="Q84" s="7"/>
      <c r="V84" s="63" t="s">
        <v>604</v>
      </c>
    </row>
    <row r="85" spans="2:22" x14ac:dyDescent="0.25">
      <c r="B85" s="23" t="str">
        <f>"F03  "&amp;IF(LEN($E$721&amp;"")=0,"Funding-only project 3 (blank)",$E$721)</f>
        <v>F03  Funding-only project 3 (blank)</v>
      </c>
      <c r="C85" s="70" t="s">
        <v>599</v>
      </c>
      <c r="D85" s="70" t="s">
        <v>600</v>
      </c>
      <c r="E85" s="71" t="s">
        <v>601</v>
      </c>
      <c r="F85" s="72" t="s">
        <v>274</v>
      </c>
      <c r="G85" s="71" t="s">
        <v>600</v>
      </c>
      <c r="H85" s="38">
        <v>0</v>
      </c>
      <c r="I85" s="8" t="str">
        <f>IF(N($E$722)=0,"Blank - contributes nothing",IF($E$724=1,"Funding request only (never valued)","Excluded from the funding request"))</f>
        <v>Blank - contributes nothing</v>
      </c>
      <c r="J85" s="8"/>
      <c r="K85" s="8"/>
      <c r="L85" s="7" t="s">
        <v>602</v>
      </c>
      <c r="M85" s="7"/>
      <c r="N85" s="7"/>
      <c r="O85" s="7" t="s">
        <v>603</v>
      </c>
      <c r="P85" s="7"/>
      <c r="Q85" s="7"/>
      <c r="V85" s="63" t="s">
        <v>604</v>
      </c>
    </row>
    <row r="86" spans="2:22" x14ac:dyDescent="0.25">
      <c r="B86" s="23" t="str">
        <f>"F04  "&amp;IF(LEN($E$726&amp;"")=0,"Funding-only project 4 (blank)",$E$726)</f>
        <v>F04  Funding-only project 4 (blank)</v>
      </c>
      <c r="C86" s="70" t="s">
        <v>599</v>
      </c>
      <c r="D86" s="70" t="s">
        <v>600</v>
      </c>
      <c r="E86" s="71" t="s">
        <v>601</v>
      </c>
      <c r="F86" s="72" t="s">
        <v>274</v>
      </c>
      <c r="G86" s="71" t="s">
        <v>600</v>
      </c>
      <c r="H86" s="38">
        <v>0</v>
      </c>
      <c r="I86" s="8" t="str">
        <f>IF(N($E$727)=0,"Blank - contributes nothing",IF($E$729=1,"Funding request only (never valued)","Excluded from the funding request"))</f>
        <v>Blank - contributes nothing</v>
      </c>
      <c r="J86" s="8"/>
      <c r="K86" s="8"/>
      <c r="L86" s="7" t="s">
        <v>602</v>
      </c>
      <c r="M86" s="7"/>
      <c r="N86" s="7"/>
      <c r="O86" s="7" t="s">
        <v>603</v>
      </c>
      <c r="P86" s="7"/>
      <c r="Q86" s="7"/>
      <c r="V86" s="63" t="s">
        <v>604</v>
      </c>
    </row>
    <row r="87" spans="2:22" x14ac:dyDescent="0.25">
      <c r="B87" s="23" t="str">
        <f>"F05  "&amp;IF(LEN($E$731&amp;"")=0,"Funding-only project 5 (blank)",$E$731)</f>
        <v>F05  Funding-only project 5 (blank)</v>
      </c>
      <c r="C87" s="70" t="s">
        <v>599</v>
      </c>
      <c r="D87" s="70" t="s">
        <v>600</v>
      </c>
      <c r="E87" s="71" t="s">
        <v>601</v>
      </c>
      <c r="F87" s="72" t="s">
        <v>274</v>
      </c>
      <c r="G87" s="71" t="s">
        <v>600</v>
      </c>
      <c r="H87" s="38">
        <v>0</v>
      </c>
      <c r="I87" s="8" t="str">
        <f>IF(N($E$732)=0,"Blank - contributes nothing",IF($E$734=1,"Funding request only (never valued)","Excluded from the funding request"))</f>
        <v>Blank - contributes nothing</v>
      </c>
      <c r="J87" s="8"/>
      <c r="K87" s="8"/>
      <c r="L87" s="7" t="s">
        <v>602</v>
      </c>
      <c r="M87" s="7"/>
      <c r="N87" s="7"/>
      <c r="O87" s="7" t="s">
        <v>603</v>
      </c>
      <c r="P87" s="7"/>
      <c r="Q87" s="7"/>
      <c r="V87" s="63" t="s">
        <v>604</v>
      </c>
    </row>
    <row r="88" spans="2:22" x14ac:dyDescent="0.25">
      <c r="B88" s="63" t="s">
        <v>605</v>
      </c>
      <c r="E88" s="76">
        <f>SUMPRODUCT(--(E64:E82&lt;&gt;'Source Data'!E64:E82))+SUMPRODUCT(--(G64:G78&lt;&gt;'Source Data'!G64:G78))</f>
        <v>1</v>
      </c>
      <c r="G88" s="77" t="s">
        <v>606</v>
      </c>
      <c r="H88" s="78">
        <f>SUM(H64:H82)</f>
        <v>15</v>
      </c>
      <c r="I88" s="79">
        <f>SUM(H75:H77)</f>
        <v>3</v>
      </c>
      <c r="J88" s="63" t="s">
        <v>607</v>
      </c>
    </row>
    <row r="89" spans="2:22" x14ac:dyDescent="0.25">
      <c r="B89" s="63" t="s">
        <v>608</v>
      </c>
    </row>
    <row r="91" spans="2:22" x14ac:dyDescent="0.25">
      <c r="B91" s="58" t="s">
        <v>609</v>
      </c>
      <c r="C91" s="19"/>
      <c r="D91" s="19"/>
      <c r="E91" s="19"/>
      <c r="F91" s="19"/>
      <c r="G91" s="19"/>
      <c r="H91" s="19"/>
      <c r="I91" s="19"/>
      <c r="J91" s="19"/>
      <c r="K91" s="19"/>
      <c r="L91" s="19"/>
      <c r="M91" s="19"/>
      <c r="N91" s="19"/>
      <c r="O91" s="19"/>
      <c r="P91" s="19"/>
      <c r="Q91" s="19"/>
      <c r="R91" s="19"/>
      <c r="S91" s="19"/>
      <c r="T91" s="19"/>
      <c r="U91" s="19"/>
      <c r="V91" s="19"/>
    </row>
    <row r="92" spans="2:22" x14ac:dyDescent="0.25">
      <c r="B92" s="59" t="s">
        <v>610</v>
      </c>
      <c r="C92" s="59" t="s">
        <v>466</v>
      </c>
      <c r="D92" s="59" t="s">
        <v>467</v>
      </c>
      <c r="E92" s="59" t="s">
        <v>468</v>
      </c>
      <c r="F92" s="59" t="s">
        <v>469</v>
      </c>
      <c r="G92" s="80" t="s">
        <v>611</v>
      </c>
      <c r="H92" s="81">
        <v>2024</v>
      </c>
      <c r="I92" s="81">
        <v>2025</v>
      </c>
      <c r="J92" s="81">
        <v>2026</v>
      </c>
      <c r="K92" s="81">
        <v>2027</v>
      </c>
      <c r="L92" s="81">
        <v>2028</v>
      </c>
      <c r="M92" s="81">
        <v>2029</v>
      </c>
      <c r="N92" s="81">
        <v>2030</v>
      </c>
      <c r="O92" s="81">
        <v>2031</v>
      </c>
      <c r="P92" s="81">
        <v>2032</v>
      </c>
      <c r="Q92" s="81">
        <v>2033</v>
      </c>
      <c r="R92" s="81">
        <v>2034</v>
      </c>
      <c r="S92" s="81">
        <v>2035</v>
      </c>
      <c r="T92" s="81">
        <v>2036</v>
      </c>
      <c r="U92" s="59" t="s">
        <v>470</v>
      </c>
      <c r="V92" s="59" t="s">
        <v>471</v>
      </c>
    </row>
    <row r="93" spans="2:22" x14ac:dyDescent="0.25">
      <c r="B93" s="23" t="s">
        <v>612</v>
      </c>
      <c r="C93" s="28" t="s">
        <v>613</v>
      </c>
      <c r="D93" s="52" t="s">
        <v>436</v>
      </c>
      <c r="E93" s="82">
        <v>46387</v>
      </c>
      <c r="F93" s="44" t="s">
        <v>614</v>
      </c>
      <c r="U93" s="62" t="str">
        <f>IF(E93='Source Data'!E93,"","changed")</f>
        <v/>
      </c>
      <c r="V93" s="66" t="s">
        <v>615</v>
      </c>
    </row>
    <row r="94" spans="2:22" x14ac:dyDescent="0.25">
      <c r="B94" s="23" t="s">
        <v>616</v>
      </c>
      <c r="C94" s="28" t="s">
        <v>473</v>
      </c>
      <c r="D94" s="54" t="s">
        <v>440</v>
      </c>
      <c r="E94" s="83">
        <v>2</v>
      </c>
      <c r="F94" s="44" t="s">
        <v>274</v>
      </c>
      <c r="U94" s="62" t="str">
        <f>IF(E94='Source Data'!E94,"","changed")</f>
        <v/>
      </c>
      <c r="V94" s="84" t="s">
        <v>617</v>
      </c>
    </row>
    <row r="95" spans="2:22" ht="36" customHeight="1" x14ac:dyDescent="0.25">
      <c r="B95" s="64" t="s">
        <v>618</v>
      </c>
      <c r="C95" s="28" t="s">
        <v>619</v>
      </c>
      <c r="D95" s="50" t="s">
        <v>432</v>
      </c>
      <c r="F95" s="85" t="s">
        <v>620</v>
      </c>
      <c r="G95" s="86">
        <v>16265</v>
      </c>
      <c r="H95" s="86">
        <v>16265</v>
      </c>
      <c r="I95" s="86">
        <v>16265</v>
      </c>
      <c r="J95" s="86">
        <v>16265</v>
      </c>
      <c r="K95" s="86">
        <v>16265</v>
      </c>
      <c r="L95" s="86">
        <v>16265</v>
      </c>
      <c r="M95" s="86">
        <v>16265</v>
      </c>
      <c r="N95" s="86">
        <v>16265</v>
      </c>
      <c r="O95" s="86">
        <v>16265</v>
      </c>
      <c r="P95" s="86">
        <v>16265</v>
      </c>
      <c r="Q95" s="86">
        <v>16265</v>
      </c>
      <c r="R95" s="86">
        <v>16265</v>
      </c>
      <c r="S95" s="86">
        <v>16265</v>
      </c>
      <c r="T95" s="86">
        <v>16265</v>
      </c>
      <c r="U95" s="62" t="str">
        <f>IF(SUMPRODUCT(--(G95:T95&lt;&gt;'Source Data'!G95:T95))=0,"",SUMPRODUCT(--(G95:T95&lt;&gt;'Source Data'!G95:T95))&amp;" yr")</f>
        <v/>
      </c>
      <c r="V95" s="63" t="s">
        <v>621</v>
      </c>
    </row>
    <row r="96" spans="2:22" x14ac:dyDescent="0.25">
      <c r="B96" s="63" t="s">
        <v>622</v>
      </c>
    </row>
    <row r="97" spans="2:22" x14ac:dyDescent="0.25">
      <c r="B97" s="63" t="s">
        <v>623</v>
      </c>
    </row>
    <row r="99" spans="2:22" x14ac:dyDescent="0.25">
      <c r="B99" s="58" t="s">
        <v>624</v>
      </c>
      <c r="C99" s="19"/>
      <c r="D99" s="19"/>
      <c r="E99" s="19"/>
      <c r="F99" s="19"/>
      <c r="G99" s="19"/>
      <c r="H99" s="19"/>
      <c r="I99" s="19"/>
      <c r="J99" s="19"/>
      <c r="K99" s="19"/>
      <c r="L99" s="19"/>
      <c r="M99" s="19"/>
      <c r="N99" s="19"/>
      <c r="O99" s="19"/>
      <c r="P99" s="19"/>
      <c r="Q99" s="19"/>
      <c r="R99" s="19"/>
      <c r="S99" s="19"/>
      <c r="T99" s="19"/>
      <c r="U99" s="19"/>
      <c r="V99" s="19"/>
    </row>
    <row r="100" spans="2:22" x14ac:dyDescent="0.25">
      <c r="B100" s="63" t="s">
        <v>625</v>
      </c>
    </row>
    <row r="101" spans="2:22" x14ac:dyDescent="0.25">
      <c r="B101" s="42" t="s">
        <v>626</v>
      </c>
    </row>
    <row r="102" spans="2:22" x14ac:dyDescent="0.25">
      <c r="B102" s="59" t="s">
        <v>627</v>
      </c>
      <c r="C102" s="59" t="s">
        <v>466</v>
      </c>
      <c r="D102" s="59" t="s">
        <v>467</v>
      </c>
      <c r="E102" s="59" t="s">
        <v>468</v>
      </c>
      <c r="F102" s="59" t="s">
        <v>469</v>
      </c>
      <c r="G102" s="80" t="s">
        <v>628</v>
      </c>
      <c r="H102" s="81">
        <v>2024</v>
      </c>
      <c r="I102" s="81">
        <v>2025</v>
      </c>
      <c r="J102" s="81">
        <v>2026</v>
      </c>
      <c r="K102" s="81">
        <v>2027</v>
      </c>
      <c r="L102" s="81">
        <v>2028</v>
      </c>
      <c r="M102" s="81">
        <v>2029</v>
      </c>
      <c r="N102" s="81">
        <v>2030</v>
      </c>
      <c r="O102" s="81">
        <v>2031</v>
      </c>
      <c r="P102" s="81">
        <v>2032</v>
      </c>
      <c r="Q102" s="81">
        <v>2033</v>
      </c>
      <c r="R102" s="81">
        <v>2034</v>
      </c>
      <c r="S102" s="81">
        <v>2035</v>
      </c>
      <c r="T102" s="81">
        <v>2036</v>
      </c>
      <c r="U102" s="59" t="s">
        <v>470</v>
      </c>
      <c r="V102" s="59" t="s">
        <v>471</v>
      </c>
    </row>
    <row r="103" spans="2:22" x14ac:dyDescent="0.25">
      <c r="B103" s="23" t="s">
        <v>629</v>
      </c>
      <c r="C103" s="28" t="s">
        <v>630</v>
      </c>
      <c r="D103" s="50" t="s">
        <v>432</v>
      </c>
      <c r="E103" s="86">
        <v>2292945.63</v>
      </c>
      <c r="F103" s="44" t="s">
        <v>631</v>
      </c>
      <c r="U103" s="62" t="str">
        <f>IF(E103='Source Data'!E103,"","changed")</f>
        <v/>
      </c>
      <c r="V103" s="63"/>
    </row>
    <row r="104" spans="2:22" x14ac:dyDescent="0.25">
      <c r="B104" s="23" t="s">
        <v>632</v>
      </c>
      <c r="C104" s="28" t="s">
        <v>292</v>
      </c>
      <c r="D104" s="50" t="s">
        <v>432</v>
      </c>
      <c r="E104" s="87">
        <v>0.9</v>
      </c>
      <c r="F104" s="44" t="s">
        <v>633</v>
      </c>
      <c r="U104" s="62" t="str">
        <f>IF(E104='Source Data'!E104,"","changed")</f>
        <v/>
      </c>
      <c r="V104" s="63"/>
    </row>
    <row r="105" spans="2:22" x14ac:dyDescent="0.25">
      <c r="B105" s="23" t="s">
        <v>634</v>
      </c>
      <c r="C105" s="28" t="s">
        <v>630</v>
      </c>
      <c r="D105" s="50" t="s">
        <v>432</v>
      </c>
      <c r="E105" s="86">
        <v>1686920.22</v>
      </c>
      <c r="F105" s="44" t="s">
        <v>635</v>
      </c>
      <c r="U105" s="62" t="str">
        <f>IF(E105='Source Data'!E105,"","changed")</f>
        <v/>
      </c>
      <c r="V105" s="63"/>
    </row>
    <row r="106" spans="2:22" x14ac:dyDescent="0.25">
      <c r="B106" s="23" t="s">
        <v>636</v>
      </c>
      <c r="C106" s="28" t="s">
        <v>292</v>
      </c>
      <c r="D106" s="50" t="s">
        <v>432</v>
      </c>
      <c r="E106" s="87">
        <v>0.95</v>
      </c>
      <c r="F106" s="44" t="s">
        <v>637</v>
      </c>
      <c r="U106" s="62" t="str">
        <f>IF(E106='Source Data'!E106,"","changed")</f>
        <v/>
      </c>
      <c r="V106" s="63"/>
    </row>
    <row r="107" spans="2:22" x14ac:dyDescent="0.25">
      <c r="B107" s="23" t="s">
        <v>638</v>
      </c>
      <c r="C107" s="28" t="s">
        <v>630</v>
      </c>
      <c r="D107" s="50" t="s">
        <v>432</v>
      </c>
      <c r="E107" s="86">
        <v>3579865.85</v>
      </c>
      <c r="F107" s="44" t="s">
        <v>639</v>
      </c>
      <c r="U107" s="62" t="str">
        <f>IF(E107='Source Data'!E107,"","changed")</f>
        <v/>
      </c>
      <c r="V107" s="63"/>
    </row>
    <row r="108" spans="2:22" x14ac:dyDescent="0.25">
      <c r="B108" s="23" t="s">
        <v>640</v>
      </c>
      <c r="C108" s="28" t="s">
        <v>292</v>
      </c>
      <c r="D108" s="50" t="s">
        <v>432</v>
      </c>
      <c r="F108" s="44" t="s">
        <v>641</v>
      </c>
      <c r="H108" s="87">
        <v>0</v>
      </c>
      <c r="I108" s="87">
        <v>0.03</v>
      </c>
      <c r="J108" s="87">
        <v>0.03</v>
      </c>
      <c r="K108" s="87">
        <v>0.03</v>
      </c>
      <c r="L108" s="87">
        <v>0.03</v>
      </c>
      <c r="M108" s="87">
        <v>0.03</v>
      </c>
      <c r="N108" s="87">
        <v>0.03</v>
      </c>
      <c r="O108" s="87">
        <v>0.03</v>
      </c>
      <c r="P108" s="87">
        <v>0.03</v>
      </c>
      <c r="Q108" s="87">
        <v>0.03</v>
      </c>
      <c r="R108" s="87">
        <v>0.03</v>
      </c>
      <c r="S108" s="87">
        <v>0.03</v>
      </c>
      <c r="T108" s="87">
        <v>0.03</v>
      </c>
      <c r="U108" s="62" t="str">
        <f>IF(SUMPRODUCT(--(H108:T108&lt;&gt;'Source Data'!H108:T108))=0,"",SUMPRODUCT(--(H108:T108&lt;&gt;'Source Data'!H108:T108))&amp;" yr")</f>
        <v/>
      </c>
      <c r="V108" s="63" t="s">
        <v>642</v>
      </c>
    </row>
    <row r="109" spans="2:22" x14ac:dyDescent="0.25">
      <c r="B109" s="23" t="s">
        <v>643</v>
      </c>
      <c r="C109" s="28" t="s">
        <v>292</v>
      </c>
      <c r="D109" s="50" t="s">
        <v>432</v>
      </c>
      <c r="F109" s="44" t="s">
        <v>644</v>
      </c>
      <c r="H109" s="87">
        <v>0</v>
      </c>
      <c r="I109" s="87">
        <v>0.03</v>
      </c>
      <c r="J109" s="87">
        <v>0.03</v>
      </c>
      <c r="K109" s="87">
        <v>0.03</v>
      </c>
      <c r="L109" s="87">
        <v>0.03</v>
      </c>
      <c r="M109" s="87">
        <v>0.03</v>
      </c>
      <c r="N109" s="87">
        <v>0.03</v>
      </c>
      <c r="O109" s="87">
        <v>0.03</v>
      </c>
      <c r="P109" s="87">
        <v>0.03</v>
      </c>
      <c r="Q109" s="87">
        <v>0.03</v>
      </c>
      <c r="R109" s="87">
        <v>0.03</v>
      </c>
      <c r="S109" s="87">
        <v>0.03</v>
      </c>
      <c r="T109" s="87">
        <v>0.03</v>
      </c>
      <c r="U109" s="62" t="str">
        <f>IF(SUMPRODUCT(--(H109:T109&lt;&gt;'Source Data'!H109:T109))=0,"",SUMPRODUCT(--(H109:T109&lt;&gt;'Source Data'!H109:T109))&amp;" yr")</f>
        <v/>
      </c>
      <c r="V109" s="63" t="s">
        <v>645</v>
      </c>
    </row>
    <row r="110" spans="2:22" x14ac:dyDescent="0.25">
      <c r="B110" s="23" t="s">
        <v>646</v>
      </c>
      <c r="C110" s="28" t="s">
        <v>647</v>
      </c>
      <c r="D110" s="50" t="s">
        <v>432</v>
      </c>
      <c r="F110" s="44" t="s">
        <v>648</v>
      </c>
      <c r="H110" s="86">
        <v>42880</v>
      </c>
      <c r="I110" s="86">
        <v>42880</v>
      </c>
      <c r="J110" s="86">
        <v>42880</v>
      </c>
      <c r="K110" s="86">
        <v>42880</v>
      </c>
      <c r="L110" s="86">
        <v>42880</v>
      </c>
      <c r="M110" s="86">
        <v>44166.400000000001</v>
      </c>
      <c r="N110" s="86">
        <v>44166.400000000001</v>
      </c>
      <c r="O110" s="86">
        <v>44166.400000000001</v>
      </c>
      <c r="P110" s="86">
        <v>45491.392</v>
      </c>
      <c r="Q110" s="86">
        <v>45491.392</v>
      </c>
      <c r="R110" s="86">
        <v>45491.392</v>
      </c>
      <c r="S110" s="86">
        <v>45491.392</v>
      </c>
      <c r="T110" s="86">
        <v>45491.392</v>
      </c>
      <c r="U110" s="62" t="str">
        <f>IF(SUMPRODUCT(--(H110:T110&lt;&gt;'Source Data'!H110:T110))=0,"",SUMPRODUCT(--(H110:T110&lt;&gt;'Source Data'!H110:T110))&amp;" yr")</f>
        <v/>
      </c>
      <c r="V110" s="63" t="s">
        <v>642</v>
      </c>
    </row>
    <row r="111" spans="2:22" x14ac:dyDescent="0.25">
      <c r="B111" s="23" t="s">
        <v>649</v>
      </c>
      <c r="C111" s="28" t="s">
        <v>647</v>
      </c>
      <c r="D111" s="50" t="s">
        <v>432</v>
      </c>
      <c r="F111" s="44" t="s">
        <v>650</v>
      </c>
      <c r="H111" s="86">
        <v>42400</v>
      </c>
      <c r="I111" s="86">
        <v>42400</v>
      </c>
      <c r="J111" s="86">
        <v>42400</v>
      </c>
      <c r="K111" s="86">
        <v>42400</v>
      </c>
      <c r="L111" s="86">
        <v>42400</v>
      </c>
      <c r="M111" s="86">
        <v>43672</v>
      </c>
      <c r="N111" s="86">
        <v>43672</v>
      </c>
      <c r="O111" s="86">
        <v>43672</v>
      </c>
      <c r="P111" s="86">
        <v>44982.16</v>
      </c>
      <c r="Q111" s="86">
        <v>44982.16</v>
      </c>
      <c r="R111" s="86">
        <v>44982.16</v>
      </c>
      <c r="S111" s="86">
        <v>44982.16</v>
      </c>
      <c r="T111" s="86">
        <v>44982.16</v>
      </c>
      <c r="U111" s="62" t="str">
        <f>IF(SUMPRODUCT(--(H111:T111&lt;&gt;'Source Data'!H111:T111))=0,"",SUMPRODUCT(--(H111:T111&lt;&gt;'Source Data'!H111:T111))&amp;" yr")</f>
        <v/>
      </c>
      <c r="V111" s="63" t="s">
        <v>642</v>
      </c>
    </row>
    <row r="112" spans="2:22" ht="26.25" customHeight="1" x14ac:dyDescent="0.25">
      <c r="B112" s="64" t="s">
        <v>651</v>
      </c>
      <c r="C112" s="28" t="s">
        <v>493</v>
      </c>
      <c r="D112" s="51" t="s">
        <v>434</v>
      </c>
      <c r="F112" s="44" t="s">
        <v>652</v>
      </c>
      <c r="H112" s="88">
        <v>41.467075682422298</v>
      </c>
      <c r="I112" s="88">
        <v>41.467075682422298</v>
      </c>
      <c r="J112" s="88">
        <v>42.467075682422298</v>
      </c>
      <c r="K112" s="88">
        <v>42.467075682422298</v>
      </c>
      <c r="L112" s="88">
        <v>42.467075682422298</v>
      </c>
      <c r="M112" s="88">
        <v>43.467075682422298</v>
      </c>
      <c r="N112" s="88">
        <v>43.467075682422298</v>
      </c>
      <c r="O112" s="88">
        <v>43.467075682422298</v>
      </c>
      <c r="P112" s="88">
        <v>44.467075682422298</v>
      </c>
      <c r="Q112" s="88">
        <v>44.467075682422298</v>
      </c>
      <c r="R112" s="88">
        <v>44.467075682422298</v>
      </c>
      <c r="S112" s="88">
        <v>44.467075682422298</v>
      </c>
      <c r="T112" s="88">
        <v>44.467075682422298</v>
      </c>
      <c r="U112" s="62" t="str">
        <f>IF(SUMPRODUCT(--(H112:T112&lt;&gt;'Source Data'!H112:T112))=0,"",SUMPRODUCT(--(H112:T112&lt;&gt;'Source Data'!H112:T112))&amp;" yr")</f>
        <v/>
      </c>
      <c r="V112" s="63" t="s">
        <v>653</v>
      </c>
    </row>
    <row r="113" spans="2:22" x14ac:dyDescent="0.25">
      <c r="B113" s="42" t="s">
        <v>654</v>
      </c>
    </row>
    <row r="114" spans="2:22" x14ac:dyDescent="0.25">
      <c r="B114" s="59" t="s">
        <v>655</v>
      </c>
      <c r="C114" s="59" t="s">
        <v>466</v>
      </c>
      <c r="D114" s="59" t="s">
        <v>467</v>
      </c>
      <c r="E114" s="59" t="s">
        <v>468</v>
      </c>
      <c r="F114" s="59" t="s">
        <v>469</v>
      </c>
      <c r="G114" s="80" t="s">
        <v>628</v>
      </c>
      <c r="H114" s="81">
        <v>2024</v>
      </c>
      <c r="I114" s="81">
        <v>2025</v>
      </c>
      <c r="J114" s="81">
        <v>2026</v>
      </c>
      <c r="K114" s="81">
        <v>2027</v>
      </c>
      <c r="L114" s="81">
        <v>2028</v>
      </c>
      <c r="M114" s="81">
        <v>2029</v>
      </c>
      <c r="N114" s="81">
        <v>2030</v>
      </c>
      <c r="O114" s="81">
        <v>2031</v>
      </c>
      <c r="P114" s="81">
        <v>2032</v>
      </c>
      <c r="Q114" s="81">
        <v>2033</v>
      </c>
      <c r="R114" s="81">
        <v>2034</v>
      </c>
      <c r="S114" s="81">
        <v>2035</v>
      </c>
      <c r="T114" s="81">
        <v>2036</v>
      </c>
      <c r="U114" s="59" t="s">
        <v>470</v>
      </c>
      <c r="V114" s="59" t="s">
        <v>471</v>
      </c>
    </row>
    <row r="115" spans="2:22" x14ac:dyDescent="0.25">
      <c r="B115" s="23" t="s">
        <v>656</v>
      </c>
      <c r="C115" s="28" t="s">
        <v>630</v>
      </c>
      <c r="D115" s="50" t="s">
        <v>432</v>
      </c>
      <c r="E115" s="86">
        <v>1100000</v>
      </c>
      <c r="F115" s="44" t="s">
        <v>657</v>
      </c>
      <c r="U115" s="62" t="str">
        <f>IF(E115='Source Data'!E115,"","changed")</f>
        <v/>
      </c>
      <c r="V115" s="63" t="s">
        <v>658</v>
      </c>
    </row>
    <row r="116" spans="2:22" x14ac:dyDescent="0.25">
      <c r="B116" s="23" t="s">
        <v>659</v>
      </c>
      <c r="C116" s="28" t="s">
        <v>630</v>
      </c>
      <c r="D116" s="50" t="s">
        <v>432</v>
      </c>
      <c r="E116" s="86">
        <v>1990024.66</v>
      </c>
      <c r="F116" s="44" t="s">
        <v>660</v>
      </c>
      <c r="U116" s="62" t="str">
        <f>IF(E116='Source Data'!E116,"","changed")</f>
        <v/>
      </c>
      <c r="V116" s="63"/>
    </row>
    <row r="117" spans="2:22" x14ac:dyDescent="0.25">
      <c r="B117" s="23" t="s">
        <v>661</v>
      </c>
      <c r="C117" s="28" t="s">
        <v>292</v>
      </c>
      <c r="D117" s="50" t="s">
        <v>432</v>
      </c>
      <c r="F117" s="44" t="s">
        <v>662</v>
      </c>
      <c r="H117" s="87">
        <v>0</v>
      </c>
      <c r="I117" s="87">
        <v>0.03</v>
      </c>
      <c r="J117" s="87">
        <v>0.03</v>
      </c>
      <c r="K117" s="87">
        <v>0.03</v>
      </c>
      <c r="L117" s="87">
        <v>0.03</v>
      </c>
      <c r="M117" s="87">
        <v>0.03</v>
      </c>
      <c r="N117" s="87">
        <v>0.03</v>
      </c>
      <c r="O117" s="87">
        <v>0.03</v>
      </c>
      <c r="P117" s="87">
        <v>0.03</v>
      </c>
      <c r="Q117" s="87">
        <v>0.03</v>
      </c>
      <c r="R117" s="87">
        <v>0.03</v>
      </c>
      <c r="S117" s="87">
        <v>0.03</v>
      </c>
      <c r="T117" s="87">
        <v>0.03</v>
      </c>
      <c r="U117" s="62" t="str">
        <f>IF(SUMPRODUCT(--(H117:T117&lt;&gt;'Source Data'!H117:T117))=0,"",SUMPRODUCT(--(H117:T117&lt;&gt;'Source Data'!H117:T117))&amp;" yr")</f>
        <v/>
      </c>
      <c r="V117" s="63" t="s">
        <v>642</v>
      </c>
    </row>
    <row r="118" spans="2:22" x14ac:dyDescent="0.25">
      <c r="B118" s="23" t="s">
        <v>663</v>
      </c>
      <c r="C118" s="28" t="s">
        <v>647</v>
      </c>
      <c r="D118" s="50" t="s">
        <v>432</v>
      </c>
      <c r="F118" s="44" t="s">
        <v>664</v>
      </c>
      <c r="H118" s="86">
        <v>35143.599999999999</v>
      </c>
      <c r="I118" s="86">
        <v>40944</v>
      </c>
      <c r="J118" s="86">
        <v>40944</v>
      </c>
      <c r="K118" s="86">
        <v>49132.800000000003</v>
      </c>
      <c r="L118" s="86">
        <v>49132.800000000003</v>
      </c>
      <c r="M118" s="86">
        <v>54046.080000000002</v>
      </c>
      <c r="N118" s="86">
        <v>54046.080000000002</v>
      </c>
      <c r="O118" s="86">
        <v>57288.844799999999</v>
      </c>
      <c r="P118" s="86">
        <v>57288.844799999999</v>
      </c>
      <c r="Q118" s="86">
        <v>60726.175488000001</v>
      </c>
      <c r="R118" s="86">
        <v>60726.175488000001</v>
      </c>
      <c r="S118" s="86">
        <v>60726.175488000001</v>
      </c>
      <c r="T118" s="86">
        <v>60726.175488000001</v>
      </c>
      <c r="U118" s="62" t="str">
        <f>IF(SUMPRODUCT(--(H118:T118&lt;&gt;'Source Data'!H118:T118))=0,"",SUMPRODUCT(--(H118:T118&lt;&gt;'Source Data'!H118:T118))&amp;" yr")</f>
        <v/>
      </c>
      <c r="V118" s="63" t="s">
        <v>665</v>
      </c>
    </row>
    <row r="119" spans="2:22" ht="26.25" customHeight="1" x14ac:dyDescent="0.25">
      <c r="B119" s="64" t="s">
        <v>651</v>
      </c>
      <c r="C119" s="28" t="s">
        <v>493</v>
      </c>
      <c r="D119" s="51" t="s">
        <v>434</v>
      </c>
      <c r="F119" s="44" t="s">
        <v>666</v>
      </c>
      <c r="H119" s="88">
        <v>40.829176858830003</v>
      </c>
      <c r="I119" s="88">
        <v>40.829176858830003</v>
      </c>
      <c r="J119" s="88">
        <v>41.829176858830003</v>
      </c>
      <c r="K119" s="88">
        <v>41.829176858830003</v>
      </c>
      <c r="L119" s="88">
        <v>41.829176858830003</v>
      </c>
      <c r="M119" s="88">
        <v>42.829176858830003</v>
      </c>
      <c r="N119" s="88">
        <v>42.829176858830003</v>
      </c>
      <c r="O119" s="88">
        <v>42.829176858830003</v>
      </c>
      <c r="P119" s="88">
        <v>43.829176858830003</v>
      </c>
      <c r="Q119" s="88">
        <v>43.829176858830003</v>
      </c>
      <c r="R119" s="88">
        <v>43.829176858830003</v>
      </c>
      <c r="S119" s="88">
        <v>43.829176858830003</v>
      </c>
      <c r="T119" s="88">
        <v>43.829176858830003</v>
      </c>
      <c r="U119" s="62" t="str">
        <f>IF(SUMPRODUCT(--(H119:T119&lt;&gt;'Source Data'!H119:T119))=0,"",SUMPRODUCT(--(H119:T119&lt;&gt;'Source Data'!H119:T119))&amp;" yr")</f>
        <v/>
      </c>
      <c r="V119" s="63" t="s">
        <v>667</v>
      </c>
    </row>
    <row r="120" spans="2:22" x14ac:dyDescent="0.25">
      <c r="B120" s="42" t="s">
        <v>668</v>
      </c>
    </row>
    <row r="121" spans="2:22" x14ac:dyDescent="0.25">
      <c r="B121" s="59" t="s">
        <v>669</v>
      </c>
      <c r="C121" s="59" t="s">
        <v>466</v>
      </c>
      <c r="D121" s="59" t="s">
        <v>467</v>
      </c>
      <c r="E121" s="59" t="s">
        <v>468</v>
      </c>
      <c r="F121" s="59" t="s">
        <v>469</v>
      </c>
      <c r="G121" s="80" t="s">
        <v>628</v>
      </c>
      <c r="H121" s="81">
        <v>2024</v>
      </c>
      <c r="I121" s="81">
        <v>2025</v>
      </c>
      <c r="J121" s="81">
        <v>2026</v>
      </c>
      <c r="K121" s="81">
        <v>2027</v>
      </c>
      <c r="L121" s="81">
        <v>2028</v>
      </c>
      <c r="M121" s="81">
        <v>2029</v>
      </c>
      <c r="N121" s="81">
        <v>2030</v>
      </c>
      <c r="O121" s="81">
        <v>2031</v>
      </c>
      <c r="P121" s="81">
        <v>2032</v>
      </c>
      <c r="Q121" s="81">
        <v>2033</v>
      </c>
      <c r="R121" s="81">
        <v>2034</v>
      </c>
      <c r="S121" s="81">
        <v>2035</v>
      </c>
      <c r="T121" s="81">
        <v>2036</v>
      </c>
      <c r="U121" s="59" t="s">
        <v>470</v>
      </c>
      <c r="V121" s="59" t="s">
        <v>471</v>
      </c>
    </row>
    <row r="122" spans="2:22" x14ac:dyDescent="0.25">
      <c r="B122" s="23" t="s">
        <v>670</v>
      </c>
      <c r="C122" s="28" t="s">
        <v>630</v>
      </c>
      <c r="D122" s="50" t="s">
        <v>432</v>
      </c>
      <c r="E122" s="86">
        <v>750000</v>
      </c>
      <c r="F122" s="44" t="s">
        <v>671</v>
      </c>
      <c r="U122" s="62" t="str">
        <f>IF(E122='Source Data'!E122,"","changed")</f>
        <v/>
      </c>
      <c r="V122" s="63"/>
    </row>
    <row r="123" spans="2:22" x14ac:dyDescent="0.25">
      <c r="B123" s="23" t="s">
        <v>659</v>
      </c>
      <c r="C123" s="28" t="s">
        <v>630</v>
      </c>
      <c r="D123" s="50" t="s">
        <v>432</v>
      </c>
      <c r="E123" s="86">
        <v>922782</v>
      </c>
      <c r="F123" s="44" t="s">
        <v>672</v>
      </c>
      <c r="U123" s="62" t="str">
        <f>IF(E123='Source Data'!E123,"","changed")</f>
        <v/>
      </c>
      <c r="V123" s="63"/>
    </row>
    <row r="124" spans="2:22" x14ac:dyDescent="0.25">
      <c r="B124" s="23" t="s">
        <v>673</v>
      </c>
      <c r="C124" s="28" t="s">
        <v>292</v>
      </c>
      <c r="D124" s="50" t="s">
        <v>432</v>
      </c>
      <c r="F124" s="44" t="s">
        <v>674</v>
      </c>
      <c r="H124" s="87">
        <v>0</v>
      </c>
      <c r="I124" s="87">
        <v>0.03</v>
      </c>
      <c r="J124" s="87">
        <v>0.03</v>
      </c>
      <c r="K124" s="87">
        <v>0.03</v>
      </c>
      <c r="L124" s="87">
        <v>0.03</v>
      </c>
      <c r="M124" s="87">
        <v>0.03</v>
      </c>
      <c r="N124" s="87">
        <v>0.03</v>
      </c>
      <c r="O124" s="87">
        <v>0.03</v>
      </c>
      <c r="P124" s="87">
        <v>0.03</v>
      </c>
      <c r="Q124" s="87">
        <v>0.03</v>
      </c>
      <c r="R124" s="87">
        <v>0.03</v>
      </c>
      <c r="S124" s="87">
        <v>0.03</v>
      </c>
      <c r="T124" s="87">
        <v>0.03</v>
      </c>
      <c r="U124" s="62" t="str">
        <f>IF(SUMPRODUCT(--(H124:T124&lt;&gt;'Source Data'!H124:T124))=0,"",SUMPRODUCT(--(H124:T124&lt;&gt;'Source Data'!H124:T124))&amp;" yr")</f>
        <v/>
      </c>
      <c r="V124" s="63" t="s">
        <v>675</v>
      </c>
    </row>
    <row r="125" spans="2:22" x14ac:dyDescent="0.25">
      <c r="B125" s="23" t="s">
        <v>676</v>
      </c>
      <c r="C125" s="28" t="s">
        <v>647</v>
      </c>
      <c r="D125" s="50" t="s">
        <v>432</v>
      </c>
      <c r="F125" s="44" t="s">
        <v>677</v>
      </c>
      <c r="H125" s="86">
        <v>29658</v>
      </c>
      <c r="I125" s="86">
        <v>29658</v>
      </c>
      <c r="J125" s="86">
        <v>43947.5</v>
      </c>
      <c r="K125" s="86">
        <v>43947.5</v>
      </c>
      <c r="L125" s="86">
        <v>45265.925000000003</v>
      </c>
      <c r="M125" s="86">
        <v>46623.902750000001</v>
      </c>
      <c r="N125" s="86">
        <v>48022.6198325</v>
      </c>
      <c r="O125" s="86">
        <v>49463.298427474998</v>
      </c>
      <c r="P125" s="86">
        <v>50947.197380299302</v>
      </c>
      <c r="Q125" s="86">
        <v>52475.613301708203</v>
      </c>
      <c r="R125" s="86">
        <v>54049.881700759499</v>
      </c>
      <c r="S125" s="86">
        <v>55671.378151782301</v>
      </c>
      <c r="T125" s="86">
        <v>57341.519496335699</v>
      </c>
      <c r="U125" s="62" t="str">
        <f>IF(SUMPRODUCT(--(H125:T125&lt;&gt;'Source Data'!H125:T125))=0,"",SUMPRODUCT(--(H125:T125&lt;&gt;'Source Data'!H125:T125))&amp;" yr")</f>
        <v/>
      </c>
      <c r="V125" s="63" t="s">
        <v>678</v>
      </c>
    </row>
    <row r="126" spans="2:22" ht="26.25" customHeight="1" x14ac:dyDescent="0.25">
      <c r="B126" s="64" t="s">
        <v>651</v>
      </c>
      <c r="C126" s="28" t="s">
        <v>493</v>
      </c>
      <c r="D126" s="50" t="s">
        <v>432</v>
      </c>
      <c r="F126" s="44" t="s">
        <v>679</v>
      </c>
      <c r="H126" s="89">
        <v>5.2339742134299998</v>
      </c>
      <c r="I126" s="89">
        <v>5.2339742134299998</v>
      </c>
      <c r="J126" s="89">
        <v>2.6169871067149999</v>
      </c>
      <c r="K126" s="89">
        <v>0</v>
      </c>
      <c r="L126" s="89">
        <v>0</v>
      </c>
      <c r="M126" s="89">
        <v>0</v>
      </c>
      <c r="N126" s="89">
        <v>0</v>
      </c>
      <c r="O126" s="89">
        <v>0</v>
      </c>
      <c r="P126" s="89">
        <v>0</v>
      </c>
      <c r="Q126" s="89">
        <v>0</v>
      </c>
      <c r="R126" s="89">
        <v>0</v>
      </c>
      <c r="S126" s="89">
        <v>0</v>
      </c>
      <c r="T126" s="89">
        <v>0</v>
      </c>
      <c r="U126" s="62" t="str">
        <f>IF(SUMPRODUCT(--(H126:T126&lt;&gt;'Source Data'!H126:T126))=0,"",SUMPRODUCT(--(H126:T126&lt;&gt;'Source Data'!H126:T126))&amp;" yr")</f>
        <v/>
      </c>
      <c r="V126" s="63" t="s">
        <v>642</v>
      </c>
    </row>
    <row r="127" spans="2:22" ht="24.75" customHeight="1" x14ac:dyDescent="0.25">
      <c r="B127" s="23" t="s">
        <v>680</v>
      </c>
      <c r="C127" s="90" t="s">
        <v>681</v>
      </c>
      <c r="D127" s="50" t="s">
        <v>432</v>
      </c>
      <c r="F127" s="44" t="s">
        <v>682</v>
      </c>
      <c r="H127" s="91">
        <v>1.0919279054404599E-2</v>
      </c>
      <c r="I127" s="91">
        <v>1.0919279054404599E-2</v>
      </c>
      <c r="J127" s="91">
        <v>1.0919279054404599E-2</v>
      </c>
      <c r="K127" s="91">
        <v>1.0919279054404599E-2</v>
      </c>
      <c r="L127" s="91">
        <v>1.0919279054404599E-2</v>
      </c>
      <c r="M127" s="91">
        <v>1.0919279054404599E-2</v>
      </c>
      <c r="N127" s="91">
        <v>1.0919279054404599E-2</v>
      </c>
      <c r="O127" s="91">
        <v>1.0919279054404599E-2</v>
      </c>
      <c r="P127" s="91">
        <v>1.0919279054404599E-2</v>
      </c>
      <c r="Q127" s="91">
        <v>1.0919279054404599E-2</v>
      </c>
      <c r="R127" s="91">
        <v>1.0919279054404599E-2</v>
      </c>
      <c r="S127" s="91">
        <v>1.0919279054404599E-2</v>
      </c>
      <c r="T127" s="91">
        <v>1.0919279054404599E-2</v>
      </c>
      <c r="U127" s="62" t="str">
        <f>IF(SUMPRODUCT(--(H127:T127&lt;&gt;'Source Data'!H127:T127))=0,"",SUMPRODUCT(--(H127:T127&lt;&gt;'Source Data'!H127:T127))&amp;" yr")</f>
        <v/>
      </c>
      <c r="V127" s="63" t="s">
        <v>683</v>
      </c>
    </row>
    <row r="128" spans="2:22" x14ac:dyDescent="0.25">
      <c r="B128" s="42" t="s">
        <v>684</v>
      </c>
    </row>
    <row r="129" spans="2:22" x14ac:dyDescent="0.25">
      <c r="B129" s="59" t="s">
        <v>685</v>
      </c>
      <c r="C129" s="59" t="s">
        <v>466</v>
      </c>
      <c r="D129" s="59" t="s">
        <v>467</v>
      </c>
      <c r="E129" s="59" t="s">
        <v>468</v>
      </c>
      <c r="F129" s="59" t="s">
        <v>469</v>
      </c>
      <c r="G129" s="80" t="s">
        <v>628</v>
      </c>
      <c r="H129" s="81">
        <v>2024</v>
      </c>
      <c r="I129" s="81">
        <v>2025</v>
      </c>
      <c r="J129" s="81">
        <v>2026</v>
      </c>
      <c r="K129" s="81">
        <v>2027</v>
      </c>
      <c r="L129" s="81">
        <v>2028</v>
      </c>
      <c r="M129" s="81">
        <v>2029</v>
      </c>
      <c r="N129" s="81">
        <v>2030</v>
      </c>
      <c r="O129" s="81">
        <v>2031</v>
      </c>
      <c r="P129" s="81">
        <v>2032</v>
      </c>
      <c r="Q129" s="81">
        <v>2033</v>
      </c>
      <c r="R129" s="81">
        <v>2034</v>
      </c>
      <c r="S129" s="81">
        <v>2035</v>
      </c>
      <c r="T129" s="81">
        <v>2036</v>
      </c>
      <c r="U129" s="59" t="s">
        <v>470</v>
      </c>
      <c r="V129" s="59" t="s">
        <v>471</v>
      </c>
    </row>
    <row r="130" spans="2:22" x14ac:dyDescent="0.25">
      <c r="B130" s="23" t="s">
        <v>686</v>
      </c>
      <c r="C130" s="28" t="s">
        <v>630</v>
      </c>
      <c r="D130" s="50" t="s">
        <v>432</v>
      </c>
      <c r="E130" s="86">
        <v>346296.03600000002</v>
      </c>
      <c r="F130" s="44" t="s">
        <v>687</v>
      </c>
      <c r="U130" s="62" t="str">
        <f>IF(E130='Source Data'!E130,"","changed")</f>
        <v/>
      </c>
      <c r="V130" s="63"/>
    </row>
    <row r="131" spans="2:22" x14ac:dyDescent="0.25">
      <c r="B131" s="23" t="s">
        <v>688</v>
      </c>
      <c r="C131" s="28" t="s">
        <v>490</v>
      </c>
      <c r="D131" s="50" t="s">
        <v>432</v>
      </c>
      <c r="E131" s="74">
        <v>2023</v>
      </c>
      <c r="F131" s="44" t="s">
        <v>689</v>
      </c>
      <c r="U131" s="62" t="str">
        <f>IF(E131='Source Data'!E131,"","changed")</f>
        <v/>
      </c>
      <c r="V131" s="63"/>
    </row>
    <row r="132" spans="2:22" x14ac:dyDescent="0.25">
      <c r="B132" s="23" t="s">
        <v>690</v>
      </c>
      <c r="C132" s="28" t="s">
        <v>630</v>
      </c>
      <c r="D132" s="50" t="s">
        <v>432</v>
      </c>
      <c r="E132" s="86">
        <v>225199.88</v>
      </c>
      <c r="F132" s="44" t="s">
        <v>691</v>
      </c>
      <c r="U132" s="62" t="str">
        <f>IF(E132='Source Data'!E132,"","changed")</f>
        <v/>
      </c>
      <c r="V132" s="63"/>
    </row>
    <row r="133" spans="2:22" x14ac:dyDescent="0.25">
      <c r="B133" s="23" t="s">
        <v>692</v>
      </c>
      <c r="C133" s="28" t="s">
        <v>490</v>
      </c>
      <c r="D133" s="50" t="s">
        <v>432</v>
      </c>
      <c r="E133" s="74">
        <v>2023</v>
      </c>
      <c r="F133" s="44" t="s">
        <v>689</v>
      </c>
      <c r="U133" s="62" t="str">
        <f>IF(E133='Source Data'!E133,"","changed")</f>
        <v/>
      </c>
      <c r="V133" s="63"/>
    </row>
    <row r="134" spans="2:22" x14ac:dyDescent="0.25">
      <c r="B134" s="23" t="s">
        <v>693</v>
      </c>
      <c r="C134" s="28" t="s">
        <v>630</v>
      </c>
      <c r="D134" s="50" t="s">
        <v>432</v>
      </c>
      <c r="E134" s="86">
        <v>295847.011</v>
      </c>
      <c r="F134" s="44" t="s">
        <v>694</v>
      </c>
      <c r="U134" s="62" t="str">
        <f>IF(E134='Source Data'!E134,"","changed")</f>
        <v/>
      </c>
      <c r="V134" s="63"/>
    </row>
    <row r="135" spans="2:22" x14ac:dyDescent="0.25">
      <c r="B135" s="23" t="s">
        <v>695</v>
      </c>
      <c r="C135" s="28" t="s">
        <v>490</v>
      </c>
      <c r="D135" s="50" t="s">
        <v>432</v>
      </c>
      <c r="E135" s="74">
        <v>2023</v>
      </c>
      <c r="F135" s="44" t="s">
        <v>689</v>
      </c>
      <c r="U135" s="62" t="str">
        <f>IF(E135='Source Data'!E135,"","changed")</f>
        <v/>
      </c>
      <c r="V135" s="63"/>
    </row>
    <row r="136" spans="2:22" x14ac:dyDescent="0.25">
      <c r="B136" s="23" t="s">
        <v>696</v>
      </c>
      <c r="C136" s="28" t="s">
        <v>630</v>
      </c>
      <c r="D136" s="50" t="s">
        <v>432</v>
      </c>
      <c r="E136" s="86">
        <v>336474.04</v>
      </c>
      <c r="F136" s="44" t="s">
        <v>697</v>
      </c>
      <c r="U136" s="62" t="str">
        <f>IF(E136='Source Data'!E136,"","changed")</f>
        <v/>
      </c>
      <c r="V136" s="63"/>
    </row>
    <row r="137" spans="2:22" x14ac:dyDescent="0.25">
      <c r="B137" s="23" t="s">
        <v>698</v>
      </c>
      <c r="C137" s="28" t="s">
        <v>490</v>
      </c>
      <c r="D137" s="50" t="s">
        <v>432</v>
      </c>
      <c r="E137" s="74">
        <v>2023</v>
      </c>
      <c r="F137" s="44" t="s">
        <v>689</v>
      </c>
      <c r="U137" s="62" t="str">
        <f>IF(E137='Source Data'!E137,"","changed")</f>
        <v/>
      </c>
      <c r="V137" s="63"/>
    </row>
    <row r="138" spans="2:22" x14ac:dyDescent="0.25">
      <c r="B138" s="23" t="s">
        <v>699</v>
      </c>
      <c r="C138" s="28" t="s">
        <v>630</v>
      </c>
      <c r="D138" s="50" t="s">
        <v>432</v>
      </c>
      <c r="E138" s="86">
        <v>923727.06</v>
      </c>
      <c r="F138" s="44" t="s">
        <v>700</v>
      </c>
      <c r="U138" s="62" t="str">
        <f>IF(E138='Source Data'!E138,"","changed")</f>
        <v/>
      </c>
      <c r="V138" s="63"/>
    </row>
    <row r="139" spans="2:22" x14ac:dyDescent="0.25">
      <c r="B139" s="23" t="s">
        <v>701</v>
      </c>
      <c r="C139" s="28" t="s">
        <v>490</v>
      </c>
      <c r="D139" s="50" t="s">
        <v>432</v>
      </c>
      <c r="E139" s="74">
        <v>2023</v>
      </c>
      <c r="F139" s="44" t="s">
        <v>689</v>
      </c>
      <c r="U139" s="62" t="str">
        <f>IF(E139='Source Data'!E139,"","changed")</f>
        <v/>
      </c>
      <c r="V139" s="63"/>
    </row>
    <row r="140" spans="2:22" x14ac:dyDescent="0.25">
      <c r="B140" s="23" t="s">
        <v>702</v>
      </c>
      <c r="C140" s="28" t="s">
        <v>630</v>
      </c>
      <c r="D140" s="50" t="s">
        <v>432</v>
      </c>
      <c r="E140" s="86">
        <v>276000</v>
      </c>
      <c r="F140" s="44" t="s">
        <v>703</v>
      </c>
      <c r="U140" s="62" t="str">
        <f>IF(E140='Source Data'!E140,"","changed")</f>
        <v/>
      </c>
      <c r="V140" s="63"/>
    </row>
    <row r="141" spans="2:22" x14ac:dyDescent="0.25">
      <c r="B141" s="23" t="s">
        <v>704</v>
      </c>
      <c r="C141" s="28" t="s">
        <v>490</v>
      </c>
      <c r="D141" s="50" t="s">
        <v>432</v>
      </c>
      <c r="E141" s="74">
        <v>2023</v>
      </c>
      <c r="F141" s="44" t="s">
        <v>689</v>
      </c>
      <c r="U141" s="62" t="str">
        <f>IF(E141='Source Data'!E141,"","changed")</f>
        <v/>
      </c>
      <c r="V141" s="63"/>
    </row>
    <row r="142" spans="2:22" x14ac:dyDescent="0.25">
      <c r="B142" s="23" t="s">
        <v>705</v>
      </c>
      <c r="C142" s="28" t="s">
        <v>630</v>
      </c>
      <c r="D142" s="50" t="s">
        <v>432</v>
      </c>
      <c r="E142" s="86">
        <v>80000</v>
      </c>
      <c r="F142" s="44" t="s">
        <v>706</v>
      </c>
      <c r="U142" s="62" t="str">
        <f>IF(E142='Source Data'!E142,"","changed")</f>
        <v/>
      </c>
      <c r="V142" s="63"/>
    </row>
    <row r="143" spans="2:22" x14ac:dyDescent="0.25">
      <c r="B143" s="23" t="s">
        <v>707</v>
      </c>
      <c r="C143" s="28" t="s">
        <v>490</v>
      </c>
      <c r="D143" s="50" t="s">
        <v>432</v>
      </c>
      <c r="E143" s="74">
        <v>2023</v>
      </c>
      <c r="F143" s="44" t="s">
        <v>689</v>
      </c>
      <c r="U143" s="62" t="str">
        <f>IF(E143='Source Data'!E143,"","changed")</f>
        <v/>
      </c>
      <c r="V143" s="63"/>
    </row>
    <row r="144" spans="2:22" x14ac:dyDescent="0.25">
      <c r="B144" s="23" t="s">
        <v>708</v>
      </c>
      <c r="C144" s="28" t="s">
        <v>630</v>
      </c>
      <c r="D144" s="50" t="s">
        <v>432</v>
      </c>
      <c r="E144" s="86">
        <v>533360</v>
      </c>
      <c r="F144" s="44" t="s">
        <v>709</v>
      </c>
      <c r="U144" s="62" t="str">
        <f>IF(E144='Source Data'!E144,"","changed")</f>
        <v/>
      </c>
      <c r="V144" s="63"/>
    </row>
    <row r="145" spans="2:22" x14ac:dyDescent="0.25">
      <c r="B145" s="23" t="s">
        <v>710</v>
      </c>
      <c r="C145" s="28" t="s">
        <v>490</v>
      </c>
      <c r="D145" s="50" t="s">
        <v>432</v>
      </c>
      <c r="E145" s="74">
        <v>2023</v>
      </c>
      <c r="F145" s="44" t="s">
        <v>689</v>
      </c>
      <c r="U145" s="62" t="str">
        <f>IF(E145='Source Data'!E145,"","changed")</f>
        <v/>
      </c>
      <c r="V145" s="63"/>
    </row>
    <row r="146" spans="2:22" x14ac:dyDescent="0.25">
      <c r="B146" s="23" t="s">
        <v>711</v>
      </c>
      <c r="C146" s="28" t="s">
        <v>630</v>
      </c>
      <c r="D146" s="50" t="s">
        <v>432</v>
      </c>
      <c r="E146" s="86">
        <v>214500</v>
      </c>
      <c r="F146" s="44" t="s">
        <v>712</v>
      </c>
      <c r="U146" s="62" t="str">
        <f>IF(E146='Source Data'!E146,"","changed")</f>
        <v/>
      </c>
      <c r="V146" s="63"/>
    </row>
    <row r="147" spans="2:22" x14ac:dyDescent="0.25">
      <c r="B147" s="23" t="s">
        <v>713</v>
      </c>
      <c r="C147" s="28" t="s">
        <v>490</v>
      </c>
      <c r="D147" s="50" t="s">
        <v>432</v>
      </c>
      <c r="E147" s="74">
        <v>2023</v>
      </c>
      <c r="F147" s="44" t="s">
        <v>689</v>
      </c>
      <c r="U147" s="62" t="str">
        <f>IF(E147='Source Data'!E147,"","changed")</f>
        <v/>
      </c>
      <c r="V147" s="63"/>
    </row>
    <row r="148" spans="2:22" x14ac:dyDescent="0.25">
      <c r="B148" s="23" t="s">
        <v>714</v>
      </c>
      <c r="C148" s="28" t="s">
        <v>630</v>
      </c>
      <c r="D148" s="50" t="s">
        <v>432</v>
      </c>
      <c r="E148" s="86">
        <v>100000</v>
      </c>
      <c r="F148" s="44" t="s">
        <v>715</v>
      </c>
      <c r="U148" s="62" t="str">
        <f>IF(E148='Source Data'!E148,"","changed")</f>
        <v/>
      </c>
      <c r="V148" s="63"/>
    </row>
    <row r="149" spans="2:22" x14ac:dyDescent="0.25">
      <c r="B149" s="23" t="s">
        <v>716</v>
      </c>
      <c r="C149" s="28" t="s">
        <v>490</v>
      </c>
      <c r="D149" s="50" t="s">
        <v>432</v>
      </c>
      <c r="E149" s="74">
        <v>2026</v>
      </c>
      <c r="F149" s="44" t="s">
        <v>689</v>
      </c>
      <c r="U149" s="62" t="str">
        <f>IF(E149='Source Data'!E149,"","changed")</f>
        <v/>
      </c>
      <c r="V149" s="63"/>
    </row>
    <row r="150" spans="2:22" x14ac:dyDescent="0.25">
      <c r="B150" s="23" t="s">
        <v>717</v>
      </c>
      <c r="C150" s="28" t="s">
        <v>630</v>
      </c>
      <c r="D150" s="50" t="s">
        <v>432</v>
      </c>
      <c r="E150" s="86">
        <v>771624</v>
      </c>
      <c r="F150" s="44" t="s">
        <v>718</v>
      </c>
      <c r="U150" s="62" t="str">
        <f>IF(E150='Source Data'!E150,"","changed")</f>
        <v/>
      </c>
      <c r="V150" s="63"/>
    </row>
    <row r="151" spans="2:22" x14ac:dyDescent="0.25">
      <c r="B151" s="23" t="s">
        <v>719</v>
      </c>
      <c r="C151" s="28" t="s">
        <v>490</v>
      </c>
      <c r="D151" s="50" t="s">
        <v>432</v>
      </c>
      <c r="E151" s="74">
        <v>2023</v>
      </c>
      <c r="F151" s="44" t="s">
        <v>689</v>
      </c>
      <c r="U151" s="62" t="str">
        <f>IF(E151='Source Data'!E151,"","changed")</f>
        <v/>
      </c>
      <c r="V151" s="63"/>
    </row>
    <row r="152" spans="2:22" x14ac:dyDescent="0.25">
      <c r="B152" s="23" t="s">
        <v>720</v>
      </c>
      <c r="C152" s="28" t="s">
        <v>630</v>
      </c>
      <c r="D152" s="50" t="s">
        <v>432</v>
      </c>
      <c r="E152" s="86">
        <v>200000</v>
      </c>
      <c r="F152" s="44" t="s">
        <v>721</v>
      </c>
      <c r="U152" s="62" t="str">
        <f>IF(E152='Source Data'!E152,"","changed")</f>
        <v/>
      </c>
      <c r="V152" s="63"/>
    </row>
    <row r="153" spans="2:22" x14ac:dyDescent="0.25">
      <c r="B153" s="23" t="s">
        <v>722</v>
      </c>
      <c r="C153" s="28" t="s">
        <v>490</v>
      </c>
      <c r="D153" s="50" t="s">
        <v>432</v>
      </c>
      <c r="E153" s="74">
        <v>2026</v>
      </c>
      <c r="F153" s="44" t="s">
        <v>689</v>
      </c>
      <c r="U153" s="62" t="str">
        <f>IF(E153='Source Data'!E153,"","changed")</f>
        <v/>
      </c>
      <c r="V153" s="63"/>
    </row>
    <row r="154" spans="2:22" x14ac:dyDescent="0.25">
      <c r="B154" s="23" t="s">
        <v>723</v>
      </c>
      <c r="C154" s="28" t="s">
        <v>630</v>
      </c>
      <c r="D154" s="50" t="s">
        <v>432</v>
      </c>
      <c r="E154" s="86">
        <v>490000</v>
      </c>
      <c r="F154" s="44" t="s">
        <v>724</v>
      </c>
      <c r="U154" s="62" t="str">
        <f>IF(E154='Source Data'!E154,"","changed")</f>
        <v/>
      </c>
      <c r="V154" s="63"/>
    </row>
    <row r="155" spans="2:22" x14ac:dyDescent="0.25">
      <c r="B155" s="23" t="s">
        <v>725</v>
      </c>
      <c r="C155" s="28" t="s">
        <v>490</v>
      </c>
      <c r="D155" s="50" t="s">
        <v>432</v>
      </c>
      <c r="E155" s="74">
        <v>2023</v>
      </c>
      <c r="F155" s="44" t="s">
        <v>689</v>
      </c>
      <c r="U155" s="62" t="str">
        <f>IF(E155='Source Data'!E155,"","changed")</f>
        <v/>
      </c>
      <c r="V155" s="63"/>
    </row>
    <row r="156" spans="2:22" x14ac:dyDescent="0.25">
      <c r="B156" s="23" t="s">
        <v>726</v>
      </c>
      <c r="C156" s="28" t="s">
        <v>292</v>
      </c>
      <c r="D156" s="50" t="s">
        <v>432</v>
      </c>
      <c r="F156" s="44" t="s">
        <v>727</v>
      </c>
      <c r="H156" s="87">
        <v>0.05</v>
      </c>
      <c r="I156" s="87">
        <v>0.05</v>
      </c>
      <c r="J156" s="87">
        <v>0.05</v>
      </c>
      <c r="K156" s="87">
        <v>0.05</v>
      </c>
      <c r="L156" s="87">
        <v>0.05</v>
      </c>
      <c r="M156" s="87">
        <v>0.05</v>
      </c>
      <c r="N156" s="87">
        <v>0.05</v>
      </c>
      <c r="O156" s="87">
        <v>0.05</v>
      </c>
      <c r="P156" s="87">
        <v>0.05</v>
      </c>
      <c r="Q156" s="87">
        <v>0.05</v>
      </c>
      <c r="R156" s="87">
        <v>0.05</v>
      </c>
      <c r="S156" s="87">
        <v>0.05</v>
      </c>
      <c r="T156" s="87">
        <v>0.05</v>
      </c>
      <c r="U156" s="62" t="str">
        <f>IF(SUMPRODUCT(--(H156:T156&lt;&gt;'Source Data'!H156:T156))=0,"",SUMPRODUCT(--(H156:T156&lt;&gt;'Source Data'!H156:T156))&amp;" yr")</f>
        <v/>
      </c>
      <c r="V156" s="63" t="s">
        <v>642</v>
      </c>
    </row>
    <row r="157" spans="2:22" x14ac:dyDescent="0.25">
      <c r="B157" s="23" t="s">
        <v>728</v>
      </c>
      <c r="C157" s="28" t="s">
        <v>647</v>
      </c>
      <c r="D157" s="50" t="s">
        <v>432</v>
      </c>
      <c r="F157" s="44" t="s">
        <v>729</v>
      </c>
      <c r="H157" s="86">
        <v>12328.6210616914</v>
      </c>
      <c r="I157" s="86">
        <v>2575</v>
      </c>
      <c r="J157" s="86">
        <v>2652.25</v>
      </c>
      <c r="K157" s="86">
        <v>2731.8175000000001</v>
      </c>
      <c r="L157" s="86">
        <v>2813.7720250000002</v>
      </c>
      <c r="M157" s="86">
        <v>2898.1851857500001</v>
      </c>
      <c r="N157" s="86">
        <v>2985.1307413224999</v>
      </c>
      <c r="O157" s="86">
        <v>3074.68466356218</v>
      </c>
      <c r="P157" s="86">
        <v>3166.9252034690398</v>
      </c>
      <c r="Q157" s="86">
        <v>3261.9329595731101</v>
      </c>
      <c r="R157" s="86">
        <v>3261.9329595731101</v>
      </c>
      <c r="S157" s="86">
        <v>3261.9329595731101</v>
      </c>
      <c r="T157" s="86">
        <v>3261.9329595731101</v>
      </c>
      <c r="U157" s="62" t="str">
        <f>IF(SUMPRODUCT(--(H157:T157&lt;&gt;'Source Data'!H157:T157))=0,"",SUMPRODUCT(--(H157:T157&lt;&gt;'Source Data'!H157:T157))&amp;" yr")</f>
        <v/>
      </c>
      <c r="V157" s="63" t="s">
        <v>642</v>
      </c>
    </row>
    <row r="158" spans="2:22" x14ac:dyDescent="0.25">
      <c r="B158" s="23" t="s">
        <v>730</v>
      </c>
      <c r="C158" s="28" t="s">
        <v>292</v>
      </c>
      <c r="D158" s="50" t="s">
        <v>432</v>
      </c>
      <c r="F158" s="44" t="s">
        <v>731</v>
      </c>
      <c r="H158" s="87">
        <v>0.05</v>
      </c>
      <c r="I158" s="87">
        <v>0.05</v>
      </c>
      <c r="J158" s="87">
        <v>0.05</v>
      </c>
      <c r="K158" s="87">
        <v>0.05</v>
      </c>
      <c r="L158" s="87">
        <v>0.05</v>
      </c>
      <c r="M158" s="87">
        <v>0.05</v>
      </c>
      <c r="N158" s="87">
        <v>0.05</v>
      </c>
      <c r="O158" s="87">
        <v>0.05</v>
      </c>
      <c r="P158" s="87">
        <v>0.05</v>
      </c>
      <c r="Q158" s="87">
        <v>0.05</v>
      </c>
      <c r="R158" s="87">
        <v>0.05</v>
      </c>
      <c r="S158" s="87">
        <v>0.05</v>
      </c>
      <c r="T158" s="87">
        <v>0.05</v>
      </c>
      <c r="U158" s="62" t="str">
        <f>IF(SUMPRODUCT(--(H158:T158&lt;&gt;'Source Data'!H158:T158))=0,"",SUMPRODUCT(--(H158:T158&lt;&gt;'Source Data'!H158:T158))&amp;" yr")</f>
        <v/>
      </c>
      <c r="V158" s="63" t="s">
        <v>642</v>
      </c>
    </row>
    <row r="159" spans="2:22" x14ac:dyDescent="0.25">
      <c r="B159" s="23" t="s">
        <v>732</v>
      </c>
      <c r="C159" s="28" t="s">
        <v>647</v>
      </c>
      <c r="D159" s="50" t="s">
        <v>432</v>
      </c>
      <c r="F159" s="44" t="s">
        <v>733</v>
      </c>
      <c r="H159" s="86">
        <v>57137.3691142518</v>
      </c>
      <c r="I159" s="86">
        <v>3605</v>
      </c>
      <c r="J159" s="86">
        <v>3713.15</v>
      </c>
      <c r="K159" s="86">
        <v>3824.5445</v>
      </c>
      <c r="L159" s="86">
        <v>3939.280835</v>
      </c>
      <c r="M159" s="86">
        <v>4057.45926005</v>
      </c>
      <c r="N159" s="86">
        <v>4179.1830378514996</v>
      </c>
      <c r="O159" s="86">
        <v>4304.5585289870496</v>
      </c>
      <c r="P159" s="86">
        <v>4433.6952848566598</v>
      </c>
      <c r="Q159" s="86">
        <v>4566.7061434023599</v>
      </c>
      <c r="R159" s="86">
        <v>4566.7061434023599</v>
      </c>
      <c r="S159" s="86">
        <v>4566.7061434023599</v>
      </c>
      <c r="T159" s="86">
        <v>4566.7061434023599</v>
      </c>
      <c r="U159" s="62" t="str">
        <f>IF(SUMPRODUCT(--(H159:T159&lt;&gt;'Source Data'!H159:T159))=0,"",SUMPRODUCT(--(H159:T159&lt;&gt;'Source Data'!H159:T159))&amp;" yr")</f>
        <v/>
      </c>
      <c r="V159" s="63" t="s">
        <v>642</v>
      </c>
    </row>
    <row r="160" spans="2:22" x14ac:dyDescent="0.25">
      <c r="B160" s="23" t="s">
        <v>734</v>
      </c>
      <c r="C160" s="28" t="s">
        <v>292</v>
      </c>
      <c r="D160" s="50" t="s">
        <v>432</v>
      </c>
      <c r="F160" s="44" t="s">
        <v>735</v>
      </c>
      <c r="H160" s="87">
        <v>0.05</v>
      </c>
      <c r="I160" s="87">
        <v>0.05</v>
      </c>
      <c r="J160" s="87">
        <v>0.05</v>
      </c>
      <c r="K160" s="87">
        <v>0.05</v>
      </c>
      <c r="L160" s="87">
        <v>0.05</v>
      </c>
      <c r="M160" s="87">
        <v>0.05</v>
      </c>
      <c r="N160" s="87">
        <v>0.05</v>
      </c>
      <c r="O160" s="87">
        <v>0.05</v>
      </c>
      <c r="P160" s="87">
        <v>0.05</v>
      </c>
      <c r="Q160" s="87">
        <v>0.05</v>
      </c>
      <c r="R160" s="87">
        <v>0.05</v>
      </c>
      <c r="S160" s="87">
        <v>0.05</v>
      </c>
      <c r="T160" s="87">
        <v>0.05</v>
      </c>
      <c r="U160" s="62" t="str">
        <f>IF(SUMPRODUCT(--(H160:T160&lt;&gt;'Source Data'!H160:T160))=0,"",SUMPRODUCT(--(H160:T160&lt;&gt;'Source Data'!H160:T160))&amp;" yr")</f>
        <v/>
      </c>
      <c r="V160" s="63" t="s">
        <v>642</v>
      </c>
    </row>
    <row r="161" spans="2:22" x14ac:dyDescent="0.25">
      <c r="B161" s="23" t="s">
        <v>736</v>
      </c>
      <c r="C161" s="28" t="s">
        <v>647</v>
      </c>
      <c r="D161" s="50" t="s">
        <v>432</v>
      </c>
      <c r="F161" s="44" t="s">
        <v>737</v>
      </c>
      <c r="H161" s="86">
        <v>4495.8039581760504</v>
      </c>
      <c r="I161" s="86">
        <v>2575</v>
      </c>
      <c r="J161" s="86">
        <v>2652.25</v>
      </c>
      <c r="K161" s="86">
        <v>2731.8175000000001</v>
      </c>
      <c r="L161" s="86">
        <v>2813.7720250000002</v>
      </c>
      <c r="M161" s="86">
        <v>2898.1851857500001</v>
      </c>
      <c r="N161" s="86">
        <v>2985.1307413224999</v>
      </c>
      <c r="O161" s="86">
        <v>3074.68466356218</v>
      </c>
      <c r="P161" s="86">
        <v>3166.9252034690398</v>
      </c>
      <c r="Q161" s="86">
        <v>3261.9329595731101</v>
      </c>
      <c r="R161" s="86">
        <v>3261.9329595731101</v>
      </c>
      <c r="S161" s="86">
        <v>3261.9329595731101</v>
      </c>
      <c r="T161" s="86">
        <v>3261.9329595731101</v>
      </c>
      <c r="U161" s="62" t="str">
        <f>IF(SUMPRODUCT(--(H161:T161&lt;&gt;'Source Data'!H161:T161))=0,"",SUMPRODUCT(--(H161:T161&lt;&gt;'Source Data'!H161:T161))&amp;" yr")</f>
        <v/>
      </c>
      <c r="V161" s="63" t="s">
        <v>642</v>
      </c>
    </row>
    <row r="162" spans="2:22" x14ac:dyDescent="0.25">
      <c r="B162" s="23" t="s">
        <v>738</v>
      </c>
      <c r="C162" s="28" t="s">
        <v>292</v>
      </c>
      <c r="D162" s="50" t="s">
        <v>432</v>
      </c>
      <c r="F162" s="44" t="s">
        <v>739</v>
      </c>
      <c r="H162" s="87">
        <v>0.05</v>
      </c>
      <c r="I162" s="87">
        <v>0.05</v>
      </c>
      <c r="J162" s="87">
        <v>0.05</v>
      </c>
      <c r="K162" s="87">
        <v>0.05</v>
      </c>
      <c r="L162" s="87">
        <v>0.05</v>
      </c>
      <c r="M162" s="87">
        <v>0.05</v>
      </c>
      <c r="N162" s="87">
        <v>0.05</v>
      </c>
      <c r="O162" s="87">
        <v>0.05</v>
      </c>
      <c r="P162" s="87">
        <v>0.05</v>
      </c>
      <c r="Q162" s="87">
        <v>0.05</v>
      </c>
      <c r="R162" s="87">
        <v>0.05</v>
      </c>
      <c r="S162" s="87">
        <v>0.05</v>
      </c>
      <c r="T162" s="87">
        <v>0.05</v>
      </c>
      <c r="U162" s="62" t="str">
        <f>IF(SUMPRODUCT(--(H162:T162&lt;&gt;'Source Data'!H162:T162))=0,"",SUMPRODUCT(--(H162:T162&lt;&gt;'Source Data'!H162:T162))&amp;" yr")</f>
        <v/>
      </c>
      <c r="V162" s="63" t="s">
        <v>642</v>
      </c>
    </row>
    <row r="163" spans="2:22" x14ac:dyDescent="0.25">
      <c r="B163" s="23" t="s">
        <v>740</v>
      </c>
      <c r="C163" s="28" t="s">
        <v>647</v>
      </c>
      <c r="D163" s="50" t="s">
        <v>432</v>
      </c>
      <c r="F163" s="44" t="s">
        <v>741</v>
      </c>
      <c r="H163" s="86">
        <v>34880</v>
      </c>
      <c r="I163" s="86">
        <v>35926.400000000001</v>
      </c>
      <c r="J163" s="86">
        <v>2652.25</v>
      </c>
      <c r="K163" s="86">
        <v>2731.8175000000001</v>
      </c>
      <c r="L163" s="86">
        <v>2813.7720250000002</v>
      </c>
      <c r="M163" s="86">
        <v>2898.1851857500001</v>
      </c>
      <c r="N163" s="86">
        <v>2985.1307413224999</v>
      </c>
      <c r="O163" s="86">
        <v>3074.68466356218</v>
      </c>
      <c r="P163" s="86">
        <v>3166.9252034690398</v>
      </c>
      <c r="Q163" s="86">
        <v>3261.9329595731101</v>
      </c>
      <c r="R163" s="86">
        <v>3261.9329595731101</v>
      </c>
      <c r="S163" s="86">
        <v>3261.9329595731101</v>
      </c>
      <c r="T163" s="86">
        <v>3261.9329595731101</v>
      </c>
      <c r="U163" s="62" t="str">
        <f>IF(SUMPRODUCT(--(H163:T163&lt;&gt;'Source Data'!H163:T163))=0,"",SUMPRODUCT(--(H163:T163&lt;&gt;'Source Data'!H163:T163))&amp;" yr")</f>
        <v/>
      </c>
      <c r="V163" s="63" t="s">
        <v>642</v>
      </c>
    </row>
    <row r="164" spans="2:22" x14ac:dyDescent="0.25">
      <c r="B164" s="23" t="s">
        <v>742</v>
      </c>
      <c r="C164" s="28" t="s">
        <v>292</v>
      </c>
      <c r="D164" s="50" t="s">
        <v>432</v>
      </c>
      <c r="F164" s="44" t="s">
        <v>743</v>
      </c>
      <c r="H164" s="87">
        <v>0.05</v>
      </c>
      <c r="I164" s="87">
        <v>0.05</v>
      </c>
      <c r="J164" s="87">
        <v>0.05</v>
      </c>
      <c r="K164" s="87">
        <v>0.05</v>
      </c>
      <c r="L164" s="87">
        <v>0.05</v>
      </c>
      <c r="M164" s="87">
        <v>0.05</v>
      </c>
      <c r="N164" s="87">
        <v>0.05</v>
      </c>
      <c r="O164" s="87">
        <v>0.05</v>
      </c>
      <c r="P164" s="87">
        <v>0.05</v>
      </c>
      <c r="Q164" s="87">
        <v>0.05</v>
      </c>
      <c r="R164" s="87">
        <v>0.05</v>
      </c>
      <c r="S164" s="87">
        <v>0.05</v>
      </c>
      <c r="T164" s="87">
        <v>0.05</v>
      </c>
      <c r="U164" s="62" t="str">
        <f>IF(SUMPRODUCT(--(H164:T164&lt;&gt;'Source Data'!H164:T164))=0,"",SUMPRODUCT(--(H164:T164&lt;&gt;'Source Data'!H164:T164))&amp;" yr")</f>
        <v/>
      </c>
      <c r="V164" s="63" t="s">
        <v>642</v>
      </c>
    </row>
    <row r="165" spans="2:22" x14ac:dyDescent="0.25">
      <c r="B165" s="23" t="s">
        <v>744</v>
      </c>
      <c r="C165" s="28" t="s">
        <v>647</v>
      </c>
      <c r="D165" s="50" t="s">
        <v>432</v>
      </c>
      <c r="F165" s="44" t="s">
        <v>745</v>
      </c>
      <c r="H165" s="86">
        <v>13346.4750536387</v>
      </c>
      <c r="I165" s="86">
        <v>2606.9299999999998</v>
      </c>
      <c r="J165" s="86">
        <v>2685.1379000000002</v>
      </c>
      <c r="K165" s="86">
        <v>2765.6920369999998</v>
      </c>
      <c r="L165" s="86">
        <v>2848.66279811</v>
      </c>
      <c r="M165" s="86">
        <v>2934.1226820533002</v>
      </c>
      <c r="N165" s="86">
        <v>3022.1463625148999</v>
      </c>
      <c r="O165" s="86">
        <v>3112.8107533903499</v>
      </c>
      <c r="P165" s="86">
        <v>3206.1950759920601</v>
      </c>
      <c r="Q165" s="86">
        <v>3302.3809282718198</v>
      </c>
      <c r="R165" s="86">
        <v>3302.3809282718198</v>
      </c>
      <c r="S165" s="86">
        <v>3302.3809282718198</v>
      </c>
      <c r="T165" s="86">
        <v>3302.3809282718198</v>
      </c>
      <c r="U165" s="62" t="str">
        <f>IF(SUMPRODUCT(--(H165:T165&lt;&gt;'Source Data'!H165:T165))=0,"",SUMPRODUCT(--(H165:T165&lt;&gt;'Source Data'!H165:T165))&amp;" yr")</f>
        <v/>
      </c>
      <c r="V165" s="63" t="s">
        <v>642</v>
      </c>
    </row>
    <row r="166" spans="2:22" x14ac:dyDescent="0.25">
      <c r="B166" s="23" t="s">
        <v>746</v>
      </c>
      <c r="C166" s="28" t="s">
        <v>292</v>
      </c>
      <c r="D166" s="50" t="s">
        <v>432</v>
      </c>
      <c r="F166" s="44" t="s">
        <v>747</v>
      </c>
      <c r="H166" s="87">
        <v>0</v>
      </c>
      <c r="I166" s="87">
        <v>0.04</v>
      </c>
      <c r="J166" s="87">
        <v>0.04</v>
      </c>
      <c r="K166" s="87">
        <v>0.04</v>
      </c>
      <c r="L166" s="87">
        <v>0.04</v>
      </c>
      <c r="M166" s="87">
        <v>0.04</v>
      </c>
      <c r="N166" s="87">
        <v>0.04</v>
      </c>
      <c r="O166" s="87">
        <v>0.04</v>
      </c>
      <c r="P166" s="87">
        <v>0.04</v>
      </c>
      <c r="Q166" s="87">
        <v>0.04</v>
      </c>
      <c r="R166" s="87">
        <v>0.04</v>
      </c>
      <c r="S166" s="87">
        <v>0.04</v>
      </c>
      <c r="T166" s="87">
        <v>0.04</v>
      </c>
      <c r="U166" s="62" t="str">
        <f>IF(SUMPRODUCT(--(H166:T166&lt;&gt;'Source Data'!H166:T166))=0,"",SUMPRODUCT(--(H166:T166&lt;&gt;'Source Data'!H166:T166))&amp;" yr")</f>
        <v/>
      </c>
      <c r="V166" s="63" t="s">
        <v>642</v>
      </c>
    </row>
    <row r="167" spans="2:22" x14ac:dyDescent="0.25">
      <c r="B167" s="23" t="s">
        <v>748</v>
      </c>
      <c r="C167" s="28" t="s">
        <v>647</v>
      </c>
      <c r="D167" s="50" t="s">
        <v>432</v>
      </c>
      <c r="F167" s="44" t="s">
        <v>749</v>
      </c>
      <c r="H167" s="86">
        <v>32000</v>
      </c>
      <c r="I167" s="86">
        <v>32960</v>
      </c>
      <c r="J167" s="86">
        <v>33948.800000000003</v>
      </c>
      <c r="K167" s="86">
        <v>34967.264000000003</v>
      </c>
      <c r="L167" s="86">
        <v>36016.281920000001</v>
      </c>
      <c r="M167" s="86">
        <v>37096.770377599998</v>
      </c>
      <c r="N167" s="86">
        <v>38209.673488927998</v>
      </c>
      <c r="O167" s="86">
        <v>39355.963693595899</v>
      </c>
      <c r="P167" s="86">
        <v>40536.6426044037</v>
      </c>
      <c r="Q167" s="86">
        <v>41752.741882535804</v>
      </c>
      <c r="R167" s="86">
        <v>0</v>
      </c>
      <c r="S167" s="86">
        <v>0</v>
      </c>
      <c r="T167" s="86">
        <v>0</v>
      </c>
      <c r="U167" s="62" t="str">
        <f>IF(SUMPRODUCT(--(H167:T167&lt;&gt;'Source Data'!H167:T167))=0,"",SUMPRODUCT(--(H167:T167&lt;&gt;'Source Data'!H167:T167))&amp;" yr")</f>
        <v/>
      </c>
      <c r="V167" s="63" t="s">
        <v>750</v>
      </c>
    </row>
    <row r="168" spans="2:22" x14ac:dyDescent="0.25">
      <c r="B168" s="23" t="s">
        <v>751</v>
      </c>
      <c r="C168" s="28" t="s">
        <v>292</v>
      </c>
      <c r="D168" s="50" t="s">
        <v>432</v>
      </c>
      <c r="F168" s="44" t="s">
        <v>752</v>
      </c>
      <c r="H168" s="87">
        <v>0</v>
      </c>
      <c r="I168" s="87">
        <v>0.04</v>
      </c>
      <c r="J168" s="87">
        <v>0.04</v>
      </c>
      <c r="K168" s="87">
        <v>0.04</v>
      </c>
      <c r="L168" s="87">
        <v>0.04</v>
      </c>
      <c r="M168" s="87">
        <v>0.04</v>
      </c>
      <c r="N168" s="87">
        <v>0.04</v>
      </c>
      <c r="O168" s="87">
        <v>0.04</v>
      </c>
      <c r="P168" s="87">
        <v>0.04</v>
      </c>
      <c r="Q168" s="87">
        <v>0.04</v>
      </c>
      <c r="R168" s="87">
        <v>0.04</v>
      </c>
      <c r="S168" s="87">
        <v>0.04</v>
      </c>
      <c r="T168" s="87">
        <v>0.04</v>
      </c>
      <c r="U168" s="62" t="str">
        <f>IF(SUMPRODUCT(--(H168:T168&lt;&gt;'Source Data'!H168:T168))=0,"",SUMPRODUCT(--(H168:T168&lt;&gt;'Source Data'!H168:T168))&amp;" yr")</f>
        <v/>
      </c>
      <c r="V168" s="63" t="s">
        <v>642</v>
      </c>
    </row>
    <row r="169" spans="2:22" x14ac:dyDescent="0.25">
      <c r="B169" s="23" t="s">
        <v>753</v>
      </c>
      <c r="C169" s="28" t="s">
        <v>647</v>
      </c>
      <c r="D169" s="50" t="s">
        <v>432</v>
      </c>
      <c r="F169" s="44" t="s">
        <v>754</v>
      </c>
      <c r="H169" s="86">
        <v>84400</v>
      </c>
      <c r="I169" s="86">
        <v>86932</v>
      </c>
      <c r="J169" s="86">
        <v>89539.96</v>
      </c>
      <c r="K169" s="86">
        <v>92226.158800000005</v>
      </c>
      <c r="L169" s="86">
        <v>94992.943564000001</v>
      </c>
      <c r="M169" s="86">
        <v>97842.731870920004</v>
      </c>
      <c r="N169" s="86">
        <v>100778.01382704799</v>
      </c>
      <c r="O169" s="86">
        <v>103801.35424185899</v>
      </c>
      <c r="P169" s="86">
        <v>106915.394869115</v>
      </c>
      <c r="Q169" s="86">
        <v>110122.856715188</v>
      </c>
      <c r="R169" s="86">
        <v>110122.856715188</v>
      </c>
      <c r="S169" s="86">
        <v>110122.856715188</v>
      </c>
      <c r="T169" s="86">
        <v>110122.856715188</v>
      </c>
      <c r="U169" s="62" t="str">
        <f>IF(SUMPRODUCT(--(H169:T169&lt;&gt;'Source Data'!H169:T169))=0,"",SUMPRODUCT(--(H169:T169&lt;&gt;'Source Data'!H169:T169))&amp;" yr")</f>
        <v/>
      </c>
      <c r="V169" s="63" t="s">
        <v>642</v>
      </c>
    </row>
    <row r="170" spans="2:22" x14ac:dyDescent="0.25">
      <c r="B170" s="23" t="s">
        <v>755</v>
      </c>
      <c r="C170" s="28" t="s">
        <v>292</v>
      </c>
      <c r="D170" s="50" t="s">
        <v>432</v>
      </c>
      <c r="F170" s="44" t="s">
        <v>756</v>
      </c>
      <c r="H170" s="87">
        <v>0</v>
      </c>
      <c r="I170" s="87">
        <v>0.05</v>
      </c>
      <c r="J170" s="87">
        <v>0.05</v>
      </c>
      <c r="K170" s="87">
        <v>0.05</v>
      </c>
      <c r="L170" s="87">
        <v>0.05</v>
      </c>
      <c r="M170" s="87">
        <v>0.05</v>
      </c>
      <c r="N170" s="87">
        <v>0.05</v>
      </c>
      <c r="O170" s="87">
        <v>0.05</v>
      </c>
      <c r="P170" s="87">
        <v>0.05</v>
      </c>
      <c r="Q170" s="87">
        <v>0.05</v>
      </c>
      <c r="R170" s="87">
        <v>0.05</v>
      </c>
      <c r="S170" s="87">
        <v>0.05</v>
      </c>
      <c r="T170" s="87">
        <v>0.05</v>
      </c>
      <c r="U170" s="62" t="str">
        <f>IF(SUMPRODUCT(--(H170:T170&lt;&gt;'Source Data'!H170:T170))=0,"",SUMPRODUCT(--(H170:T170&lt;&gt;'Source Data'!H170:T170))&amp;" yr")</f>
        <v/>
      </c>
      <c r="V170" s="63" t="s">
        <v>642</v>
      </c>
    </row>
    <row r="171" spans="2:22" x14ac:dyDescent="0.25">
      <c r="B171" s="23" t="s">
        <v>757</v>
      </c>
      <c r="C171" s="28" t="s">
        <v>647</v>
      </c>
      <c r="D171" s="50" t="s">
        <v>432</v>
      </c>
      <c r="F171" s="44" t="s">
        <v>758</v>
      </c>
      <c r="H171" s="86">
        <v>14625.4112024162</v>
      </c>
      <c r="I171" s="86">
        <v>15064.1735384887</v>
      </c>
      <c r="J171" s="86">
        <v>15516.098744643299</v>
      </c>
      <c r="K171" s="86">
        <v>15981.581706982601</v>
      </c>
      <c r="L171" s="86">
        <v>16461.029158192101</v>
      </c>
      <c r="M171" s="86">
        <v>16954.860032937901</v>
      </c>
      <c r="N171" s="86">
        <v>17463.505833925999</v>
      </c>
      <c r="O171" s="86">
        <v>17987.4110089438</v>
      </c>
      <c r="P171" s="86">
        <v>18527.033339212099</v>
      </c>
      <c r="Q171" s="86">
        <v>19082.844339388401</v>
      </c>
      <c r="R171" s="86">
        <v>19082.844339388401</v>
      </c>
      <c r="S171" s="86">
        <v>19082.844339388401</v>
      </c>
      <c r="T171" s="86">
        <v>19082.844339388401</v>
      </c>
      <c r="U171" s="62" t="str">
        <f>IF(SUMPRODUCT(--(H171:T171&lt;&gt;'Source Data'!H171:T171))=0,"",SUMPRODUCT(--(H171:T171&lt;&gt;'Source Data'!H171:T171))&amp;" yr")</f>
        <v/>
      </c>
      <c r="V171" s="63" t="s">
        <v>642</v>
      </c>
    </row>
    <row r="172" spans="2:22" x14ac:dyDescent="0.25">
      <c r="B172" s="23" t="s">
        <v>759</v>
      </c>
      <c r="C172" s="28" t="s">
        <v>292</v>
      </c>
      <c r="D172" s="50" t="s">
        <v>432</v>
      </c>
      <c r="F172" s="44" t="s">
        <v>760</v>
      </c>
      <c r="H172" s="87">
        <v>0</v>
      </c>
      <c r="I172" s="87">
        <v>0.05</v>
      </c>
      <c r="J172" s="87">
        <v>0.05</v>
      </c>
      <c r="K172" s="87">
        <v>0.05</v>
      </c>
      <c r="L172" s="87">
        <v>0.05</v>
      </c>
      <c r="M172" s="87">
        <v>0.05</v>
      </c>
      <c r="N172" s="87">
        <v>0.05</v>
      </c>
      <c r="O172" s="87">
        <v>0.05</v>
      </c>
      <c r="P172" s="87">
        <v>0.05</v>
      </c>
      <c r="Q172" s="87">
        <v>0.05</v>
      </c>
      <c r="R172" s="87">
        <v>0.05</v>
      </c>
      <c r="S172" s="87">
        <v>0.05</v>
      </c>
      <c r="T172" s="87">
        <v>0.05</v>
      </c>
      <c r="U172" s="62" t="str">
        <f>IF(SUMPRODUCT(--(H172:T172&lt;&gt;'Source Data'!H172:T172))=0,"",SUMPRODUCT(--(H172:T172&lt;&gt;'Source Data'!H172:T172))&amp;" yr")</f>
        <v/>
      </c>
      <c r="V172" s="63" t="s">
        <v>642</v>
      </c>
    </row>
    <row r="173" spans="2:22" x14ac:dyDescent="0.25">
      <c r="B173" s="23" t="s">
        <v>761</v>
      </c>
      <c r="C173" s="28" t="s">
        <v>647</v>
      </c>
      <c r="D173" s="50" t="s">
        <v>432</v>
      </c>
      <c r="F173" s="44" t="s">
        <v>762</v>
      </c>
      <c r="H173" s="86">
        <v>6500</v>
      </c>
      <c r="I173" s="86">
        <v>6695</v>
      </c>
      <c r="J173" s="86">
        <v>6895.85</v>
      </c>
      <c r="K173" s="86">
        <v>7102.7254999999996</v>
      </c>
      <c r="L173" s="86">
        <v>7315.8072650000004</v>
      </c>
      <c r="M173" s="86">
        <v>7535.2814829500003</v>
      </c>
      <c r="N173" s="86">
        <v>7761.3399274385001</v>
      </c>
      <c r="O173" s="86">
        <v>7994.1801252616597</v>
      </c>
      <c r="P173" s="86">
        <v>8234.0055290195105</v>
      </c>
      <c r="Q173" s="86">
        <v>8481.0256948900897</v>
      </c>
      <c r="R173" s="86">
        <v>8481.0256948900897</v>
      </c>
      <c r="S173" s="86">
        <v>8481.0256948900897</v>
      </c>
      <c r="T173" s="86">
        <v>8481.0256948900897</v>
      </c>
      <c r="U173" s="62" t="str">
        <f>IF(SUMPRODUCT(--(H173:T173&lt;&gt;'Source Data'!H173:T173))=0,"",SUMPRODUCT(--(H173:T173&lt;&gt;'Source Data'!H173:T173))&amp;" yr")</f>
        <v/>
      </c>
      <c r="V173" s="63" t="s">
        <v>642</v>
      </c>
    </row>
    <row r="174" spans="2:22" x14ac:dyDescent="0.25">
      <c r="B174" s="23" t="s">
        <v>763</v>
      </c>
      <c r="C174" s="28" t="s">
        <v>292</v>
      </c>
      <c r="D174" s="50" t="s">
        <v>432</v>
      </c>
      <c r="F174" s="44" t="s">
        <v>764</v>
      </c>
      <c r="H174" s="87">
        <v>0</v>
      </c>
      <c r="I174" s="87">
        <v>0.05</v>
      </c>
      <c r="J174" s="87">
        <v>0.05</v>
      </c>
      <c r="K174" s="87">
        <v>0.05</v>
      </c>
      <c r="L174" s="87">
        <v>0.05</v>
      </c>
      <c r="M174" s="87">
        <v>0.05</v>
      </c>
      <c r="N174" s="87">
        <v>0.05</v>
      </c>
      <c r="O174" s="87">
        <v>0.05</v>
      </c>
      <c r="P174" s="87">
        <v>0.05</v>
      </c>
      <c r="Q174" s="87">
        <v>0.05</v>
      </c>
      <c r="R174" s="87">
        <v>0.05</v>
      </c>
      <c r="S174" s="87">
        <v>0.05</v>
      </c>
      <c r="T174" s="87">
        <v>0.05</v>
      </c>
      <c r="U174" s="62" t="str">
        <f>IF(SUMPRODUCT(--(H174:T174&lt;&gt;'Source Data'!H174:T174))=0,"",SUMPRODUCT(--(H174:T174&lt;&gt;'Source Data'!H174:T174))&amp;" yr")</f>
        <v/>
      </c>
      <c r="V174" s="63" t="s">
        <v>642</v>
      </c>
    </row>
    <row r="175" spans="2:22" x14ac:dyDescent="0.25">
      <c r="B175" s="23" t="s">
        <v>765</v>
      </c>
      <c r="C175" s="28" t="s">
        <v>647</v>
      </c>
      <c r="D175" s="50" t="s">
        <v>432</v>
      </c>
      <c r="F175" s="44" t="s">
        <v>766</v>
      </c>
      <c r="H175" s="86">
        <v>0</v>
      </c>
      <c r="I175" s="86">
        <v>0</v>
      </c>
      <c r="J175" s="86">
        <v>16189.1782846961</v>
      </c>
      <c r="K175" s="86">
        <v>16674.853633236999</v>
      </c>
      <c r="L175" s="86">
        <v>17175.099242234101</v>
      </c>
      <c r="M175" s="86">
        <v>17690.352219501099</v>
      </c>
      <c r="N175" s="86">
        <v>18221.062786086099</v>
      </c>
      <c r="O175" s="86">
        <v>18767.694669668701</v>
      </c>
      <c r="P175" s="86">
        <v>19330.725509758799</v>
      </c>
      <c r="Q175" s="86">
        <v>19910.6472750516</v>
      </c>
      <c r="R175" s="86">
        <v>19910.6472750516</v>
      </c>
      <c r="S175" s="86">
        <v>19910.6472750516</v>
      </c>
      <c r="T175" s="86">
        <v>19910.6472750516</v>
      </c>
      <c r="U175" s="62" t="str">
        <f>IF(SUMPRODUCT(--(H175:T175&lt;&gt;'Source Data'!H175:T175))=0,"",SUMPRODUCT(--(H175:T175&lt;&gt;'Source Data'!H175:T175))&amp;" yr")</f>
        <v/>
      </c>
      <c r="V175" s="63" t="s">
        <v>642</v>
      </c>
    </row>
    <row r="176" spans="2:22" x14ac:dyDescent="0.25">
      <c r="B176" s="23" t="s">
        <v>767</v>
      </c>
      <c r="C176" s="28" t="s">
        <v>292</v>
      </c>
      <c r="D176" s="50" t="s">
        <v>432</v>
      </c>
      <c r="F176" s="44" t="s">
        <v>768</v>
      </c>
      <c r="H176" s="87">
        <v>0</v>
      </c>
      <c r="I176" s="87">
        <v>0.05</v>
      </c>
      <c r="J176" s="87">
        <v>0.05</v>
      </c>
      <c r="K176" s="87">
        <v>0.05</v>
      </c>
      <c r="L176" s="87">
        <v>0.05</v>
      </c>
      <c r="M176" s="87">
        <v>0.05</v>
      </c>
      <c r="N176" s="87">
        <v>0.05</v>
      </c>
      <c r="O176" s="87">
        <v>0.05</v>
      </c>
      <c r="P176" s="87">
        <v>0.05</v>
      </c>
      <c r="Q176" s="87">
        <v>0.05</v>
      </c>
      <c r="R176" s="87">
        <v>0.05</v>
      </c>
      <c r="S176" s="87">
        <v>0.05</v>
      </c>
      <c r="T176" s="87">
        <v>0.05</v>
      </c>
      <c r="U176" s="62" t="str">
        <f>IF(SUMPRODUCT(--(H176:T176&lt;&gt;'Source Data'!H176:T176))=0,"",SUMPRODUCT(--(H176:T176&lt;&gt;'Source Data'!H176:T176))&amp;" yr")</f>
        <v/>
      </c>
      <c r="V176" s="63" t="s">
        <v>642</v>
      </c>
    </row>
    <row r="177" spans="2:22" x14ac:dyDescent="0.25">
      <c r="B177" s="23" t="s">
        <v>769</v>
      </c>
      <c r="C177" s="28" t="s">
        <v>647</v>
      </c>
      <c r="D177" s="50" t="s">
        <v>432</v>
      </c>
      <c r="F177" s="44" t="s">
        <v>770</v>
      </c>
      <c r="H177" s="86">
        <v>14300.288151726299</v>
      </c>
      <c r="I177" s="86">
        <v>14729.2967962781</v>
      </c>
      <c r="J177" s="86">
        <v>15171.175700166499</v>
      </c>
      <c r="K177" s="86">
        <v>15626.310971171501</v>
      </c>
      <c r="L177" s="86">
        <v>16095.1003003066</v>
      </c>
      <c r="M177" s="86">
        <v>16577.953309315799</v>
      </c>
      <c r="N177" s="86">
        <v>17075.2919085953</v>
      </c>
      <c r="O177" s="86">
        <v>17587.550665853101</v>
      </c>
      <c r="P177" s="86">
        <v>18115.177185828699</v>
      </c>
      <c r="Q177" s="86">
        <v>18658.632501403601</v>
      </c>
      <c r="R177" s="86">
        <v>18658.632501403601</v>
      </c>
      <c r="S177" s="86">
        <v>18658.632501403601</v>
      </c>
      <c r="T177" s="86">
        <v>18658.632501403601</v>
      </c>
      <c r="U177" s="62" t="str">
        <f>IF(SUMPRODUCT(--(H177:T177&lt;&gt;'Source Data'!H177:T177))=0,"",SUMPRODUCT(--(H177:T177&lt;&gt;'Source Data'!H177:T177))&amp;" yr")</f>
        <v/>
      </c>
      <c r="V177" s="63" t="s">
        <v>642</v>
      </c>
    </row>
    <row r="178" spans="2:22" x14ac:dyDescent="0.25">
      <c r="B178" s="23" t="s">
        <v>771</v>
      </c>
      <c r="C178" s="28" t="s">
        <v>292</v>
      </c>
      <c r="D178" s="50" t="s">
        <v>432</v>
      </c>
      <c r="F178" s="44" t="s">
        <v>772</v>
      </c>
      <c r="H178" s="87">
        <v>0</v>
      </c>
      <c r="I178" s="87">
        <v>0.05</v>
      </c>
      <c r="J178" s="87">
        <v>0.05</v>
      </c>
      <c r="K178" s="87">
        <v>0.05</v>
      </c>
      <c r="L178" s="87">
        <v>0.05</v>
      </c>
      <c r="M178" s="87">
        <v>0.05</v>
      </c>
      <c r="N178" s="87">
        <v>0.05</v>
      </c>
      <c r="O178" s="87">
        <v>0.05</v>
      </c>
      <c r="P178" s="87">
        <v>0.05</v>
      </c>
      <c r="Q178" s="87">
        <v>0.05</v>
      </c>
      <c r="R178" s="87">
        <v>0.05</v>
      </c>
      <c r="S178" s="87">
        <v>0.05</v>
      </c>
      <c r="T178" s="87">
        <v>0.05</v>
      </c>
      <c r="U178" s="62" t="str">
        <f>IF(SUMPRODUCT(--(H178:T178&lt;&gt;'Source Data'!H178:T178))=0,"",SUMPRODUCT(--(H178:T178&lt;&gt;'Source Data'!H178:T178))&amp;" yr")</f>
        <v/>
      </c>
      <c r="V178" s="63" t="s">
        <v>642</v>
      </c>
    </row>
    <row r="179" spans="2:22" x14ac:dyDescent="0.25">
      <c r="B179" s="23" t="s">
        <v>773</v>
      </c>
      <c r="C179" s="28" t="s">
        <v>647</v>
      </c>
      <c r="D179" s="50" t="s">
        <v>432</v>
      </c>
      <c r="F179" s="44" t="s">
        <v>774</v>
      </c>
      <c r="H179" s="86">
        <v>0</v>
      </c>
      <c r="I179" s="86">
        <v>0</v>
      </c>
      <c r="J179" s="86">
        <v>16189.1782846961</v>
      </c>
      <c r="K179" s="86">
        <v>16674.853633236999</v>
      </c>
      <c r="L179" s="86">
        <v>17175.099242234101</v>
      </c>
      <c r="M179" s="86">
        <v>17690.352219501099</v>
      </c>
      <c r="N179" s="86">
        <v>18221.062786086099</v>
      </c>
      <c r="O179" s="86">
        <v>18767.694669668701</v>
      </c>
      <c r="P179" s="86">
        <v>19330.725509758799</v>
      </c>
      <c r="Q179" s="86">
        <v>19910.6472750516</v>
      </c>
      <c r="R179" s="86">
        <v>19910.6472750516</v>
      </c>
      <c r="S179" s="86">
        <v>19910.6472750516</v>
      </c>
      <c r="T179" s="86">
        <v>19910.6472750516</v>
      </c>
      <c r="U179" s="62" t="str">
        <f>IF(SUMPRODUCT(--(H179:T179&lt;&gt;'Source Data'!H179:T179))=0,"",SUMPRODUCT(--(H179:T179&lt;&gt;'Source Data'!H179:T179))&amp;" yr")</f>
        <v/>
      </c>
      <c r="V179" s="63" t="s">
        <v>642</v>
      </c>
    </row>
    <row r="180" spans="2:22" x14ac:dyDescent="0.25">
      <c r="B180" s="23" t="s">
        <v>775</v>
      </c>
      <c r="C180" s="28" t="s">
        <v>292</v>
      </c>
      <c r="D180" s="50" t="s">
        <v>432</v>
      </c>
      <c r="F180" s="44" t="s">
        <v>776</v>
      </c>
      <c r="H180" s="87">
        <v>0</v>
      </c>
      <c r="I180" s="87">
        <v>0.05</v>
      </c>
      <c r="J180" s="87">
        <v>0.05</v>
      </c>
      <c r="K180" s="87">
        <v>0.05</v>
      </c>
      <c r="L180" s="87">
        <v>0.05</v>
      </c>
      <c r="M180" s="87">
        <v>0.05</v>
      </c>
      <c r="N180" s="87">
        <v>0.05</v>
      </c>
      <c r="O180" s="87">
        <v>0.05</v>
      </c>
      <c r="P180" s="87">
        <v>0.05</v>
      </c>
      <c r="Q180" s="87">
        <v>0.05</v>
      </c>
      <c r="R180" s="87">
        <v>0.05</v>
      </c>
      <c r="S180" s="87">
        <v>0.05</v>
      </c>
      <c r="T180" s="87">
        <v>0.05</v>
      </c>
      <c r="U180" s="62" t="str">
        <f>IF(SUMPRODUCT(--(H180:T180&lt;&gt;'Source Data'!H180:T180))=0,"",SUMPRODUCT(--(H180:T180&lt;&gt;'Source Data'!H180:T180))&amp;" yr")</f>
        <v/>
      </c>
      <c r="V180" s="63" t="s">
        <v>642</v>
      </c>
    </row>
    <row r="181" spans="2:22" x14ac:dyDescent="0.25">
      <c r="B181" s="23" t="s">
        <v>777</v>
      </c>
      <c r="C181" s="28" t="s">
        <v>647</v>
      </c>
      <c r="D181" s="50" t="s">
        <v>432</v>
      </c>
      <c r="F181" s="44" t="s">
        <v>778</v>
      </c>
      <c r="H181" s="86">
        <v>15259.853223391599</v>
      </c>
      <c r="I181" s="86">
        <v>15717.6488200933</v>
      </c>
      <c r="J181" s="86">
        <v>16189.1782846961</v>
      </c>
      <c r="K181" s="86">
        <v>16674.853633236999</v>
      </c>
      <c r="L181" s="86">
        <v>17175.099242234101</v>
      </c>
      <c r="M181" s="86">
        <v>17690.352219501099</v>
      </c>
      <c r="N181" s="86">
        <v>18221.062786086099</v>
      </c>
      <c r="O181" s="86">
        <v>18767.694669668701</v>
      </c>
      <c r="P181" s="86">
        <v>19330.725509758799</v>
      </c>
      <c r="Q181" s="86">
        <v>19910.6472750516</v>
      </c>
      <c r="R181" s="86">
        <v>19910.6472750516</v>
      </c>
      <c r="S181" s="86">
        <v>19910.6472750516</v>
      </c>
      <c r="T181" s="86">
        <v>19910.6472750516</v>
      </c>
      <c r="U181" s="62" t="str">
        <f>IF(SUMPRODUCT(--(H181:T181&lt;&gt;'Source Data'!H181:T181))=0,"",SUMPRODUCT(--(H181:T181&lt;&gt;'Source Data'!H181:T181))&amp;" yr")</f>
        <v/>
      </c>
      <c r="V181" s="63" t="s">
        <v>642</v>
      </c>
    </row>
    <row r="182" spans="2:22" x14ac:dyDescent="0.25">
      <c r="B182" s="23" t="s">
        <v>779</v>
      </c>
      <c r="C182" s="28" t="s">
        <v>493</v>
      </c>
      <c r="D182" s="50" t="s">
        <v>432</v>
      </c>
      <c r="F182" s="44" t="s">
        <v>780</v>
      </c>
      <c r="H182" s="92">
        <v>4.344148942E-2</v>
      </c>
      <c r="I182" s="92">
        <v>4.344148942E-2</v>
      </c>
      <c r="J182" s="92">
        <v>4.344148942E-2</v>
      </c>
      <c r="K182" s="92">
        <v>4.344148942E-2</v>
      </c>
      <c r="L182" s="92">
        <v>4.344148942E-2</v>
      </c>
      <c r="M182" s="92">
        <v>4.344148942E-2</v>
      </c>
      <c r="N182" s="92">
        <v>4.344148942E-2</v>
      </c>
      <c r="O182" s="92">
        <v>4.344148942E-2</v>
      </c>
      <c r="P182" s="92">
        <v>4.344148942E-2</v>
      </c>
      <c r="Q182" s="92">
        <v>4.344148942E-2</v>
      </c>
      <c r="R182" s="92">
        <v>4.344148942E-2</v>
      </c>
      <c r="S182" s="92">
        <v>4.344148942E-2</v>
      </c>
      <c r="T182" s="92">
        <v>4.344148942E-2</v>
      </c>
      <c r="U182" s="62" t="str">
        <f>IF(SUMPRODUCT(--(H182:T182&lt;&gt;'Source Data'!H182:T182))=0,"",SUMPRODUCT(--(H182:T182&lt;&gt;'Source Data'!H182:T182))&amp;" yr")</f>
        <v/>
      </c>
      <c r="V182" s="63" t="s">
        <v>781</v>
      </c>
    </row>
    <row r="183" spans="2:22" x14ac:dyDescent="0.25">
      <c r="B183" s="23" t="s">
        <v>782</v>
      </c>
      <c r="C183" s="28" t="s">
        <v>493</v>
      </c>
      <c r="D183" s="50" t="s">
        <v>432</v>
      </c>
      <c r="F183" s="44" t="s">
        <v>783</v>
      </c>
      <c r="H183" s="92">
        <v>0.29629731224</v>
      </c>
      <c r="I183" s="92">
        <v>0.29629731224</v>
      </c>
      <c r="J183" s="92">
        <v>0.29629731224</v>
      </c>
      <c r="K183" s="92">
        <v>0.29629731224</v>
      </c>
      <c r="L183" s="92">
        <v>0.29629731224</v>
      </c>
      <c r="M183" s="92">
        <v>0.29629731224</v>
      </c>
      <c r="N183" s="92">
        <v>0.29629731224</v>
      </c>
      <c r="O183" s="92">
        <v>0.29629731224</v>
      </c>
      <c r="P183" s="92">
        <v>0.29629731224</v>
      </c>
      <c r="Q183" s="92">
        <v>0.29629731224</v>
      </c>
      <c r="R183" s="92">
        <v>0.29629731224</v>
      </c>
      <c r="S183" s="92">
        <v>0.29629731224</v>
      </c>
      <c r="T183" s="92">
        <v>0.29629731224</v>
      </c>
      <c r="U183" s="62" t="str">
        <f>IF(SUMPRODUCT(--(H183:T183&lt;&gt;'Source Data'!H183:T183))=0,"",SUMPRODUCT(--(H183:T183&lt;&gt;'Source Data'!H183:T183))&amp;" yr")</f>
        <v/>
      </c>
      <c r="V183" s="63" t="s">
        <v>781</v>
      </c>
    </row>
    <row r="184" spans="2:22" x14ac:dyDescent="0.25">
      <c r="B184" s="23" t="s">
        <v>784</v>
      </c>
      <c r="C184" s="28" t="s">
        <v>493</v>
      </c>
      <c r="D184" s="50" t="s">
        <v>432</v>
      </c>
      <c r="F184" s="44" t="s">
        <v>785</v>
      </c>
      <c r="H184" s="92">
        <v>8.3321613720000007E-2</v>
      </c>
      <c r="I184" s="92">
        <v>8.3321613720000007E-2</v>
      </c>
      <c r="J184" s="92">
        <v>8.3321613720000007E-2</v>
      </c>
      <c r="K184" s="92">
        <v>8.3321613720000007E-2</v>
      </c>
      <c r="L184" s="92">
        <v>8.3321613720000007E-2</v>
      </c>
      <c r="M184" s="92">
        <v>8.3321613720000007E-2</v>
      </c>
      <c r="N184" s="92">
        <v>8.3321613720000007E-2</v>
      </c>
      <c r="O184" s="92">
        <v>8.3321613720000007E-2</v>
      </c>
      <c r="P184" s="92">
        <v>8.3321613720000007E-2</v>
      </c>
      <c r="Q184" s="92">
        <v>8.3321613720000007E-2</v>
      </c>
      <c r="R184" s="92">
        <v>8.3321613720000007E-2</v>
      </c>
      <c r="S184" s="92">
        <v>8.3321613720000007E-2</v>
      </c>
      <c r="T184" s="92">
        <v>8.3321613720000007E-2</v>
      </c>
      <c r="U184" s="62" t="str">
        <f>IF(SUMPRODUCT(--(H184:T184&lt;&gt;'Source Data'!H184:T184))=0,"",SUMPRODUCT(--(H184:T184&lt;&gt;'Source Data'!H184:T184))&amp;" yr")</f>
        <v/>
      </c>
      <c r="V184" s="63" t="s">
        <v>781</v>
      </c>
    </row>
    <row r="185" spans="2:22" x14ac:dyDescent="0.25">
      <c r="B185" s="23" t="s">
        <v>786</v>
      </c>
      <c r="C185" s="28" t="s">
        <v>493</v>
      </c>
      <c r="D185" s="50" t="s">
        <v>432</v>
      </c>
      <c r="F185" s="44" t="s">
        <v>787</v>
      </c>
      <c r="H185" s="92">
        <v>1.6419999970000002E-2</v>
      </c>
      <c r="I185" s="92">
        <v>1.6419999970000002E-2</v>
      </c>
      <c r="J185" s="92">
        <v>1.6419999970000002E-2</v>
      </c>
      <c r="K185" s="92">
        <v>1.6419999970000002E-2</v>
      </c>
      <c r="L185" s="92">
        <v>1.6419999970000002E-2</v>
      </c>
      <c r="M185" s="92">
        <v>1.6419999970000002E-2</v>
      </c>
      <c r="N185" s="92">
        <v>1.6419999970000002E-2</v>
      </c>
      <c r="O185" s="92">
        <v>1.6419999970000002E-2</v>
      </c>
      <c r="P185" s="92">
        <v>1.6419999970000002E-2</v>
      </c>
      <c r="Q185" s="92">
        <v>1.6419999970000002E-2</v>
      </c>
      <c r="R185" s="92">
        <v>1.6419999970000002E-2</v>
      </c>
      <c r="S185" s="92">
        <v>1.6419999970000002E-2</v>
      </c>
      <c r="T185" s="92">
        <v>1.6419999970000002E-2</v>
      </c>
      <c r="U185" s="62" t="str">
        <f>IF(SUMPRODUCT(--(H185:T185&lt;&gt;'Source Data'!H185:T185))=0,"",SUMPRODUCT(--(H185:T185&lt;&gt;'Source Data'!H185:T185))&amp;" yr")</f>
        <v/>
      </c>
      <c r="V185" s="63" t="s">
        <v>781</v>
      </c>
    </row>
    <row r="187" spans="2:22" x14ac:dyDescent="0.25">
      <c r="B187" s="58" t="s">
        <v>788</v>
      </c>
      <c r="C187" s="19"/>
      <c r="D187" s="19"/>
      <c r="E187" s="19"/>
      <c r="F187" s="19"/>
      <c r="G187" s="19"/>
      <c r="H187" s="19"/>
      <c r="I187" s="19"/>
      <c r="J187" s="19"/>
      <c r="K187" s="19"/>
      <c r="L187" s="19"/>
      <c r="M187" s="19"/>
      <c r="N187" s="19"/>
      <c r="O187" s="19"/>
      <c r="P187" s="19"/>
      <c r="Q187" s="19"/>
      <c r="R187" s="19"/>
      <c r="S187" s="19"/>
      <c r="T187" s="19"/>
      <c r="U187" s="19"/>
      <c r="V187" s="19"/>
    </row>
    <row r="188" spans="2:22" x14ac:dyDescent="0.25">
      <c r="B188" s="63" t="s">
        <v>789</v>
      </c>
    </row>
    <row r="189" spans="2:22" x14ac:dyDescent="0.25">
      <c r="B189" s="42" t="s">
        <v>790</v>
      </c>
    </row>
    <row r="190" spans="2:22" x14ac:dyDescent="0.25">
      <c r="B190" s="59" t="s">
        <v>791</v>
      </c>
      <c r="C190" s="59" t="s">
        <v>466</v>
      </c>
      <c r="D190" s="59" t="s">
        <v>467</v>
      </c>
      <c r="E190" s="59" t="s">
        <v>468</v>
      </c>
      <c r="F190" s="59" t="s">
        <v>469</v>
      </c>
      <c r="G190" s="80" t="s">
        <v>611</v>
      </c>
      <c r="H190" s="81">
        <v>2024</v>
      </c>
      <c r="I190" s="81">
        <v>2025</v>
      </c>
      <c r="J190" s="81">
        <v>2026</v>
      </c>
      <c r="K190" s="81">
        <v>2027</v>
      </c>
      <c r="L190" s="81">
        <v>2028</v>
      </c>
      <c r="M190" s="81">
        <v>2029</v>
      </c>
      <c r="N190" s="81">
        <v>2030</v>
      </c>
      <c r="O190" s="81">
        <v>2031</v>
      </c>
      <c r="P190" s="81">
        <v>2032</v>
      </c>
      <c r="Q190" s="81">
        <v>2033</v>
      </c>
      <c r="R190" s="81">
        <v>2034</v>
      </c>
      <c r="S190" s="81">
        <v>2035</v>
      </c>
      <c r="T190" s="81">
        <v>2036</v>
      </c>
      <c r="U190" s="59" t="s">
        <v>470</v>
      </c>
      <c r="V190" s="59" t="s">
        <v>471</v>
      </c>
    </row>
    <row r="191" spans="2:22" x14ac:dyDescent="0.25">
      <c r="B191" s="23" t="s">
        <v>792</v>
      </c>
      <c r="C191" s="28" t="s">
        <v>630</v>
      </c>
      <c r="D191" s="50" t="s">
        <v>432</v>
      </c>
      <c r="E191" s="86">
        <v>2449985.568</v>
      </c>
      <c r="F191" s="44" t="s">
        <v>793</v>
      </c>
      <c r="U191" s="62" t="str">
        <f>IF(E191='Source Data'!E191,"","changed")</f>
        <v/>
      </c>
      <c r="V191" s="63"/>
    </row>
    <row r="192" spans="2:22" x14ac:dyDescent="0.25">
      <c r="B192" s="23" t="s">
        <v>794</v>
      </c>
      <c r="C192" s="28" t="s">
        <v>292</v>
      </c>
      <c r="D192" s="50" t="s">
        <v>432</v>
      </c>
      <c r="F192" s="44" t="s">
        <v>795</v>
      </c>
      <c r="H192" s="87">
        <v>0</v>
      </c>
      <c r="I192" s="87">
        <v>0.03</v>
      </c>
      <c r="J192" s="87">
        <v>0.03</v>
      </c>
      <c r="K192" s="87">
        <v>0.03</v>
      </c>
      <c r="L192" s="87">
        <v>0.03</v>
      </c>
      <c r="M192" s="87">
        <v>0.03</v>
      </c>
      <c r="N192" s="87">
        <v>0.03</v>
      </c>
      <c r="O192" s="87">
        <v>0.03</v>
      </c>
      <c r="P192" s="87">
        <v>0.03</v>
      </c>
      <c r="Q192" s="87">
        <v>0.03</v>
      </c>
      <c r="R192" s="87">
        <v>0.03</v>
      </c>
      <c r="S192" s="87">
        <v>0.03</v>
      </c>
      <c r="T192" s="87">
        <v>0.03</v>
      </c>
      <c r="U192" s="62" t="str">
        <f>IF(SUMPRODUCT(--(H192:T192&lt;&gt;'Source Data'!H192:T192))=0,"",SUMPRODUCT(--(H192:T192&lt;&gt;'Source Data'!H192:T192))&amp;" yr")</f>
        <v/>
      </c>
      <c r="V192" s="63" t="s">
        <v>642</v>
      </c>
    </row>
    <row r="193" spans="2:22" x14ac:dyDescent="0.25">
      <c r="B193" s="23" t="s">
        <v>796</v>
      </c>
      <c r="C193" s="28" t="s">
        <v>647</v>
      </c>
      <c r="D193" s="50" t="s">
        <v>432</v>
      </c>
      <c r="F193" s="44" t="s">
        <v>797</v>
      </c>
      <c r="H193" s="86">
        <v>0</v>
      </c>
      <c r="I193" s="86">
        <v>40944</v>
      </c>
      <c r="J193" s="86">
        <v>40944</v>
      </c>
      <c r="K193" s="86">
        <v>49132.800000000003</v>
      </c>
      <c r="L193" s="86">
        <v>49132.800000000003</v>
      </c>
      <c r="M193" s="86">
        <v>54046.080000000002</v>
      </c>
      <c r="N193" s="86">
        <v>54046.080000000002</v>
      </c>
      <c r="O193" s="86">
        <v>57288.844799999999</v>
      </c>
      <c r="P193" s="86">
        <v>57288.844799999999</v>
      </c>
      <c r="Q193" s="86">
        <v>60726.175488000001</v>
      </c>
      <c r="R193" s="86">
        <v>60726.175488000001</v>
      </c>
      <c r="S193" s="86">
        <v>60726.175488000001</v>
      </c>
      <c r="T193" s="86">
        <v>60726.175488000001</v>
      </c>
      <c r="U193" s="62" t="str">
        <f>IF(SUMPRODUCT(--(H193:T193&lt;&gt;'Source Data'!H193:T193))=0,"",SUMPRODUCT(--(H193:T193&lt;&gt;'Source Data'!H193:T193))&amp;" yr")</f>
        <v/>
      </c>
      <c r="V193" s="63" t="s">
        <v>642</v>
      </c>
    </row>
    <row r="194" spans="2:22" x14ac:dyDescent="0.25">
      <c r="B194" s="23" t="s">
        <v>798</v>
      </c>
      <c r="C194" s="28" t="s">
        <v>799</v>
      </c>
      <c r="D194" s="50" t="s">
        <v>432</v>
      </c>
      <c r="F194" s="44" t="s">
        <v>800</v>
      </c>
      <c r="H194" s="87">
        <v>0.2</v>
      </c>
      <c r="I194" s="87">
        <v>0.2</v>
      </c>
      <c r="J194" s="87">
        <v>0.2</v>
      </c>
      <c r="K194" s="87">
        <v>0.2</v>
      </c>
      <c r="L194" s="87">
        <v>0.2</v>
      </c>
      <c r="M194" s="87">
        <v>0.2</v>
      </c>
      <c r="N194" s="87">
        <v>0.2</v>
      </c>
      <c r="O194" s="87">
        <v>0.2</v>
      </c>
      <c r="P194" s="87">
        <v>0.2</v>
      </c>
      <c r="Q194" s="87">
        <v>0.2</v>
      </c>
      <c r="R194" s="87">
        <v>0.2</v>
      </c>
      <c r="S194" s="87">
        <v>0.2</v>
      </c>
      <c r="T194" s="87">
        <v>0.2</v>
      </c>
      <c r="U194" s="62" t="str">
        <f>IF(SUMPRODUCT(--(H194:T194&lt;&gt;'Source Data'!H194:T194))=0,"",SUMPRODUCT(--(H194:T194&lt;&gt;'Source Data'!H194:T194))&amp;" yr")</f>
        <v/>
      </c>
      <c r="V194" s="63" t="s">
        <v>683</v>
      </c>
    </row>
    <row r="195" spans="2:22" x14ac:dyDescent="0.25">
      <c r="B195" s="23" t="s">
        <v>801</v>
      </c>
      <c r="C195" s="28" t="s">
        <v>802</v>
      </c>
      <c r="D195" s="50" t="s">
        <v>432</v>
      </c>
      <c r="F195" s="44" t="s">
        <v>803</v>
      </c>
      <c r="H195" s="93">
        <v>5.0000000000000001E-3</v>
      </c>
      <c r="I195" s="93">
        <v>5.0000000000000001E-3</v>
      </c>
      <c r="J195" s="93">
        <v>5.0000000000000001E-3</v>
      </c>
      <c r="K195" s="93">
        <v>5.0000000000000001E-3</v>
      </c>
      <c r="L195" s="93">
        <v>5.0000000000000001E-3</v>
      </c>
      <c r="M195" s="93">
        <v>5.0000000000000001E-3</v>
      </c>
      <c r="N195" s="93">
        <v>5.0000000000000001E-3</v>
      </c>
      <c r="O195" s="93">
        <v>5.0000000000000001E-3</v>
      </c>
      <c r="P195" s="93">
        <v>5.0000000000000001E-3</v>
      </c>
      <c r="Q195" s="93">
        <v>5.0000000000000001E-3</v>
      </c>
      <c r="R195" s="93">
        <v>5.0000000000000001E-3</v>
      </c>
      <c r="S195" s="93">
        <v>5.0000000000000001E-3</v>
      </c>
      <c r="T195" s="93">
        <v>5.0000000000000001E-3</v>
      </c>
      <c r="U195" s="62" t="str">
        <f>IF(SUMPRODUCT(--(H195:T195&lt;&gt;'Source Data'!H195:T195))=0,"",SUMPRODUCT(--(H195:T195&lt;&gt;'Source Data'!H195:T195))&amp;" yr")</f>
        <v/>
      </c>
      <c r="V195" s="63" t="s">
        <v>804</v>
      </c>
    </row>
    <row r="196" spans="2:22" x14ac:dyDescent="0.25">
      <c r="B196" s="23" t="s">
        <v>805</v>
      </c>
      <c r="C196" s="28" t="s">
        <v>806</v>
      </c>
      <c r="D196" s="50" t="s">
        <v>432</v>
      </c>
      <c r="E196" s="94">
        <v>12.8</v>
      </c>
      <c r="F196" s="44" t="s">
        <v>807</v>
      </c>
      <c r="U196" s="62" t="str">
        <f>IF(E196='Source Data'!E196,"","changed")</f>
        <v/>
      </c>
      <c r="V196" s="63" t="s">
        <v>808</v>
      </c>
    </row>
    <row r="197" spans="2:22" ht="26.25" customHeight="1" x14ac:dyDescent="0.25">
      <c r="B197" s="64" t="s">
        <v>809</v>
      </c>
      <c r="C197" s="28" t="s">
        <v>810</v>
      </c>
      <c r="D197" s="51" t="s">
        <v>434</v>
      </c>
      <c r="E197" s="95">
        <f>SUM(G197:T197)</f>
        <v>1</v>
      </c>
      <c r="F197" s="44" t="s">
        <v>811</v>
      </c>
      <c r="G197" s="96">
        <v>0.78125</v>
      </c>
      <c r="H197" s="96">
        <v>0.1796875</v>
      </c>
      <c r="I197" s="96">
        <v>3.90625E-2</v>
      </c>
      <c r="J197" s="96">
        <v>0</v>
      </c>
      <c r="K197" s="96">
        <v>0</v>
      </c>
      <c r="L197" s="96">
        <v>0</v>
      </c>
      <c r="M197" s="96">
        <v>0</v>
      </c>
      <c r="N197" s="96">
        <v>0</v>
      </c>
      <c r="O197" s="96">
        <v>0</v>
      </c>
      <c r="P197" s="96">
        <v>0</v>
      </c>
      <c r="Q197" s="96">
        <v>0</v>
      </c>
      <c r="R197" s="96">
        <v>0</v>
      </c>
      <c r="S197" s="96">
        <v>0</v>
      </c>
      <c r="T197" s="96">
        <v>0</v>
      </c>
      <c r="U197" s="62" t="str">
        <f>IF(SUMPRODUCT(--(G197:T197&lt;&gt;'Source Data'!G197:T197))=0,"",SUMPRODUCT(--(G197:T197&lt;&gt;'Source Data'!G197:T197))&amp;" yr")</f>
        <v/>
      </c>
      <c r="V197" s="63" t="s">
        <v>812</v>
      </c>
    </row>
    <row r="198" spans="2:22" x14ac:dyDescent="0.25">
      <c r="B198" s="23" t="s">
        <v>813</v>
      </c>
      <c r="C198" s="28" t="s">
        <v>292</v>
      </c>
      <c r="D198" s="50" t="s">
        <v>432</v>
      </c>
      <c r="E198" s="87">
        <v>0.52678707711330697</v>
      </c>
      <c r="F198" s="44" t="s">
        <v>814</v>
      </c>
      <c r="U198" s="62" t="str">
        <f>IF(E198='Source Data'!E198,"","changed")</f>
        <v/>
      </c>
      <c r="V198" s="63"/>
    </row>
    <row r="199" spans="2:22" x14ac:dyDescent="0.25">
      <c r="B199" s="23" t="s">
        <v>815</v>
      </c>
      <c r="C199" s="28" t="s">
        <v>816</v>
      </c>
      <c r="D199" s="50" t="s">
        <v>432</v>
      </c>
      <c r="E199" s="74">
        <v>20</v>
      </c>
      <c r="F199" s="44" t="s">
        <v>817</v>
      </c>
      <c r="U199" s="62" t="str">
        <f>IF(E199='Source Data'!E199,"","changed")</f>
        <v/>
      </c>
      <c r="V199" s="63"/>
    </row>
    <row r="200" spans="2:22" x14ac:dyDescent="0.25">
      <c r="B200" s="23" t="s">
        <v>818</v>
      </c>
      <c r="C200" s="28" t="s">
        <v>816</v>
      </c>
      <c r="D200" s="50" t="s">
        <v>432</v>
      </c>
      <c r="E200" s="74">
        <v>8</v>
      </c>
      <c r="F200" s="44" t="s">
        <v>819</v>
      </c>
      <c r="U200" s="62" t="str">
        <f>IF(E200='Source Data'!E200,"","changed")</f>
        <v/>
      </c>
      <c r="V200" s="63"/>
    </row>
    <row r="201" spans="2:22" x14ac:dyDescent="0.25">
      <c r="B201" s="63" t="s">
        <v>820</v>
      </c>
    </row>
    <row r="202" spans="2:22" x14ac:dyDescent="0.25">
      <c r="B202" s="42" t="s">
        <v>821</v>
      </c>
    </row>
    <row r="203" spans="2:22" x14ac:dyDescent="0.25">
      <c r="B203" s="59" t="s">
        <v>822</v>
      </c>
      <c r="C203" s="59" t="s">
        <v>466</v>
      </c>
      <c r="D203" s="59" t="s">
        <v>467</v>
      </c>
      <c r="E203" s="59" t="s">
        <v>468</v>
      </c>
      <c r="F203" s="59" t="s">
        <v>469</v>
      </c>
      <c r="G203" s="80" t="s">
        <v>611</v>
      </c>
      <c r="H203" s="81">
        <v>2024</v>
      </c>
      <c r="I203" s="81">
        <v>2025</v>
      </c>
      <c r="J203" s="81">
        <v>2026</v>
      </c>
      <c r="K203" s="81">
        <v>2027</v>
      </c>
      <c r="L203" s="81">
        <v>2028</v>
      </c>
      <c r="M203" s="81">
        <v>2029</v>
      </c>
      <c r="N203" s="81">
        <v>2030</v>
      </c>
      <c r="O203" s="81">
        <v>2031</v>
      </c>
      <c r="P203" s="81">
        <v>2032</v>
      </c>
      <c r="Q203" s="81">
        <v>2033</v>
      </c>
      <c r="R203" s="81">
        <v>2034</v>
      </c>
      <c r="S203" s="81">
        <v>2035</v>
      </c>
      <c r="T203" s="81">
        <v>2036</v>
      </c>
      <c r="U203" s="59" t="s">
        <v>470</v>
      </c>
      <c r="V203" s="59" t="s">
        <v>471</v>
      </c>
    </row>
    <row r="204" spans="2:22" x14ac:dyDescent="0.25">
      <c r="B204" s="23" t="s">
        <v>823</v>
      </c>
      <c r="C204" s="28" t="s">
        <v>630</v>
      </c>
      <c r="D204" s="50" t="s">
        <v>432</v>
      </c>
      <c r="E204" s="86">
        <v>2100000</v>
      </c>
      <c r="F204" s="44" t="s">
        <v>824</v>
      </c>
      <c r="U204" s="62" t="str">
        <f>IF(E204='Source Data'!E204,"","changed")</f>
        <v/>
      </c>
      <c r="V204" s="63"/>
    </row>
    <row r="205" spans="2:22" x14ac:dyDescent="0.25">
      <c r="B205" s="23" t="s">
        <v>794</v>
      </c>
      <c r="C205" s="28" t="s">
        <v>292</v>
      </c>
      <c r="D205" s="50" t="s">
        <v>432</v>
      </c>
      <c r="F205" s="44" t="s">
        <v>825</v>
      </c>
      <c r="H205" s="87">
        <v>0</v>
      </c>
      <c r="I205" s="87">
        <v>0.03</v>
      </c>
      <c r="J205" s="87">
        <v>0.03</v>
      </c>
      <c r="K205" s="87">
        <v>0.03</v>
      </c>
      <c r="L205" s="87">
        <v>0.03</v>
      </c>
      <c r="M205" s="87">
        <v>0.03</v>
      </c>
      <c r="N205" s="87">
        <v>0.03</v>
      </c>
      <c r="O205" s="87">
        <v>0.03</v>
      </c>
      <c r="P205" s="87">
        <v>0.03</v>
      </c>
      <c r="Q205" s="87">
        <v>0.03</v>
      </c>
      <c r="R205" s="87">
        <v>0.03</v>
      </c>
      <c r="S205" s="87">
        <v>0.03</v>
      </c>
      <c r="T205" s="87">
        <v>0.03</v>
      </c>
      <c r="U205" s="62" t="str">
        <f>IF(SUMPRODUCT(--(H205:T205&lt;&gt;'Source Data'!H205:T205))=0,"",SUMPRODUCT(--(H205:T205&lt;&gt;'Source Data'!H205:T205))&amp;" yr")</f>
        <v/>
      </c>
      <c r="V205" s="63" t="s">
        <v>642</v>
      </c>
    </row>
    <row r="206" spans="2:22" x14ac:dyDescent="0.25">
      <c r="B206" s="23" t="s">
        <v>796</v>
      </c>
      <c r="C206" s="28" t="s">
        <v>647</v>
      </c>
      <c r="D206" s="50" t="s">
        <v>432</v>
      </c>
      <c r="F206" s="44" t="s">
        <v>826</v>
      </c>
      <c r="H206" s="86">
        <v>0</v>
      </c>
      <c r="I206" s="86">
        <v>15000</v>
      </c>
      <c r="J206" s="86">
        <v>15000</v>
      </c>
      <c r="K206" s="86">
        <v>15000</v>
      </c>
      <c r="L206" s="86">
        <v>15000</v>
      </c>
      <c r="M206" s="86">
        <v>15000</v>
      </c>
      <c r="N206" s="86">
        <v>15000</v>
      </c>
      <c r="O206" s="86">
        <v>15000</v>
      </c>
      <c r="P206" s="86">
        <v>15000</v>
      </c>
      <c r="Q206" s="86">
        <v>15000</v>
      </c>
      <c r="R206" s="86">
        <v>15000</v>
      </c>
      <c r="S206" s="86">
        <v>15000</v>
      </c>
      <c r="T206" s="86">
        <v>15000</v>
      </c>
      <c r="U206" s="62" t="str">
        <f>IF(SUMPRODUCT(--(H206:T206&lt;&gt;'Source Data'!H206:T206))=0,"",SUMPRODUCT(--(H206:T206&lt;&gt;'Source Data'!H206:T206))&amp;" yr")</f>
        <v/>
      </c>
      <c r="V206" s="63" t="s">
        <v>642</v>
      </c>
    </row>
    <row r="207" spans="2:22" x14ac:dyDescent="0.25">
      <c r="B207" s="23" t="s">
        <v>827</v>
      </c>
      <c r="C207" s="28" t="s">
        <v>292</v>
      </c>
      <c r="D207" s="50" t="s">
        <v>432</v>
      </c>
      <c r="F207" s="44" t="s">
        <v>828</v>
      </c>
      <c r="H207" s="87">
        <v>0.3</v>
      </c>
      <c r="I207" s="87">
        <v>0.3</v>
      </c>
      <c r="J207" s="87">
        <v>0.3</v>
      </c>
      <c r="K207" s="87">
        <v>0.3</v>
      </c>
      <c r="L207" s="87">
        <v>0.3</v>
      </c>
      <c r="M207" s="87">
        <v>0.3</v>
      </c>
      <c r="N207" s="87">
        <v>0.3</v>
      </c>
      <c r="O207" s="87">
        <v>0.3</v>
      </c>
      <c r="P207" s="87">
        <v>0.3</v>
      </c>
      <c r="Q207" s="87">
        <v>0.3</v>
      </c>
      <c r="R207" s="87">
        <v>0.3</v>
      </c>
      <c r="S207" s="87">
        <v>0.3</v>
      </c>
      <c r="T207" s="87">
        <v>0.3</v>
      </c>
      <c r="U207" s="62" t="str">
        <f>IF(SUMPRODUCT(--(H207:T207&lt;&gt;'Source Data'!H207:T207))=0,"",SUMPRODUCT(--(H207:T207&lt;&gt;'Source Data'!H207:T207))&amp;" yr")</f>
        <v/>
      </c>
      <c r="V207" s="63" t="s">
        <v>683</v>
      </c>
    </row>
    <row r="208" spans="2:22" x14ac:dyDescent="0.25">
      <c r="B208" s="23" t="s">
        <v>829</v>
      </c>
      <c r="C208" s="28" t="s">
        <v>292</v>
      </c>
      <c r="D208" s="50" t="s">
        <v>432</v>
      </c>
      <c r="F208" s="44" t="s">
        <v>830</v>
      </c>
      <c r="H208" s="87">
        <v>0.3</v>
      </c>
      <c r="I208" s="87">
        <v>0.3</v>
      </c>
      <c r="J208" s="87">
        <v>0.3</v>
      </c>
      <c r="K208" s="87">
        <v>0.3</v>
      </c>
      <c r="L208" s="87">
        <v>0.3</v>
      </c>
      <c r="M208" s="87">
        <v>0.3</v>
      </c>
      <c r="N208" s="87">
        <v>0.3</v>
      </c>
      <c r="O208" s="87">
        <v>0.3</v>
      </c>
      <c r="P208" s="87">
        <v>0.3</v>
      </c>
      <c r="Q208" s="87">
        <v>0.3</v>
      </c>
      <c r="R208" s="87">
        <v>0.3</v>
      </c>
      <c r="S208" s="87">
        <v>0.3</v>
      </c>
      <c r="T208" s="87">
        <v>0.3</v>
      </c>
      <c r="U208" s="62" t="str">
        <f>IF(SUMPRODUCT(--(H208:T208&lt;&gt;'Source Data'!H208:T208))=0,"",SUMPRODUCT(--(H208:T208&lt;&gt;'Source Data'!H208:T208))&amp;" yr")</f>
        <v/>
      </c>
      <c r="V208" s="63" t="s">
        <v>683</v>
      </c>
    </row>
    <row r="209" spans="2:22" x14ac:dyDescent="0.25">
      <c r="B209" s="23" t="s">
        <v>801</v>
      </c>
      <c r="C209" s="28" t="s">
        <v>802</v>
      </c>
      <c r="D209" s="50" t="s">
        <v>432</v>
      </c>
      <c r="F209" s="44" t="s">
        <v>831</v>
      </c>
      <c r="H209" s="93">
        <v>5.0000000000000001E-3</v>
      </c>
      <c r="I209" s="93">
        <v>5.0000000000000001E-3</v>
      </c>
      <c r="J209" s="93">
        <v>5.0000000000000001E-3</v>
      </c>
      <c r="K209" s="93">
        <v>5.0000000000000001E-3</v>
      </c>
      <c r="L209" s="93">
        <v>5.0000000000000001E-3</v>
      </c>
      <c r="M209" s="93">
        <v>5.0000000000000001E-3</v>
      </c>
      <c r="N209" s="93">
        <v>5.0000000000000001E-3</v>
      </c>
      <c r="O209" s="93">
        <v>5.0000000000000001E-3</v>
      </c>
      <c r="P209" s="93">
        <v>5.0000000000000001E-3</v>
      </c>
      <c r="Q209" s="93">
        <v>5.0000000000000001E-3</v>
      </c>
      <c r="R209" s="93">
        <v>5.0000000000000001E-3</v>
      </c>
      <c r="S209" s="93">
        <v>5.0000000000000001E-3</v>
      </c>
      <c r="T209" s="93">
        <v>5.0000000000000001E-3</v>
      </c>
      <c r="U209" s="62" t="str">
        <f>IF(SUMPRODUCT(--(H209:T209&lt;&gt;'Source Data'!H209:T209))=0,"",SUMPRODUCT(--(H209:T209&lt;&gt;'Source Data'!H209:T209))&amp;" yr")</f>
        <v/>
      </c>
      <c r="V209" s="63" t="s">
        <v>683</v>
      </c>
    </row>
    <row r="210" spans="2:22" x14ac:dyDescent="0.25">
      <c r="B210" s="23" t="s">
        <v>832</v>
      </c>
      <c r="C210" s="28" t="s">
        <v>806</v>
      </c>
      <c r="D210" s="50" t="s">
        <v>432</v>
      </c>
      <c r="E210" s="94">
        <v>8</v>
      </c>
      <c r="F210" s="44" t="s">
        <v>833</v>
      </c>
      <c r="U210" s="62" t="str">
        <f>IF(E210='Source Data'!E210,"","changed")</f>
        <v/>
      </c>
      <c r="V210" s="63" t="s">
        <v>834</v>
      </c>
    </row>
    <row r="211" spans="2:22" ht="26.25" customHeight="1" x14ac:dyDescent="0.25">
      <c r="B211" s="64" t="s">
        <v>835</v>
      </c>
      <c r="C211" s="28" t="s">
        <v>810</v>
      </c>
      <c r="D211" s="51" t="s">
        <v>434</v>
      </c>
      <c r="E211" s="95">
        <f>SUM(G211:T211)</f>
        <v>1</v>
      </c>
      <c r="F211" s="44" t="s">
        <v>836</v>
      </c>
      <c r="G211" s="96">
        <v>0.27500000000000002</v>
      </c>
      <c r="H211" s="96">
        <v>0.67500000000000004</v>
      </c>
      <c r="I211" s="96">
        <v>0.05</v>
      </c>
      <c r="J211" s="96">
        <v>0</v>
      </c>
      <c r="K211" s="96">
        <v>0</v>
      </c>
      <c r="L211" s="96">
        <v>0</v>
      </c>
      <c r="M211" s="96">
        <v>0</v>
      </c>
      <c r="N211" s="96">
        <v>0</v>
      </c>
      <c r="O211" s="96">
        <v>0</v>
      </c>
      <c r="P211" s="96">
        <v>0</v>
      </c>
      <c r="Q211" s="96">
        <v>0</v>
      </c>
      <c r="R211" s="96">
        <v>0</v>
      </c>
      <c r="S211" s="96">
        <v>0</v>
      </c>
      <c r="T211" s="96">
        <v>0</v>
      </c>
      <c r="U211" s="62" t="str">
        <f>IF(SUMPRODUCT(--(G211:T211&lt;&gt;'Source Data'!G211:T211))=0,"",SUMPRODUCT(--(G211:T211&lt;&gt;'Source Data'!G211:T211))&amp;" yr")</f>
        <v/>
      </c>
      <c r="V211" s="63" t="s">
        <v>812</v>
      </c>
    </row>
    <row r="212" spans="2:22" x14ac:dyDescent="0.25">
      <c r="B212" s="23" t="s">
        <v>837</v>
      </c>
      <c r="C212" s="28" t="s">
        <v>292</v>
      </c>
      <c r="D212" s="50" t="s">
        <v>432</v>
      </c>
      <c r="E212" s="87">
        <v>0.90634083357247697</v>
      </c>
      <c r="F212" s="44" t="s">
        <v>838</v>
      </c>
      <c r="U212" s="62" t="str">
        <f>IF(E212='Source Data'!E212,"","changed")</f>
        <v/>
      </c>
      <c r="V212" s="63"/>
    </row>
    <row r="213" spans="2:22" x14ac:dyDescent="0.25">
      <c r="B213" s="23" t="s">
        <v>839</v>
      </c>
      <c r="C213" s="28" t="s">
        <v>816</v>
      </c>
      <c r="D213" s="50" t="s">
        <v>432</v>
      </c>
      <c r="E213" s="74">
        <v>20</v>
      </c>
      <c r="F213" s="44" t="s">
        <v>840</v>
      </c>
      <c r="U213" s="62" t="str">
        <f>IF(E213='Source Data'!E213,"","changed")</f>
        <v/>
      </c>
      <c r="V213" s="63"/>
    </row>
    <row r="214" spans="2:22" x14ac:dyDescent="0.25">
      <c r="B214" s="23" t="s">
        <v>841</v>
      </c>
      <c r="C214" s="28" t="s">
        <v>816</v>
      </c>
      <c r="D214" s="50" t="s">
        <v>432</v>
      </c>
      <c r="E214" s="74">
        <v>8</v>
      </c>
      <c r="F214" s="44" t="s">
        <v>842</v>
      </c>
      <c r="U214" s="62" t="str">
        <f>IF(E214='Source Data'!E214,"","changed")</f>
        <v/>
      </c>
      <c r="V214" s="63"/>
    </row>
    <row r="215" spans="2:22" x14ac:dyDescent="0.25">
      <c r="B215" s="42" t="s">
        <v>843</v>
      </c>
    </row>
    <row r="216" spans="2:22" x14ac:dyDescent="0.25">
      <c r="B216" s="59" t="s">
        <v>844</v>
      </c>
      <c r="C216" s="59" t="s">
        <v>466</v>
      </c>
      <c r="D216" s="59" t="s">
        <v>467</v>
      </c>
      <c r="E216" s="59" t="s">
        <v>468</v>
      </c>
      <c r="F216" s="59" t="s">
        <v>469</v>
      </c>
      <c r="G216" s="80" t="s">
        <v>628</v>
      </c>
      <c r="H216" s="81">
        <v>2024</v>
      </c>
      <c r="I216" s="81">
        <v>2025</v>
      </c>
      <c r="J216" s="81">
        <v>2026</v>
      </c>
      <c r="K216" s="81">
        <v>2027</v>
      </c>
      <c r="L216" s="81">
        <v>2028</v>
      </c>
      <c r="M216" s="81">
        <v>2029</v>
      </c>
      <c r="N216" s="81">
        <v>2030</v>
      </c>
      <c r="O216" s="81">
        <v>2031</v>
      </c>
      <c r="P216" s="81">
        <v>2032</v>
      </c>
      <c r="Q216" s="81">
        <v>2033</v>
      </c>
      <c r="R216" s="81">
        <v>2034</v>
      </c>
      <c r="S216" s="81">
        <v>2035</v>
      </c>
      <c r="T216" s="81">
        <v>2036</v>
      </c>
      <c r="U216" s="59" t="s">
        <v>470</v>
      </c>
      <c r="V216" s="59" t="s">
        <v>471</v>
      </c>
    </row>
    <row r="217" spans="2:22" x14ac:dyDescent="0.25">
      <c r="B217" s="23" t="s">
        <v>845</v>
      </c>
      <c r="C217" s="28" t="s">
        <v>630</v>
      </c>
      <c r="D217" s="50" t="s">
        <v>432</v>
      </c>
      <c r="E217" s="86">
        <v>1700000</v>
      </c>
      <c r="F217" s="44" t="s">
        <v>846</v>
      </c>
      <c r="U217" s="62" t="str">
        <f>IF(E217='Source Data'!E217,"","changed")</f>
        <v/>
      </c>
      <c r="V217" s="63" t="s">
        <v>847</v>
      </c>
    </row>
    <row r="218" spans="2:22" x14ac:dyDescent="0.25">
      <c r="B218" s="23" t="s">
        <v>848</v>
      </c>
      <c r="C218" s="28" t="s">
        <v>292</v>
      </c>
      <c r="D218" s="50" t="s">
        <v>432</v>
      </c>
      <c r="E218" s="87">
        <v>0.49</v>
      </c>
      <c r="F218" s="44" t="s">
        <v>849</v>
      </c>
      <c r="U218" s="62" t="str">
        <f>IF(E218='Source Data'!E218,"","changed")</f>
        <v/>
      </c>
      <c r="V218" s="63" t="s">
        <v>850</v>
      </c>
    </row>
    <row r="219" spans="2:22" x14ac:dyDescent="0.25">
      <c r="B219" s="23" t="s">
        <v>851</v>
      </c>
      <c r="C219" s="28" t="s">
        <v>292</v>
      </c>
      <c r="D219" s="50" t="s">
        <v>432</v>
      </c>
      <c r="F219" s="44" t="s">
        <v>852</v>
      </c>
      <c r="H219" s="87">
        <v>0</v>
      </c>
      <c r="I219" s="87">
        <v>0</v>
      </c>
      <c r="J219" s="87">
        <v>0.03</v>
      </c>
      <c r="K219" s="87">
        <v>0.03</v>
      </c>
      <c r="L219" s="87">
        <v>0.03</v>
      </c>
      <c r="M219" s="87">
        <v>0.03</v>
      </c>
      <c r="N219" s="87">
        <v>0.03</v>
      </c>
      <c r="O219" s="87">
        <v>0.03</v>
      </c>
      <c r="P219" s="87">
        <v>0.03</v>
      </c>
      <c r="Q219" s="87">
        <v>0.03</v>
      </c>
      <c r="R219" s="87">
        <v>0.03</v>
      </c>
      <c r="S219" s="87">
        <v>0.03</v>
      </c>
      <c r="T219" s="87">
        <v>0.03</v>
      </c>
      <c r="U219" s="62" t="str">
        <f>IF(SUMPRODUCT(--(H219:T219&lt;&gt;'Source Data'!H219:T219))=0,"",SUMPRODUCT(--(H219:T219&lt;&gt;'Source Data'!H219:T219))&amp;" yr")</f>
        <v/>
      </c>
      <c r="V219" s="63" t="s">
        <v>642</v>
      </c>
    </row>
    <row r="220" spans="2:22" x14ac:dyDescent="0.25">
      <c r="B220" s="23" t="s">
        <v>853</v>
      </c>
      <c r="C220" s="28" t="s">
        <v>647</v>
      </c>
      <c r="D220" s="50" t="s">
        <v>432</v>
      </c>
      <c r="F220" s="44" t="s">
        <v>854</v>
      </c>
      <c r="H220" s="86">
        <v>28000</v>
      </c>
      <c r="I220" s="86">
        <v>28000</v>
      </c>
      <c r="J220" s="86">
        <v>28000</v>
      </c>
      <c r="K220" s="86">
        <v>28000</v>
      </c>
      <c r="L220" s="86">
        <v>28000</v>
      </c>
      <c r="M220" s="86">
        <v>28000</v>
      </c>
      <c r="N220" s="86">
        <v>28000</v>
      </c>
      <c r="O220" s="86">
        <v>28000</v>
      </c>
      <c r="P220" s="86">
        <v>28000</v>
      </c>
      <c r="Q220" s="86">
        <v>28000</v>
      </c>
      <c r="R220" s="86">
        <v>28000</v>
      </c>
      <c r="S220" s="86">
        <v>28000</v>
      </c>
      <c r="T220" s="86">
        <v>28000</v>
      </c>
      <c r="U220" s="62" t="str">
        <f>IF(SUMPRODUCT(--(H220:T220&lt;&gt;'Source Data'!H220:T220))=0,"",SUMPRODUCT(--(H220:T220&lt;&gt;'Source Data'!H220:T220))&amp;" yr")</f>
        <v/>
      </c>
      <c r="V220" s="63" t="s">
        <v>683</v>
      </c>
    </row>
    <row r="221" spans="2:22" x14ac:dyDescent="0.25">
      <c r="B221" s="23" t="s">
        <v>855</v>
      </c>
      <c r="C221" s="28" t="s">
        <v>647</v>
      </c>
      <c r="D221" s="50" t="s">
        <v>432</v>
      </c>
      <c r="F221" s="44" t="s">
        <v>856</v>
      </c>
      <c r="H221" s="86">
        <v>7000</v>
      </c>
      <c r="I221" s="86">
        <v>7000</v>
      </c>
      <c r="J221" s="86">
        <v>7000</v>
      </c>
      <c r="K221" s="86">
        <v>7000</v>
      </c>
      <c r="L221" s="86">
        <v>7000</v>
      </c>
      <c r="M221" s="86">
        <v>7000</v>
      </c>
      <c r="N221" s="86">
        <v>7000</v>
      </c>
      <c r="O221" s="86">
        <v>7000</v>
      </c>
      <c r="P221" s="86">
        <v>7000</v>
      </c>
      <c r="Q221" s="86">
        <v>7000</v>
      </c>
      <c r="R221" s="86">
        <v>7000</v>
      </c>
      <c r="S221" s="86">
        <v>7000</v>
      </c>
      <c r="T221" s="86">
        <v>7000</v>
      </c>
      <c r="U221" s="62" t="str">
        <f>IF(SUMPRODUCT(--(H221:T221&lt;&gt;'Source Data'!H221:T221))=0,"",SUMPRODUCT(--(H221:T221&lt;&gt;'Source Data'!H221:T221))&amp;" yr")</f>
        <v/>
      </c>
      <c r="V221" s="63" t="s">
        <v>683</v>
      </c>
    </row>
    <row r="222" spans="2:22" x14ac:dyDescent="0.25">
      <c r="B222" s="23" t="s">
        <v>857</v>
      </c>
      <c r="C222" s="28" t="s">
        <v>647</v>
      </c>
      <c r="D222" s="50" t="s">
        <v>432</v>
      </c>
      <c r="F222" s="44" t="s">
        <v>858</v>
      </c>
      <c r="H222" s="86">
        <v>25000</v>
      </c>
      <c r="I222" s="86">
        <v>25000</v>
      </c>
      <c r="J222" s="86">
        <v>25000</v>
      </c>
      <c r="K222" s="86">
        <v>25000</v>
      </c>
      <c r="L222" s="86">
        <v>25000</v>
      </c>
      <c r="M222" s="86">
        <v>25000</v>
      </c>
      <c r="N222" s="86">
        <v>25000</v>
      </c>
      <c r="O222" s="86">
        <v>25000</v>
      </c>
      <c r="P222" s="86">
        <v>25000</v>
      </c>
      <c r="Q222" s="86">
        <v>25000</v>
      </c>
      <c r="R222" s="86">
        <v>25000</v>
      </c>
      <c r="S222" s="86">
        <v>25000</v>
      </c>
      <c r="T222" s="86">
        <v>25000</v>
      </c>
      <c r="U222" s="62" t="str">
        <f>IF(SUMPRODUCT(--(H222:T222&lt;&gt;'Source Data'!H222:T222))=0,"",SUMPRODUCT(--(H222:T222&lt;&gt;'Source Data'!H222:T222))&amp;" yr")</f>
        <v/>
      </c>
      <c r="V222" s="63" t="s">
        <v>683</v>
      </c>
    </row>
    <row r="223" spans="2:22" x14ac:dyDescent="0.25">
      <c r="B223" s="23" t="s">
        <v>859</v>
      </c>
      <c r="C223" s="28" t="s">
        <v>860</v>
      </c>
      <c r="D223" s="50" t="s">
        <v>432</v>
      </c>
      <c r="F223" s="44" t="s">
        <v>861</v>
      </c>
      <c r="H223" s="87">
        <v>0.1</v>
      </c>
      <c r="I223" s="87">
        <v>0.1</v>
      </c>
      <c r="J223" s="87">
        <v>0.1</v>
      </c>
      <c r="K223" s="87">
        <v>0.1</v>
      </c>
      <c r="L223" s="87">
        <v>0.1</v>
      </c>
      <c r="M223" s="87">
        <v>0.1</v>
      </c>
      <c r="N223" s="87">
        <v>0.1</v>
      </c>
      <c r="O223" s="87">
        <v>0.1</v>
      </c>
      <c r="P223" s="87">
        <v>0.1</v>
      </c>
      <c r="Q223" s="87">
        <v>0.1</v>
      </c>
      <c r="R223" s="87">
        <v>0.1</v>
      </c>
      <c r="S223" s="87">
        <v>0.1</v>
      </c>
      <c r="T223" s="87">
        <v>0.1</v>
      </c>
      <c r="U223" s="62" t="str">
        <f>IF(SUMPRODUCT(--(H223:T223&lt;&gt;'Source Data'!H223:T223))=0,"",SUMPRODUCT(--(H223:T223&lt;&gt;'Source Data'!H223:T223))&amp;" yr")</f>
        <v/>
      </c>
      <c r="V223" s="63" t="s">
        <v>683</v>
      </c>
    </row>
    <row r="224" spans="2:22" x14ac:dyDescent="0.25">
      <c r="B224" s="23" t="s">
        <v>862</v>
      </c>
      <c r="C224" s="28" t="s">
        <v>860</v>
      </c>
      <c r="D224" s="50" t="s">
        <v>432</v>
      </c>
      <c r="F224" s="44" t="s">
        <v>863</v>
      </c>
      <c r="H224" s="87">
        <v>0.5</v>
      </c>
      <c r="I224" s="87">
        <v>0.5</v>
      </c>
      <c r="J224" s="87">
        <v>0.5</v>
      </c>
      <c r="K224" s="87">
        <v>0.5</v>
      </c>
      <c r="L224" s="87">
        <v>0.5</v>
      </c>
      <c r="M224" s="87">
        <v>0.5</v>
      </c>
      <c r="N224" s="87">
        <v>0.5</v>
      </c>
      <c r="O224" s="87">
        <v>0.5</v>
      </c>
      <c r="P224" s="87">
        <v>0.5</v>
      </c>
      <c r="Q224" s="87">
        <v>0.5</v>
      </c>
      <c r="R224" s="87">
        <v>0.5</v>
      </c>
      <c r="S224" s="87">
        <v>0.5</v>
      </c>
      <c r="T224" s="87">
        <v>0.5</v>
      </c>
      <c r="U224" s="62" t="str">
        <f>IF(SUMPRODUCT(--(H224:T224&lt;&gt;'Source Data'!H224:T224))=0,"",SUMPRODUCT(--(H224:T224&lt;&gt;'Source Data'!H224:T224))&amp;" yr")</f>
        <v/>
      </c>
      <c r="V224" s="63" t="s">
        <v>864</v>
      </c>
    </row>
    <row r="225" spans="2:22" x14ac:dyDescent="0.25">
      <c r="B225" s="23" t="s">
        <v>865</v>
      </c>
      <c r="C225" s="28" t="s">
        <v>806</v>
      </c>
      <c r="D225" s="50" t="s">
        <v>432</v>
      </c>
      <c r="E225" s="94">
        <v>6.0245926836766097</v>
      </c>
      <c r="F225" s="44" t="s">
        <v>866</v>
      </c>
      <c r="U225" s="62" t="str">
        <f>IF(E225='Source Data'!E225,"","changed")</f>
        <v/>
      </c>
      <c r="V225" s="63" t="s">
        <v>867</v>
      </c>
    </row>
    <row r="226" spans="2:22" ht="26.25" customHeight="1" x14ac:dyDescent="0.25">
      <c r="B226" s="64" t="s">
        <v>868</v>
      </c>
      <c r="C226" s="28" t="s">
        <v>810</v>
      </c>
      <c r="D226" s="51" t="s">
        <v>434</v>
      </c>
      <c r="E226" s="95">
        <f>SUM(G226:T226)</f>
        <v>1</v>
      </c>
      <c r="F226" s="44" t="s">
        <v>869</v>
      </c>
      <c r="G226" s="96">
        <v>0</v>
      </c>
      <c r="H226" s="96">
        <v>0</v>
      </c>
      <c r="I226" s="96">
        <v>0</v>
      </c>
      <c r="J226" s="96">
        <v>1</v>
      </c>
      <c r="K226" s="96">
        <v>0</v>
      </c>
      <c r="L226" s="96">
        <v>0</v>
      </c>
      <c r="M226" s="96">
        <v>0</v>
      </c>
      <c r="N226" s="96">
        <v>0</v>
      </c>
      <c r="O226" s="96">
        <v>0</v>
      </c>
      <c r="P226" s="96">
        <v>0</v>
      </c>
      <c r="Q226" s="96">
        <v>0</v>
      </c>
      <c r="R226" s="96">
        <v>0</v>
      </c>
      <c r="S226" s="96">
        <v>0</v>
      </c>
      <c r="T226" s="96">
        <v>0</v>
      </c>
      <c r="U226" s="62" t="str">
        <f>IF(SUMPRODUCT(--(G226:T226&lt;&gt;'Source Data'!G226:T226))=0,"",SUMPRODUCT(--(G226:T226&lt;&gt;'Source Data'!G226:T226))&amp;" yr")</f>
        <v/>
      </c>
      <c r="V226" s="63" t="s">
        <v>812</v>
      </c>
    </row>
    <row r="227" spans="2:22" x14ac:dyDescent="0.25">
      <c r="B227" s="23" t="s">
        <v>870</v>
      </c>
      <c r="C227" s="28" t="s">
        <v>292</v>
      </c>
      <c r="D227" s="50" t="s">
        <v>432</v>
      </c>
      <c r="E227" s="87">
        <v>1</v>
      </c>
      <c r="F227" s="44" t="s">
        <v>871</v>
      </c>
      <c r="U227" s="62" t="str">
        <f>IF(E227='Source Data'!E227,"","changed")</f>
        <v/>
      </c>
      <c r="V227" s="63"/>
    </row>
    <row r="228" spans="2:22" x14ac:dyDescent="0.25">
      <c r="B228" s="23" t="s">
        <v>872</v>
      </c>
      <c r="C228" s="28" t="s">
        <v>816</v>
      </c>
      <c r="D228" s="50" t="s">
        <v>432</v>
      </c>
      <c r="E228" s="74">
        <v>20</v>
      </c>
      <c r="F228" s="44" t="s">
        <v>873</v>
      </c>
      <c r="U228" s="62" t="str">
        <f>IF(E228='Source Data'!E228,"","changed")</f>
        <v/>
      </c>
      <c r="V228" s="63"/>
    </row>
    <row r="229" spans="2:22" x14ac:dyDescent="0.25">
      <c r="B229" s="23" t="s">
        <v>874</v>
      </c>
      <c r="C229" s="28" t="s">
        <v>816</v>
      </c>
      <c r="D229" s="50" t="s">
        <v>432</v>
      </c>
      <c r="E229" s="74">
        <v>10</v>
      </c>
      <c r="F229" s="44" t="s">
        <v>875</v>
      </c>
      <c r="U229" s="62" t="str">
        <f>IF(E229='Source Data'!E229,"","changed")</f>
        <v/>
      </c>
      <c r="V229" s="63"/>
    </row>
    <row r="230" spans="2:22" x14ac:dyDescent="0.25">
      <c r="B230" s="63" t="s">
        <v>876</v>
      </c>
    </row>
    <row r="231" spans="2:22" x14ac:dyDescent="0.25">
      <c r="B231" s="42" t="s">
        <v>877</v>
      </c>
    </row>
    <row r="232" spans="2:22" x14ac:dyDescent="0.25">
      <c r="B232" s="59" t="s">
        <v>878</v>
      </c>
      <c r="C232" s="59" t="s">
        <v>466</v>
      </c>
      <c r="D232" s="59" t="s">
        <v>467</v>
      </c>
      <c r="E232" s="59" t="s">
        <v>468</v>
      </c>
      <c r="F232" s="59" t="s">
        <v>469</v>
      </c>
      <c r="G232" s="80" t="s">
        <v>628</v>
      </c>
      <c r="H232" s="81">
        <v>2024</v>
      </c>
      <c r="I232" s="81">
        <v>2025</v>
      </c>
      <c r="J232" s="81">
        <v>2026</v>
      </c>
      <c r="K232" s="81">
        <v>2027</v>
      </c>
      <c r="L232" s="81">
        <v>2028</v>
      </c>
      <c r="M232" s="81">
        <v>2029</v>
      </c>
      <c r="N232" s="81">
        <v>2030</v>
      </c>
      <c r="O232" s="81">
        <v>2031</v>
      </c>
      <c r="P232" s="81">
        <v>2032</v>
      </c>
      <c r="Q232" s="81">
        <v>2033</v>
      </c>
      <c r="R232" s="81">
        <v>2034</v>
      </c>
      <c r="S232" s="81">
        <v>2035</v>
      </c>
      <c r="T232" s="81">
        <v>2036</v>
      </c>
      <c r="U232" s="59" t="s">
        <v>470</v>
      </c>
      <c r="V232" s="59" t="s">
        <v>471</v>
      </c>
    </row>
    <row r="233" spans="2:22" x14ac:dyDescent="0.25">
      <c r="B233" s="23" t="s">
        <v>879</v>
      </c>
      <c r="C233" s="28" t="s">
        <v>880</v>
      </c>
      <c r="D233" s="50" t="s">
        <v>432</v>
      </c>
      <c r="F233" s="44" t="s">
        <v>881</v>
      </c>
      <c r="H233" s="74">
        <v>2</v>
      </c>
      <c r="I233" s="74">
        <v>2</v>
      </c>
      <c r="J233" s="74">
        <v>2</v>
      </c>
      <c r="K233" s="74">
        <v>2</v>
      </c>
      <c r="L233" s="74">
        <v>2</v>
      </c>
      <c r="M233" s="74">
        <v>2</v>
      </c>
      <c r="N233" s="74">
        <v>2</v>
      </c>
      <c r="O233" s="74">
        <v>2</v>
      </c>
      <c r="P233" s="74">
        <v>2</v>
      </c>
      <c r="Q233" s="74">
        <v>2</v>
      </c>
      <c r="R233" s="74">
        <v>2</v>
      </c>
      <c r="S233" s="74">
        <v>2</v>
      </c>
      <c r="T233" s="74">
        <v>2</v>
      </c>
      <c r="U233" s="62" t="str">
        <f>IF(SUMPRODUCT(--(H233:T233&lt;&gt;'Source Data'!H233:T233))=0,"",SUMPRODUCT(--(H233:T233&lt;&gt;'Source Data'!H233:T233))&amp;" yr")</f>
        <v/>
      </c>
      <c r="V233" s="63" t="s">
        <v>683</v>
      </c>
    </row>
    <row r="234" spans="2:22" x14ac:dyDescent="0.25">
      <c r="B234" s="23" t="s">
        <v>882</v>
      </c>
      <c r="C234" s="28" t="s">
        <v>883</v>
      </c>
      <c r="D234" s="50" t="s">
        <v>432</v>
      </c>
      <c r="F234" s="44" t="s">
        <v>884</v>
      </c>
      <c r="H234" s="86">
        <v>8500</v>
      </c>
      <c r="I234" s="86">
        <v>8500</v>
      </c>
      <c r="J234" s="86">
        <v>8500</v>
      </c>
      <c r="K234" s="86">
        <v>8500</v>
      </c>
      <c r="L234" s="86">
        <v>8500</v>
      </c>
      <c r="M234" s="86">
        <v>8500</v>
      </c>
      <c r="N234" s="86">
        <v>8500</v>
      </c>
      <c r="O234" s="86">
        <v>8500</v>
      </c>
      <c r="P234" s="86">
        <v>8500</v>
      </c>
      <c r="Q234" s="86">
        <v>8500</v>
      </c>
      <c r="R234" s="86">
        <v>8500</v>
      </c>
      <c r="S234" s="86">
        <v>8500</v>
      </c>
      <c r="T234" s="86">
        <v>8500</v>
      </c>
      <c r="U234" s="62" t="str">
        <f>IF(SUMPRODUCT(--(H234:T234&lt;&gt;'Source Data'!H234:T234))=0,"",SUMPRODUCT(--(H234:T234&lt;&gt;'Source Data'!H234:T234))&amp;" yr")</f>
        <v/>
      </c>
      <c r="V234" s="63" t="s">
        <v>683</v>
      </c>
    </row>
    <row r="235" spans="2:22" x14ac:dyDescent="0.25">
      <c r="B235" s="23" t="s">
        <v>885</v>
      </c>
      <c r="C235" s="28" t="s">
        <v>886</v>
      </c>
      <c r="D235" s="50" t="s">
        <v>432</v>
      </c>
      <c r="F235" s="44" t="s">
        <v>887</v>
      </c>
      <c r="H235" s="86">
        <v>65000</v>
      </c>
      <c r="I235" s="86">
        <v>65000</v>
      </c>
      <c r="J235" s="86">
        <v>65000</v>
      </c>
      <c r="K235" s="86">
        <v>65000</v>
      </c>
      <c r="L235" s="86">
        <v>65000</v>
      </c>
      <c r="M235" s="86">
        <v>65000</v>
      </c>
      <c r="N235" s="86">
        <v>65000</v>
      </c>
      <c r="O235" s="86">
        <v>65000</v>
      </c>
      <c r="P235" s="86">
        <v>65000</v>
      </c>
      <c r="Q235" s="86">
        <v>65000</v>
      </c>
      <c r="R235" s="86">
        <v>65000</v>
      </c>
      <c r="S235" s="86">
        <v>65000</v>
      </c>
      <c r="T235" s="86">
        <v>65000</v>
      </c>
      <c r="U235" s="62" t="str">
        <f>IF(SUMPRODUCT(--(H235:T235&lt;&gt;'Source Data'!H235:T235))=0,"",SUMPRODUCT(--(H235:T235&lt;&gt;'Source Data'!H235:T235))&amp;" yr")</f>
        <v/>
      </c>
      <c r="V235" s="63" t="s">
        <v>683</v>
      </c>
    </row>
    <row r="236" spans="2:22" x14ac:dyDescent="0.25">
      <c r="B236" s="23" t="s">
        <v>888</v>
      </c>
      <c r="C236" s="28" t="s">
        <v>886</v>
      </c>
      <c r="D236" s="50" t="s">
        <v>432</v>
      </c>
      <c r="F236" s="44" t="s">
        <v>889</v>
      </c>
      <c r="H236" s="86">
        <v>300</v>
      </c>
      <c r="I236" s="86">
        <v>300</v>
      </c>
      <c r="J236" s="86">
        <v>300</v>
      </c>
      <c r="K236" s="86">
        <v>300</v>
      </c>
      <c r="L236" s="86">
        <v>300</v>
      </c>
      <c r="M236" s="86">
        <v>300</v>
      </c>
      <c r="N236" s="86">
        <v>300</v>
      </c>
      <c r="O236" s="86">
        <v>300</v>
      </c>
      <c r="P236" s="86">
        <v>300</v>
      </c>
      <c r="Q236" s="86">
        <v>300</v>
      </c>
      <c r="R236" s="86">
        <v>300</v>
      </c>
      <c r="S236" s="86">
        <v>300</v>
      </c>
      <c r="T236" s="86">
        <v>300</v>
      </c>
      <c r="U236" s="62" t="str">
        <f>IF(SUMPRODUCT(--(H236:T236&lt;&gt;'Source Data'!H236:T236))=0,"",SUMPRODUCT(--(H236:T236&lt;&gt;'Source Data'!H236:T236))&amp;" yr")</f>
        <v/>
      </c>
      <c r="V236" s="63" t="s">
        <v>890</v>
      </c>
    </row>
    <row r="237" spans="2:22" x14ac:dyDescent="0.25">
      <c r="B237" s="23" t="s">
        <v>891</v>
      </c>
      <c r="C237" s="28" t="s">
        <v>806</v>
      </c>
      <c r="D237" s="50" t="s">
        <v>432</v>
      </c>
      <c r="E237" s="94">
        <v>3.7622963418383</v>
      </c>
      <c r="F237" s="44" t="s">
        <v>892</v>
      </c>
      <c r="U237" s="62" t="str">
        <f>IF(E237='Source Data'!E237,"","changed")</f>
        <v/>
      </c>
      <c r="V237" s="63" t="s">
        <v>893</v>
      </c>
    </row>
    <row r="238" spans="2:22" ht="26.25" customHeight="1" x14ac:dyDescent="0.25">
      <c r="B238" s="64" t="s">
        <v>894</v>
      </c>
      <c r="C238" s="28" t="s">
        <v>810</v>
      </c>
      <c r="D238" s="51" t="s">
        <v>434</v>
      </c>
      <c r="E238" s="95">
        <f>SUM(G238:T238)</f>
        <v>1</v>
      </c>
      <c r="F238" s="44" t="s">
        <v>895</v>
      </c>
      <c r="G238" s="96">
        <v>0</v>
      </c>
      <c r="H238" s="96">
        <v>0</v>
      </c>
      <c r="I238" s="96">
        <v>0</v>
      </c>
      <c r="J238" s="96">
        <v>1</v>
      </c>
      <c r="K238" s="96">
        <v>0</v>
      </c>
      <c r="L238" s="96">
        <v>0</v>
      </c>
      <c r="M238" s="96">
        <v>0</v>
      </c>
      <c r="N238" s="96">
        <v>0</v>
      </c>
      <c r="O238" s="96">
        <v>0</v>
      </c>
      <c r="P238" s="96">
        <v>0</v>
      </c>
      <c r="Q238" s="96">
        <v>0</v>
      </c>
      <c r="R238" s="96">
        <v>0</v>
      </c>
      <c r="S238" s="96">
        <v>0</v>
      </c>
      <c r="T238" s="96">
        <v>0</v>
      </c>
      <c r="U238" s="62" t="str">
        <f>IF(SUMPRODUCT(--(G238:T238&lt;&gt;'Source Data'!G238:T238))=0,"",SUMPRODUCT(--(G238:T238&lt;&gt;'Source Data'!G238:T238))&amp;" yr")</f>
        <v/>
      </c>
      <c r="V238" s="63" t="s">
        <v>812</v>
      </c>
    </row>
    <row r="239" spans="2:22" x14ac:dyDescent="0.25">
      <c r="B239" s="23" t="s">
        <v>896</v>
      </c>
      <c r="C239" s="28" t="s">
        <v>292</v>
      </c>
      <c r="D239" s="50" t="s">
        <v>432</v>
      </c>
      <c r="E239" s="87">
        <v>0.63</v>
      </c>
      <c r="F239" s="44" t="s">
        <v>897</v>
      </c>
      <c r="U239" s="62" t="str">
        <f>IF(E239='Source Data'!E239,"","changed")</f>
        <v/>
      </c>
      <c r="V239" s="63"/>
    </row>
    <row r="240" spans="2:22" x14ac:dyDescent="0.25">
      <c r="B240" s="23" t="s">
        <v>898</v>
      </c>
      <c r="C240" s="28" t="s">
        <v>816</v>
      </c>
      <c r="D240" s="50" t="s">
        <v>432</v>
      </c>
      <c r="E240" s="74">
        <v>20</v>
      </c>
      <c r="F240" s="44" t="s">
        <v>899</v>
      </c>
      <c r="U240" s="62" t="str">
        <f>IF(E240='Source Data'!E240,"","changed")</f>
        <v/>
      </c>
      <c r="V240" s="63"/>
    </row>
    <row r="241" spans="2:22" x14ac:dyDescent="0.25">
      <c r="B241" s="23" t="s">
        <v>900</v>
      </c>
      <c r="C241" s="28" t="s">
        <v>816</v>
      </c>
      <c r="D241" s="50" t="s">
        <v>432</v>
      </c>
      <c r="E241" s="74">
        <v>10</v>
      </c>
      <c r="F241" s="44" t="s">
        <v>901</v>
      </c>
      <c r="U241" s="62" t="str">
        <f>IF(E241='Source Data'!E241,"","changed")</f>
        <v/>
      </c>
      <c r="V241" s="63"/>
    </row>
    <row r="242" spans="2:22" x14ac:dyDescent="0.25">
      <c r="B242" s="42" t="s">
        <v>902</v>
      </c>
    </row>
    <row r="243" spans="2:22" x14ac:dyDescent="0.25">
      <c r="B243" s="59" t="s">
        <v>903</v>
      </c>
      <c r="C243" s="59" t="s">
        <v>466</v>
      </c>
      <c r="D243" s="59" t="s">
        <v>467</v>
      </c>
      <c r="E243" s="59" t="s">
        <v>468</v>
      </c>
      <c r="F243" s="59" t="s">
        <v>469</v>
      </c>
      <c r="G243" s="80" t="s">
        <v>628</v>
      </c>
      <c r="H243" s="81">
        <v>2024</v>
      </c>
      <c r="I243" s="81">
        <v>2025</v>
      </c>
      <c r="J243" s="81">
        <v>2026</v>
      </c>
      <c r="K243" s="81">
        <v>2027</v>
      </c>
      <c r="L243" s="81">
        <v>2028</v>
      </c>
      <c r="M243" s="81">
        <v>2029</v>
      </c>
      <c r="N243" s="81">
        <v>2030</v>
      </c>
      <c r="O243" s="81">
        <v>2031</v>
      </c>
      <c r="P243" s="81">
        <v>2032</v>
      </c>
      <c r="Q243" s="81">
        <v>2033</v>
      </c>
      <c r="R243" s="81">
        <v>2034</v>
      </c>
      <c r="S243" s="81">
        <v>2035</v>
      </c>
      <c r="T243" s="81">
        <v>2036</v>
      </c>
      <c r="U243" s="59" t="s">
        <v>470</v>
      </c>
      <c r="V243" s="59" t="s">
        <v>471</v>
      </c>
    </row>
    <row r="244" spans="2:22" x14ac:dyDescent="0.25">
      <c r="B244" s="23" t="s">
        <v>904</v>
      </c>
      <c r="C244" s="28" t="s">
        <v>630</v>
      </c>
      <c r="D244" s="50" t="s">
        <v>432</v>
      </c>
      <c r="F244" s="44" t="s">
        <v>905</v>
      </c>
      <c r="H244" s="86">
        <v>0</v>
      </c>
      <c r="I244" s="86">
        <v>0</v>
      </c>
      <c r="J244" s="86">
        <v>1300000</v>
      </c>
      <c r="K244" s="86">
        <v>1300000</v>
      </c>
      <c r="L244" s="86">
        <v>1300000</v>
      </c>
      <c r="M244" s="86">
        <v>1339000</v>
      </c>
      <c r="N244" s="86">
        <v>1339000</v>
      </c>
      <c r="O244" s="86">
        <v>1339000</v>
      </c>
      <c r="P244" s="86">
        <v>1339000</v>
      </c>
      <c r="Q244" s="86">
        <v>1379170</v>
      </c>
      <c r="R244" s="86">
        <v>1379170</v>
      </c>
      <c r="S244" s="86">
        <v>1379170</v>
      </c>
      <c r="T244" s="86">
        <v>1379170</v>
      </c>
      <c r="U244" s="62" t="str">
        <f>IF(SUMPRODUCT(--(H244:T244&lt;&gt;'Source Data'!H244:T244))=0,"",SUMPRODUCT(--(H244:T244&lt;&gt;'Source Data'!H244:T244))&amp;" yr")</f>
        <v/>
      </c>
      <c r="V244" s="63" t="s">
        <v>642</v>
      </c>
    </row>
    <row r="245" spans="2:22" x14ac:dyDescent="0.25">
      <c r="B245" s="23" t="s">
        <v>906</v>
      </c>
      <c r="C245" s="28" t="s">
        <v>647</v>
      </c>
      <c r="D245" s="50" t="s">
        <v>432</v>
      </c>
      <c r="F245" s="44" t="s">
        <v>907</v>
      </c>
      <c r="H245" s="86">
        <v>0</v>
      </c>
      <c r="I245" s="86">
        <v>0</v>
      </c>
      <c r="J245" s="86">
        <v>35000</v>
      </c>
      <c r="K245" s="86">
        <v>35000</v>
      </c>
      <c r="L245" s="86">
        <v>35000</v>
      </c>
      <c r="M245" s="86">
        <v>36400</v>
      </c>
      <c r="N245" s="86">
        <v>36400</v>
      </c>
      <c r="O245" s="86">
        <v>36400</v>
      </c>
      <c r="P245" s="86">
        <v>36400</v>
      </c>
      <c r="Q245" s="86">
        <v>37856</v>
      </c>
      <c r="R245" s="86">
        <v>37856</v>
      </c>
      <c r="S245" s="86">
        <v>37856</v>
      </c>
      <c r="T245" s="86">
        <v>37856</v>
      </c>
      <c r="U245" s="62" t="str">
        <f>IF(SUMPRODUCT(--(H245:T245&lt;&gt;'Source Data'!H245:T245))=0,"",SUMPRODUCT(--(H245:T245&lt;&gt;'Source Data'!H245:T245))&amp;" yr")</f>
        <v/>
      </c>
      <c r="V245" s="63" t="s">
        <v>642</v>
      </c>
    </row>
    <row r="246" spans="2:22" x14ac:dyDescent="0.25">
      <c r="B246" s="23" t="s">
        <v>908</v>
      </c>
      <c r="C246" s="28" t="s">
        <v>647</v>
      </c>
      <c r="D246" s="50" t="s">
        <v>432</v>
      </c>
      <c r="F246" s="44" t="s">
        <v>909</v>
      </c>
      <c r="H246" s="86">
        <v>0</v>
      </c>
      <c r="I246" s="86">
        <v>0</v>
      </c>
      <c r="J246" s="86">
        <v>2000</v>
      </c>
      <c r="K246" s="86">
        <v>2000</v>
      </c>
      <c r="L246" s="86">
        <v>2000</v>
      </c>
      <c r="M246" s="86">
        <v>2000</v>
      </c>
      <c r="N246" s="86">
        <v>2000</v>
      </c>
      <c r="O246" s="86">
        <v>2000</v>
      </c>
      <c r="P246" s="86">
        <v>2000</v>
      </c>
      <c r="Q246" s="86">
        <v>2000</v>
      </c>
      <c r="R246" s="86">
        <v>2000</v>
      </c>
      <c r="S246" s="86">
        <v>2000</v>
      </c>
      <c r="T246" s="86">
        <v>2000</v>
      </c>
      <c r="U246" s="62" t="str">
        <f>IF(SUMPRODUCT(--(H246:T246&lt;&gt;'Source Data'!H246:T246))=0,"",SUMPRODUCT(--(H246:T246&lt;&gt;'Source Data'!H246:T246))&amp;" yr")</f>
        <v/>
      </c>
      <c r="V246" s="63" t="s">
        <v>642</v>
      </c>
    </row>
    <row r="247" spans="2:22" x14ac:dyDescent="0.25">
      <c r="B247" s="23" t="s">
        <v>910</v>
      </c>
      <c r="C247" s="28" t="s">
        <v>799</v>
      </c>
      <c r="D247" s="50" t="s">
        <v>432</v>
      </c>
      <c r="F247" s="44" t="s">
        <v>911</v>
      </c>
      <c r="H247" s="87">
        <v>0</v>
      </c>
      <c r="I247" s="87">
        <v>0</v>
      </c>
      <c r="J247" s="87">
        <v>0.47490397972176901</v>
      </c>
      <c r="K247" s="87">
        <v>0.485913847929626</v>
      </c>
      <c r="L247" s="87">
        <v>0.497198962842679</v>
      </c>
      <c r="M247" s="87">
        <v>0.48404241346923799</v>
      </c>
      <c r="N247" s="87">
        <v>0.50417373904336305</v>
      </c>
      <c r="O247" s="87">
        <v>0.51127062520604505</v>
      </c>
      <c r="P247" s="87">
        <v>0.52309449601937297</v>
      </c>
      <c r="Q247" s="87">
        <v>0.50918820671077802</v>
      </c>
      <c r="R247" s="87">
        <v>0.520982143752312</v>
      </c>
      <c r="S247" s="87">
        <v>0.54135807925281498</v>
      </c>
      <c r="T247" s="87">
        <v>0.54629064932743998</v>
      </c>
      <c r="U247" s="62" t="str">
        <f>IF(SUMPRODUCT(--(H247:T247&lt;&gt;'Source Data'!H247:T247))=0,"",SUMPRODUCT(--(H247:T247&lt;&gt;'Source Data'!H247:T247))&amp;" yr")</f>
        <v/>
      </c>
      <c r="V247" s="63" t="s">
        <v>642</v>
      </c>
    </row>
    <row r="248" spans="2:22" x14ac:dyDescent="0.25">
      <c r="B248" s="23" t="s">
        <v>912</v>
      </c>
      <c r="C248" s="28" t="s">
        <v>799</v>
      </c>
      <c r="D248" s="50" t="s">
        <v>432</v>
      </c>
      <c r="F248" s="44" t="s">
        <v>913</v>
      </c>
      <c r="H248" s="87">
        <v>0</v>
      </c>
      <c r="I248" s="87">
        <v>0</v>
      </c>
      <c r="J248" s="87">
        <v>0.192</v>
      </c>
      <c r="K248" s="87">
        <v>0.19612499999999999</v>
      </c>
      <c r="L248" s="87">
        <v>0.20035312499999999</v>
      </c>
      <c r="M248" s="87">
        <v>0.19951160497572801</v>
      </c>
      <c r="N248" s="87">
        <v>0.20582439510012099</v>
      </c>
      <c r="O248" s="87">
        <v>0.20924500497762399</v>
      </c>
      <c r="P248" s="87">
        <v>0.213776130102065</v>
      </c>
      <c r="Q248" s="87">
        <v>0.212874304227783</v>
      </c>
      <c r="R248" s="87">
        <v>0.217496161833478</v>
      </c>
      <c r="S248" s="87">
        <v>0.22423356587931501</v>
      </c>
      <c r="T248" s="87">
        <v>0.22728940502629699</v>
      </c>
      <c r="U248" s="62" t="str">
        <f>IF(SUMPRODUCT(--(H248:T248&lt;&gt;'Source Data'!H248:T248))=0,"",SUMPRODUCT(--(H248:T248&lt;&gt;'Source Data'!H248:T248))&amp;" yr")</f>
        <v/>
      </c>
      <c r="V248" s="63" t="s">
        <v>642</v>
      </c>
    </row>
    <row r="249" spans="2:22" x14ac:dyDescent="0.25">
      <c r="B249" s="23" t="s">
        <v>801</v>
      </c>
      <c r="C249" s="28" t="s">
        <v>802</v>
      </c>
      <c r="D249" s="50" t="s">
        <v>432</v>
      </c>
      <c r="F249" s="44" t="s">
        <v>914</v>
      </c>
      <c r="H249" s="91">
        <v>2.1836245000000001E-3</v>
      </c>
      <c r="I249" s="91">
        <v>2.1836245000000001E-3</v>
      </c>
      <c r="J249" s="91">
        <v>2.1836245000000001E-3</v>
      </c>
      <c r="K249" s="91">
        <v>2.1836245000000001E-3</v>
      </c>
      <c r="L249" s="91">
        <v>2.1836245000000001E-3</v>
      </c>
      <c r="M249" s="91">
        <v>2.1836245000000001E-3</v>
      </c>
      <c r="N249" s="91">
        <v>2.1836245000000001E-3</v>
      </c>
      <c r="O249" s="91">
        <v>2.1836245000000001E-3</v>
      </c>
      <c r="P249" s="91">
        <v>2.1836245000000001E-3</v>
      </c>
      <c r="Q249" s="91">
        <v>2.1836245000000001E-3</v>
      </c>
      <c r="R249" s="91">
        <v>2.1836245000000001E-3</v>
      </c>
      <c r="S249" s="91">
        <v>2.1836245000000001E-3</v>
      </c>
      <c r="T249" s="91">
        <v>2.1836245000000001E-3</v>
      </c>
      <c r="U249" s="62" t="str">
        <f>IF(SUMPRODUCT(--(H249:T249&lt;&gt;'Source Data'!H249:T249))=0,"",SUMPRODUCT(--(H249:T249&lt;&gt;'Source Data'!H249:T249))&amp;" yr")</f>
        <v/>
      </c>
      <c r="V249" s="63" t="s">
        <v>683</v>
      </c>
    </row>
    <row r="250" spans="2:22" x14ac:dyDescent="0.25">
      <c r="B250" s="23" t="s">
        <v>915</v>
      </c>
      <c r="C250" s="28" t="s">
        <v>806</v>
      </c>
      <c r="D250" s="50" t="s">
        <v>432</v>
      </c>
      <c r="E250" s="94">
        <v>6.8095238095238102</v>
      </c>
      <c r="F250" s="44" t="s">
        <v>916</v>
      </c>
      <c r="U250" s="62" t="str">
        <f>IF(E250='Source Data'!E250,"","changed")</f>
        <v/>
      </c>
      <c r="V250" s="63" t="s">
        <v>917</v>
      </c>
    </row>
    <row r="251" spans="2:22" ht="26.25" customHeight="1" x14ac:dyDescent="0.25">
      <c r="B251" s="64" t="s">
        <v>918</v>
      </c>
      <c r="C251" s="28" t="s">
        <v>810</v>
      </c>
      <c r="D251" s="51" t="s">
        <v>434</v>
      </c>
      <c r="E251" s="95">
        <f>SUM(G251:T251)</f>
        <v>0.99999999999999978</v>
      </c>
      <c r="F251" s="85" t="s">
        <v>919</v>
      </c>
      <c r="G251" s="96">
        <v>0</v>
      </c>
      <c r="H251" s="96">
        <v>0</v>
      </c>
      <c r="I251" s="96">
        <v>0</v>
      </c>
      <c r="J251" s="96">
        <v>0.95227272727272705</v>
      </c>
      <c r="K251" s="96">
        <v>4.7727272727272702E-2</v>
      </c>
      <c r="L251" s="96">
        <v>0</v>
      </c>
      <c r="M251" s="96">
        <v>0</v>
      </c>
      <c r="N251" s="96">
        <v>0</v>
      </c>
      <c r="O251" s="96">
        <v>0</v>
      </c>
      <c r="P251" s="96">
        <v>0</v>
      </c>
      <c r="Q251" s="96">
        <v>0</v>
      </c>
      <c r="R251" s="96">
        <v>0</v>
      </c>
      <c r="S251" s="96">
        <v>0</v>
      </c>
      <c r="T251" s="96">
        <v>0</v>
      </c>
      <c r="U251" s="62" t="str">
        <f>IF(SUMPRODUCT(--(G251:T251&lt;&gt;'Source Data'!G251:T251))=0,"",SUMPRODUCT(--(G251:T251&lt;&gt;'Source Data'!G251:T251))&amp;" yr")</f>
        <v/>
      </c>
      <c r="V251" s="63" t="s">
        <v>812</v>
      </c>
    </row>
    <row r="252" spans="2:22" x14ac:dyDescent="0.25">
      <c r="B252" s="23" t="s">
        <v>920</v>
      </c>
      <c r="C252" s="28" t="s">
        <v>292</v>
      </c>
      <c r="D252" s="50" t="s">
        <v>432</v>
      </c>
      <c r="E252" s="87">
        <v>0.6</v>
      </c>
      <c r="F252" s="44" t="s">
        <v>921</v>
      </c>
      <c r="U252" s="62" t="str">
        <f>IF(E252='Source Data'!E252,"","changed")</f>
        <v/>
      </c>
      <c r="V252" s="63"/>
    </row>
    <row r="253" spans="2:22" x14ac:dyDescent="0.25">
      <c r="B253" s="23" t="s">
        <v>922</v>
      </c>
      <c r="C253" s="28" t="s">
        <v>816</v>
      </c>
      <c r="D253" s="50" t="s">
        <v>432</v>
      </c>
      <c r="E253" s="74">
        <v>20</v>
      </c>
      <c r="F253" s="44" t="s">
        <v>923</v>
      </c>
      <c r="U253" s="62" t="str">
        <f>IF(E253='Source Data'!E253,"","changed")</f>
        <v/>
      </c>
      <c r="V253" s="63"/>
    </row>
    <row r="254" spans="2:22" x14ac:dyDescent="0.25">
      <c r="B254" s="23" t="s">
        <v>924</v>
      </c>
      <c r="C254" s="28" t="s">
        <v>816</v>
      </c>
      <c r="D254" s="50" t="s">
        <v>432</v>
      </c>
      <c r="E254" s="74">
        <v>8</v>
      </c>
      <c r="F254" s="44" t="s">
        <v>925</v>
      </c>
      <c r="U254" s="62" t="str">
        <f>IF(E254='Source Data'!E254,"","changed")</f>
        <v/>
      </c>
      <c r="V254" s="63"/>
    </row>
    <row r="255" spans="2:22" x14ac:dyDescent="0.25">
      <c r="B255" s="42" t="s">
        <v>926</v>
      </c>
    </row>
    <row r="256" spans="2:22" x14ac:dyDescent="0.25">
      <c r="B256" s="59" t="s">
        <v>927</v>
      </c>
      <c r="C256" s="59" t="s">
        <v>466</v>
      </c>
      <c r="D256" s="59" t="s">
        <v>467</v>
      </c>
      <c r="E256" s="59" t="s">
        <v>468</v>
      </c>
      <c r="F256" s="59" t="s">
        <v>469</v>
      </c>
      <c r="G256" s="80" t="s">
        <v>628</v>
      </c>
      <c r="H256" s="81">
        <v>2024</v>
      </c>
      <c r="I256" s="81">
        <v>2025</v>
      </c>
      <c r="J256" s="81">
        <v>2026</v>
      </c>
      <c r="K256" s="81">
        <v>2027</v>
      </c>
      <c r="L256" s="81">
        <v>2028</v>
      </c>
      <c r="M256" s="81">
        <v>2029</v>
      </c>
      <c r="N256" s="81">
        <v>2030</v>
      </c>
      <c r="O256" s="81">
        <v>2031</v>
      </c>
      <c r="P256" s="81">
        <v>2032</v>
      </c>
      <c r="Q256" s="81">
        <v>2033</v>
      </c>
      <c r="R256" s="81">
        <v>2034</v>
      </c>
      <c r="S256" s="81">
        <v>2035</v>
      </c>
      <c r="T256" s="81">
        <v>2036</v>
      </c>
      <c r="U256" s="59" t="s">
        <v>470</v>
      </c>
      <c r="V256" s="59" t="s">
        <v>471</v>
      </c>
    </row>
    <row r="257" spans="2:22" x14ac:dyDescent="0.25">
      <c r="B257" s="23" t="s">
        <v>928</v>
      </c>
      <c r="C257" s="28" t="s">
        <v>630</v>
      </c>
      <c r="D257" s="50" t="s">
        <v>432</v>
      </c>
      <c r="E257" s="86">
        <v>1600000</v>
      </c>
      <c r="F257" s="44" t="s">
        <v>929</v>
      </c>
      <c r="U257" s="62" t="str">
        <f>IF(E257='Source Data'!E257,"","changed")</f>
        <v/>
      </c>
      <c r="V257" s="63" t="s">
        <v>930</v>
      </c>
    </row>
    <row r="258" spans="2:22" x14ac:dyDescent="0.25">
      <c r="B258" s="23" t="s">
        <v>931</v>
      </c>
      <c r="C258" s="28" t="s">
        <v>292</v>
      </c>
      <c r="D258" s="50" t="s">
        <v>432</v>
      </c>
      <c r="E258" s="93">
        <v>0.520159282034236</v>
      </c>
      <c r="F258" s="44" t="s">
        <v>932</v>
      </c>
      <c r="U258" s="62" t="str">
        <f>IF(E258='Source Data'!E258,"","changed")</f>
        <v/>
      </c>
      <c r="V258" s="63" t="s">
        <v>933</v>
      </c>
    </row>
    <row r="259" spans="2:22" x14ac:dyDescent="0.25">
      <c r="B259" s="23" t="s">
        <v>794</v>
      </c>
      <c r="C259" s="28" t="s">
        <v>292</v>
      </c>
      <c r="D259" s="50" t="s">
        <v>432</v>
      </c>
      <c r="F259" s="44" t="s">
        <v>934</v>
      </c>
      <c r="H259" s="87">
        <v>0</v>
      </c>
      <c r="I259" s="87">
        <v>0</v>
      </c>
      <c r="J259" s="87">
        <v>0</v>
      </c>
      <c r="K259" s="87">
        <v>0.1</v>
      </c>
      <c r="L259" s="87">
        <v>0.1</v>
      </c>
      <c r="M259" s="87">
        <v>0.1</v>
      </c>
      <c r="N259" s="87">
        <v>0.1</v>
      </c>
      <c r="O259" s="87">
        <v>0.1</v>
      </c>
      <c r="P259" s="87">
        <v>0.06</v>
      </c>
      <c r="Q259" s="87">
        <v>0.06</v>
      </c>
      <c r="R259" s="87">
        <v>0.06</v>
      </c>
      <c r="S259" s="87">
        <v>0.06</v>
      </c>
      <c r="T259" s="87">
        <v>0.06</v>
      </c>
      <c r="U259" s="62" t="str">
        <f>IF(SUMPRODUCT(--(H259:T259&lt;&gt;'Source Data'!H259:T259))=0,"",SUMPRODUCT(--(H259:T259&lt;&gt;'Source Data'!H259:T259))&amp;" yr")</f>
        <v/>
      </c>
      <c r="V259" s="63" t="s">
        <v>642</v>
      </c>
    </row>
    <row r="260" spans="2:22" x14ac:dyDescent="0.25">
      <c r="B260" s="23" t="s">
        <v>935</v>
      </c>
      <c r="C260" s="28" t="s">
        <v>647</v>
      </c>
      <c r="D260" s="50" t="s">
        <v>432</v>
      </c>
      <c r="F260" s="44" t="s">
        <v>936</v>
      </c>
      <c r="H260" s="86">
        <v>0</v>
      </c>
      <c r="I260" s="86">
        <v>0</v>
      </c>
      <c r="J260" s="86">
        <v>0</v>
      </c>
      <c r="K260" s="86">
        <v>0</v>
      </c>
      <c r="L260" s="86">
        <v>36411.149742396497</v>
      </c>
      <c r="M260" s="86">
        <v>43693.379690875903</v>
      </c>
      <c r="N260" s="86">
        <v>43693.379690875903</v>
      </c>
      <c r="O260" s="86">
        <v>48062.717659963397</v>
      </c>
      <c r="P260" s="86">
        <v>48062.717659963397</v>
      </c>
      <c r="Q260" s="86">
        <v>50946.480719561201</v>
      </c>
      <c r="R260" s="86">
        <v>50946.480719561201</v>
      </c>
      <c r="S260" s="86">
        <v>54003.269562734902</v>
      </c>
      <c r="T260" s="86">
        <v>54003.269562734902</v>
      </c>
      <c r="U260" s="62" t="str">
        <f>IF(SUMPRODUCT(--(H260:T260&lt;&gt;'Source Data'!H260:T260))=0,"",SUMPRODUCT(--(H260:T260&lt;&gt;'Source Data'!H260:T260))&amp;" yr")</f>
        <v/>
      </c>
      <c r="V260" s="63" t="s">
        <v>937</v>
      </c>
    </row>
    <row r="261" spans="2:22" x14ac:dyDescent="0.25">
      <c r="B261" s="23" t="s">
        <v>938</v>
      </c>
      <c r="C261" s="28" t="s">
        <v>806</v>
      </c>
      <c r="D261" s="50" t="s">
        <v>432</v>
      </c>
      <c r="E261" s="94">
        <v>5.0245926836766097</v>
      </c>
      <c r="F261" s="44" t="s">
        <v>939</v>
      </c>
      <c r="U261" s="62" t="str">
        <f>IF(E261='Source Data'!E261,"","changed")</f>
        <v/>
      </c>
      <c r="V261" s="63" t="s">
        <v>940</v>
      </c>
    </row>
    <row r="262" spans="2:22" ht="26.25" customHeight="1" x14ac:dyDescent="0.25">
      <c r="B262" s="64" t="s">
        <v>941</v>
      </c>
      <c r="C262" s="28" t="s">
        <v>810</v>
      </c>
      <c r="D262" s="51" t="s">
        <v>434</v>
      </c>
      <c r="E262" s="95">
        <f>SUM(G262:T262)</f>
        <v>1</v>
      </c>
      <c r="F262" s="44" t="s">
        <v>942</v>
      </c>
      <c r="G262" s="96">
        <v>0</v>
      </c>
      <c r="H262" s="96">
        <v>0</v>
      </c>
      <c r="I262" s="96">
        <v>0</v>
      </c>
      <c r="J262" s="96">
        <v>0.5</v>
      </c>
      <c r="K262" s="96">
        <v>0.5</v>
      </c>
      <c r="L262" s="96">
        <v>0</v>
      </c>
      <c r="M262" s="96">
        <v>0</v>
      </c>
      <c r="N262" s="96">
        <v>0</v>
      </c>
      <c r="O262" s="96">
        <v>0</v>
      </c>
      <c r="P262" s="96">
        <v>0</v>
      </c>
      <c r="Q262" s="96">
        <v>0</v>
      </c>
      <c r="R262" s="96">
        <v>0</v>
      </c>
      <c r="S262" s="96">
        <v>0</v>
      </c>
      <c r="T262" s="96">
        <v>0</v>
      </c>
      <c r="U262" s="62" t="str">
        <f>IF(SUMPRODUCT(--(G262:T262&lt;&gt;'Source Data'!G262:T262))=0,"",SUMPRODUCT(--(G262:T262&lt;&gt;'Source Data'!G262:T262))&amp;" yr")</f>
        <v/>
      </c>
      <c r="V262" s="63" t="s">
        <v>812</v>
      </c>
    </row>
    <row r="263" spans="2:22" x14ac:dyDescent="0.25">
      <c r="B263" s="23" t="s">
        <v>943</v>
      </c>
      <c r="C263" s="28" t="s">
        <v>292</v>
      </c>
      <c r="D263" s="50" t="s">
        <v>432</v>
      </c>
      <c r="E263" s="87">
        <v>0.5</v>
      </c>
      <c r="F263" s="44" t="s">
        <v>944</v>
      </c>
      <c r="U263" s="62" t="str">
        <f>IF(E263='Source Data'!E263,"","changed")</f>
        <v/>
      </c>
      <c r="V263" s="63"/>
    </row>
    <row r="264" spans="2:22" x14ac:dyDescent="0.25">
      <c r="B264" s="23" t="s">
        <v>945</v>
      </c>
      <c r="C264" s="28" t="s">
        <v>816</v>
      </c>
      <c r="D264" s="50" t="s">
        <v>432</v>
      </c>
      <c r="E264" s="74">
        <v>20</v>
      </c>
      <c r="F264" s="44" t="s">
        <v>946</v>
      </c>
      <c r="U264" s="62" t="str">
        <f>IF(E264='Source Data'!E264,"","changed")</f>
        <v/>
      </c>
      <c r="V264" s="63"/>
    </row>
    <row r="265" spans="2:22" x14ac:dyDescent="0.25">
      <c r="B265" s="23" t="s">
        <v>947</v>
      </c>
      <c r="C265" s="28" t="s">
        <v>816</v>
      </c>
      <c r="D265" s="50" t="s">
        <v>432</v>
      </c>
      <c r="E265" s="74">
        <v>8</v>
      </c>
      <c r="F265" s="44" t="s">
        <v>948</v>
      </c>
      <c r="U265" s="62" t="str">
        <f>IF(E265='Source Data'!E265,"","changed")</f>
        <v/>
      </c>
      <c r="V265" s="63"/>
    </row>
    <row r="266" spans="2:22" x14ac:dyDescent="0.25">
      <c r="B266" s="63" t="s">
        <v>949</v>
      </c>
    </row>
    <row r="267" spans="2:22" x14ac:dyDescent="0.25">
      <c r="B267" s="42" t="s">
        <v>950</v>
      </c>
    </row>
    <row r="268" spans="2:22" x14ac:dyDescent="0.25">
      <c r="B268" s="59" t="s">
        <v>951</v>
      </c>
      <c r="C268" s="59" t="s">
        <v>466</v>
      </c>
      <c r="D268" s="59" t="s">
        <v>467</v>
      </c>
      <c r="E268" s="59" t="s">
        <v>468</v>
      </c>
      <c r="F268" s="59" t="s">
        <v>469</v>
      </c>
      <c r="G268" s="80" t="s">
        <v>628</v>
      </c>
      <c r="H268" s="81">
        <v>2024</v>
      </c>
      <c r="I268" s="81">
        <v>2025</v>
      </c>
      <c r="J268" s="81">
        <v>2026</v>
      </c>
      <c r="K268" s="81">
        <v>2027</v>
      </c>
      <c r="L268" s="81">
        <v>2028</v>
      </c>
      <c r="M268" s="81">
        <v>2029</v>
      </c>
      <c r="N268" s="81">
        <v>2030</v>
      </c>
      <c r="O268" s="81">
        <v>2031</v>
      </c>
      <c r="P268" s="81">
        <v>2032</v>
      </c>
      <c r="Q268" s="81">
        <v>2033</v>
      </c>
      <c r="R268" s="81">
        <v>2034</v>
      </c>
      <c r="S268" s="81">
        <v>2035</v>
      </c>
      <c r="T268" s="81">
        <v>2036</v>
      </c>
      <c r="U268" s="59" t="s">
        <v>470</v>
      </c>
      <c r="V268" s="59" t="s">
        <v>471</v>
      </c>
    </row>
    <row r="269" spans="2:22" ht="26.25" customHeight="1" x14ac:dyDescent="0.25">
      <c r="B269" s="64" t="s">
        <v>952</v>
      </c>
      <c r="C269" s="28" t="s">
        <v>630</v>
      </c>
      <c r="D269" s="50" t="s">
        <v>432</v>
      </c>
      <c r="F269" s="44" t="s">
        <v>953</v>
      </c>
      <c r="H269" s="86">
        <v>0</v>
      </c>
      <c r="I269" s="86">
        <v>0</v>
      </c>
      <c r="J269" s="86">
        <v>0</v>
      </c>
      <c r="K269" s="86">
        <v>200000</v>
      </c>
      <c r="L269" s="86">
        <v>250000</v>
      </c>
      <c r="M269" s="86">
        <v>300000</v>
      </c>
      <c r="N269" s="86">
        <v>350000</v>
      </c>
      <c r="O269" s="86">
        <v>400000</v>
      </c>
      <c r="P269" s="86">
        <v>450000</v>
      </c>
      <c r="Q269" s="86">
        <v>500000</v>
      </c>
      <c r="R269" s="86">
        <v>550000</v>
      </c>
      <c r="S269" s="86">
        <v>0</v>
      </c>
      <c r="T269" s="86">
        <v>0</v>
      </c>
      <c r="U269" s="62" t="str">
        <f>IF(SUMPRODUCT(--(H269:T269&lt;&gt;'Source Data'!H269:T269))=0,"",SUMPRODUCT(--(H269:T269&lt;&gt;'Source Data'!H269:T269))&amp;" yr")</f>
        <v/>
      </c>
      <c r="V269" s="63" t="s">
        <v>954</v>
      </c>
    </row>
    <row r="270" spans="2:22" x14ac:dyDescent="0.25">
      <c r="B270" s="23" t="s">
        <v>955</v>
      </c>
      <c r="C270" s="28" t="s">
        <v>802</v>
      </c>
      <c r="D270" s="50" t="s">
        <v>432</v>
      </c>
      <c r="F270" s="44" t="s">
        <v>956</v>
      </c>
      <c r="H270" s="93">
        <v>2E-3</v>
      </c>
      <c r="I270" s="93">
        <v>2E-3</v>
      </c>
      <c r="J270" s="93">
        <v>2E-3</v>
      </c>
      <c r="K270" s="93">
        <v>2E-3</v>
      </c>
      <c r="L270" s="93">
        <v>2E-3</v>
      </c>
      <c r="M270" s="93">
        <v>2E-3</v>
      </c>
      <c r="N270" s="93">
        <v>2E-3</v>
      </c>
      <c r="O270" s="93">
        <v>2E-3</v>
      </c>
      <c r="P270" s="93">
        <v>2E-3</v>
      </c>
      <c r="Q270" s="93">
        <v>2E-3</v>
      </c>
      <c r="R270" s="93">
        <v>2E-3</v>
      </c>
      <c r="S270" s="93">
        <v>2E-3</v>
      </c>
      <c r="T270" s="93">
        <v>2E-3</v>
      </c>
      <c r="U270" s="62" t="str">
        <f>IF(SUMPRODUCT(--(H270:T270&lt;&gt;'Source Data'!H270:T270))=0,"",SUMPRODUCT(--(H270:T270&lt;&gt;'Source Data'!H270:T270))&amp;" yr")</f>
        <v/>
      </c>
      <c r="V270" s="63" t="s">
        <v>683</v>
      </c>
    </row>
    <row r="271" spans="2:22" x14ac:dyDescent="0.25">
      <c r="B271" s="23" t="s">
        <v>957</v>
      </c>
      <c r="C271" s="28" t="s">
        <v>806</v>
      </c>
      <c r="D271" s="50" t="s">
        <v>432</v>
      </c>
      <c r="E271" s="94">
        <v>14.0245926836766</v>
      </c>
      <c r="F271" s="44" t="s">
        <v>958</v>
      </c>
      <c r="U271" s="62" t="str">
        <f>IF(E271='Source Data'!E271,"","changed")</f>
        <v/>
      </c>
      <c r="V271" s="63" t="s">
        <v>959</v>
      </c>
    </row>
    <row r="272" spans="2:22" ht="26.25" customHeight="1" x14ac:dyDescent="0.25">
      <c r="B272" s="64" t="s">
        <v>960</v>
      </c>
      <c r="C272" s="28" t="s">
        <v>810</v>
      </c>
      <c r="D272" s="51" t="s">
        <v>434</v>
      </c>
      <c r="E272" s="95">
        <f>SUM(G272:T272)</f>
        <v>1</v>
      </c>
      <c r="F272" s="44" t="s">
        <v>961</v>
      </c>
      <c r="G272" s="96">
        <v>0</v>
      </c>
      <c r="H272" s="96">
        <v>0</v>
      </c>
      <c r="I272" s="96">
        <v>0</v>
      </c>
      <c r="J272" s="96">
        <v>0.50087676997939601</v>
      </c>
      <c r="K272" s="96">
        <v>0.49912323002060399</v>
      </c>
      <c r="L272" s="96">
        <v>0</v>
      </c>
      <c r="M272" s="96">
        <v>0</v>
      </c>
      <c r="N272" s="96">
        <v>0</v>
      </c>
      <c r="O272" s="96">
        <v>0</v>
      </c>
      <c r="P272" s="96">
        <v>0</v>
      </c>
      <c r="Q272" s="96">
        <v>0</v>
      </c>
      <c r="R272" s="96">
        <v>0</v>
      </c>
      <c r="S272" s="96">
        <v>0</v>
      </c>
      <c r="T272" s="96">
        <v>0</v>
      </c>
      <c r="U272" s="62" t="str">
        <f>IF(SUMPRODUCT(--(G272:T272&lt;&gt;'Source Data'!G272:T272))=0,"",SUMPRODUCT(--(G272:T272&lt;&gt;'Source Data'!G272:T272))&amp;" yr")</f>
        <v/>
      </c>
      <c r="V272" s="63" t="s">
        <v>812</v>
      </c>
    </row>
    <row r="273" spans="2:22" x14ac:dyDescent="0.25">
      <c r="B273" s="23" t="s">
        <v>962</v>
      </c>
      <c r="C273" s="28" t="s">
        <v>292</v>
      </c>
      <c r="D273" s="50" t="s">
        <v>432</v>
      </c>
      <c r="E273" s="87">
        <v>0.9</v>
      </c>
      <c r="F273" s="44" t="s">
        <v>963</v>
      </c>
      <c r="U273" s="62" t="str">
        <f>IF(E273='Source Data'!E273,"","changed")</f>
        <v/>
      </c>
      <c r="V273" s="63"/>
    </row>
    <row r="274" spans="2:22" x14ac:dyDescent="0.25">
      <c r="B274" s="23" t="s">
        <v>964</v>
      </c>
      <c r="C274" s="28" t="s">
        <v>816</v>
      </c>
      <c r="D274" s="50" t="s">
        <v>432</v>
      </c>
      <c r="E274" s="74">
        <v>20</v>
      </c>
      <c r="F274" s="44" t="s">
        <v>965</v>
      </c>
      <c r="U274" s="62" t="str">
        <f>IF(E274='Source Data'!E274,"","changed")</f>
        <v/>
      </c>
      <c r="V274" s="63"/>
    </row>
    <row r="275" spans="2:22" x14ac:dyDescent="0.25">
      <c r="B275" s="23" t="s">
        <v>966</v>
      </c>
      <c r="C275" s="28" t="s">
        <v>816</v>
      </c>
      <c r="D275" s="50" t="s">
        <v>432</v>
      </c>
      <c r="E275" s="74">
        <v>8</v>
      </c>
      <c r="F275" s="44" t="s">
        <v>967</v>
      </c>
      <c r="U275" s="62" t="str">
        <f>IF(E275='Source Data'!E275,"","changed")</f>
        <v/>
      </c>
      <c r="V275" s="63"/>
    </row>
    <row r="276" spans="2:22" x14ac:dyDescent="0.25">
      <c r="B276" s="42" t="s">
        <v>968</v>
      </c>
    </row>
    <row r="277" spans="2:22" x14ac:dyDescent="0.25">
      <c r="B277" s="59" t="s">
        <v>969</v>
      </c>
      <c r="C277" s="59" t="s">
        <v>466</v>
      </c>
      <c r="D277" s="59" t="s">
        <v>467</v>
      </c>
      <c r="E277" s="59" t="s">
        <v>468</v>
      </c>
      <c r="F277" s="59" t="s">
        <v>469</v>
      </c>
      <c r="G277" s="80" t="s">
        <v>628</v>
      </c>
      <c r="H277" s="81">
        <v>2024</v>
      </c>
      <c r="I277" s="81">
        <v>2025</v>
      </c>
      <c r="J277" s="81">
        <v>2026</v>
      </c>
      <c r="K277" s="81">
        <v>2027</v>
      </c>
      <c r="L277" s="81">
        <v>2028</v>
      </c>
      <c r="M277" s="81">
        <v>2029</v>
      </c>
      <c r="N277" s="81">
        <v>2030</v>
      </c>
      <c r="O277" s="81">
        <v>2031</v>
      </c>
      <c r="P277" s="81">
        <v>2032</v>
      </c>
      <c r="Q277" s="81">
        <v>2033</v>
      </c>
      <c r="R277" s="81">
        <v>2034</v>
      </c>
      <c r="S277" s="81">
        <v>2035</v>
      </c>
      <c r="T277" s="81">
        <v>2036</v>
      </c>
      <c r="U277" s="59" t="s">
        <v>470</v>
      </c>
      <c r="V277" s="59" t="s">
        <v>471</v>
      </c>
    </row>
    <row r="278" spans="2:22" x14ac:dyDescent="0.25">
      <c r="B278" s="23" t="s">
        <v>970</v>
      </c>
      <c r="C278" s="28" t="s">
        <v>971</v>
      </c>
      <c r="D278" s="50" t="s">
        <v>432</v>
      </c>
      <c r="E278" s="87">
        <v>0.02</v>
      </c>
      <c r="F278" s="44" t="s">
        <v>972</v>
      </c>
      <c r="U278" s="62" t="str">
        <f>IF(E278='Source Data'!E278,"","changed")</f>
        <v/>
      </c>
      <c r="V278" s="63" t="s">
        <v>973</v>
      </c>
    </row>
    <row r="279" spans="2:22" x14ac:dyDescent="0.25">
      <c r="B279" s="23" t="s">
        <v>974</v>
      </c>
      <c r="C279" s="28" t="s">
        <v>292</v>
      </c>
      <c r="D279" s="50" t="s">
        <v>432</v>
      </c>
      <c r="E279" s="87">
        <v>0.5</v>
      </c>
      <c r="F279" s="44" t="s">
        <v>975</v>
      </c>
      <c r="U279" s="62" t="str">
        <f>IF(E279='Source Data'!E279,"","changed")</f>
        <v/>
      </c>
      <c r="V279" s="63" t="s">
        <v>976</v>
      </c>
    </row>
    <row r="280" spans="2:22" x14ac:dyDescent="0.25">
      <c r="B280" s="23" t="s">
        <v>977</v>
      </c>
      <c r="C280" s="28" t="s">
        <v>292</v>
      </c>
      <c r="D280" s="50" t="s">
        <v>432</v>
      </c>
      <c r="E280" s="87">
        <v>0.5</v>
      </c>
      <c r="F280" s="44" t="s">
        <v>978</v>
      </c>
      <c r="U280" s="62" t="str">
        <f>IF(E280='Source Data'!E280,"","changed")</f>
        <v/>
      </c>
      <c r="V280" s="63" t="s">
        <v>976</v>
      </c>
    </row>
    <row r="281" spans="2:22" x14ac:dyDescent="0.25">
      <c r="B281" s="23" t="s">
        <v>979</v>
      </c>
      <c r="C281" s="28" t="s">
        <v>292</v>
      </c>
      <c r="D281" s="50" t="s">
        <v>432</v>
      </c>
      <c r="E281" s="87">
        <v>0.5</v>
      </c>
      <c r="F281" s="44" t="s">
        <v>980</v>
      </c>
      <c r="U281" s="62" t="str">
        <f>IF(E281='Source Data'!E281,"","changed")</f>
        <v/>
      </c>
      <c r="V281" s="63" t="s">
        <v>976</v>
      </c>
    </row>
    <row r="282" spans="2:22" x14ac:dyDescent="0.25">
      <c r="B282" s="23" t="s">
        <v>981</v>
      </c>
      <c r="C282" s="28" t="s">
        <v>292</v>
      </c>
      <c r="D282" s="50" t="s">
        <v>432</v>
      </c>
      <c r="E282" s="87">
        <v>0.5</v>
      </c>
      <c r="F282" s="44" t="s">
        <v>982</v>
      </c>
      <c r="U282" s="62" t="str">
        <f>IF(E282='Source Data'!E282,"","changed")</f>
        <v/>
      </c>
      <c r="V282" s="63" t="s">
        <v>976</v>
      </c>
    </row>
    <row r="283" spans="2:22" x14ac:dyDescent="0.25">
      <c r="B283" s="23" t="s">
        <v>983</v>
      </c>
      <c r="C283" s="28" t="s">
        <v>630</v>
      </c>
      <c r="D283" s="50" t="s">
        <v>432</v>
      </c>
      <c r="E283" s="86">
        <v>1700000</v>
      </c>
      <c r="F283" s="44" t="s">
        <v>984</v>
      </c>
      <c r="U283" s="62" t="str">
        <f>IF(E283='Source Data'!E283,"","changed")</f>
        <v/>
      </c>
      <c r="V283" s="63"/>
    </row>
    <row r="284" spans="2:22" ht="26.25" customHeight="1" x14ac:dyDescent="0.25">
      <c r="B284" s="64" t="s">
        <v>985</v>
      </c>
      <c r="C284" s="28" t="s">
        <v>806</v>
      </c>
      <c r="D284" s="50" t="s">
        <v>432</v>
      </c>
      <c r="E284" s="94">
        <v>0.04</v>
      </c>
      <c r="F284" s="44" t="s">
        <v>986</v>
      </c>
      <c r="U284" s="62" t="str">
        <f>IF(E284='Source Data'!E284,"","changed")</f>
        <v/>
      </c>
      <c r="V284" s="63" t="s">
        <v>987</v>
      </c>
    </row>
    <row r="285" spans="2:22" ht="26.25" customHeight="1" x14ac:dyDescent="0.25">
      <c r="B285" s="64" t="s">
        <v>988</v>
      </c>
      <c r="C285" s="28" t="s">
        <v>806</v>
      </c>
      <c r="D285" s="50" t="s">
        <v>432</v>
      </c>
      <c r="E285" s="94">
        <v>0.04</v>
      </c>
      <c r="F285" s="44" t="s">
        <v>989</v>
      </c>
      <c r="U285" s="62" t="str">
        <f>IF(E285='Source Data'!E285,"","changed")</f>
        <v/>
      </c>
      <c r="V285" s="63" t="s">
        <v>987</v>
      </c>
    </row>
    <row r="286" spans="2:22" ht="26.25" customHeight="1" x14ac:dyDescent="0.25">
      <c r="B286" s="64" t="s">
        <v>990</v>
      </c>
      <c r="C286" s="28" t="s">
        <v>806</v>
      </c>
      <c r="D286" s="50" t="s">
        <v>432</v>
      </c>
      <c r="E286" s="94">
        <v>0.03</v>
      </c>
      <c r="F286" s="44" t="s">
        <v>991</v>
      </c>
      <c r="U286" s="62" t="str">
        <f>IF(E286='Source Data'!E286,"","changed")</f>
        <v/>
      </c>
      <c r="V286" s="63" t="s">
        <v>987</v>
      </c>
    </row>
    <row r="287" spans="2:22" ht="26.25" customHeight="1" x14ac:dyDescent="0.25">
      <c r="B287" s="64" t="s">
        <v>992</v>
      </c>
      <c r="C287" s="28" t="s">
        <v>806</v>
      </c>
      <c r="D287" s="50" t="s">
        <v>432</v>
      </c>
      <c r="E287" s="94">
        <v>0.04</v>
      </c>
      <c r="F287" s="44" t="s">
        <v>993</v>
      </c>
      <c r="U287" s="62" t="str">
        <f>IF(E287='Source Data'!E287,"","changed")</f>
        <v/>
      </c>
      <c r="V287" s="63" t="s">
        <v>987</v>
      </c>
    </row>
    <row r="288" spans="2:22" x14ac:dyDescent="0.25">
      <c r="B288" s="23" t="s">
        <v>994</v>
      </c>
      <c r="C288" s="28" t="s">
        <v>816</v>
      </c>
      <c r="D288" s="50" t="s">
        <v>432</v>
      </c>
      <c r="E288" s="74">
        <v>5</v>
      </c>
      <c r="F288" s="44" t="s">
        <v>995</v>
      </c>
      <c r="U288" s="62" t="str">
        <f>IF(E288='Source Data'!E288,"","changed")</f>
        <v/>
      </c>
      <c r="V288" s="63"/>
    </row>
    <row r="289" spans="2:22" x14ac:dyDescent="0.25">
      <c r="B289" s="23" t="s">
        <v>996</v>
      </c>
      <c r="C289" s="28" t="s">
        <v>860</v>
      </c>
      <c r="D289" s="50" t="s">
        <v>432</v>
      </c>
      <c r="F289" s="44" t="s">
        <v>997</v>
      </c>
      <c r="H289" s="87">
        <v>0.2</v>
      </c>
      <c r="I289" s="87">
        <v>0.2</v>
      </c>
      <c r="J289" s="87">
        <v>0.2</v>
      </c>
      <c r="K289" s="87">
        <v>0.2</v>
      </c>
      <c r="L289" s="87">
        <v>0.2</v>
      </c>
      <c r="M289" s="87">
        <v>0.2</v>
      </c>
      <c r="N289" s="87">
        <v>0.2</v>
      </c>
      <c r="O289" s="87">
        <v>0.2</v>
      </c>
      <c r="P289" s="87">
        <v>0.2</v>
      </c>
      <c r="Q289" s="87">
        <v>0.2</v>
      </c>
      <c r="R289" s="87">
        <v>0.2</v>
      </c>
      <c r="S289" s="87">
        <v>0.2</v>
      </c>
      <c r="T289" s="87">
        <v>0.2</v>
      </c>
      <c r="U289" s="62" t="str">
        <f>IF(SUMPRODUCT(--(H289:T289&lt;&gt;'Source Data'!H289:T289))=0,"",SUMPRODUCT(--(H289:T289&lt;&gt;'Source Data'!H289:T289))&amp;" yr")</f>
        <v/>
      </c>
      <c r="V289" s="63" t="s">
        <v>683</v>
      </c>
    </row>
    <row r="290" spans="2:22" x14ac:dyDescent="0.25">
      <c r="B290" s="23" t="s">
        <v>998</v>
      </c>
      <c r="C290" s="28" t="s">
        <v>647</v>
      </c>
      <c r="D290" s="50" t="s">
        <v>432</v>
      </c>
      <c r="F290" s="44" t="s">
        <v>999</v>
      </c>
      <c r="H290" s="86">
        <v>20000</v>
      </c>
      <c r="I290" s="86">
        <v>20000</v>
      </c>
      <c r="J290" s="86">
        <v>20000</v>
      </c>
      <c r="K290" s="86">
        <v>20000</v>
      </c>
      <c r="L290" s="86">
        <v>20000</v>
      </c>
      <c r="M290" s="86">
        <v>20000</v>
      </c>
      <c r="N290" s="86">
        <v>20000</v>
      </c>
      <c r="O290" s="86">
        <v>20000</v>
      </c>
      <c r="P290" s="86">
        <v>20000</v>
      </c>
      <c r="Q290" s="86">
        <v>20000</v>
      </c>
      <c r="R290" s="86">
        <v>20000</v>
      </c>
      <c r="S290" s="86">
        <v>20000</v>
      </c>
      <c r="T290" s="86">
        <v>20000</v>
      </c>
      <c r="U290" s="62" t="str">
        <f>IF(SUMPRODUCT(--(H290:T290&lt;&gt;'Source Data'!H290:T290))=0,"",SUMPRODUCT(--(H290:T290&lt;&gt;'Source Data'!H290:T290))&amp;" yr")</f>
        <v/>
      </c>
      <c r="V290" s="63" t="s">
        <v>683</v>
      </c>
    </row>
    <row r="291" spans="2:22" x14ac:dyDescent="0.25">
      <c r="B291" s="23" t="s">
        <v>1000</v>
      </c>
      <c r="C291" s="28" t="s">
        <v>647</v>
      </c>
      <c r="D291" s="50" t="s">
        <v>432</v>
      </c>
      <c r="F291" s="44" t="s">
        <v>1001</v>
      </c>
      <c r="H291" s="86">
        <v>84000</v>
      </c>
      <c r="I291" s="86">
        <v>84000</v>
      </c>
      <c r="J291" s="86">
        <v>84000</v>
      </c>
      <c r="K291" s="86">
        <v>84000</v>
      </c>
      <c r="L291" s="86">
        <v>84000</v>
      </c>
      <c r="M291" s="86">
        <v>84000</v>
      </c>
      <c r="N291" s="86">
        <v>84000</v>
      </c>
      <c r="O291" s="86">
        <v>84000</v>
      </c>
      <c r="P291" s="86">
        <v>84000</v>
      </c>
      <c r="Q291" s="86">
        <v>84000</v>
      </c>
      <c r="R291" s="86">
        <v>84000</v>
      </c>
      <c r="S291" s="86">
        <v>84000</v>
      </c>
      <c r="T291" s="86">
        <v>84000</v>
      </c>
      <c r="U291" s="62" t="str">
        <f>IF(SUMPRODUCT(--(H291:T291&lt;&gt;'Source Data'!H291:T291))=0,"",SUMPRODUCT(--(H291:T291&lt;&gt;'Source Data'!H291:T291))&amp;" yr")</f>
        <v/>
      </c>
      <c r="V291" s="63" t="s">
        <v>683</v>
      </c>
    </row>
    <row r="292" spans="2:22" x14ac:dyDescent="0.25">
      <c r="B292" s="23" t="s">
        <v>1002</v>
      </c>
      <c r="C292" s="28" t="s">
        <v>647</v>
      </c>
      <c r="D292" s="50" t="s">
        <v>432</v>
      </c>
      <c r="F292" s="44" t="s">
        <v>1003</v>
      </c>
      <c r="H292" s="86">
        <v>29000</v>
      </c>
      <c r="I292" s="86">
        <v>29000</v>
      </c>
      <c r="J292" s="86">
        <v>29000</v>
      </c>
      <c r="K292" s="86">
        <v>29000</v>
      </c>
      <c r="L292" s="86">
        <v>29000</v>
      </c>
      <c r="M292" s="86">
        <v>29000</v>
      </c>
      <c r="N292" s="86">
        <v>29000</v>
      </c>
      <c r="O292" s="86">
        <v>29000</v>
      </c>
      <c r="P292" s="86">
        <v>29000</v>
      </c>
      <c r="Q292" s="86">
        <v>29000</v>
      </c>
      <c r="R292" s="86">
        <v>29000</v>
      </c>
      <c r="S292" s="86">
        <v>29000</v>
      </c>
      <c r="T292" s="86">
        <v>29000</v>
      </c>
      <c r="U292" s="62" t="str">
        <f>IF(SUMPRODUCT(--(H292:T292&lt;&gt;'Source Data'!H292:T292))=0,"",SUMPRODUCT(--(H292:T292&lt;&gt;'Source Data'!H292:T292))&amp;" yr")</f>
        <v/>
      </c>
      <c r="V292" s="63" t="s">
        <v>683</v>
      </c>
    </row>
    <row r="293" spans="2:22" x14ac:dyDescent="0.25">
      <c r="B293" s="23" t="s">
        <v>1004</v>
      </c>
      <c r="C293" s="28" t="s">
        <v>647</v>
      </c>
      <c r="D293" s="50" t="s">
        <v>432</v>
      </c>
      <c r="F293" s="44" t="s">
        <v>1005</v>
      </c>
      <c r="H293" s="86">
        <v>55000</v>
      </c>
      <c r="I293" s="86">
        <v>55000</v>
      </c>
      <c r="J293" s="86">
        <v>55000</v>
      </c>
      <c r="K293" s="86">
        <v>55000</v>
      </c>
      <c r="L293" s="86">
        <v>55000</v>
      </c>
      <c r="M293" s="86">
        <v>55000</v>
      </c>
      <c r="N293" s="86">
        <v>55000</v>
      </c>
      <c r="O293" s="86">
        <v>55000</v>
      </c>
      <c r="P293" s="86">
        <v>55000</v>
      </c>
      <c r="Q293" s="86">
        <v>55000</v>
      </c>
      <c r="R293" s="86">
        <v>55000</v>
      </c>
      <c r="S293" s="86">
        <v>55000</v>
      </c>
      <c r="T293" s="86">
        <v>55000</v>
      </c>
      <c r="U293" s="62" t="str">
        <f>IF(SUMPRODUCT(--(H293:T293&lt;&gt;'Source Data'!H293:T293))=0,"",SUMPRODUCT(--(H293:T293&lt;&gt;'Source Data'!H293:T293))&amp;" yr")</f>
        <v/>
      </c>
      <c r="V293" s="63" t="s">
        <v>683</v>
      </c>
    </row>
    <row r="294" spans="2:22" x14ac:dyDescent="0.25">
      <c r="B294" s="23" t="s">
        <v>1006</v>
      </c>
      <c r="C294" s="28" t="s">
        <v>630</v>
      </c>
      <c r="D294" s="50" t="s">
        <v>432</v>
      </c>
      <c r="F294" s="44" t="s">
        <v>1007</v>
      </c>
      <c r="H294" s="86">
        <v>300000</v>
      </c>
      <c r="I294" s="86">
        <v>300000</v>
      </c>
      <c r="J294" s="86">
        <v>300000</v>
      </c>
      <c r="K294" s="86">
        <v>300000</v>
      </c>
      <c r="L294" s="86">
        <v>300000</v>
      </c>
      <c r="M294" s="86">
        <v>300000</v>
      </c>
      <c r="N294" s="86">
        <v>300000</v>
      </c>
      <c r="O294" s="86">
        <v>300000</v>
      </c>
      <c r="P294" s="86">
        <v>300000</v>
      </c>
      <c r="Q294" s="86">
        <v>300000</v>
      </c>
      <c r="R294" s="86">
        <v>300000</v>
      </c>
      <c r="S294" s="86">
        <v>300000</v>
      </c>
      <c r="T294" s="86">
        <v>300000</v>
      </c>
      <c r="U294" s="62" t="str">
        <f>IF(SUMPRODUCT(--(H294:T294&lt;&gt;'Source Data'!H294:T294))=0,"",SUMPRODUCT(--(H294:T294&lt;&gt;'Source Data'!H294:T294))&amp;" yr")</f>
        <v/>
      </c>
      <c r="V294" s="63" t="s">
        <v>683</v>
      </c>
    </row>
    <row r="295" spans="2:22" x14ac:dyDescent="0.25">
      <c r="B295" s="42" t="s">
        <v>1008</v>
      </c>
    </row>
    <row r="296" spans="2:22" x14ac:dyDescent="0.25">
      <c r="B296" s="59" t="s">
        <v>1009</v>
      </c>
      <c r="C296" s="59" t="s">
        <v>466</v>
      </c>
      <c r="D296" s="59" t="s">
        <v>467</v>
      </c>
      <c r="E296" s="59" t="s">
        <v>468</v>
      </c>
      <c r="F296" s="59" t="s">
        <v>469</v>
      </c>
      <c r="G296" s="80" t="s">
        <v>628</v>
      </c>
      <c r="H296" s="81">
        <v>2024</v>
      </c>
      <c r="I296" s="81">
        <v>2025</v>
      </c>
      <c r="J296" s="81">
        <v>2026</v>
      </c>
      <c r="K296" s="81">
        <v>2027</v>
      </c>
      <c r="L296" s="81">
        <v>2028</v>
      </c>
      <c r="M296" s="81">
        <v>2029</v>
      </c>
      <c r="N296" s="81">
        <v>2030</v>
      </c>
      <c r="O296" s="81">
        <v>2031</v>
      </c>
      <c r="P296" s="81">
        <v>2032</v>
      </c>
      <c r="Q296" s="81">
        <v>2033</v>
      </c>
      <c r="R296" s="81">
        <v>2034</v>
      </c>
      <c r="S296" s="81">
        <v>2035</v>
      </c>
      <c r="T296" s="81">
        <v>2036</v>
      </c>
      <c r="U296" s="59" t="s">
        <v>470</v>
      </c>
      <c r="V296" s="59" t="s">
        <v>471</v>
      </c>
    </row>
    <row r="297" spans="2:22" x14ac:dyDescent="0.25">
      <c r="B297" s="23" t="s">
        <v>1010</v>
      </c>
      <c r="C297" s="28" t="s">
        <v>1011</v>
      </c>
      <c r="D297" s="50" t="s">
        <v>432</v>
      </c>
      <c r="E297" s="86"/>
      <c r="F297" s="44" t="s">
        <v>1012</v>
      </c>
      <c r="U297" s="62" t="str">
        <f>IF(E297='Source Data'!E297,"","changed")</f>
        <v/>
      </c>
      <c r="V297" s="63" t="s">
        <v>1013</v>
      </c>
    </row>
    <row r="298" spans="2:22" x14ac:dyDescent="0.25">
      <c r="B298" s="23" t="s">
        <v>1014</v>
      </c>
      <c r="C298" s="28" t="s">
        <v>886</v>
      </c>
      <c r="D298" s="50" t="s">
        <v>432</v>
      </c>
      <c r="E298" s="86">
        <v>55000</v>
      </c>
      <c r="F298" s="44" t="s">
        <v>1015</v>
      </c>
      <c r="U298" s="62" t="str">
        <f>IF(E298='Source Data'!E298,"","changed")</f>
        <v/>
      </c>
      <c r="V298" s="63" t="s">
        <v>1016</v>
      </c>
    </row>
    <row r="299" spans="2:22" x14ac:dyDescent="0.25">
      <c r="B299" s="23" t="s">
        <v>1017</v>
      </c>
      <c r="C299" s="28" t="s">
        <v>886</v>
      </c>
      <c r="D299" s="50" t="s">
        <v>432</v>
      </c>
      <c r="E299" s="86">
        <v>65000</v>
      </c>
      <c r="F299" s="44" t="s">
        <v>1018</v>
      </c>
      <c r="U299" s="62" t="str">
        <f>IF(E299='Source Data'!E299,"","changed")</f>
        <v/>
      </c>
      <c r="V299" s="63" t="s">
        <v>1016</v>
      </c>
    </row>
    <row r="300" spans="2:22" x14ac:dyDescent="0.25">
      <c r="B300" s="23" t="s">
        <v>1019</v>
      </c>
      <c r="C300" s="28" t="s">
        <v>1020</v>
      </c>
      <c r="D300" s="50" t="s">
        <v>432</v>
      </c>
      <c r="F300" s="44" t="s">
        <v>1021</v>
      </c>
      <c r="H300" s="86">
        <v>0</v>
      </c>
      <c r="I300" s="86">
        <v>0</v>
      </c>
      <c r="J300" s="86">
        <v>0</v>
      </c>
      <c r="K300" s="86">
        <v>0</v>
      </c>
      <c r="L300" s="86">
        <v>255000</v>
      </c>
      <c r="M300" s="86">
        <v>355000</v>
      </c>
      <c r="N300" s="86">
        <v>500000</v>
      </c>
      <c r="O300" s="86">
        <v>500000</v>
      </c>
      <c r="P300" s="86">
        <v>500000</v>
      </c>
      <c r="Q300" s="86">
        <v>500000</v>
      </c>
      <c r="R300" s="86">
        <v>500000</v>
      </c>
      <c r="S300" s="86">
        <v>500000</v>
      </c>
      <c r="T300" s="86">
        <v>500000</v>
      </c>
      <c r="U300" s="62" t="str">
        <f>IF(SUMPRODUCT(--(H300:T300&lt;&gt;'Source Data'!H300:T300))=0,"",SUMPRODUCT(--(H300:T300&lt;&gt;'Source Data'!H300:T300))&amp;" yr")</f>
        <v/>
      </c>
      <c r="V300" s="63" t="s">
        <v>642</v>
      </c>
    </row>
    <row r="301" spans="2:22" x14ac:dyDescent="0.25">
      <c r="B301" s="23" t="s">
        <v>1022</v>
      </c>
      <c r="C301" s="28" t="s">
        <v>883</v>
      </c>
      <c r="D301" s="50" t="s">
        <v>432</v>
      </c>
      <c r="F301" s="44" t="s">
        <v>1023</v>
      </c>
      <c r="H301" s="86">
        <v>0</v>
      </c>
      <c r="I301" s="86">
        <v>0</v>
      </c>
      <c r="J301" s="86">
        <v>0</v>
      </c>
      <c r="K301" s="86">
        <v>133333.33333333299</v>
      </c>
      <c r="L301" s="86">
        <v>133333.33333333299</v>
      </c>
      <c r="M301" s="86">
        <v>133333.33333333299</v>
      </c>
      <c r="N301" s="86">
        <v>240000</v>
      </c>
      <c r="O301" s="86">
        <v>240000</v>
      </c>
      <c r="P301" s="86">
        <v>240000</v>
      </c>
      <c r="Q301" s="86">
        <v>240000</v>
      </c>
      <c r="R301" s="86">
        <v>240000</v>
      </c>
      <c r="S301" s="86">
        <v>240000</v>
      </c>
      <c r="T301" s="86">
        <v>240000</v>
      </c>
      <c r="U301" s="62" t="str">
        <f>IF(SUMPRODUCT(--(H301:T301&lt;&gt;'Source Data'!H301:T301))=0,"",SUMPRODUCT(--(H301:T301&lt;&gt;'Source Data'!H301:T301))&amp;" yr")</f>
        <v/>
      </c>
      <c r="V301" s="63" t="s">
        <v>642</v>
      </c>
    </row>
    <row r="302" spans="2:22" ht="26.25" customHeight="1" x14ac:dyDescent="0.25">
      <c r="B302" s="64" t="s">
        <v>1024</v>
      </c>
      <c r="C302" s="28" t="s">
        <v>883</v>
      </c>
      <c r="D302" s="50" t="s">
        <v>432</v>
      </c>
      <c r="F302" s="44" t="s">
        <v>1025</v>
      </c>
      <c r="H302" s="86">
        <v>0</v>
      </c>
      <c r="I302" s="86">
        <v>0</v>
      </c>
      <c r="J302" s="86">
        <v>0</v>
      </c>
      <c r="K302" s="86">
        <v>83333.333333333299</v>
      </c>
      <c r="L302" s="86">
        <v>133333.33333333299</v>
      </c>
      <c r="M302" s="86">
        <v>90872.992737072607</v>
      </c>
      <c r="N302" s="86">
        <v>208000</v>
      </c>
      <c r="O302" s="86">
        <v>208000</v>
      </c>
      <c r="P302" s="86">
        <v>208000</v>
      </c>
      <c r="Q302" s="86">
        <v>208000</v>
      </c>
      <c r="R302" s="86">
        <v>208000</v>
      </c>
      <c r="S302" s="86">
        <v>208000</v>
      </c>
      <c r="T302" s="86">
        <v>208000</v>
      </c>
      <c r="U302" s="62" t="str">
        <f>IF(SUMPRODUCT(--(H302:T302&lt;&gt;'Source Data'!H302:T302))=0,"",SUMPRODUCT(--(H302:T302&lt;&gt;'Source Data'!H302:T302))&amp;" yr")</f>
        <v/>
      </c>
      <c r="V302" s="63" t="s">
        <v>1026</v>
      </c>
    </row>
    <row r="303" spans="2:22" x14ac:dyDescent="0.25">
      <c r="B303" s="23" t="s">
        <v>1027</v>
      </c>
      <c r="C303" s="28" t="s">
        <v>647</v>
      </c>
      <c r="D303" s="50" t="s">
        <v>432</v>
      </c>
      <c r="F303" s="44" t="s">
        <v>1028</v>
      </c>
      <c r="H303" s="86">
        <v>0</v>
      </c>
      <c r="I303" s="86">
        <v>0</v>
      </c>
      <c r="J303" s="86">
        <v>0</v>
      </c>
      <c r="K303" s="86">
        <v>0</v>
      </c>
      <c r="L303" s="86">
        <v>15000</v>
      </c>
      <c r="M303" s="86">
        <v>15000</v>
      </c>
      <c r="N303" s="86">
        <v>15000</v>
      </c>
      <c r="O303" s="86">
        <v>15000</v>
      </c>
      <c r="P303" s="86">
        <v>15000</v>
      </c>
      <c r="Q303" s="86">
        <v>15000</v>
      </c>
      <c r="R303" s="86">
        <v>15000</v>
      </c>
      <c r="S303" s="86">
        <v>15000</v>
      </c>
      <c r="T303" s="86">
        <v>15000</v>
      </c>
      <c r="U303" s="62" t="str">
        <f>IF(SUMPRODUCT(--(H303:T303&lt;&gt;'Source Data'!H303:T303))=0,"",SUMPRODUCT(--(H303:T303&lt;&gt;'Source Data'!H303:T303))&amp;" yr")</f>
        <v/>
      </c>
      <c r="V303" s="63" t="s">
        <v>642</v>
      </c>
    </row>
    <row r="304" spans="2:22" x14ac:dyDescent="0.25">
      <c r="B304" s="23" t="s">
        <v>1029</v>
      </c>
      <c r="C304" s="28" t="s">
        <v>292</v>
      </c>
      <c r="D304" s="50" t="s">
        <v>432</v>
      </c>
      <c r="F304" s="44" t="s">
        <v>1030</v>
      </c>
      <c r="H304" s="87">
        <v>0</v>
      </c>
      <c r="I304" s="87">
        <v>0</v>
      </c>
      <c r="J304" s="87">
        <v>0</v>
      </c>
      <c r="K304" s="87">
        <v>0</v>
      </c>
      <c r="L304" s="87">
        <v>0</v>
      </c>
      <c r="M304" s="87">
        <v>0</v>
      </c>
      <c r="N304" s="87">
        <v>0.03</v>
      </c>
      <c r="O304" s="87">
        <v>0.03</v>
      </c>
      <c r="P304" s="87">
        <v>0.03</v>
      </c>
      <c r="Q304" s="87">
        <v>0.03</v>
      </c>
      <c r="R304" s="87">
        <v>0.03</v>
      </c>
      <c r="S304" s="87">
        <v>0.03</v>
      </c>
      <c r="T304" s="87">
        <v>0.03</v>
      </c>
      <c r="U304" s="62" t="str">
        <f>IF(SUMPRODUCT(--(H304:T304&lt;&gt;'Source Data'!H304:T304))=0,"",SUMPRODUCT(--(H304:T304&lt;&gt;'Source Data'!H304:T304))&amp;" yr")</f>
        <v/>
      </c>
      <c r="V304" s="63" t="s">
        <v>642</v>
      </c>
    </row>
    <row r="305" spans="2:22" ht="24.75" customHeight="1" x14ac:dyDescent="0.25">
      <c r="B305" s="23" t="s">
        <v>1031</v>
      </c>
      <c r="C305" s="90" t="s">
        <v>1032</v>
      </c>
      <c r="D305" s="50" t="s">
        <v>432</v>
      </c>
      <c r="F305" s="44" t="s">
        <v>1033</v>
      </c>
      <c r="H305" s="87">
        <v>0.3</v>
      </c>
      <c r="I305" s="87">
        <v>0.3</v>
      </c>
      <c r="J305" s="87">
        <v>0.3</v>
      </c>
      <c r="K305" s="87">
        <v>0.3</v>
      </c>
      <c r="L305" s="87">
        <v>0.3</v>
      </c>
      <c r="M305" s="87">
        <v>0.3</v>
      </c>
      <c r="N305" s="87">
        <v>0.3</v>
      </c>
      <c r="O305" s="87">
        <v>0.3</v>
      </c>
      <c r="P305" s="87">
        <v>0.3</v>
      </c>
      <c r="Q305" s="87">
        <v>0.3</v>
      </c>
      <c r="R305" s="87">
        <v>0.3</v>
      </c>
      <c r="S305" s="87">
        <v>0.3</v>
      </c>
      <c r="T305" s="87">
        <v>0.3</v>
      </c>
      <c r="U305" s="62" t="str">
        <f>IF(SUMPRODUCT(--(H305:T305&lt;&gt;'Source Data'!H305:T305))=0,"",SUMPRODUCT(--(H305:T305&lt;&gt;'Source Data'!H305:T305))&amp;" yr")</f>
        <v/>
      </c>
      <c r="V305" s="63" t="s">
        <v>683</v>
      </c>
    </row>
    <row r="306" spans="2:22" x14ac:dyDescent="0.25">
      <c r="B306" s="23" t="s">
        <v>798</v>
      </c>
      <c r="C306" s="28" t="s">
        <v>799</v>
      </c>
      <c r="D306" s="50" t="s">
        <v>432</v>
      </c>
      <c r="F306" s="44" t="s">
        <v>1034</v>
      </c>
      <c r="H306" s="87">
        <v>0.18</v>
      </c>
      <c r="I306" s="87">
        <v>0.18</v>
      </c>
      <c r="J306" s="87">
        <v>0.18</v>
      </c>
      <c r="K306" s="87">
        <v>0.18</v>
      </c>
      <c r="L306" s="87">
        <v>0.18</v>
      </c>
      <c r="M306" s="87">
        <v>0.18</v>
      </c>
      <c r="N306" s="87">
        <v>0.18</v>
      </c>
      <c r="O306" s="87">
        <v>0.18</v>
      </c>
      <c r="P306" s="87">
        <v>0.18</v>
      </c>
      <c r="Q306" s="87">
        <v>0.18</v>
      </c>
      <c r="R306" s="87">
        <v>0.18</v>
      </c>
      <c r="S306" s="87">
        <v>0.18</v>
      </c>
      <c r="T306" s="87">
        <v>0.18</v>
      </c>
      <c r="U306" s="62" t="str">
        <f>IF(SUMPRODUCT(--(H306:T306&lt;&gt;'Source Data'!H306:T306))=0,"",SUMPRODUCT(--(H306:T306&lt;&gt;'Source Data'!H306:T306))&amp;" yr")</f>
        <v/>
      </c>
      <c r="V306" s="63" t="s">
        <v>683</v>
      </c>
    </row>
    <row r="307" spans="2:22" x14ac:dyDescent="0.25">
      <c r="B307" s="23" t="s">
        <v>1035</v>
      </c>
      <c r="C307" s="28" t="s">
        <v>806</v>
      </c>
      <c r="D307" s="50" t="s">
        <v>432</v>
      </c>
      <c r="E307" s="94">
        <v>40.024592683676602</v>
      </c>
      <c r="F307" s="44" t="s">
        <v>1036</v>
      </c>
      <c r="U307" s="62" t="str">
        <f>IF(E307='Source Data'!E307,"","changed")</f>
        <v/>
      </c>
      <c r="V307" s="63" t="s">
        <v>1037</v>
      </c>
    </row>
    <row r="308" spans="2:22" ht="26.25" customHeight="1" x14ac:dyDescent="0.25">
      <c r="B308" s="64" t="s">
        <v>1038</v>
      </c>
      <c r="C308" s="28" t="s">
        <v>810</v>
      </c>
      <c r="D308" s="51" t="s">
        <v>434</v>
      </c>
      <c r="E308" s="95">
        <f>SUM(G308:T308)</f>
        <v>1</v>
      </c>
      <c r="F308" s="44" t="s">
        <v>1039</v>
      </c>
      <c r="G308" s="96">
        <v>0</v>
      </c>
      <c r="H308" s="96">
        <v>0</v>
      </c>
      <c r="I308" s="96">
        <v>0</v>
      </c>
      <c r="J308" s="96">
        <v>0</v>
      </c>
      <c r="K308" s="96">
        <v>0.7</v>
      </c>
      <c r="L308" s="96">
        <v>0.3</v>
      </c>
      <c r="M308" s="96">
        <v>0</v>
      </c>
      <c r="N308" s="96">
        <v>0</v>
      </c>
      <c r="O308" s="96">
        <v>0</v>
      </c>
      <c r="P308" s="96">
        <v>0</v>
      </c>
      <c r="Q308" s="96">
        <v>0</v>
      </c>
      <c r="R308" s="96">
        <v>0</v>
      </c>
      <c r="S308" s="96">
        <v>0</v>
      </c>
      <c r="T308" s="96">
        <v>0</v>
      </c>
      <c r="U308" s="62" t="str">
        <f>IF(SUMPRODUCT(--(G308:T308&lt;&gt;'Source Data'!G308:T308))=0,"",SUMPRODUCT(--(G308:T308&lt;&gt;'Source Data'!G308:T308))&amp;" yr")</f>
        <v/>
      </c>
      <c r="V308" s="63" t="s">
        <v>812</v>
      </c>
    </row>
    <row r="309" spans="2:22" x14ac:dyDescent="0.25">
      <c r="B309" s="23" t="s">
        <v>1040</v>
      </c>
      <c r="C309" s="28" t="s">
        <v>292</v>
      </c>
      <c r="D309" s="50" t="s">
        <v>432</v>
      </c>
      <c r="E309" s="87">
        <v>0.9</v>
      </c>
      <c r="F309" s="44" t="s">
        <v>1041</v>
      </c>
      <c r="U309" s="62" t="str">
        <f>IF(E309='Source Data'!E309,"","changed")</f>
        <v/>
      </c>
      <c r="V309" s="63"/>
    </row>
    <row r="310" spans="2:22" x14ac:dyDescent="0.25">
      <c r="B310" s="23" t="s">
        <v>1042</v>
      </c>
      <c r="C310" s="28" t="s">
        <v>816</v>
      </c>
      <c r="D310" s="50" t="s">
        <v>432</v>
      </c>
      <c r="E310" s="74">
        <v>20</v>
      </c>
      <c r="F310" s="44" t="s">
        <v>1043</v>
      </c>
      <c r="U310" s="62" t="str">
        <f>IF(E310='Source Data'!E310,"","changed")</f>
        <v/>
      </c>
      <c r="V310" s="63"/>
    </row>
    <row r="311" spans="2:22" x14ac:dyDescent="0.25">
      <c r="B311" s="23" t="s">
        <v>1044</v>
      </c>
      <c r="C311" s="28" t="s">
        <v>816</v>
      </c>
      <c r="D311" s="50" t="s">
        <v>432</v>
      </c>
      <c r="E311" s="74">
        <v>8</v>
      </c>
      <c r="F311" s="44" t="s">
        <v>1045</v>
      </c>
      <c r="U311" s="62" t="str">
        <f>IF(E311='Source Data'!E311,"","changed")</f>
        <v/>
      </c>
      <c r="V311" s="63"/>
    </row>
    <row r="313" spans="2:22" x14ac:dyDescent="0.25">
      <c r="B313" s="58" t="s">
        <v>1046</v>
      </c>
      <c r="C313" s="19"/>
      <c r="D313" s="19"/>
      <c r="E313" s="19"/>
      <c r="F313" s="19"/>
      <c r="G313" s="19"/>
      <c r="H313" s="19"/>
      <c r="I313" s="19"/>
      <c r="J313" s="19"/>
      <c r="K313" s="19"/>
      <c r="L313" s="19"/>
      <c r="M313" s="19"/>
      <c r="N313" s="19"/>
      <c r="O313" s="19"/>
      <c r="P313" s="19"/>
      <c r="Q313" s="19"/>
      <c r="R313" s="19"/>
      <c r="S313" s="19"/>
      <c r="T313" s="19"/>
      <c r="U313" s="19"/>
      <c r="V313" s="19"/>
    </row>
    <row r="314" spans="2:22" x14ac:dyDescent="0.25">
      <c r="B314" s="63" t="s">
        <v>1047</v>
      </c>
    </row>
    <row r="315" spans="2:22" x14ac:dyDescent="0.25">
      <c r="B315" s="42" t="s">
        <v>1048</v>
      </c>
      <c r="G315" s="63" t="s">
        <v>1049</v>
      </c>
    </row>
    <row r="316" spans="2:22" x14ac:dyDescent="0.25">
      <c r="B316" s="59" t="s">
        <v>1050</v>
      </c>
      <c r="C316" s="59" t="s">
        <v>466</v>
      </c>
      <c r="D316" s="59" t="s">
        <v>467</v>
      </c>
      <c r="E316" s="59" t="s">
        <v>1051</v>
      </c>
      <c r="F316" s="59" t="s">
        <v>1052</v>
      </c>
      <c r="G316" s="80" t="s">
        <v>628</v>
      </c>
      <c r="H316" s="81">
        <v>2024</v>
      </c>
      <c r="I316" s="81">
        <v>2025</v>
      </c>
      <c r="J316" s="81">
        <v>2026</v>
      </c>
      <c r="K316" s="81">
        <v>2027</v>
      </c>
      <c r="L316" s="81">
        <v>2028</v>
      </c>
      <c r="M316" s="81">
        <v>2029</v>
      </c>
      <c r="N316" s="81">
        <v>2030</v>
      </c>
      <c r="O316" s="81">
        <v>2031</v>
      </c>
      <c r="P316" s="81">
        <v>2032</v>
      </c>
      <c r="Q316" s="81">
        <v>2033</v>
      </c>
      <c r="R316" s="81">
        <v>2034</v>
      </c>
      <c r="S316" s="81">
        <v>2035</v>
      </c>
      <c r="T316" s="81">
        <v>2036</v>
      </c>
      <c r="U316" s="59" t="s">
        <v>470</v>
      </c>
      <c r="V316" s="59" t="s">
        <v>471</v>
      </c>
    </row>
    <row r="317" spans="2:22" x14ac:dyDescent="0.25">
      <c r="B317" s="23" t="s">
        <v>1053</v>
      </c>
      <c r="C317" s="28" t="s">
        <v>493</v>
      </c>
      <c r="D317" s="50" t="s">
        <v>432</v>
      </c>
      <c r="E317" s="92">
        <v>12.869295671530001</v>
      </c>
      <c r="F317" s="87">
        <v>1</v>
      </c>
      <c r="H317" s="93">
        <v>3.5000000000000003E-2</v>
      </c>
      <c r="I317" s="93">
        <v>3.5000000000000003E-2</v>
      </c>
      <c r="J317" s="93">
        <v>3.5000000000000003E-2</v>
      </c>
      <c r="K317" s="93">
        <v>3.5000000000000003E-2</v>
      </c>
      <c r="L317" s="93">
        <v>3.5000000000000003E-2</v>
      </c>
      <c r="M317" s="93">
        <v>3.5000000000000003E-2</v>
      </c>
      <c r="N317" s="93">
        <v>3.5000000000000003E-2</v>
      </c>
      <c r="O317" s="93">
        <v>3.5000000000000003E-2</v>
      </c>
      <c r="P317" s="93">
        <v>3.5000000000000003E-2</v>
      </c>
      <c r="Q317" s="93">
        <v>3.5000000000000003E-2</v>
      </c>
      <c r="R317" s="93">
        <v>3.5000000000000003E-2</v>
      </c>
      <c r="S317" s="93">
        <v>3.5000000000000003E-2</v>
      </c>
      <c r="T317" s="93">
        <v>3.5000000000000003E-2</v>
      </c>
      <c r="U317" s="62" t="str">
        <f>IF(SUMPRODUCT(--(H317:T317&lt;&gt;'Source Data'!H317:T317))+(E317&lt;&gt;'Source Data'!E317)+(F317&lt;&gt;'Source Data'!F317)=0,"",SUMPRODUCT(--(H317:T317&lt;&gt;'Source Data'!H317:T317))+(E317&lt;&gt;'Source Data'!E317)+(F317&lt;&gt;'Source Data'!F317)&amp;" cell")</f>
        <v/>
      </c>
      <c r="V317" s="63" t="s">
        <v>1054</v>
      </c>
    </row>
    <row r="318" spans="2:22" x14ac:dyDescent="0.25">
      <c r="B318" s="23" t="s">
        <v>1055</v>
      </c>
      <c r="C318" s="28" t="s">
        <v>1056</v>
      </c>
      <c r="D318" s="50" t="s">
        <v>432</v>
      </c>
      <c r="E318" s="92">
        <v>4.3341669714466002</v>
      </c>
      <c r="F318" s="87">
        <v>1.2</v>
      </c>
      <c r="H318" s="93">
        <v>0.03</v>
      </c>
      <c r="I318" s="93">
        <v>0.03</v>
      </c>
      <c r="J318" s="93">
        <v>0.03</v>
      </c>
      <c r="K318" s="93">
        <v>0.03</v>
      </c>
      <c r="L318" s="93">
        <v>0.03</v>
      </c>
      <c r="M318" s="93">
        <v>0.03</v>
      </c>
      <c r="N318" s="93">
        <v>0.03</v>
      </c>
      <c r="O318" s="93">
        <v>0.03</v>
      </c>
      <c r="P318" s="93">
        <v>0.03</v>
      </c>
      <c r="Q318" s="93">
        <v>0.03</v>
      </c>
      <c r="R318" s="93">
        <v>0.03</v>
      </c>
      <c r="S318" s="93">
        <v>0.03</v>
      </c>
      <c r="T318" s="93">
        <v>0.03</v>
      </c>
      <c r="U318" s="62" t="str">
        <f>IF(SUMPRODUCT(--(H318:T318&lt;&gt;'Source Data'!H318:T318))+(E318&lt;&gt;'Source Data'!E318)+(F318&lt;&gt;'Source Data'!F318)=0,"",SUMPRODUCT(--(H318:T318&lt;&gt;'Source Data'!H318:T318))+(E318&lt;&gt;'Source Data'!E318)+(F318&lt;&gt;'Source Data'!F318)&amp;" cell")</f>
        <v/>
      </c>
      <c r="V318" s="63" t="s">
        <v>1057</v>
      </c>
    </row>
    <row r="319" spans="2:22" x14ac:dyDescent="0.25">
      <c r="B319" s="23" t="s">
        <v>1058</v>
      </c>
      <c r="C319" s="28" t="s">
        <v>1056</v>
      </c>
      <c r="D319" s="50" t="s">
        <v>432</v>
      </c>
      <c r="E319" s="92">
        <v>2.5548429764420999</v>
      </c>
      <c r="F319" s="87">
        <v>1.2</v>
      </c>
      <c r="H319" s="93">
        <v>0.03</v>
      </c>
      <c r="I319" s="93">
        <v>0.03</v>
      </c>
      <c r="J319" s="93">
        <v>0.03</v>
      </c>
      <c r="K319" s="93">
        <v>0.03</v>
      </c>
      <c r="L319" s="93">
        <v>0.03</v>
      </c>
      <c r="M319" s="93">
        <v>0.03</v>
      </c>
      <c r="N319" s="93">
        <v>0.03</v>
      </c>
      <c r="O319" s="93">
        <v>0.03</v>
      </c>
      <c r="P319" s="93">
        <v>0.03</v>
      </c>
      <c r="Q319" s="93">
        <v>0.03</v>
      </c>
      <c r="R319" s="93">
        <v>0.03</v>
      </c>
      <c r="S319" s="93">
        <v>0.03</v>
      </c>
      <c r="T319" s="93">
        <v>0.03</v>
      </c>
      <c r="U319" s="62" t="str">
        <f>IF(SUMPRODUCT(--(H319:T319&lt;&gt;'Source Data'!H319:T319))+(E319&lt;&gt;'Source Data'!E319)+(F319&lt;&gt;'Source Data'!F319)=0,"",SUMPRODUCT(--(H319:T319&lt;&gt;'Source Data'!H319:T319))+(E319&lt;&gt;'Source Data'!E319)+(F319&lt;&gt;'Source Data'!F319)&amp;" cell")</f>
        <v/>
      </c>
      <c r="V319" s="63" t="s">
        <v>1059</v>
      </c>
    </row>
    <row r="320" spans="2:22" x14ac:dyDescent="0.25">
      <c r="B320" s="23" t="s">
        <v>1060</v>
      </c>
      <c r="C320" s="28" t="s">
        <v>493</v>
      </c>
      <c r="D320" s="50" t="s">
        <v>432</v>
      </c>
      <c r="E320" s="92">
        <v>2.0920344480000002</v>
      </c>
      <c r="F320" s="87">
        <v>1</v>
      </c>
      <c r="H320" s="93">
        <v>3.5000000000000003E-2</v>
      </c>
      <c r="I320" s="93">
        <v>3.5000000000000003E-2</v>
      </c>
      <c r="J320" s="93">
        <v>3.5000000000000003E-2</v>
      </c>
      <c r="K320" s="93">
        <v>3.5000000000000003E-2</v>
      </c>
      <c r="L320" s="93">
        <v>3.5000000000000003E-2</v>
      </c>
      <c r="M320" s="93">
        <v>3.5000000000000003E-2</v>
      </c>
      <c r="N320" s="93">
        <v>3.5000000000000003E-2</v>
      </c>
      <c r="O320" s="93">
        <v>3.5000000000000003E-2</v>
      </c>
      <c r="P320" s="93">
        <v>3.5000000000000003E-2</v>
      </c>
      <c r="Q320" s="93">
        <v>3.5000000000000003E-2</v>
      </c>
      <c r="R320" s="93">
        <v>3.5000000000000003E-2</v>
      </c>
      <c r="S320" s="93">
        <v>3.5000000000000003E-2</v>
      </c>
      <c r="T320" s="93">
        <v>3.5000000000000003E-2</v>
      </c>
      <c r="U320" s="62" t="str">
        <f>IF(SUMPRODUCT(--(H320:T320&lt;&gt;'Source Data'!H320:T320))+(E320&lt;&gt;'Source Data'!E320)+(F320&lt;&gt;'Source Data'!F320)=0,"",SUMPRODUCT(--(H320:T320&lt;&gt;'Source Data'!H320:T320))+(E320&lt;&gt;'Source Data'!E320)+(F320&lt;&gt;'Source Data'!F320)&amp;" cell")</f>
        <v/>
      </c>
      <c r="V320" s="63" t="s">
        <v>1061</v>
      </c>
    </row>
    <row r="321" spans="2:22" x14ac:dyDescent="0.25">
      <c r="B321" s="23" t="s">
        <v>1062</v>
      </c>
      <c r="C321" s="28" t="s">
        <v>1056</v>
      </c>
      <c r="D321" s="50" t="s">
        <v>432</v>
      </c>
      <c r="E321" s="92">
        <v>2.0448544530068999</v>
      </c>
      <c r="F321" s="87">
        <v>1.2</v>
      </c>
      <c r="H321" s="93">
        <v>0.03</v>
      </c>
      <c r="I321" s="93">
        <v>0.03</v>
      </c>
      <c r="J321" s="93">
        <v>0.03</v>
      </c>
      <c r="K321" s="93">
        <v>0.03</v>
      </c>
      <c r="L321" s="93">
        <v>0.03</v>
      </c>
      <c r="M321" s="93">
        <v>0.03</v>
      </c>
      <c r="N321" s="93">
        <v>0.03</v>
      </c>
      <c r="O321" s="93">
        <v>0.03</v>
      </c>
      <c r="P321" s="93">
        <v>0.03</v>
      </c>
      <c r="Q321" s="93">
        <v>0.03</v>
      </c>
      <c r="R321" s="93">
        <v>0.03</v>
      </c>
      <c r="S321" s="93">
        <v>0.03</v>
      </c>
      <c r="T321" s="93">
        <v>0.03</v>
      </c>
      <c r="U321" s="62" t="str">
        <f>IF(SUMPRODUCT(--(H321:T321&lt;&gt;'Source Data'!H321:T321))+(E321&lt;&gt;'Source Data'!E321)+(F321&lt;&gt;'Source Data'!F321)=0,"",SUMPRODUCT(--(H321:T321&lt;&gt;'Source Data'!H321:T321))+(E321&lt;&gt;'Source Data'!E321)+(F321&lt;&gt;'Source Data'!F321)&amp;" cell")</f>
        <v/>
      </c>
      <c r="V321" s="63" t="s">
        <v>1063</v>
      </c>
    </row>
    <row r="322" spans="2:22" x14ac:dyDescent="0.25">
      <c r="B322" s="23" t="s">
        <v>1064</v>
      </c>
      <c r="C322" s="28" t="s">
        <v>1056</v>
      </c>
      <c r="D322" s="50" t="s">
        <v>432</v>
      </c>
      <c r="E322" s="92">
        <v>1.246304098</v>
      </c>
      <c r="F322" s="87">
        <v>1</v>
      </c>
      <c r="H322" s="93">
        <v>3.5000000000000003E-2</v>
      </c>
      <c r="I322" s="93">
        <v>3.5000000000000003E-2</v>
      </c>
      <c r="J322" s="93">
        <v>3.5000000000000003E-2</v>
      </c>
      <c r="K322" s="93">
        <v>3.5000000000000003E-2</v>
      </c>
      <c r="L322" s="93">
        <v>3.5000000000000003E-2</v>
      </c>
      <c r="M322" s="93">
        <v>3.5000000000000003E-2</v>
      </c>
      <c r="N322" s="93">
        <v>3.5000000000000003E-2</v>
      </c>
      <c r="O322" s="93">
        <v>3.5000000000000003E-2</v>
      </c>
      <c r="P322" s="93">
        <v>3.5000000000000003E-2</v>
      </c>
      <c r="Q322" s="93">
        <v>3.5000000000000003E-2</v>
      </c>
      <c r="R322" s="93">
        <v>3.5000000000000003E-2</v>
      </c>
      <c r="S322" s="93">
        <v>3.5000000000000003E-2</v>
      </c>
      <c r="T322" s="93">
        <v>3.5000000000000003E-2</v>
      </c>
      <c r="U322" s="62" t="str">
        <f>IF(SUMPRODUCT(--(H322:T322&lt;&gt;'Source Data'!H322:T322))+(E322&lt;&gt;'Source Data'!E322)+(F322&lt;&gt;'Source Data'!F322)=0,"",SUMPRODUCT(--(H322:T322&lt;&gt;'Source Data'!H322:T322))+(E322&lt;&gt;'Source Data'!E322)+(F322&lt;&gt;'Source Data'!F322)&amp;" cell")</f>
        <v/>
      </c>
      <c r="V322" s="63" t="s">
        <v>1065</v>
      </c>
    </row>
    <row r="323" spans="2:22" x14ac:dyDescent="0.25">
      <c r="B323" s="23" t="s">
        <v>1066</v>
      </c>
      <c r="C323" s="28" t="s">
        <v>1056</v>
      </c>
      <c r="D323" s="50" t="s">
        <v>432</v>
      </c>
      <c r="E323" s="92">
        <v>0.64505999999999997</v>
      </c>
      <c r="F323" s="87">
        <v>1</v>
      </c>
      <c r="H323" s="93">
        <v>3.5000000000000003E-2</v>
      </c>
      <c r="I323" s="93">
        <v>3.5000000000000003E-2</v>
      </c>
      <c r="J323" s="93">
        <v>3.5000000000000003E-2</v>
      </c>
      <c r="K323" s="93">
        <v>3.5000000000000003E-2</v>
      </c>
      <c r="L323" s="93">
        <v>3.5000000000000003E-2</v>
      </c>
      <c r="M323" s="93">
        <v>3.5000000000000003E-2</v>
      </c>
      <c r="N323" s="93">
        <v>3.5000000000000003E-2</v>
      </c>
      <c r="O323" s="93">
        <v>3.5000000000000003E-2</v>
      </c>
      <c r="P323" s="93">
        <v>3.5000000000000003E-2</v>
      </c>
      <c r="Q323" s="93">
        <v>3.5000000000000003E-2</v>
      </c>
      <c r="R323" s="93">
        <v>3.5000000000000003E-2</v>
      </c>
      <c r="S323" s="93">
        <v>3.5000000000000003E-2</v>
      </c>
      <c r="T323" s="93">
        <v>3.5000000000000003E-2</v>
      </c>
      <c r="U323" s="62" t="str">
        <f>IF(SUMPRODUCT(--(H323:T323&lt;&gt;'Source Data'!H323:T323))+(E323&lt;&gt;'Source Data'!E323)+(F323&lt;&gt;'Source Data'!F323)=0,"",SUMPRODUCT(--(H323:T323&lt;&gt;'Source Data'!H323:T323))+(E323&lt;&gt;'Source Data'!E323)+(F323&lt;&gt;'Source Data'!F323)&amp;" cell")</f>
        <v/>
      </c>
      <c r="V323" s="63" t="s">
        <v>1067</v>
      </c>
    </row>
    <row r="324" spans="2:22" x14ac:dyDescent="0.25">
      <c r="B324" s="23" t="s">
        <v>1068</v>
      </c>
      <c r="C324" s="28" t="s">
        <v>1056</v>
      </c>
      <c r="D324" s="50" t="s">
        <v>432</v>
      </c>
      <c r="E324" s="92">
        <v>0.2389568971904</v>
      </c>
      <c r="F324" s="87">
        <v>1</v>
      </c>
      <c r="H324" s="93">
        <v>0.03</v>
      </c>
      <c r="I324" s="93">
        <v>0.03</v>
      </c>
      <c r="J324" s="93">
        <v>0.03</v>
      </c>
      <c r="K324" s="93">
        <v>0.03</v>
      </c>
      <c r="L324" s="93">
        <v>0.03</v>
      </c>
      <c r="M324" s="93">
        <v>0.03</v>
      </c>
      <c r="N324" s="93">
        <v>0.03</v>
      </c>
      <c r="O324" s="93">
        <v>0.03</v>
      </c>
      <c r="P324" s="93">
        <v>0.03</v>
      </c>
      <c r="Q324" s="93">
        <v>0.03</v>
      </c>
      <c r="R324" s="93">
        <v>0.03</v>
      </c>
      <c r="S324" s="93">
        <v>0.03</v>
      </c>
      <c r="T324" s="93">
        <v>0.03</v>
      </c>
      <c r="U324" s="62" t="str">
        <f>IF(SUMPRODUCT(--(H324:T324&lt;&gt;'Source Data'!H324:T324))+(E324&lt;&gt;'Source Data'!E324)+(F324&lt;&gt;'Source Data'!F324)=0,"",SUMPRODUCT(--(H324:T324&lt;&gt;'Source Data'!H324:T324))+(E324&lt;&gt;'Source Data'!E324)+(F324&lt;&gt;'Source Data'!F324)&amp;" cell")</f>
        <v/>
      </c>
      <c r="V324" s="63" t="s">
        <v>1069</v>
      </c>
    </row>
    <row r="325" spans="2:22" x14ac:dyDescent="0.25">
      <c r="B325" s="23" t="s">
        <v>1070</v>
      </c>
      <c r="C325" s="28" t="s">
        <v>493</v>
      </c>
      <c r="D325" s="50" t="s">
        <v>432</v>
      </c>
      <c r="E325" s="92">
        <v>4.4313345909633002</v>
      </c>
      <c r="F325" s="87">
        <v>1.5</v>
      </c>
      <c r="H325" s="93">
        <v>0.03</v>
      </c>
      <c r="I325" s="93">
        <v>0.03</v>
      </c>
      <c r="J325" s="93">
        <v>0.03</v>
      </c>
      <c r="K325" s="93">
        <v>0.03</v>
      </c>
      <c r="L325" s="93">
        <v>0.03</v>
      </c>
      <c r="M325" s="93">
        <v>0.03</v>
      </c>
      <c r="N325" s="93">
        <v>0.03</v>
      </c>
      <c r="O325" s="93">
        <v>0.03</v>
      </c>
      <c r="P325" s="93">
        <v>0.03</v>
      </c>
      <c r="Q325" s="93">
        <v>0.03</v>
      </c>
      <c r="R325" s="93">
        <v>0.03</v>
      </c>
      <c r="S325" s="93">
        <v>0.03</v>
      </c>
      <c r="T325" s="93">
        <v>0.03</v>
      </c>
      <c r="U325" s="62" t="str">
        <f>IF(SUMPRODUCT(--(H325:T325&lt;&gt;'Source Data'!H325:T325))+(E325&lt;&gt;'Source Data'!E325)+(F325&lt;&gt;'Source Data'!F325)=0,"",SUMPRODUCT(--(H325:T325&lt;&gt;'Source Data'!H325:T325))+(E325&lt;&gt;'Source Data'!E325)+(F325&lt;&gt;'Source Data'!F325)&amp;" cell")</f>
        <v/>
      </c>
      <c r="V325" s="63" t="s">
        <v>1071</v>
      </c>
    </row>
    <row r="326" spans="2:22" x14ac:dyDescent="0.25">
      <c r="B326" s="23" t="s">
        <v>1072</v>
      </c>
      <c r="C326" s="28" t="s">
        <v>493</v>
      </c>
      <c r="D326" s="50" t="s">
        <v>432</v>
      </c>
      <c r="E326" s="92">
        <v>1.70485667995</v>
      </c>
      <c r="F326" s="87">
        <v>1.5</v>
      </c>
      <c r="H326" s="93">
        <v>0.03</v>
      </c>
      <c r="I326" s="93">
        <v>0.03</v>
      </c>
      <c r="J326" s="93">
        <v>0.03</v>
      </c>
      <c r="K326" s="93">
        <v>0.03</v>
      </c>
      <c r="L326" s="93">
        <v>0.03</v>
      </c>
      <c r="M326" s="93">
        <v>0.03</v>
      </c>
      <c r="N326" s="93">
        <v>0.03</v>
      </c>
      <c r="O326" s="93">
        <v>0.03</v>
      </c>
      <c r="P326" s="93">
        <v>0.03</v>
      </c>
      <c r="Q326" s="93">
        <v>0.03</v>
      </c>
      <c r="R326" s="93">
        <v>0.03</v>
      </c>
      <c r="S326" s="93">
        <v>0.03</v>
      </c>
      <c r="T326" s="93">
        <v>0.03</v>
      </c>
      <c r="U326" s="62" t="str">
        <f>IF(SUMPRODUCT(--(H326:T326&lt;&gt;'Source Data'!H326:T326))+(E326&lt;&gt;'Source Data'!E326)+(F326&lt;&gt;'Source Data'!F326)=0,"",SUMPRODUCT(--(H326:T326&lt;&gt;'Source Data'!H326:T326))+(E326&lt;&gt;'Source Data'!E326)+(F326&lt;&gt;'Source Data'!F326)&amp;" cell")</f>
        <v/>
      </c>
      <c r="V326" s="63" t="s">
        <v>1073</v>
      </c>
    </row>
    <row r="327" spans="2:22" x14ac:dyDescent="0.25">
      <c r="B327" s="23" t="s">
        <v>1074</v>
      </c>
      <c r="C327" s="28" t="s">
        <v>493</v>
      </c>
      <c r="D327" s="50" t="s">
        <v>432</v>
      </c>
      <c r="E327" s="92">
        <v>0.69940016000000005</v>
      </c>
      <c r="F327" s="87">
        <v>1.5</v>
      </c>
      <c r="H327" s="93">
        <v>0.03</v>
      </c>
      <c r="I327" s="93">
        <v>0.03</v>
      </c>
      <c r="J327" s="93">
        <v>0.03</v>
      </c>
      <c r="K327" s="93">
        <v>0.03</v>
      </c>
      <c r="L327" s="93">
        <v>0.03</v>
      </c>
      <c r="M327" s="93">
        <v>0.03</v>
      </c>
      <c r="N327" s="93">
        <v>0.03</v>
      </c>
      <c r="O327" s="93">
        <v>0.03</v>
      </c>
      <c r="P327" s="93">
        <v>0.03</v>
      </c>
      <c r="Q327" s="93">
        <v>0.03</v>
      </c>
      <c r="R327" s="93">
        <v>0.03</v>
      </c>
      <c r="S327" s="93">
        <v>0.03</v>
      </c>
      <c r="T327" s="93">
        <v>0.03</v>
      </c>
      <c r="U327" s="62" t="str">
        <f>IF(SUMPRODUCT(--(H327:T327&lt;&gt;'Source Data'!H327:T327))+(E327&lt;&gt;'Source Data'!E327)+(F327&lt;&gt;'Source Data'!F327)=0,"",SUMPRODUCT(--(H327:T327&lt;&gt;'Source Data'!H327:T327))+(E327&lt;&gt;'Source Data'!E327)+(F327&lt;&gt;'Source Data'!F327)&amp;" cell")</f>
        <v/>
      </c>
      <c r="V327" s="63" t="s">
        <v>1075</v>
      </c>
    </row>
    <row r="328" spans="2:22" x14ac:dyDescent="0.25">
      <c r="B328" s="23" t="s">
        <v>1076</v>
      </c>
      <c r="C328" s="28" t="s">
        <v>493</v>
      </c>
      <c r="D328" s="50" t="s">
        <v>432</v>
      </c>
      <c r="E328" s="92">
        <v>0.66299453613699999</v>
      </c>
      <c r="F328" s="87">
        <v>1.5</v>
      </c>
      <c r="H328" s="93">
        <v>0.03</v>
      </c>
      <c r="I328" s="93">
        <v>0.03</v>
      </c>
      <c r="J328" s="93">
        <v>0.03</v>
      </c>
      <c r="K328" s="93">
        <v>0.03</v>
      </c>
      <c r="L328" s="93">
        <v>0.03</v>
      </c>
      <c r="M328" s="93">
        <v>0.03</v>
      </c>
      <c r="N328" s="93">
        <v>0.03</v>
      </c>
      <c r="O328" s="93">
        <v>0.03</v>
      </c>
      <c r="P328" s="93">
        <v>0.03</v>
      </c>
      <c r="Q328" s="93">
        <v>0.03</v>
      </c>
      <c r="R328" s="93">
        <v>0.03</v>
      </c>
      <c r="S328" s="93">
        <v>0.03</v>
      </c>
      <c r="T328" s="93">
        <v>0.03</v>
      </c>
      <c r="U328" s="62" t="str">
        <f>IF(SUMPRODUCT(--(H328:T328&lt;&gt;'Source Data'!H328:T328))+(E328&lt;&gt;'Source Data'!E328)+(F328&lt;&gt;'Source Data'!F328)=0,"",SUMPRODUCT(--(H328:T328&lt;&gt;'Source Data'!H328:T328))+(E328&lt;&gt;'Source Data'!E328)+(F328&lt;&gt;'Source Data'!F328)&amp;" cell")</f>
        <v/>
      </c>
      <c r="V328" s="63" t="s">
        <v>1077</v>
      </c>
    </row>
    <row r="329" spans="2:22" x14ac:dyDescent="0.25">
      <c r="B329" s="23" t="s">
        <v>1078</v>
      </c>
      <c r="C329" s="28" t="s">
        <v>493</v>
      </c>
      <c r="D329" s="50" t="s">
        <v>432</v>
      </c>
      <c r="E329" s="92">
        <v>0.5239755843467</v>
      </c>
      <c r="F329" s="87">
        <v>1.5</v>
      </c>
      <c r="H329" s="93">
        <v>0.02</v>
      </c>
      <c r="I329" s="93">
        <v>0.02</v>
      </c>
      <c r="J329" s="93">
        <v>0.02</v>
      </c>
      <c r="K329" s="93">
        <v>0.02</v>
      </c>
      <c r="L329" s="93">
        <v>0.02</v>
      </c>
      <c r="M329" s="93">
        <v>0.02</v>
      </c>
      <c r="N329" s="93">
        <v>0.02</v>
      </c>
      <c r="O329" s="93">
        <v>0.02</v>
      </c>
      <c r="P329" s="93">
        <v>0.02</v>
      </c>
      <c r="Q329" s="93">
        <v>0.02</v>
      </c>
      <c r="R329" s="93">
        <v>0.02</v>
      </c>
      <c r="S329" s="93">
        <v>0.02</v>
      </c>
      <c r="T329" s="93">
        <v>0.02</v>
      </c>
      <c r="U329" s="62" t="str">
        <f>IF(SUMPRODUCT(--(H329:T329&lt;&gt;'Source Data'!H329:T329))+(E329&lt;&gt;'Source Data'!E329)+(F329&lt;&gt;'Source Data'!F329)=0,"",SUMPRODUCT(--(H329:T329&lt;&gt;'Source Data'!H329:T329))+(E329&lt;&gt;'Source Data'!E329)+(F329&lt;&gt;'Source Data'!F329)&amp;" cell")</f>
        <v/>
      </c>
      <c r="V329" s="63" t="s">
        <v>1079</v>
      </c>
    </row>
    <row r="330" spans="2:22" x14ac:dyDescent="0.25">
      <c r="B330" s="23" t="s">
        <v>1080</v>
      </c>
      <c r="C330" s="28" t="s">
        <v>493</v>
      </c>
      <c r="D330" s="50" t="s">
        <v>432</v>
      </c>
      <c r="E330" s="92">
        <v>0.43889630771830002</v>
      </c>
      <c r="F330" s="87">
        <v>1.5</v>
      </c>
      <c r="H330" s="93">
        <v>0.03</v>
      </c>
      <c r="I330" s="93">
        <v>0.03</v>
      </c>
      <c r="J330" s="93">
        <v>0.03</v>
      </c>
      <c r="K330" s="93">
        <v>0.03</v>
      </c>
      <c r="L330" s="93">
        <v>0.03</v>
      </c>
      <c r="M330" s="93">
        <v>0.03</v>
      </c>
      <c r="N330" s="93">
        <v>0.03</v>
      </c>
      <c r="O330" s="93">
        <v>0.03</v>
      </c>
      <c r="P330" s="93">
        <v>0.03</v>
      </c>
      <c r="Q330" s="93">
        <v>0.03</v>
      </c>
      <c r="R330" s="93">
        <v>0.03</v>
      </c>
      <c r="S330" s="93">
        <v>0.03</v>
      </c>
      <c r="T330" s="93">
        <v>0.03</v>
      </c>
      <c r="U330" s="62" t="str">
        <f>IF(SUMPRODUCT(--(H330:T330&lt;&gt;'Source Data'!H330:T330))+(E330&lt;&gt;'Source Data'!E330)+(F330&lt;&gt;'Source Data'!F330)=0,"",SUMPRODUCT(--(H330:T330&lt;&gt;'Source Data'!H330:T330))+(E330&lt;&gt;'Source Data'!E330)+(F330&lt;&gt;'Source Data'!F330)&amp;" cell")</f>
        <v/>
      </c>
      <c r="V330" s="63" t="s">
        <v>1081</v>
      </c>
    </row>
    <row r="331" spans="2:22" x14ac:dyDescent="0.25">
      <c r="B331" s="23" t="s">
        <v>1082</v>
      </c>
      <c r="C331" s="28" t="s">
        <v>493</v>
      </c>
      <c r="D331" s="50" t="s">
        <v>432</v>
      </c>
      <c r="E331" s="92">
        <v>0.18272252599</v>
      </c>
      <c r="F331" s="87">
        <v>1.5</v>
      </c>
      <c r="H331" s="93">
        <v>0.02</v>
      </c>
      <c r="I331" s="93">
        <v>0.02</v>
      </c>
      <c r="J331" s="93">
        <v>0.02</v>
      </c>
      <c r="K331" s="93">
        <v>0.02</v>
      </c>
      <c r="L331" s="93">
        <v>0.02</v>
      </c>
      <c r="M331" s="93">
        <v>0.02</v>
      </c>
      <c r="N331" s="93">
        <v>0.02</v>
      </c>
      <c r="O331" s="93">
        <v>0.02</v>
      </c>
      <c r="P331" s="93">
        <v>0.02</v>
      </c>
      <c r="Q331" s="93">
        <v>0.02</v>
      </c>
      <c r="R331" s="93">
        <v>0.02</v>
      </c>
      <c r="S331" s="93">
        <v>0.02</v>
      </c>
      <c r="T331" s="93">
        <v>0.02</v>
      </c>
      <c r="U331" s="62" t="str">
        <f>IF(SUMPRODUCT(--(H331:T331&lt;&gt;'Source Data'!H331:T331))+(E331&lt;&gt;'Source Data'!E331)+(F331&lt;&gt;'Source Data'!F331)=0,"",SUMPRODUCT(--(H331:T331&lt;&gt;'Source Data'!H331:T331))+(E331&lt;&gt;'Source Data'!E331)+(F331&lt;&gt;'Source Data'!F331)&amp;" cell")</f>
        <v/>
      </c>
      <c r="V331" s="63" t="s">
        <v>1083</v>
      </c>
    </row>
    <row r="332" spans="2:22" x14ac:dyDescent="0.25">
      <c r="B332" s="23" t="s">
        <v>1084</v>
      </c>
      <c r="C332" s="28" t="s">
        <v>493</v>
      </c>
      <c r="D332" s="50" t="s">
        <v>432</v>
      </c>
      <c r="E332" s="92">
        <v>0.17889313300000001</v>
      </c>
      <c r="F332" s="87">
        <v>1.5</v>
      </c>
      <c r="H332" s="93">
        <v>0.02</v>
      </c>
      <c r="I332" s="93">
        <v>0.02</v>
      </c>
      <c r="J332" s="93">
        <v>0.02</v>
      </c>
      <c r="K332" s="93">
        <v>0.02</v>
      </c>
      <c r="L332" s="93">
        <v>0.02</v>
      </c>
      <c r="M332" s="93">
        <v>0.02</v>
      </c>
      <c r="N332" s="93">
        <v>0.02</v>
      </c>
      <c r="O332" s="93">
        <v>0.02</v>
      </c>
      <c r="P332" s="93">
        <v>0.02</v>
      </c>
      <c r="Q332" s="93">
        <v>0.02</v>
      </c>
      <c r="R332" s="93">
        <v>0.02</v>
      </c>
      <c r="S332" s="93">
        <v>0.02</v>
      </c>
      <c r="T332" s="93">
        <v>0.02</v>
      </c>
      <c r="U332" s="62" t="str">
        <f>IF(SUMPRODUCT(--(H332:T332&lt;&gt;'Source Data'!H332:T332))+(E332&lt;&gt;'Source Data'!E332)+(F332&lt;&gt;'Source Data'!F332)=0,"",SUMPRODUCT(--(H332:T332&lt;&gt;'Source Data'!H332:T332))+(E332&lt;&gt;'Source Data'!E332)+(F332&lt;&gt;'Source Data'!F332)&amp;" cell")</f>
        <v/>
      </c>
      <c r="V332" s="63" t="s">
        <v>1085</v>
      </c>
    </row>
    <row r="333" spans="2:22" x14ac:dyDescent="0.25">
      <c r="B333" s="23" t="s">
        <v>1086</v>
      </c>
      <c r="C333" s="28" t="s">
        <v>493</v>
      </c>
      <c r="D333" s="50" t="s">
        <v>432</v>
      </c>
      <c r="E333" s="92">
        <v>0.15018628395</v>
      </c>
      <c r="F333" s="87">
        <v>1.5</v>
      </c>
      <c r="H333" s="93">
        <v>0.02</v>
      </c>
      <c r="I333" s="93">
        <v>0.02</v>
      </c>
      <c r="J333" s="93">
        <v>0.02</v>
      </c>
      <c r="K333" s="93">
        <v>0.02</v>
      </c>
      <c r="L333" s="93">
        <v>0.02</v>
      </c>
      <c r="M333" s="93">
        <v>0.02</v>
      </c>
      <c r="N333" s="93">
        <v>0.02</v>
      </c>
      <c r="O333" s="93">
        <v>0.02</v>
      </c>
      <c r="P333" s="93">
        <v>0.02</v>
      </c>
      <c r="Q333" s="93">
        <v>0.02</v>
      </c>
      <c r="R333" s="93">
        <v>0.02</v>
      </c>
      <c r="S333" s="93">
        <v>0.02</v>
      </c>
      <c r="T333" s="93">
        <v>0.02</v>
      </c>
      <c r="U333" s="62" t="str">
        <f>IF(SUMPRODUCT(--(H333:T333&lt;&gt;'Source Data'!H333:T333))+(E333&lt;&gt;'Source Data'!E333)+(F333&lt;&gt;'Source Data'!F333)=0,"",SUMPRODUCT(--(H333:T333&lt;&gt;'Source Data'!H333:T333))+(E333&lt;&gt;'Source Data'!E333)+(F333&lt;&gt;'Source Data'!F333)&amp;" cell")</f>
        <v/>
      </c>
      <c r="V333" s="63" t="s">
        <v>1087</v>
      </c>
    </row>
    <row r="334" spans="2:22" x14ac:dyDescent="0.25">
      <c r="B334" s="23" t="s">
        <v>1088</v>
      </c>
      <c r="C334" s="28" t="s">
        <v>493</v>
      </c>
      <c r="D334" s="50" t="s">
        <v>432</v>
      </c>
      <c r="E334" s="92">
        <v>0.14188256973999999</v>
      </c>
      <c r="F334" s="87">
        <v>1.5</v>
      </c>
      <c r="H334" s="93">
        <v>0.03</v>
      </c>
      <c r="I334" s="93">
        <v>0.03</v>
      </c>
      <c r="J334" s="93">
        <v>0.03</v>
      </c>
      <c r="K334" s="93">
        <v>0.03</v>
      </c>
      <c r="L334" s="93">
        <v>0.03</v>
      </c>
      <c r="M334" s="93">
        <v>0.03</v>
      </c>
      <c r="N334" s="93">
        <v>0.03</v>
      </c>
      <c r="O334" s="93">
        <v>0.03</v>
      </c>
      <c r="P334" s="93">
        <v>0.03</v>
      </c>
      <c r="Q334" s="93">
        <v>0.03</v>
      </c>
      <c r="R334" s="93">
        <v>0.03</v>
      </c>
      <c r="S334" s="93">
        <v>0.03</v>
      </c>
      <c r="T334" s="93">
        <v>0.03</v>
      </c>
      <c r="U334" s="62" t="str">
        <f>IF(SUMPRODUCT(--(H334:T334&lt;&gt;'Source Data'!H334:T334))+(E334&lt;&gt;'Source Data'!E334)+(F334&lt;&gt;'Source Data'!F334)=0,"",SUMPRODUCT(--(H334:T334&lt;&gt;'Source Data'!H334:T334))+(E334&lt;&gt;'Source Data'!E334)+(F334&lt;&gt;'Source Data'!F334)&amp;" cell")</f>
        <v/>
      </c>
      <c r="V334" s="63" t="s">
        <v>1089</v>
      </c>
    </row>
    <row r="335" spans="2:22" x14ac:dyDescent="0.25">
      <c r="B335" s="23" t="s">
        <v>1090</v>
      </c>
      <c r="C335" s="28" t="s">
        <v>493</v>
      </c>
      <c r="D335" s="50" t="s">
        <v>432</v>
      </c>
      <c r="E335" s="92">
        <v>0.12822099967</v>
      </c>
      <c r="F335" s="87">
        <v>1.5</v>
      </c>
      <c r="H335" s="93">
        <v>0.03</v>
      </c>
      <c r="I335" s="93">
        <v>0.03</v>
      </c>
      <c r="J335" s="93">
        <v>0.03</v>
      </c>
      <c r="K335" s="93">
        <v>0.03</v>
      </c>
      <c r="L335" s="93">
        <v>0.03</v>
      </c>
      <c r="M335" s="93">
        <v>0.03</v>
      </c>
      <c r="N335" s="93">
        <v>0.03</v>
      </c>
      <c r="O335" s="93">
        <v>0.03</v>
      </c>
      <c r="P335" s="93">
        <v>0.03</v>
      </c>
      <c r="Q335" s="93">
        <v>0.03</v>
      </c>
      <c r="R335" s="93">
        <v>0.03</v>
      </c>
      <c r="S335" s="93">
        <v>0.03</v>
      </c>
      <c r="T335" s="93">
        <v>0.03</v>
      </c>
      <c r="U335" s="62" t="str">
        <f>IF(SUMPRODUCT(--(H335:T335&lt;&gt;'Source Data'!H335:T335))+(E335&lt;&gt;'Source Data'!E335)+(F335&lt;&gt;'Source Data'!F335)=0,"",SUMPRODUCT(--(H335:T335&lt;&gt;'Source Data'!H335:T335))+(E335&lt;&gt;'Source Data'!E335)+(F335&lt;&gt;'Source Data'!F335)&amp;" cell")</f>
        <v/>
      </c>
      <c r="V335" s="63" t="s">
        <v>1091</v>
      </c>
    </row>
    <row r="336" spans="2:22" x14ac:dyDescent="0.25">
      <c r="B336" s="23" t="s">
        <v>1092</v>
      </c>
      <c r="C336" s="28" t="s">
        <v>493</v>
      </c>
      <c r="D336" s="50" t="s">
        <v>432</v>
      </c>
      <c r="E336" s="92">
        <v>1.400805E-3</v>
      </c>
      <c r="F336" s="87">
        <v>1.5</v>
      </c>
      <c r="H336" s="93">
        <v>0.02</v>
      </c>
      <c r="I336" s="93">
        <v>0.02</v>
      </c>
      <c r="J336" s="93">
        <v>0.02</v>
      </c>
      <c r="K336" s="93">
        <v>0.02</v>
      </c>
      <c r="L336" s="93">
        <v>0.02</v>
      </c>
      <c r="M336" s="93">
        <v>0.02</v>
      </c>
      <c r="N336" s="93">
        <v>0.02</v>
      </c>
      <c r="O336" s="93">
        <v>0.02</v>
      </c>
      <c r="P336" s="93">
        <v>0.02</v>
      </c>
      <c r="Q336" s="93">
        <v>0.02</v>
      </c>
      <c r="R336" s="93">
        <v>0.02</v>
      </c>
      <c r="S336" s="93">
        <v>0.02</v>
      </c>
      <c r="T336" s="93">
        <v>0.02</v>
      </c>
      <c r="U336" s="62" t="str">
        <f>IF(SUMPRODUCT(--(H336:T336&lt;&gt;'Source Data'!H336:T336))+(E336&lt;&gt;'Source Data'!E336)+(F336&lt;&gt;'Source Data'!F336)=0,"",SUMPRODUCT(--(H336:T336&lt;&gt;'Source Data'!H336:T336))+(E336&lt;&gt;'Source Data'!E336)+(F336&lt;&gt;'Source Data'!F336)&amp;" cell")</f>
        <v/>
      </c>
      <c r="V336" s="63" t="s">
        <v>1093</v>
      </c>
    </row>
    <row r="337" spans="2:22" x14ac:dyDescent="0.25">
      <c r="B337" s="42" t="s">
        <v>1094</v>
      </c>
      <c r="G337" s="63" t="s">
        <v>1049</v>
      </c>
    </row>
    <row r="338" spans="2:22" x14ac:dyDescent="0.25">
      <c r="B338" s="59" t="s">
        <v>1050</v>
      </c>
      <c r="C338" s="59" t="s">
        <v>466</v>
      </c>
      <c r="D338" s="59" t="s">
        <v>467</v>
      </c>
      <c r="E338" s="59" t="s">
        <v>1051</v>
      </c>
      <c r="F338" s="59" t="s">
        <v>1052</v>
      </c>
      <c r="G338" s="80" t="s">
        <v>628</v>
      </c>
      <c r="H338" s="81">
        <v>2024</v>
      </c>
      <c r="I338" s="81">
        <v>2025</v>
      </c>
      <c r="J338" s="81">
        <v>2026</v>
      </c>
      <c r="K338" s="81">
        <v>2027</v>
      </c>
      <c r="L338" s="81">
        <v>2028</v>
      </c>
      <c r="M338" s="81">
        <v>2029</v>
      </c>
      <c r="N338" s="81">
        <v>2030</v>
      </c>
      <c r="O338" s="81">
        <v>2031</v>
      </c>
      <c r="P338" s="81">
        <v>2032</v>
      </c>
      <c r="Q338" s="81">
        <v>2033</v>
      </c>
      <c r="R338" s="81">
        <v>2034</v>
      </c>
      <c r="S338" s="81">
        <v>2035</v>
      </c>
      <c r="T338" s="81">
        <v>2036</v>
      </c>
      <c r="U338" s="59" t="s">
        <v>470</v>
      </c>
      <c r="V338" s="59" t="s">
        <v>471</v>
      </c>
    </row>
    <row r="339" spans="2:22" x14ac:dyDescent="0.25">
      <c r="B339" s="23" t="s">
        <v>1053</v>
      </c>
      <c r="C339" s="28" t="s">
        <v>493</v>
      </c>
      <c r="D339" s="50" t="s">
        <v>432</v>
      </c>
      <c r="E339" s="92">
        <v>5.423</v>
      </c>
      <c r="F339" s="87">
        <v>1</v>
      </c>
      <c r="H339" s="93">
        <v>3.5000000000000003E-2</v>
      </c>
      <c r="I339" s="93">
        <v>3.5000000000000003E-2</v>
      </c>
      <c r="J339" s="93">
        <v>3.5000000000000003E-2</v>
      </c>
      <c r="K339" s="93">
        <v>3.5000000000000003E-2</v>
      </c>
      <c r="L339" s="93">
        <v>3.5000000000000003E-2</v>
      </c>
      <c r="M339" s="93">
        <v>3.5000000000000003E-2</v>
      </c>
      <c r="N339" s="93">
        <v>3.5000000000000003E-2</v>
      </c>
      <c r="O339" s="93">
        <v>3.5000000000000003E-2</v>
      </c>
      <c r="P339" s="93">
        <v>3.5000000000000003E-2</v>
      </c>
      <c r="Q339" s="93">
        <v>3.5000000000000003E-2</v>
      </c>
      <c r="R339" s="93">
        <v>3.5000000000000003E-2</v>
      </c>
      <c r="S339" s="93">
        <v>3.5000000000000003E-2</v>
      </c>
      <c r="T339" s="93">
        <v>3.5000000000000003E-2</v>
      </c>
      <c r="U339" s="62" t="str">
        <f>IF(SUMPRODUCT(--(H339:T339&lt;&gt;'Source Data'!H339:T339))+(E339&lt;&gt;'Source Data'!E339)+(F339&lt;&gt;'Source Data'!F339)=0,"",SUMPRODUCT(--(H339:T339&lt;&gt;'Source Data'!H339:T339))+(E339&lt;&gt;'Source Data'!E339)+(F339&lt;&gt;'Source Data'!F339)&amp;" cell")</f>
        <v/>
      </c>
      <c r="V339" s="63" t="s">
        <v>1095</v>
      </c>
    </row>
    <row r="340" spans="2:22" x14ac:dyDescent="0.25">
      <c r="B340" s="23" t="s">
        <v>1055</v>
      </c>
      <c r="C340" s="28" t="s">
        <v>1056</v>
      </c>
      <c r="D340" s="50" t="s">
        <v>432</v>
      </c>
      <c r="E340" s="92">
        <v>3.897911782</v>
      </c>
      <c r="F340" s="87">
        <v>1</v>
      </c>
      <c r="H340" s="93">
        <v>0.03</v>
      </c>
      <c r="I340" s="93">
        <v>0.03</v>
      </c>
      <c r="J340" s="93">
        <v>0.03</v>
      </c>
      <c r="K340" s="93">
        <v>0.03</v>
      </c>
      <c r="L340" s="93">
        <v>0.03</v>
      </c>
      <c r="M340" s="93">
        <v>0.03</v>
      </c>
      <c r="N340" s="93">
        <v>0.03</v>
      </c>
      <c r="O340" s="93">
        <v>0.03</v>
      </c>
      <c r="P340" s="93">
        <v>0.03</v>
      </c>
      <c r="Q340" s="93">
        <v>0.03</v>
      </c>
      <c r="R340" s="93">
        <v>0.03</v>
      </c>
      <c r="S340" s="93">
        <v>0.03</v>
      </c>
      <c r="T340" s="93">
        <v>0.03</v>
      </c>
      <c r="U340" s="62" t="str">
        <f>IF(SUMPRODUCT(--(H340:T340&lt;&gt;'Source Data'!H340:T340))+(E340&lt;&gt;'Source Data'!E340)+(F340&lt;&gt;'Source Data'!F340)=0,"",SUMPRODUCT(--(H340:T340&lt;&gt;'Source Data'!H340:T340))+(E340&lt;&gt;'Source Data'!E340)+(F340&lt;&gt;'Source Data'!F340)&amp;" cell")</f>
        <v/>
      </c>
      <c r="V340" s="63" t="s">
        <v>1096</v>
      </c>
    </row>
    <row r="341" spans="2:22" x14ac:dyDescent="0.25">
      <c r="B341" s="23" t="s">
        <v>1060</v>
      </c>
      <c r="C341" s="28" t="s">
        <v>493</v>
      </c>
      <c r="D341" s="50" t="s">
        <v>432</v>
      </c>
      <c r="E341" s="92">
        <v>2.1486997309999998</v>
      </c>
      <c r="F341" s="87">
        <v>1</v>
      </c>
      <c r="H341" s="93">
        <v>3.5000000000000003E-2</v>
      </c>
      <c r="I341" s="93">
        <v>3.5000000000000003E-2</v>
      </c>
      <c r="J341" s="93">
        <v>3.5000000000000003E-2</v>
      </c>
      <c r="K341" s="93">
        <v>3.5000000000000003E-2</v>
      </c>
      <c r="L341" s="93">
        <v>3.5000000000000003E-2</v>
      </c>
      <c r="M341" s="93">
        <v>3.5000000000000003E-2</v>
      </c>
      <c r="N341" s="93">
        <v>3.5000000000000003E-2</v>
      </c>
      <c r="O341" s="93">
        <v>3.5000000000000003E-2</v>
      </c>
      <c r="P341" s="93">
        <v>3.5000000000000003E-2</v>
      </c>
      <c r="Q341" s="93">
        <v>3.5000000000000003E-2</v>
      </c>
      <c r="R341" s="93">
        <v>3.5000000000000003E-2</v>
      </c>
      <c r="S341" s="93">
        <v>3.5000000000000003E-2</v>
      </c>
      <c r="T341" s="93">
        <v>3.5000000000000003E-2</v>
      </c>
      <c r="U341" s="62" t="str">
        <f>IF(SUMPRODUCT(--(H341:T341&lt;&gt;'Source Data'!H341:T341))+(E341&lt;&gt;'Source Data'!E341)+(F341&lt;&gt;'Source Data'!F341)=0,"",SUMPRODUCT(--(H341:T341&lt;&gt;'Source Data'!H341:T341))+(E341&lt;&gt;'Source Data'!E341)+(F341&lt;&gt;'Source Data'!F341)&amp;" cell")</f>
        <v/>
      </c>
      <c r="V341" s="63" t="s">
        <v>1097</v>
      </c>
    </row>
    <row r="342" spans="2:22" x14ac:dyDescent="0.25">
      <c r="B342" s="23" t="s">
        <v>1062</v>
      </c>
      <c r="C342" s="28" t="s">
        <v>1056</v>
      </c>
      <c r="D342" s="50" t="s">
        <v>432</v>
      </c>
      <c r="E342" s="92">
        <v>1.39158765303</v>
      </c>
      <c r="F342" s="87">
        <v>1</v>
      </c>
      <c r="H342" s="93">
        <v>0.03</v>
      </c>
      <c r="I342" s="93">
        <v>0.03</v>
      </c>
      <c r="J342" s="93">
        <v>0.03</v>
      </c>
      <c r="K342" s="93">
        <v>0.03</v>
      </c>
      <c r="L342" s="93">
        <v>0.03</v>
      </c>
      <c r="M342" s="93">
        <v>0.03</v>
      </c>
      <c r="N342" s="93">
        <v>0.03</v>
      </c>
      <c r="O342" s="93">
        <v>0.03</v>
      </c>
      <c r="P342" s="93">
        <v>0.03</v>
      </c>
      <c r="Q342" s="93">
        <v>0.03</v>
      </c>
      <c r="R342" s="93">
        <v>0.03</v>
      </c>
      <c r="S342" s="93">
        <v>0.03</v>
      </c>
      <c r="T342" s="93">
        <v>0.03</v>
      </c>
      <c r="U342" s="62" t="str">
        <f>IF(SUMPRODUCT(--(H342:T342&lt;&gt;'Source Data'!H342:T342))+(E342&lt;&gt;'Source Data'!E342)+(F342&lt;&gt;'Source Data'!F342)=0,"",SUMPRODUCT(--(H342:T342&lt;&gt;'Source Data'!H342:T342))+(E342&lt;&gt;'Source Data'!E342)+(F342&lt;&gt;'Source Data'!F342)&amp;" cell")</f>
        <v/>
      </c>
      <c r="V342" s="63" t="s">
        <v>1098</v>
      </c>
    </row>
    <row r="343" spans="2:22" x14ac:dyDescent="0.25">
      <c r="B343" s="23" t="s">
        <v>1099</v>
      </c>
      <c r="C343" s="28" t="s">
        <v>1056</v>
      </c>
      <c r="D343" s="50" t="s">
        <v>432</v>
      </c>
      <c r="E343" s="92">
        <v>1.1984589640000001</v>
      </c>
      <c r="F343" s="87">
        <v>1</v>
      </c>
      <c r="H343" s="93">
        <v>0.03</v>
      </c>
      <c r="I343" s="93">
        <v>0.03</v>
      </c>
      <c r="J343" s="93">
        <v>0.03</v>
      </c>
      <c r="K343" s="93">
        <v>0.03</v>
      </c>
      <c r="L343" s="93">
        <v>0.03</v>
      </c>
      <c r="M343" s="93">
        <v>0.03</v>
      </c>
      <c r="N343" s="93">
        <v>0.03</v>
      </c>
      <c r="O343" s="93">
        <v>0.03</v>
      </c>
      <c r="P343" s="93">
        <v>0.03</v>
      </c>
      <c r="Q343" s="93">
        <v>0.03</v>
      </c>
      <c r="R343" s="93">
        <v>0.03</v>
      </c>
      <c r="S343" s="93">
        <v>0.03</v>
      </c>
      <c r="T343" s="93">
        <v>0.03</v>
      </c>
      <c r="U343" s="62" t="str">
        <f>IF(SUMPRODUCT(--(H343:T343&lt;&gt;'Source Data'!H343:T343))+(E343&lt;&gt;'Source Data'!E343)+(F343&lt;&gt;'Source Data'!F343)=0,"",SUMPRODUCT(--(H343:T343&lt;&gt;'Source Data'!H343:T343))+(E343&lt;&gt;'Source Data'!E343)+(F343&lt;&gt;'Source Data'!F343)&amp;" cell")</f>
        <v/>
      </c>
      <c r="V343" s="63" t="s">
        <v>1100</v>
      </c>
    </row>
    <row r="344" spans="2:22" x14ac:dyDescent="0.25">
      <c r="B344" s="23" t="s">
        <v>1068</v>
      </c>
      <c r="C344" s="28" t="s">
        <v>1056</v>
      </c>
      <c r="D344" s="50" t="s">
        <v>432</v>
      </c>
      <c r="E344" s="92">
        <v>0.65990706099999996</v>
      </c>
      <c r="F344" s="87">
        <v>1</v>
      </c>
      <c r="H344" s="93">
        <v>0.02</v>
      </c>
      <c r="I344" s="93">
        <v>0.02</v>
      </c>
      <c r="J344" s="93">
        <v>0.02</v>
      </c>
      <c r="K344" s="93">
        <v>0.02</v>
      </c>
      <c r="L344" s="93">
        <v>0.02</v>
      </c>
      <c r="M344" s="93">
        <v>0.02</v>
      </c>
      <c r="N344" s="93">
        <v>0.02</v>
      </c>
      <c r="O344" s="93">
        <v>0.02</v>
      </c>
      <c r="P344" s="93">
        <v>0.02</v>
      </c>
      <c r="Q344" s="93">
        <v>0.02</v>
      </c>
      <c r="R344" s="93">
        <v>0.02</v>
      </c>
      <c r="S344" s="93">
        <v>0.02</v>
      </c>
      <c r="T344" s="93">
        <v>0.02</v>
      </c>
      <c r="U344" s="62" t="str">
        <f>IF(SUMPRODUCT(--(H344:T344&lt;&gt;'Source Data'!H344:T344))+(E344&lt;&gt;'Source Data'!E344)+(F344&lt;&gt;'Source Data'!F344)=0,"",SUMPRODUCT(--(H344:T344&lt;&gt;'Source Data'!H344:T344))+(E344&lt;&gt;'Source Data'!E344)+(F344&lt;&gt;'Source Data'!F344)&amp;" cell")</f>
        <v/>
      </c>
      <c r="V344" s="63" t="s">
        <v>1101</v>
      </c>
    </row>
    <row r="345" spans="2:22" x14ac:dyDescent="0.25">
      <c r="B345" s="23" t="s">
        <v>1064</v>
      </c>
      <c r="C345" s="28" t="s">
        <v>1056</v>
      </c>
      <c r="D345" s="50" t="s">
        <v>432</v>
      </c>
      <c r="E345" s="92">
        <v>0.213092265</v>
      </c>
      <c r="F345" s="87">
        <v>1</v>
      </c>
      <c r="H345" s="93">
        <v>3.5000000000000003E-2</v>
      </c>
      <c r="I345" s="93">
        <v>3.5000000000000003E-2</v>
      </c>
      <c r="J345" s="93">
        <v>3.5000000000000003E-2</v>
      </c>
      <c r="K345" s="93">
        <v>3.5000000000000003E-2</v>
      </c>
      <c r="L345" s="93">
        <v>3.5000000000000003E-2</v>
      </c>
      <c r="M345" s="93">
        <v>3.5000000000000003E-2</v>
      </c>
      <c r="N345" s="93">
        <v>3.5000000000000003E-2</v>
      </c>
      <c r="O345" s="93">
        <v>3.5000000000000003E-2</v>
      </c>
      <c r="P345" s="93">
        <v>3.5000000000000003E-2</v>
      </c>
      <c r="Q345" s="93">
        <v>3.5000000000000003E-2</v>
      </c>
      <c r="R345" s="93">
        <v>3.5000000000000003E-2</v>
      </c>
      <c r="S345" s="93">
        <v>3.5000000000000003E-2</v>
      </c>
      <c r="T345" s="93">
        <v>3.5000000000000003E-2</v>
      </c>
      <c r="U345" s="62" t="str">
        <f>IF(SUMPRODUCT(--(H345:T345&lt;&gt;'Source Data'!H345:T345))+(E345&lt;&gt;'Source Data'!E345)+(F345&lt;&gt;'Source Data'!F345)=0,"",SUMPRODUCT(--(H345:T345&lt;&gt;'Source Data'!H345:T345))+(E345&lt;&gt;'Source Data'!E345)+(F345&lt;&gt;'Source Data'!F345)&amp;" cell")</f>
        <v/>
      </c>
      <c r="V345" s="63" t="s">
        <v>1102</v>
      </c>
    </row>
    <row r="346" spans="2:22" x14ac:dyDescent="0.25">
      <c r="B346" s="23" t="s">
        <v>1066</v>
      </c>
      <c r="C346" s="28" t="s">
        <v>1056</v>
      </c>
      <c r="D346" s="50" t="s">
        <v>432</v>
      </c>
      <c r="E346" s="92">
        <v>7.0646302999999994E-2</v>
      </c>
      <c r="F346" s="87">
        <v>1</v>
      </c>
      <c r="H346" s="93">
        <v>3.5000000000000003E-2</v>
      </c>
      <c r="I346" s="93">
        <v>3.5000000000000003E-2</v>
      </c>
      <c r="J346" s="93">
        <v>3.5000000000000003E-2</v>
      </c>
      <c r="K346" s="93">
        <v>3.5000000000000003E-2</v>
      </c>
      <c r="L346" s="93">
        <v>3.5000000000000003E-2</v>
      </c>
      <c r="M346" s="93">
        <v>3.5000000000000003E-2</v>
      </c>
      <c r="N346" s="93">
        <v>3.5000000000000003E-2</v>
      </c>
      <c r="O346" s="93">
        <v>3.5000000000000003E-2</v>
      </c>
      <c r="P346" s="93">
        <v>3.5000000000000003E-2</v>
      </c>
      <c r="Q346" s="93">
        <v>3.5000000000000003E-2</v>
      </c>
      <c r="R346" s="93">
        <v>3.5000000000000003E-2</v>
      </c>
      <c r="S346" s="93">
        <v>3.5000000000000003E-2</v>
      </c>
      <c r="T346" s="93">
        <v>3.5000000000000003E-2</v>
      </c>
      <c r="U346" s="62" t="str">
        <f>IF(SUMPRODUCT(--(H346:T346&lt;&gt;'Source Data'!H346:T346))+(E346&lt;&gt;'Source Data'!E346)+(F346&lt;&gt;'Source Data'!F346)=0,"",SUMPRODUCT(--(H346:T346&lt;&gt;'Source Data'!H346:T346))+(E346&lt;&gt;'Source Data'!E346)+(F346&lt;&gt;'Source Data'!F346)&amp;" cell")</f>
        <v/>
      </c>
      <c r="V346" s="63" t="s">
        <v>1103</v>
      </c>
    </row>
    <row r="347" spans="2:22" x14ac:dyDescent="0.25">
      <c r="B347" s="23" t="s">
        <v>1104</v>
      </c>
      <c r="C347" s="28" t="s">
        <v>493</v>
      </c>
      <c r="D347" s="50" t="s">
        <v>432</v>
      </c>
      <c r="E347" s="92">
        <v>2.5000000000000001E-3</v>
      </c>
      <c r="F347" s="87">
        <v>1</v>
      </c>
      <c r="H347" s="93">
        <v>0.02</v>
      </c>
      <c r="I347" s="93">
        <v>0.02</v>
      </c>
      <c r="J347" s="93">
        <v>0.02</v>
      </c>
      <c r="K347" s="93">
        <v>0.02</v>
      </c>
      <c r="L347" s="93">
        <v>0.02</v>
      </c>
      <c r="M347" s="93">
        <v>0.02</v>
      </c>
      <c r="N347" s="93">
        <v>0.02</v>
      </c>
      <c r="O347" s="93">
        <v>0.02</v>
      </c>
      <c r="P347" s="93">
        <v>0.02</v>
      </c>
      <c r="Q347" s="93">
        <v>0.02</v>
      </c>
      <c r="R347" s="93">
        <v>0.02</v>
      </c>
      <c r="S347" s="93">
        <v>0.02</v>
      </c>
      <c r="T347" s="93">
        <v>0.02</v>
      </c>
      <c r="U347" s="62" t="str">
        <f>IF(SUMPRODUCT(--(H347:T347&lt;&gt;'Source Data'!H347:T347))+(E347&lt;&gt;'Source Data'!E347)+(F347&lt;&gt;'Source Data'!F347)=0,"",SUMPRODUCT(--(H347:T347&lt;&gt;'Source Data'!H347:T347))+(E347&lt;&gt;'Source Data'!E347)+(F347&lt;&gt;'Source Data'!F347)&amp;" cell")</f>
        <v/>
      </c>
      <c r="V347" s="63" t="s">
        <v>1105</v>
      </c>
    </row>
    <row r="348" spans="2:22" x14ac:dyDescent="0.25">
      <c r="B348" s="23" t="s">
        <v>1072</v>
      </c>
      <c r="C348" s="28" t="s">
        <v>493</v>
      </c>
      <c r="D348" s="50" t="s">
        <v>432</v>
      </c>
      <c r="E348" s="92">
        <v>4.2735000000000003</v>
      </c>
      <c r="F348" s="87">
        <v>1</v>
      </c>
      <c r="H348" s="93">
        <v>3.5000000000000003E-2</v>
      </c>
      <c r="I348" s="93">
        <v>3.5000000000000003E-2</v>
      </c>
      <c r="J348" s="93">
        <v>3.5000000000000003E-2</v>
      </c>
      <c r="K348" s="93">
        <v>3.5000000000000003E-2</v>
      </c>
      <c r="L348" s="93">
        <v>3.5000000000000003E-2</v>
      </c>
      <c r="M348" s="93">
        <v>3.5000000000000003E-2</v>
      </c>
      <c r="N348" s="93">
        <v>3.5000000000000003E-2</v>
      </c>
      <c r="O348" s="93">
        <v>3.5000000000000003E-2</v>
      </c>
      <c r="P348" s="93">
        <v>3.5000000000000003E-2</v>
      </c>
      <c r="Q348" s="93">
        <v>3.5000000000000003E-2</v>
      </c>
      <c r="R348" s="93">
        <v>3.5000000000000003E-2</v>
      </c>
      <c r="S348" s="93">
        <v>3.5000000000000003E-2</v>
      </c>
      <c r="T348" s="93">
        <v>3.5000000000000003E-2</v>
      </c>
      <c r="U348" s="62" t="str">
        <f>IF(SUMPRODUCT(--(H348:T348&lt;&gt;'Source Data'!H348:T348))+(E348&lt;&gt;'Source Data'!E348)+(F348&lt;&gt;'Source Data'!F348)=0,"",SUMPRODUCT(--(H348:T348&lt;&gt;'Source Data'!H348:T348))+(E348&lt;&gt;'Source Data'!E348)+(F348&lt;&gt;'Source Data'!F348)&amp;" cell")</f>
        <v/>
      </c>
      <c r="V348" s="63" t="s">
        <v>1106</v>
      </c>
    </row>
    <row r="349" spans="2:22" x14ac:dyDescent="0.25">
      <c r="B349" s="23" t="s">
        <v>1070</v>
      </c>
      <c r="C349" s="28" t="s">
        <v>493</v>
      </c>
      <c r="D349" s="50" t="s">
        <v>432</v>
      </c>
      <c r="E349" s="92">
        <v>3.0775133239999999</v>
      </c>
      <c r="F349" s="87">
        <v>1</v>
      </c>
      <c r="H349" s="93">
        <v>0.03</v>
      </c>
      <c r="I349" s="93">
        <v>0.03</v>
      </c>
      <c r="J349" s="93">
        <v>0.03</v>
      </c>
      <c r="K349" s="93">
        <v>0.03</v>
      </c>
      <c r="L349" s="93">
        <v>0.03</v>
      </c>
      <c r="M349" s="93">
        <v>0.03</v>
      </c>
      <c r="N349" s="93">
        <v>0.03</v>
      </c>
      <c r="O349" s="93">
        <v>0.03</v>
      </c>
      <c r="P349" s="93">
        <v>0.03</v>
      </c>
      <c r="Q349" s="93">
        <v>0.03</v>
      </c>
      <c r="R349" s="93">
        <v>0.03</v>
      </c>
      <c r="S349" s="93">
        <v>0.03</v>
      </c>
      <c r="T349" s="93">
        <v>0.03</v>
      </c>
      <c r="U349" s="62" t="str">
        <f>IF(SUMPRODUCT(--(H349:T349&lt;&gt;'Source Data'!H349:T349))+(E349&lt;&gt;'Source Data'!E349)+(F349&lt;&gt;'Source Data'!F349)=0,"",SUMPRODUCT(--(H349:T349&lt;&gt;'Source Data'!H349:T349))+(E349&lt;&gt;'Source Data'!E349)+(F349&lt;&gt;'Source Data'!F349)&amp;" cell")</f>
        <v/>
      </c>
      <c r="V349" s="63" t="s">
        <v>1107</v>
      </c>
    </row>
    <row r="350" spans="2:22" x14ac:dyDescent="0.25">
      <c r="B350" s="23" t="s">
        <v>1088</v>
      </c>
      <c r="C350" s="28" t="s">
        <v>493</v>
      </c>
      <c r="D350" s="50" t="s">
        <v>432</v>
      </c>
      <c r="E350" s="92">
        <v>0.43463408199999998</v>
      </c>
      <c r="F350" s="87">
        <v>1</v>
      </c>
      <c r="H350" s="93">
        <v>0.03</v>
      </c>
      <c r="I350" s="93">
        <v>0.03</v>
      </c>
      <c r="J350" s="93">
        <v>0.03</v>
      </c>
      <c r="K350" s="93">
        <v>0.03</v>
      </c>
      <c r="L350" s="93">
        <v>0.03</v>
      </c>
      <c r="M350" s="93">
        <v>0.03</v>
      </c>
      <c r="N350" s="93">
        <v>0.03</v>
      </c>
      <c r="O350" s="93">
        <v>0.03</v>
      </c>
      <c r="P350" s="93">
        <v>0.03</v>
      </c>
      <c r="Q350" s="93">
        <v>0.03</v>
      </c>
      <c r="R350" s="93">
        <v>0.03</v>
      </c>
      <c r="S350" s="93">
        <v>0.03</v>
      </c>
      <c r="T350" s="93">
        <v>0.03</v>
      </c>
      <c r="U350" s="62" t="str">
        <f>IF(SUMPRODUCT(--(H350:T350&lt;&gt;'Source Data'!H350:T350))+(E350&lt;&gt;'Source Data'!E350)+(F350&lt;&gt;'Source Data'!F350)=0,"",SUMPRODUCT(--(H350:T350&lt;&gt;'Source Data'!H350:T350))+(E350&lt;&gt;'Source Data'!E350)+(F350&lt;&gt;'Source Data'!F350)&amp;" cell")</f>
        <v/>
      </c>
      <c r="V350" s="63" t="s">
        <v>1108</v>
      </c>
    </row>
    <row r="351" spans="2:22" x14ac:dyDescent="0.25">
      <c r="B351" s="23" t="s">
        <v>1080</v>
      </c>
      <c r="C351" s="28" t="s">
        <v>493</v>
      </c>
      <c r="D351" s="50" t="s">
        <v>432</v>
      </c>
      <c r="E351" s="92">
        <v>0.38632712999687502</v>
      </c>
      <c r="F351" s="87">
        <v>1</v>
      </c>
      <c r="H351" s="93">
        <v>0.03</v>
      </c>
      <c r="I351" s="93">
        <v>0.03</v>
      </c>
      <c r="J351" s="93">
        <v>0.03</v>
      </c>
      <c r="K351" s="93">
        <v>0.03</v>
      </c>
      <c r="L351" s="93">
        <v>0.03</v>
      </c>
      <c r="M351" s="93">
        <v>0.03</v>
      </c>
      <c r="N351" s="93">
        <v>0.03</v>
      </c>
      <c r="O351" s="93">
        <v>0.03</v>
      </c>
      <c r="P351" s="93">
        <v>0.03</v>
      </c>
      <c r="Q351" s="93">
        <v>0.03</v>
      </c>
      <c r="R351" s="93">
        <v>0.03</v>
      </c>
      <c r="S351" s="93">
        <v>0.03</v>
      </c>
      <c r="T351" s="93">
        <v>0.03</v>
      </c>
      <c r="U351" s="62" t="str">
        <f>IF(SUMPRODUCT(--(H351:T351&lt;&gt;'Source Data'!H351:T351))+(E351&lt;&gt;'Source Data'!E351)+(F351&lt;&gt;'Source Data'!F351)=0,"",SUMPRODUCT(--(H351:T351&lt;&gt;'Source Data'!H351:T351))+(E351&lt;&gt;'Source Data'!E351)+(F351&lt;&gt;'Source Data'!F351)&amp;" cell")</f>
        <v/>
      </c>
      <c r="V351" s="63" t="s">
        <v>1109</v>
      </c>
    </row>
    <row r="352" spans="2:22" x14ac:dyDescent="0.25">
      <c r="B352" s="23" t="s">
        <v>1074</v>
      </c>
      <c r="C352" s="28" t="s">
        <v>493</v>
      </c>
      <c r="D352" s="50" t="s">
        <v>432</v>
      </c>
      <c r="E352" s="92">
        <v>0.35</v>
      </c>
      <c r="F352" s="87">
        <v>1</v>
      </c>
      <c r="H352" s="93">
        <v>0.03</v>
      </c>
      <c r="I352" s="93">
        <v>0.03</v>
      </c>
      <c r="J352" s="93">
        <v>0.03</v>
      </c>
      <c r="K352" s="93">
        <v>0.03</v>
      </c>
      <c r="L352" s="93">
        <v>0.03</v>
      </c>
      <c r="M352" s="93">
        <v>0.03</v>
      </c>
      <c r="N352" s="93">
        <v>0.03</v>
      </c>
      <c r="O352" s="93">
        <v>0.03</v>
      </c>
      <c r="P352" s="93">
        <v>0.03</v>
      </c>
      <c r="Q352" s="93">
        <v>0.03</v>
      </c>
      <c r="R352" s="93">
        <v>0.03</v>
      </c>
      <c r="S352" s="93">
        <v>0.03</v>
      </c>
      <c r="T352" s="93">
        <v>0.03</v>
      </c>
      <c r="U352" s="62" t="str">
        <f>IF(SUMPRODUCT(--(H352:T352&lt;&gt;'Source Data'!H352:T352))+(E352&lt;&gt;'Source Data'!E352)+(F352&lt;&gt;'Source Data'!F352)=0,"",SUMPRODUCT(--(H352:T352&lt;&gt;'Source Data'!H352:T352))+(E352&lt;&gt;'Source Data'!E352)+(F352&lt;&gt;'Source Data'!F352)&amp;" cell")</f>
        <v/>
      </c>
      <c r="V352" s="63" t="s">
        <v>1110</v>
      </c>
    </row>
    <row r="353" spans="2:22" x14ac:dyDescent="0.25">
      <c r="B353" s="23" t="s">
        <v>1076</v>
      </c>
      <c r="C353" s="28" t="s">
        <v>493</v>
      </c>
      <c r="D353" s="50" t="s">
        <v>432</v>
      </c>
      <c r="E353" s="92">
        <v>0.24578808914</v>
      </c>
      <c r="F353" s="87">
        <v>1</v>
      </c>
      <c r="H353" s="93">
        <v>0.03</v>
      </c>
      <c r="I353" s="93">
        <v>0.03</v>
      </c>
      <c r="J353" s="93">
        <v>0.03</v>
      </c>
      <c r="K353" s="93">
        <v>0.03</v>
      </c>
      <c r="L353" s="93">
        <v>0.03</v>
      </c>
      <c r="M353" s="93">
        <v>0.03</v>
      </c>
      <c r="N353" s="93">
        <v>0.03</v>
      </c>
      <c r="O353" s="93">
        <v>0.03</v>
      </c>
      <c r="P353" s="93">
        <v>0.03</v>
      </c>
      <c r="Q353" s="93">
        <v>0.03</v>
      </c>
      <c r="R353" s="93">
        <v>0.03</v>
      </c>
      <c r="S353" s="93">
        <v>0.03</v>
      </c>
      <c r="T353" s="93">
        <v>0.03</v>
      </c>
      <c r="U353" s="62" t="str">
        <f>IF(SUMPRODUCT(--(H353:T353&lt;&gt;'Source Data'!H353:T353))+(E353&lt;&gt;'Source Data'!E353)+(F353&lt;&gt;'Source Data'!F353)=0,"",SUMPRODUCT(--(H353:T353&lt;&gt;'Source Data'!H353:T353))+(E353&lt;&gt;'Source Data'!E353)+(F353&lt;&gt;'Source Data'!F353)&amp;" cell")</f>
        <v/>
      </c>
      <c r="V353" s="63" t="s">
        <v>1111</v>
      </c>
    </row>
    <row r="354" spans="2:22" x14ac:dyDescent="0.25">
      <c r="B354" s="23" t="s">
        <v>1084</v>
      </c>
      <c r="C354" s="28" t="s">
        <v>493</v>
      </c>
      <c r="D354" s="50" t="s">
        <v>432</v>
      </c>
      <c r="E354" s="92">
        <v>0.12710661314999999</v>
      </c>
      <c r="F354" s="87">
        <v>1</v>
      </c>
      <c r="H354" s="93">
        <v>0.02</v>
      </c>
      <c r="I354" s="93">
        <v>0.02</v>
      </c>
      <c r="J354" s="93">
        <v>0.02</v>
      </c>
      <c r="K354" s="93">
        <v>0.02</v>
      </c>
      <c r="L354" s="93">
        <v>0.02</v>
      </c>
      <c r="M354" s="93">
        <v>0.02</v>
      </c>
      <c r="N354" s="93">
        <v>0.02</v>
      </c>
      <c r="O354" s="93">
        <v>0.02</v>
      </c>
      <c r="P354" s="93">
        <v>0.02</v>
      </c>
      <c r="Q354" s="93">
        <v>0.02</v>
      </c>
      <c r="R354" s="93">
        <v>0.02</v>
      </c>
      <c r="S354" s="93">
        <v>0.02</v>
      </c>
      <c r="T354" s="93">
        <v>0.02</v>
      </c>
      <c r="U354" s="62" t="str">
        <f>IF(SUMPRODUCT(--(H354:T354&lt;&gt;'Source Data'!H354:T354))+(E354&lt;&gt;'Source Data'!E354)+(F354&lt;&gt;'Source Data'!F354)=0,"",SUMPRODUCT(--(H354:T354&lt;&gt;'Source Data'!H354:T354))+(E354&lt;&gt;'Source Data'!E354)+(F354&lt;&gt;'Source Data'!F354)&amp;" cell")</f>
        <v/>
      </c>
      <c r="V354" s="63" t="s">
        <v>1112</v>
      </c>
    </row>
    <row r="355" spans="2:22" x14ac:dyDescent="0.25">
      <c r="B355" s="23" t="s">
        <v>1090</v>
      </c>
      <c r="C355" s="28" t="s">
        <v>493</v>
      </c>
      <c r="D355" s="50" t="s">
        <v>432</v>
      </c>
      <c r="E355" s="92">
        <v>4.7444699999999999E-2</v>
      </c>
      <c r="F355" s="87">
        <v>1</v>
      </c>
      <c r="H355" s="93">
        <v>0.03</v>
      </c>
      <c r="I355" s="93">
        <v>0.03</v>
      </c>
      <c r="J355" s="93">
        <v>0.03</v>
      </c>
      <c r="K355" s="93">
        <v>0.03</v>
      </c>
      <c r="L355" s="93">
        <v>0.03</v>
      </c>
      <c r="M355" s="93">
        <v>0.03</v>
      </c>
      <c r="N355" s="93">
        <v>0.03</v>
      </c>
      <c r="O355" s="93">
        <v>0.03</v>
      </c>
      <c r="P355" s="93">
        <v>0.03</v>
      </c>
      <c r="Q355" s="93">
        <v>0.03</v>
      </c>
      <c r="R355" s="93">
        <v>0.03</v>
      </c>
      <c r="S355" s="93">
        <v>0.03</v>
      </c>
      <c r="T355" s="93">
        <v>0.03</v>
      </c>
      <c r="U355" s="62" t="str">
        <f>IF(SUMPRODUCT(--(H355:T355&lt;&gt;'Source Data'!H355:T355))+(E355&lt;&gt;'Source Data'!E355)+(F355&lt;&gt;'Source Data'!F355)=0,"",SUMPRODUCT(--(H355:T355&lt;&gt;'Source Data'!H355:T355))+(E355&lt;&gt;'Source Data'!E355)+(F355&lt;&gt;'Source Data'!F355)&amp;" cell")</f>
        <v/>
      </c>
      <c r="V355" s="63" t="s">
        <v>1113</v>
      </c>
    </row>
    <row r="356" spans="2:22" x14ac:dyDescent="0.25">
      <c r="B356" s="23" t="s">
        <v>1078</v>
      </c>
      <c r="C356" s="28" t="s">
        <v>493</v>
      </c>
      <c r="D356" s="50" t="s">
        <v>432</v>
      </c>
      <c r="E356" s="92">
        <v>2.0640441999999998E-2</v>
      </c>
      <c r="F356" s="87">
        <v>1</v>
      </c>
      <c r="H356" s="93">
        <v>0.02</v>
      </c>
      <c r="I356" s="93">
        <v>0.02</v>
      </c>
      <c r="J356" s="93">
        <v>0.02</v>
      </c>
      <c r="K356" s="93">
        <v>0.02</v>
      </c>
      <c r="L356" s="93">
        <v>0.02</v>
      </c>
      <c r="M356" s="93">
        <v>0.02</v>
      </c>
      <c r="N356" s="93">
        <v>0.02</v>
      </c>
      <c r="O356" s="93">
        <v>0.02</v>
      </c>
      <c r="P356" s="93">
        <v>0.02</v>
      </c>
      <c r="Q356" s="93">
        <v>0.02</v>
      </c>
      <c r="R356" s="93">
        <v>0.02</v>
      </c>
      <c r="S356" s="93">
        <v>0.02</v>
      </c>
      <c r="T356" s="93">
        <v>0.02</v>
      </c>
      <c r="U356" s="62" t="str">
        <f>IF(SUMPRODUCT(--(H356:T356&lt;&gt;'Source Data'!H356:T356))+(E356&lt;&gt;'Source Data'!E356)+(F356&lt;&gt;'Source Data'!F356)=0,"",SUMPRODUCT(--(H356:T356&lt;&gt;'Source Data'!H356:T356))+(E356&lt;&gt;'Source Data'!E356)+(F356&lt;&gt;'Source Data'!F356)&amp;" cell")</f>
        <v/>
      </c>
      <c r="V356" s="63" t="s">
        <v>1114</v>
      </c>
    </row>
    <row r="357" spans="2:22" x14ac:dyDescent="0.25">
      <c r="B357" s="23" t="s">
        <v>1086</v>
      </c>
      <c r="C357" s="28" t="s">
        <v>493</v>
      </c>
      <c r="D357" s="50" t="s">
        <v>432</v>
      </c>
      <c r="E357" s="92">
        <v>1.7084203999999999E-2</v>
      </c>
      <c r="F357" s="87">
        <v>1</v>
      </c>
      <c r="H357" s="93">
        <v>0.02</v>
      </c>
      <c r="I357" s="93">
        <v>0.02</v>
      </c>
      <c r="J357" s="93">
        <v>0.02</v>
      </c>
      <c r="K357" s="93">
        <v>0.02</v>
      </c>
      <c r="L357" s="93">
        <v>0.02</v>
      </c>
      <c r="M357" s="93">
        <v>0.02</v>
      </c>
      <c r="N357" s="93">
        <v>0.02</v>
      </c>
      <c r="O357" s="93">
        <v>0.02</v>
      </c>
      <c r="P357" s="93">
        <v>0.02</v>
      </c>
      <c r="Q357" s="93">
        <v>0.02</v>
      </c>
      <c r="R357" s="93">
        <v>0.02</v>
      </c>
      <c r="S357" s="93">
        <v>0.02</v>
      </c>
      <c r="T357" s="93">
        <v>0.02</v>
      </c>
      <c r="U357" s="62" t="str">
        <f>IF(SUMPRODUCT(--(H357:T357&lt;&gt;'Source Data'!H357:T357))+(E357&lt;&gt;'Source Data'!E357)+(F357&lt;&gt;'Source Data'!F357)=0,"",SUMPRODUCT(--(H357:T357&lt;&gt;'Source Data'!H357:T357))+(E357&lt;&gt;'Source Data'!E357)+(F357&lt;&gt;'Source Data'!F357)&amp;" cell")</f>
        <v/>
      </c>
      <c r="V357" s="63" t="s">
        <v>1115</v>
      </c>
    </row>
    <row r="358" spans="2:22" x14ac:dyDescent="0.25">
      <c r="B358" s="23" t="s">
        <v>1082</v>
      </c>
      <c r="C358" s="28" t="s">
        <v>493</v>
      </c>
      <c r="D358" s="50" t="s">
        <v>432</v>
      </c>
      <c r="E358" s="92">
        <v>1.29E-2</v>
      </c>
      <c r="F358" s="87">
        <v>1</v>
      </c>
      <c r="H358" s="93">
        <v>0.02</v>
      </c>
      <c r="I358" s="93">
        <v>0.02</v>
      </c>
      <c r="J358" s="93">
        <v>0.02</v>
      </c>
      <c r="K358" s="93">
        <v>0.02</v>
      </c>
      <c r="L358" s="93">
        <v>0.02</v>
      </c>
      <c r="M358" s="93">
        <v>0.02</v>
      </c>
      <c r="N358" s="93">
        <v>0.02</v>
      </c>
      <c r="O358" s="93">
        <v>0.02</v>
      </c>
      <c r="P358" s="93">
        <v>0.02</v>
      </c>
      <c r="Q358" s="93">
        <v>0.02</v>
      </c>
      <c r="R358" s="93">
        <v>0.02</v>
      </c>
      <c r="S358" s="93">
        <v>0.02</v>
      </c>
      <c r="T358" s="93">
        <v>0.02</v>
      </c>
      <c r="U358" s="62" t="str">
        <f>IF(SUMPRODUCT(--(H358:T358&lt;&gt;'Source Data'!H358:T358))+(E358&lt;&gt;'Source Data'!E358)+(F358&lt;&gt;'Source Data'!F358)=0,"",SUMPRODUCT(--(H358:T358&lt;&gt;'Source Data'!H358:T358))+(E358&lt;&gt;'Source Data'!E358)+(F358&lt;&gt;'Source Data'!F358)&amp;" cell")</f>
        <v/>
      </c>
      <c r="V358" s="63" t="s">
        <v>1116</v>
      </c>
    </row>
    <row r="359" spans="2:22" x14ac:dyDescent="0.25">
      <c r="B359" s="42" t="s">
        <v>1117</v>
      </c>
      <c r="G359" s="63" t="s">
        <v>1049</v>
      </c>
    </row>
    <row r="360" spans="2:22" x14ac:dyDescent="0.25">
      <c r="B360" s="59" t="s">
        <v>1050</v>
      </c>
      <c r="C360" s="59" t="s">
        <v>466</v>
      </c>
      <c r="D360" s="59" t="s">
        <v>467</v>
      </c>
      <c r="E360" s="59" t="s">
        <v>1051</v>
      </c>
      <c r="F360" s="59" t="s">
        <v>1052</v>
      </c>
      <c r="G360" s="80" t="s">
        <v>628</v>
      </c>
      <c r="H360" s="81">
        <v>2024</v>
      </c>
      <c r="I360" s="81">
        <v>2025</v>
      </c>
      <c r="J360" s="81">
        <v>2026</v>
      </c>
      <c r="K360" s="81">
        <v>2027</v>
      </c>
      <c r="L360" s="81">
        <v>2028</v>
      </c>
      <c r="M360" s="81">
        <v>2029</v>
      </c>
      <c r="N360" s="81">
        <v>2030</v>
      </c>
      <c r="O360" s="81">
        <v>2031</v>
      </c>
      <c r="P360" s="81">
        <v>2032</v>
      </c>
      <c r="Q360" s="81">
        <v>2033</v>
      </c>
      <c r="R360" s="81">
        <v>2034</v>
      </c>
      <c r="S360" s="81">
        <v>2035</v>
      </c>
      <c r="T360" s="81">
        <v>2036</v>
      </c>
      <c r="U360" s="59" t="s">
        <v>470</v>
      </c>
      <c r="V360" s="59" t="s">
        <v>471</v>
      </c>
    </row>
    <row r="361" spans="2:22" x14ac:dyDescent="0.25">
      <c r="B361" s="23" t="s">
        <v>1053</v>
      </c>
      <c r="C361" s="28" t="s">
        <v>493</v>
      </c>
      <c r="D361" s="50" t="s">
        <v>432</v>
      </c>
      <c r="E361" s="92">
        <v>3.2796205180000002</v>
      </c>
      <c r="F361" s="87">
        <v>1</v>
      </c>
      <c r="H361" s="93">
        <v>3.5000000000000003E-2</v>
      </c>
      <c r="I361" s="93">
        <v>3.5000000000000003E-2</v>
      </c>
      <c r="J361" s="93">
        <v>3.5000000000000003E-2</v>
      </c>
      <c r="K361" s="93">
        <v>3.5000000000000003E-2</v>
      </c>
      <c r="L361" s="93">
        <v>3.5000000000000003E-2</v>
      </c>
      <c r="M361" s="93">
        <v>3.5000000000000003E-2</v>
      </c>
      <c r="N361" s="93">
        <v>3.5000000000000003E-2</v>
      </c>
      <c r="O361" s="93">
        <v>3.5000000000000003E-2</v>
      </c>
      <c r="P361" s="93">
        <v>3.5000000000000003E-2</v>
      </c>
      <c r="Q361" s="93">
        <v>3.5000000000000003E-2</v>
      </c>
      <c r="R361" s="93">
        <v>3.5000000000000003E-2</v>
      </c>
      <c r="S361" s="93">
        <v>3.5000000000000003E-2</v>
      </c>
      <c r="T361" s="93">
        <v>3.5000000000000003E-2</v>
      </c>
      <c r="U361" s="62" t="str">
        <f>IF(SUMPRODUCT(--(H361:T361&lt;&gt;'Source Data'!H361:T361))+(E361&lt;&gt;'Source Data'!E361)+(F361&lt;&gt;'Source Data'!F361)=0,"",SUMPRODUCT(--(H361:T361&lt;&gt;'Source Data'!H361:T361))+(E361&lt;&gt;'Source Data'!E361)+(F361&lt;&gt;'Source Data'!F361)&amp;" cell")</f>
        <v/>
      </c>
      <c r="V361" s="63" t="s">
        <v>1118</v>
      </c>
    </row>
    <row r="362" spans="2:22" x14ac:dyDescent="0.25">
      <c r="B362" s="23" t="s">
        <v>1060</v>
      </c>
      <c r="C362" s="28" t="s">
        <v>493</v>
      </c>
      <c r="D362" s="50" t="s">
        <v>432</v>
      </c>
      <c r="E362" s="92">
        <v>1.9301774279999999</v>
      </c>
      <c r="F362" s="87">
        <v>1</v>
      </c>
      <c r="H362" s="93">
        <v>3.5000000000000003E-2</v>
      </c>
      <c r="I362" s="93">
        <v>3.5000000000000003E-2</v>
      </c>
      <c r="J362" s="93">
        <v>3.5000000000000003E-2</v>
      </c>
      <c r="K362" s="93">
        <v>3.5000000000000003E-2</v>
      </c>
      <c r="L362" s="93">
        <v>3.5000000000000003E-2</v>
      </c>
      <c r="M362" s="93">
        <v>3.5000000000000003E-2</v>
      </c>
      <c r="N362" s="93">
        <v>3.5000000000000003E-2</v>
      </c>
      <c r="O362" s="93">
        <v>3.5000000000000003E-2</v>
      </c>
      <c r="P362" s="93">
        <v>3.5000000000000003E-2</v>
      </c>
      <c r="Q362" s="93">
        <v>3.5000000000000003E-2</v>
      </c>
      <c r="R362" s="93">
        <v>3.5000000000000003E-2</v>
      </c>
      <c r="S362" s="93">
        <v>3.5000000000000003E-2</v>
      </c>
      <c r="T362" s="93">
        <v>3.5000000000000003E-2</v>
      </c>
      <c r="U362" s="62" t="str">
        <f>IF(SUMPRODUCT(--(H362:T362&lt;&gt;'Source Data'!H362:T362))+(E362&lt;&gt;'Source Data'!E362)+(F362&lt;&gt;'Source Data'!F362)=0,"",SUMPRODUCT(--(H362:T362&lt;&gt;'Source Data'!H362:T362))+(E362&lt;&gt;'Source Data'!E362)+(F362&lt;&gt;'Source Data'!F362)&amp;" cell")</f>
        <v/>
      </c>
      <c r="V362" s="63" t="s">
        <v>1119</v>
      </c>
    </row>
    <row r="363" spans="2:22" x14ac:dyDescent="0.25">
      <c r="B363" s="23" t="s">
        <v>1058</v>
      </c>
      <c r="C363" s="28" t="s">
        <v>1056</v>
      </c>
      <c r="D363" s="50" t="s">
        <v>432</v>
      </c>
      <c r="E363" s="92">
        <v>0.82569621187999998</v>
      </c>
      <c r="F363" s="87">
        <v>1</v>
      </c>
      <c r="H363" s="93">
        <v>0.03</v>
      </c>
      <c r="I363" s="93">
        <v>0.03</v>
      </c>
      <c r="J363" s="93">
        <v>0.03</v>
      </c>
      <c r="K363" s="93">
        <v>0.03</v>
      </c>
      <c r="L363" s="93">
        <v>0.03</v>
      </c>
      <c r="M363" s="93">
        <v>0.03</v>
      </c>
      <c r="N363" s="93">
        <v>0.03</v>
      </c>
      <c r="O363" s="93">
        <v>0.03</v>
      </c>
      <c r="P363" s="93">
        <v>0.03</v>
      </c>
      <c r="Q363" s="93">
        <v>0.03</v>
      </c>
      <c r="R363" s="93">
        <v>0.03</v>
      </c>
      <c r="S363" s="93">
        <v>0.03</v>
      </c>
      <c r="T363" s="93">
        <v>0.03</v>
      </c>
      <c r="U363" s="62" t="str">
        <f>IF(SUMPRODUCT(--(H363:T363&lt;&gt;'Source Data'!H363:T363))+(E363&lt;&gt;'Source Data'!E363)+(F363&lt;&gt;'Source Data'!F363)=0,"",SUMPRODUCT(--(H363:T363&lt;&gt;'Source Data'!H363:T363))+(E363&lt;&gt;'Source Data'!E363)+(F363&lt;&gt;'Source Data'!F363)&amp;" cell")</f>
        <v/>
      </c>
      <c r="V363" s="63" t="s">
        <v>1120</v>
      </c>
    </row>
    <row r="364" spans="2:22" x14ac:dyDescent="0.25">
      <c r="B364" s="23" t="s">
        <v>1121</v>
      </c>
      <c r="C364" s="28" t="s">
        <v>1056</v>
      </c>
      <c r="D364" s="50" t="s">
        <v>432</v>
      </c>
      <c r="E364" s="92">
        <v>0.63102144100000002</v>
      </c>
      <c r="F364" s="87">
        <v>1</v>
      </c>
      <c r="H364" s="93">
        <v>0.03</v>
      </c>
      <c r="I364" s="93">
        <v>0.03</v>
      </c>
      <c r="J364" s="93">
        <v>0.03</v>
      </c>
      <c r="K364" s="93">
        <v>0.03</v>
      </c>
      <c r="L364" s="93">
        <v>0.03</v>
      </c>
      <c r="M364" s="93">
        <v>0.03</v>
      </c>
      <c r="N364" s="93">
        <v>0.03</v>
      </c>
      <c r="O364" s="93">
        <v>0.03</v>
      </c>
      <c r="P364" s="93">
        <v>0.03</v>
      </c>
      <c r="Q364" s="93">
        <v>0.03</v>
      </c>
      <c r="R364" s="93">
        <v>0.03</v>
      </c>
      <c r="S364" s="93">
        <v>0.03</v>
      </c>
      <c r="T364" s="93">
        <v>0.03</v>
      </c>
      <c r="U364" s="62" t="str">
        <f>IF(SUMPRODUCT(--(H364:T364&lt;&gt;'Source Data'!H364:T364))+(E364&lt;&gt;'Source Data'!E364)+(F364&lt;&gt;'Source Data'!F364)=0,"",SUMPRODUCT(--(H364:T364&lt;&gt;'Source Data'!H364:T364))+(E364&lt;&gt;'Source Data'!E364)+(F364&lt;&gt;'Source Data'!F364)&amp;" cell")</f>
        <v/>
      </c>
      <c r="V364" s="63" t="s">
        <v>1122</v>
      </c>
    </row>
    <row r="365" spans="2:22" x14ac:dyDescent="0.25">
      <c r="B365" s="23" t="s">
        <v>1068</v>
      </c>
      <c r="C365" s="28" t="s">
        <v>1056</v>
      </c>
      <c r="D365" s="50" t="s">
        <v>432</v>
      </c>
      <c r="E365" s="92">
        <v>0.41230965056000002</v>
      </c>
      <c r="F365" s="87">
        <v>1</v>
      </c>
      <c r="H365" s="93">
        <v>0.03</v>
      </c>
      <c r="I365" s="93">
        <v>0.03</v>
      </c>
      <c r="J365" s="93">
        <v>0.03</v>
      </c>
      <c r="K365" s="93">
        <v>0.03</v>
      </c>
      <c r="L365" s="93">
        <v>0.03</v>
      </c>
      <c r="M365" s="93">
        <v>0.03</v>
      </c>
      <c r="N365" s="93">
        <v>0.03</v>
      </c>
      <c r="O365" s="93">
        <v>0.03</v>
      </c>
      <c r="P365" s="93">
        <v>0.03</v>
      </c>
      <c r="Q365" s="93">
        <v>0.03</v>
      </c>
      <c r="R365" s="93">
        <v>0.03</v>
      </c>
      <c r="S365" s="93">
        <v>0.03</v>
      </c>
      <c r="T365" s="93">
        <v>0.03</v>
      </c>
      <c r="U365" s="62" t="str">
        <f>IF(SUMPRODUCT(--(H365:T365&lt;&gt;'Source Data'!H365:T365))+(E365&lt;&gt;'Source Data'!E365)+(F365&lt;&gt;'Source Data'!F365)=0,"",SUMPRODUCT(--(H365:T365&lt;&gt;'Source Data'!H365:T365))+(E365&lt;&gt;'Source Data'!E365)+(F365&lt;&gt;'Source Data'!F365)&amp;" cell")</f>
        <v/>
      </c>
      <c r="V365" s="63" t="s">
        <v>1123</v>
      </c>
    </row>
    <row r="366" spans="2:22" x14ac:dyDescent="0.25">
      <c r="B366" s="23" t="s">
        <v>1062</v>
      </c>
      <c r="C366" s="28" t="s">
        <v>1056</v>
      </c>
      <c r="D366" s="50" t="s">
        <v>432</v>
      </c>
      <c r="E366" s="92">
        <v>0.28658186343999997</v>
      </c>
      <c r="F366" s="87">
        <v>1</v>
      </c>
      <c r="H366" s="93">
        <v>0.03</v>
      </c>
      <c r="I366" s="93">
        <v>0.03</v>
      </c>
      <c r="J366" s="93">
        <v>0.03</v>
      </c>
      <c r="K366" s="93">
        <v>0.03</v>
      </c>
      <c r="L366" s="93">
        <v>0.03</v>
      </c>
      <c r="M366" s="93">
        <v>0.03</v>
      </c>
      <c r="N366" s="93">
        <v>0.03</v>
      </c>
      <c r="O366" s="93">
        <v>0.03</v>
      </c>
      <c r="P366" s="93">
        <v>0.03</v>
      </c>
      <c r="Q366" s="93">
        <v>0.03</v>
      </c>
      <c r="R366" s="93">
        <v>0.03</v>
      </c>
      <c r="S366" s="93">
        <v>0.03</v>
      </c>
      <c r="T366" s="93">
        <v>0.03</v>
      </c>
      <c r="U366" s="62" t="str">
        <f>IF(SUMPRODUCT(--(H366:T366&lt;&gt;'Source Data'!H366:T366))+(E366&lt;&gt;'Source Data'!E366)+(F366&lt;&gt;'Source Data'!F366)=0,"",SUMPRODUCT(--(H366:T366&lt;&gt;'Source Data'!H366:T366))+(E366&lt;&gt;'Source Data'!E366)+(F366&lt;&gt;'Source Data'!F366)&amp;" cell")</f>
        <v/>
      </c>
      <c r="V366" s="63" t="s">
        <v>1124</v>
      </c>
    </row>
    <row r="367" spans="2:22" x14ac:dyDescent="0.25">
      <c r="B367" s="23" t="s">
        <v>1064</v>
      </c>
      <c r="C367" s="28" t="s">
        <v>1056</v>
      </c>
      <c r="D367" s="50" t="s">
        <v>432</v>
      </c>
      <c r="E367" s="92">
        <v>0.24542317799999999</v>
      </c>
      <c r="F367" s="87">
        <v>1</v>
      </c>
      <c r="H367" s="93">
        <v>3.5000000000000003E-2</v>
      </c>
      <c r="I367" s="93">
        <v>3.5000000000000003E-2</v>
      </c>
      <c r="J367" s="93">
        <v>3.5000000000000003E-2</v>
      </c>
      <c r="K367" s="93">
        <v>3.5000000000000003E-2</v>
      </c>
      <c r="L367" s="93">
        <v>3.5000000000000003E-2</v>
      </c>
      <c r="M367" s="93">
        <v>3.5000000000000003E-2</v>
      </c>
      <c r="N367" s="93">
        <v>3.5000000000000003E-2</v>
      </c>
      <c r="O367" s="93">
        <v>3.5000000000000003E-2</v>
      </c>
      <c r="P367" s="93">
        <v>3.5000000000000003E-2</v>
      </c>
      <c r="Q367" s="93">
        <v>3.5000000000000003E-2</v>
      </c>
      <c r="R367" s="93">
        <v>3.5000000000000003E-2</v>
      </c>
      <c r="S367" s="93">
        <v>3.5000000000000003E-2</v>
      </c>
      <c r="T367" s="93">
        <v>3.5000000000000003E-2</v>
      </c>
      <c r="U367" s="62" t="str">
        <f>IF(SUMPRODUCT(--(H367:T367&lt;&gt;'Source Data'!H367:T367))+(E367&lt;&gt;'Source Data'!E367)+(F367&lt;&gt;'Source Data'!F367)=0,"",SUMPRODUCT(--(H367:T367&lt;&gt;'Source Data'!H367:T367))+(E367&lt;&gt;'Source Data'!E367)+(F367&lt;&gt;'Source Data'!F367)&amp;" cell")</f>
        <v/>
      </c>
      <c r="V367" s="63" t="s">
        <v>1125</v>
      </c>
    </row>
    <row r="368" spans="2:22" x14ac:dyDescent="0.25">
      <c r="B368" s="23" t="s">
        <v>1066</v>
      </c>
      <c r="C368" s="28" t="s">
        <v>1056</v>
      </c>
      <c r="D368" s="50" t="s">
        <v>432</v>
      </c>
      <c r="E368" s="92">
        <v>1.1599999999999999E-2</v>
      </c>
      <c r="F368" s="87">
        <v>1</v>
      </c>
      <c r="H368" s="93">
        <v>3.5000000000000003E-2</v>
      </c>
      <c r="I368" s="93">
        <v>3.5000000000000003E-2</v>
      </c>
      <c r="J368" s="93">
        <v>3.5000000000000003E-2</v>
      </c>
      <c r="K368" s="93">
        <v>3.5000000000000003E-2</v>
      </c>
      <c r="L368" s="93">
        <v>3.5000000000000003E-2</v>
      </c>
      <c r="M368" s="93">
        <v>3.5000000000000003E-2</v>
      </c>
      <c r="N368" s="93">
        <v>3.5000000000000003E-2</v>
      </c>
      <c r="O368" s="93">
        <v>3.5000000000000003E-2</v>
      </c>
      <c r="P368" s="93">
        <v>3.5000000000000003E-2</v>
      </c>
      <c r="Q368" s="93">
        <v>3.5000000000000003E-2</v>
      </c>
      <c r="R368" s="93">
        <v>3.5000000000000003E-2</v>
      </c>
      <c r="S368" s="93">
        <v>3.5000000000000003E-2</v>
      </c>
      <c r="T368" s="93">
        <v>3.5000000000000003E-2</v>
      </c>
      <c r="U368" s="62" t="str">
        <f>IF(SUMPRODUCT(--(H368:T368&lt;&gt;'Source Data'!H368:T368))+(E368&lt;&gt;'Source Data'!E368)+(F368&lt;&gt;'Source Data'!F368)=0,"",SUMPRODUCT(--(H368:T368&lt;&gt;'Source Data'!H368:T368))+(E368&lt;&gt;'Source Data'!E368)+(F368&lt;&gt;'Source Data'!F368)&amp;" cell")</f>
        <v/>
      </c>
      <c r="V368" s="63" t="s">
        <v>1126</v>
      </c>
    </row>
    <row r="369" spans="2:22" x14ac:dyDescent="0.25">
      <c r="B369" s="23" t="s">
        <v>1070</v>
      </c>
      <c r="C369" s="28" t="s">
        <v>493</v>
      </c>
      <c r="D369" s="50" t="s">
        <v>432</v>
      </c>
      <c r="E369" s="92">
        <v>1.7023670040000001</v>
      </c>
      <c r="F369" s="87">
        <v>1</v>
      </c>
      <c r="H369" s="93">
        <v>0.03</v>
      </c>
      <c r="I369" s="93">
        <v>0.03</v>
      </c>
      <c r="J369" s="93">
        <v>0.03</v>
      </c>
      <c r="K369" s="93">
        <v>0.03</v>
      </c>
      <c r="L369" s="93">
        <v>0.03</v>
      </c>
      <c r="M369" s="93">
        <v>0.03</v>
      </c>
      <c r="N369" s="93">
        <v>0.03</v>
      </c>
      <c r="O369" s="93">
        <v>0.03</v>
      </c>
      <c r="P369" s="93">
        <v>0.03</v>
      </c>
      <c r="Q369" s="93">
        <v>0.03</v>
      </c>
      <c r="R369" s="93">
        <v>0.03</v>
      </c>
      <c r="S369" s="93">
        <v>0.03</v>
      </c>
      <c r="T369" s="93">
        <v>0.03</v>
      </c>
      <c r="U369" s="62" t="str">
        <f>IF(SUMPRODUCT(--(H369:T369&lt;&gt;'Source Data'!H369:T369))+(E369&lt;&gt;'Source Data'!E369)+(F369&lt;&gt;'Source Data'!F369)=0,"",SUMPRODUCT(--(H369:T369&lt;&gt;'Source Data'!H369:T369))+(E369&lt;&gt;'Source Data'!E369)+(F369&lt;&gt;'Source Data'!F369)&amp;" cell")</f>
        <v/>
      </c>
      <c r="V369" s="63" t="s">
        <v>1127</v>
      </c>
    </row>
    <row r="370" spans="2:22" x14ac:dyDescent="0.25">
      <c r="B370" s="23" t="s">
        <v>1078</v>
      </c>
      <c r="C370" s="28" t="s">
        <v>493</v>
      </c>
      <c r="D370" s="50" t="s">
        <v>432</v>
      </c>
      <c r="E370" s="92">
        <v>0.25867063399000001</v>
      </c>
      <c r="F370" s="87">
        <v>1</v>
      </c>
      <c r="H370" s="93">
        <v>0.02</v>
      </c>
      <c r="I370" s="93">
        <v>0.02</v>
      </c>
      <c r="J370" s="93">
        <v>0.02</v>
      </c>
      <c r="K370" s="93">
        <v>0.02</v>
      </c>
      <c r="L370" s="93">
        <v>0.02</v>
      </c>
      <c r="M370" s="93">
        <v>0.02</v>
      </c>
      <c r="N370" s="93">
        <v>0.02</v>
      </c>
      <c r="O370" s="93">
        <v>0.02</v>
      </c>
      <c r="P370" s="93">
        <v>0.02</v>
      </c>
      <c r="Q370" s="93">
        <v>0.02</v>
      </c>
      <c r="R370" s="93">
        <v>0.02</v>
      </c>
      <c r="S370" s="93">
        <v>0.02</v>
      </c>
      <c r="T370" s="93">
        <v>0.02</v>
      </c>
      <c r="U370" s="62" t="str">
        <f>IF(SUMPRODUCT(--(H370:T370&lt;&gt;'Source Data'!H370:T370))+(E370&lt;&gt;'Source Data'!E370)+(F370&lt;&gt;'Source Data'!F370)=0,"",SUMPRODUCT(--(H370:T370&lt;&gt;'Source Data'!H370:T370))+(E370&lt;&gt;'Source Data'!E370)+(F370&lt;&gt;'Source Data'!F370)&amp;" cell")</f>
        <v/>
      </c>
      <c r="V370" s="63" t="s">
        <v>1128</v>
      </c>
    </row>
    <row r="371" spans="2:22" x14ac:dyDescent="0.25">
      <c r="B371" s="23" t="s">
        <v>1076</v>
      </c>
      <c r="C371" s="28" t="s">
        <v>493</v>
      </c>
      <c r="D371" s="50" t="s">
        <v>432</v>
      </c>
      <c r="E371" s="92">
        <v>0.23960182308</v>
      </c>
      <c r="F371" s="87">
        <v>1</v>
      </c>
      <c r="H371" s="93">
        <v>0.03</v>
      </c>
      <c r="I371" s="93">
        <v>0.03</v>
      </c>
      <c r="J371" s="93">
        <v>0.03</v>
      </c>
      <c r="K371" s="93">
        <v>0.03</v>
      </c>
      <c r="L371" s="93">
        <v>0.03</v>
      </c>
      <c r="M371" s="93">
        <v>0.03</v>
      </c>
      <c r="N371" s="93">
        <v>0.03</v>
      </c>
      <c r="O371" s="93">
        <v>0.03</v>
      </c>
      <c r="P371" s="93">
        <v>0.03</v>
      </c>
      <c r="Q371" s="93">
        <v>0.03</v>
      </c>
      <c r="R371" s="93">
        <v>0.03</v>
      </c>
      <c r="S371" s="93">
        <v>0.03</v>
      </c>
      <c r="T371" s="93">
        <v>0.03</v>
      </c>
      <c r="U371" s="62" t="str">
        <f>IF(SUMPRODUCT(--(H371:T371&lt;&gt;'Source Data'!H371:T371))+(E371&lt;&gt;'Source Data'!E371)+(F371&lt;&gt;'Source Data'!F371)=0,"",SUMPRODUCT(--(H371:T371&lt;&gt;'Source Data'!H371:T371))+(E371&lt;&gt;'Source Data'!E371)+(F371&lt;&gt;'Source Data'!F371)&amp;" cell")</f>
        <v/>
      </c>
      <c r="V371" s="63" t="s">
        <v>1129</v>
      </c>
    </row>
    <row r="372" spans="2:22" x14ac:dyDescent="0.25">
      <c r="B372" s="23" t="s">
        <v>1090</v>
      </c>
      <c r="C372" s="28" t="s">
        <v>493</v>
      </c>
      <c r="D372" s="50" t="s">
        <v>432</v>
      </c>
      <c r="E372" s="92">
        <v>0.17580518882000001</v>
      </c>
      <c r="F372" s="87">
        <v>1</v>
      </c>
      <c r="H372" s="93">
        <v>0.03</v>
      </c>
      <c r="I372" s="93">
        <v>0.03</v>
      </c>
      <c r="J372" s="93">
        <v>0.03</v>
      </c>
      <c r="K372" s="93">
        <v>0.03</v>
      </c>
      <c r="L372" s="93">
        <v>0.03</v>
      </c>
      <c r="M372" s="93">
        <v>0.03</v>
      </c>
      <c r="N372" s="93">
        <v>0.03</v>
      </c>
      <c r="O372" s="93">
        <v>0.03</v>
      </c>
      <c r="P372" s="93">
        <v>0.03</v>
      </c>
      <c r="Q372" s="93">
        <v>0.03</v>
      </c>
      <c r="R372" s="93">
        <v>0.03</v>
      </c>
      <c r="S372" s="93">
        <v>0.03</v>
      </c>
      <c r="T372" s="93">
        <v>0.03</v>
      </c>
      <c r="U372" s="62" t="str">
        <f>IF(SUMPRODUCT(--(H372:T372&lt;&gt;'Source Data'!H372:T372))+(E372&lt;&gt;'Source Data'!E372)+(F372&lt;&gt;'Source Data'!F372)=0,"",SUMPRODUCT(--(H372:T372&lt;&gt;'Source Data'!H372:T372))+(E372&lt;&gt;'Source Data'!E372)+(F372&lt;&gt;'Source Data'!F372)&amp;" cell")</f>
        <v/>
      </c>
      <c r="V372" s="63" t="s">
        <v>1130</v>
      </c>
    </row>
    <row r="373" spans="2:22" x14ac:dyDescent="0.25">
      <c r="B373" s="23" t="s">
        <v>1082</v>
      </c>
      <c r="C373" s="28" t="s">
        <v>493</v>
      </c>
      <c r="D373" s="50" t="s">
        <v>432</v>
      </c>
      <c r="E373" s="92">
        <v>0.14777611399999999</v>
      </c>
      <c r="F373" s="87">
        <v>1</v>
      </c>
      <c r="H373" s="93">
        <v>0.02</v>
      </c>
      <c r="I373" s="93">
        <v>0.02</v>
      </c>
      <c r="J373" s="93">
        <v>0.02</v>
      </c>
      <c r="K373" s="93">
        <v>0.02</v>
      </c>
      <c r="L373" s="93">
        <v>0.02</v>
      </c>
      <c r="M373" s="93">
        <v>0.02</v>
      </c>
      <c r="N373" s="93">
        <v>0.02</v>
      </c>
      <c r="O373" s="93">
        <v>0.02</v>
      </c>
      <c r="P373" s="93">
        <v>0.02</v>
      </c>
      <c r="Q373" s="93">
        <v>0.02</v>
      </c>
      <c r="R373" s="93">
        <v>0.02</v>
      </c>
      <c r="S373" s="93">
        <v>0.02</v>
      </c>
      <c r="T373" s="93">
        <v>0.02</v>
      </c>
      <c r="U373" s="62" t="str">
        <f>IF(SUMPRODUCT(--(H373:T373&lt;&gt;'Source Data'!H373:T373))+(E373&lt;&gt;'Source Data'!E373)+(F373&lt;&gt;'Source Data'!F373)=0,"",SUMPRODUCT(--(H373:T373&lt;&gt;'Source Data'!H373:T373))+(E373&lt;&gt;'Source Data'!E373)+(F373&lt;&gt;'Source Data'!F373)&amp;" cell")</f>
        <v/>
      </c>
      <c r="V373" s="63" t="s">
        <v>1131</v>
      </c>
    </row>
    <row r="374" spans="2:22" x14ac:dyDescent="0.25">
      <c r="B374" s="23" t="s">
        <v>1086</v>
      </c>
      <c r="C374" s="28" t="s">
        <v>493</v>
      </c>
      <c r="D374" s="50" t="s">
        <v>432</v>
      </c>
      <c r="E374" s="92">
        <v>0.146392455</v>
      </c>
      <c r="F374" s="87">
        <v>1</v>
      </c>
      <c r="H374" s="93">
        <v>0.02</v>
      </c>
      <c r="I374" s="93">
        <v>0.02</v>
      </c>
      <c r="J374" s="93">
        <v>0.02</v>
      </c>
      <c r="K374" s="93">
        <v>0.02</v>
      </c>
      <c r="L374" s="93">
        <v>0.02</v>
      </c>
      <c r="M374" s="93">
        <v>0.02</v>
      </c>
      <c r="N374" s="93">
        <v>0.02</v>
      </c>
      <c r="O374" s="93">
        <v>0.02</v>
      </c>
      <c r="P374" s="93">
        <v>0.02</v>
      </c>
      <c r="Q374" s="93">
        <v>0.02</v>
      </c>
      <c r="R374" s="93">
        <v>0.02</v>
      </c>
      <c r="S374" s="93">
        <v>0.02</v>
      </c>
      <c r="T374" s="93">
        <v>0.02</v>
      </c>
      <c r="U374" s="62" t="str">
        <f>IF(SUMPRODUCT(--(H374:T374&lt;&gt;'Source Data'!H374:T374))+(E374&lt;&gt;'Source Data'!E374)+(F374&lt;&gt;'Source Data'!F374)=0,"",SUMPRODUCT(--(H374:T374&lt;&gt;'Source Data'!H374:T374))+(E374&lt;&gt;'Source Data'!E374)+(F374&lt;&gt;'Source Data'!F374)&amp;" cell")</f>
        <v/>
      </c>
      <c r="V374" s="63" t="s">
        <v>1132</v>
      </c>
    </row>
    <row r="375" spans="2:22" x14ac:dyDescent="0.25">
      <c r="B375" s="23" t="s">
        <v>1072</v>
      </c>
      <c r="C375" s="28" t="s">
        <v>493</v>
      </c>
      <c r="D375" s="50" t="s">
        <v>432</v>
      </c>
      <c r="E375" s="92">
        <v>0.14099321300000001</v>
      </c>
      <c r="F375" s="87">
        <v>1</v>
      </c>
      <c r="H375" s="93">
        <v>3.5000000000000003E-2</v>
      </c>
      <c r="I375" s="93">
        <v>3.5000000000000003E-2</v>
      </c>
      <c r="J375" s="93">
        <v>3.5000000000000003E-2</v>
      </c>
      <c r="K375" s="93">
        <v>3.5000000000000003E-2</v>
      </c>
      <c r="L375" s="93">
        <v>3.5000000000000003E-2</v>
      </c>
      <c r="M375" s="93">
        <v>3.5000000000000003E-2</v>
      </c>
      <c r="N375" s="93">
        <v>3.5000000000000003E-2</v>
      </c>
      <c r="O375" s="93">
        <v>3.5000000000000003E-2</v>
      </c>
      <c r="P375" s="93">
        <v>3.5000000000000003E-2</v>
      </c>
      <c r="Q375" s="93">
        <v>3.5000000000000003E-2</v>
      </c>
      <c r="R375" s="93">
        <v>3.5000000000000003E-2</v>
      </c>
      <c r="S375" s="93">
        <v>3.5000000000000003E-2</v>
      </c>
      <c r="T375" s="93">
        <v>3.5000000000000003E-2</v>
      </c>
      <c r="U375" s="62" t="str">
        <f>IF(SUMPRODUCT(--(H375:T375&lt;&gt;'Source Data'!H375:T375))+(E375&lt;&gt;'Source Data'!E375)+(F375&lt;&gt;'Source Data'!F375)=0,"",SUMPRODUCT(--(H375:T375&lt;&gt;'Source Data'!H375:T375))+(E375&lt;&gt;'Source Data'!E375)+(F375&lt;&gt;'Source Data'!F375)&amp;" cell")</f>
        <v/>
      </c>
      <c r="V375" s="63" t="s">
        <v>1133</v>
      </c>
    </row>
    <row r="376" spans="2:22" x14ac:dyDescent="0.25">
      <c r="B376" s="23" t="s">
        <v>1088</v>
      </c>
      <c r="C376" s="28" t="s">
        <v>493</v>
      </c>
      <c r="D376" s="50" t="s">
        <v>432</v>
      </c>
      <c r="E376" s="92">
        <v>0.13922671138000001</v>
      </c>
      <c r="F376" s="87">
        <v>1</v>
      </c>
      <c r="H376" s="93">
        <v>0.03</v>
      </c>
      <c r="I376" s="93">
        <v>0.03</v>
      </c>
      <c r="J376" s="93">
        <v>0.03</v>
      </c>
      <c r="K376" s="93">
        <v>0.03</v>
      </c>
      <c r="L376" s="93">
        <v>0.03</v>
      </c>
      <c r="M376" s="93">
        <v>0.03</v>
      </c>
      <c r="N376" s="93">
        <v>0.03</v>
      </c>
      <c r="O376" s="93">
        <v>0.03</v>
      </c>
      <c r="P376" s="93">
        <v>0.03</v>
      </c>
      <c r="Q376" s="93">
        <v>0.03</v>
      </c>
      <c r="R376" s="93">
        <v>0.03</v>
      </c>
      <c r="S376" s="93">
        <v>0.03</v>
      </c>
      <c r="T376" s="93">
        <v>0.03</v>
      </c>
      <c r="U376" s="62" t="str">
        <f>IF(SUMPRODUCT(--(H376:T376&lt;&gt;'Source Data'!H376:T376))+(E376&lt;&gt;'Source Data'!E376)+(F376&lt;&gt;'Source Data'!F376)=0,"",SUMPRODUCT(--(H376:T376&lt;&gt;'Source Data'!H376:T376))+(E376&lt;&gt;'Source Data'!E376)+(F376&lt;&gt;'Source Data'!F376)&amp;" cell")</f>
        <v/>
      </c>
      <c r="V376" s="63" t="s">
        <v>1134</v>
      </c>
    </row>
    <row r="377" spans="2:22" x14ac:dyDescent="0.25">
      <c r="B377" s="23" t="s">
        <v>1135</v>
      </c>
      <c r="C377" s="28" t="s">
        <v>493</v>
      </c>
      <c r="D377" s="50" t="s">
        <v>432</v>
      </c>
      <c r="E377" s="92">
        <v>3.6134991999999998E-2</v>
      </c>
      <c r="F377" s="87">
        <v>1</v>
      </c>
      <c r="H377" s="93">
        <v>0.03</v>
      </c>
      <c r="I377" s="93">
        <v>0.03</v>
      </c>
      <c r="J377" s="93">
        <v>0.03</v>
      </c>
      <c r="K377" s="93">
        <v>0.03</v>
      </c>
      <c r="L377" s="93">
        <v>0.03</v>
      </c>
      <c r="M377" s="93">
        <v>0.03</v>
      </c>
      <c r="N377" s="93">
        <v>0.03</v>
      </c>
      <c r="O377" s="93">
        <v>0.03</v>
      </c>
      <c r="P377" s="93">
        <v>0.03</v>
      </c>
      <c r="Q377" s="93">
        <v>0.03</v>
      </c>
      <c r="R377" s="93">
        <v>0.03</v>
      </c>
      <c r="S377" s="93">
        <v>0.03</v>
      </c>
      <c r="T377" s="93">
        <v>0.03</v>
      </c>
      <c r="U377" s="62" t="str">
        <f>IF(SUMPRODUCT(--(H377:T377&lt;&gt;'Source Data'!H377:T377))+(E377&lt;&gt;'Source Data'!E377)+(F377&lt;&gt;'Source Data'!F377)=0,"",SUMPRODUCT(--(H377:T377&lt;&gt;'Source Data'!H377:T377))+(E377&lt;&gt;'Source Data'!E377)+(F377&lt;&gt;'Source Data'!F377)&amp;" cell")</f>
        <v/>
      </c>
      <c r="V377" s="63" t="s">
        <v>1136</v>
      </c>
    </row>
    <row r="378" spans="2:22" x14ac:dyDescent="0.25">
      <c r="B378" s="42" t="s">
        <v>1137</v>
      </c>
      <c r="G378" s="63" t="s">
        <v>1049</v>
      </c>
    </row>
    <row r="379" spans="2:22" x14ac:dyDescent="0.25">
      <c r="B379" s="59" t="s">
        <v>1050</v>
      </c>
      <c r="C379" s="59" t="s">
        <v>466</v>
      </c>
      <c r="D379" s="59" t="s">
        <v>467</v>
      </c>
      <c r="E379" s="59" t="s">
        <v>1051</v>
      </c>
      <c r="F379" s="59" t="s">
        <v>1052</v>
      </c>
      <c r="G379" s="80" t="s">
        <v>628</v>
      </c>
      <c r="H379" s="81">
        <v>2024</v>
      </c>
      <c r="I379" s="81">
        <v>2025</v>
      </c>
      <c r="J379" s="81">
        <v>2026</v>
      </c>
      <c r="K379" s="81">
        <v>2027</v>
      </c>
      <c r="L379" s="81">
        <v>2028</v>
      </c>
      <c r="M379" s="81">
        <v>2029</v>
      </c>
      <c r="N379" s="81">
        <v>2030</v>
      </c>
      <c r="O379" s="81">
        <v>2031</v>
      </c>
      <c r="P379" s="81">
        <v>2032</v>
      </c>
      <c r="Q379" s="81">
        <v>2033</v>
      </c>
      <c r="R379" s="81">
        <v>2034</v>
      </c>
      <c r="S379" s="81">
        <v>2035</v>
      </c>
      <c r="T379" s="81">
        <v>2036</v>
      </c>
      <c r="U379" s="59" t="s">
        <v>470</v>
      </c>
      <c r="V379" s="59" t="s">
        <v>471</v>
      </c>
    </row>
    <row r="380" spans="2:22" x14ac:dyDescent="0.25">
      <c r="B380" s="23" t="s">
        <v>1138</v>
      </c>
      <c r="C380" s="28" t="s">
        <v>493</v>
      </c>
      <c r="D380" s="50" t="s">
        <v>432</v>
      </c>
      <c r="E380" s="92">
        <v>2.5544369389999999</v>
      </c>
      <c r="F380" s="87">
        <v>1</v>
      </c>
      <c r="H380" s="93">
        <v>3.5000000000000003E-2</v>
      </c>
      <c r="I380" s="93">
        <v>3.5000000000000003E-2</v>
      </c>
      <c r="J380" s="93">
        <v>3.5000000000000003E-2</v>
      </c>
      <c r="K380" s="93">
        <v>3.5000000000000003E-2</v>
      </c>
      <c r="L380" s="93">
        <v>3.5000000000000003E-2</v>
      </c>
      <c r="M380" s="93">
        <v>3.5000000000000003E-2</v>
      </c>
      <c r="N380" s="93">
        <v>3.5000000000000003E-2</v>
      </c>
      <c r="O380" s="93">
        <v>3.5000000000000003E-2</v>
      </c>
      <c r="P380" s="93">
        <v>3.5000000000000003E-2</v>
      </c>
      <c r="Q380" s="93">
        <v>3.5000000000000003E-2</v>
      </c>
      <c r="R380" s="93">
        <v>3.5000000000000003E-2</v>
      </c>
      <c r="S380" s="93">
        <v>3.5000000000000003E-2</v>
      </c>
      <c r="T380" s="93">
        <v>3.5000000000000003E-2</v>
      </c>
      <c r="U380" s="62" t="str">
        <f>IF(SUMPRODUCT(--(H380:T380&lt;&gt;'Source Data'!H380:T380))+(E380&lt;&gt;'Source Data'!E380)+(F380&lt;&gt;'Source Data'!F380)=0,"",SUMPRODUCT(--(H380:T380&lt;&gt;'Source Data'!H380:T380))+(E380&lt;&gt;'Source Data'!E380)+(F380&lt;&gt;'Source Data'!F380)&amp;" cell")</f>
        <v/>
      </c>
      <c r="V380" s="63" t="s">
        <v>1139</v>
      </c>
    </row>
    <row r="381" spans="2:22" x14ac:dyDescent="0.25">
      <c r="B381" s="23" t="s">
        <v>1140</v>
      </c>
      <c r="C381" s="28" t="s">
        <v>493</v>
      </c>
      <c r="D381" s="50" t="s">
        <v>432</v>
      </c>
      <c r="E381" s="92">
        <v>8.5200650999999999E-3</v>
      </c>
      <c r="F381" s="87">
        <v>1</v>
      </c>
      <c r="H381" s="93">
        <v>0.01</v>
      </c>
      <c r="I381" s="93">
        <v>0.01</v>
      </c>
      <c r="J381" s="93">
        <v>0.01</v>
      </c>
      <c r="K381" s="93">
        <v>0.01</v>
      </c>
      <c r="L381" s="93">
        <v>0.01</v>
      </c>
      <c r="M381" s="93">
        <v>0.01</v>
      </c>
      <c r="N381" s="93">
        <v>0.01</v>
      </c>
      <c r="O381" s="93">
        <v>0.01</v>
      </c>
      <c r="P381" s="93">
        <v>0.01</v>
      </c>
      <c r="Q381" s="93">
        <v>0.01</v>
      </c>
      <c r="R381" s="93">
        <v>0.01</v>
      </c>
      <c r="S381" s="93">
        <v>0.01</v>
      </c>
      <c r="T381" s="93">
        <v>0.01</v>
      </c>
      <c r="U381" s="62" t="str">
        <f>IF(SUMPRODUCT(--(H381:T381&lt;&gt;'Source Data'!H381:T381))+(E381&lt;&gt;'Source Data'!E381)+(F381&lt;&gt;'Source Data'!F381)=0,"",SUMPRODUCT(--(H381:T381&lt;&gt;'Source Data'!H381:T381))+(E381&lt;&gt;'Source Data'!E381)+(F381&lt;&gt;'Source Data'!F381)&amp;" cell")</f>
        <v/>
      </c>
      <c r="V381" s="63" t="s">
        <v>1141</v>
      </c>
    </row>
    <row r="382" spans="2:22" x14ac:dyDescent="0.25">
      <c r="B382" s="23" t="s">
        <v>1142</v>
      </c>
      <c r="C382" s="28" t="s">
        <v>493</v>
      </c>
      <c r="D382" s="50" t="s">
        <v>432</v>
      </c>
      <c r="E382" s="92">
        <v>0.80716489632999999</v>
      </c>
      <c r="F382" s="87">
        <v>1</v>
      </c>
      <c r="H382" s="93">
        <v>3.5000000000000003E-2</v>
      </c>
      <c r="I382" s="93">
        <v>3.5000000000000003E-2</v>
      </c>
      <c r="J382" s="93">
        <v>3.5000000000000003E-2</v>
      </c>
      <c r="K382" s="93">
        <v>3.5000000000000003E-2</v>
      </c>
      <c r="L382" s="93">
        <v>3.5000000000000003E-2</v>
      </c>
      <c r="M382" s="93">
        <v>3.5000000000000003E-2</v>
      </c>
      <c r="N382" s="93">
        <v>3.5000000000000003E-2</v>
      </c>
      <c r="O382" s="93">
        <v>3.5000000000000003E-2</v>
      </c>
      <c r="P382" s="93">
        <v>3.5000000000000003E-2</v>
      </c>
      <c r="Q382" s="93">
        <v>3.5000000000000003E-2</v>
      </c>
      <c r="R382" s="93">
        <v>3.5000000000000003E-2</v>
      </c>
      <c r="S382" s="93">
        <v>3.5000000000000003E-2</v>
      </c>
      <c r="T382" s="93">
        <v>3.5000000000000003E-2</v>
      </c>
      <c r="U382" s="62" t="str">
        <f>IF(SUMPRODUCT(--(H382:T382&lt;&gt;'Source Data'!H382:T382))+(E382&lt;&gt;'Source Data'!E382)+(F382&lt;&gt;'Source Data'!F382)=0,"",SUMPRODUCT(--(H382:T382&lt;&gt;'Source Data'!H382:T382))+(E382&lt;&gt;'Source Data'!E382)+(F382&lt;&gt;'Source Data'!F382)&amp;" cell")</f>
        <v/>
      </c>
      <c r="V382" s="63" t="s">
        <v>1143</v>
      </c>
    </row>
    <row r="383" spans="2:22" x14ac:dyDescent="0.25">
      <c r="B383" s="23" t="s">
        <v>1144</v>
      </c>
      <c r="C383" s="28" t="s">
        <v>493</v>
      </c>
      <c r="D383" s="50" t="s">
        <v>432</v>
      </c>
      <c r="E383" s="92">
        <v>4.4701209999999996E-3</v>
      </c>
      <c r="F383" s="87">
        <v>1</v>
      </c>
      <c r="H383" s="93">
        <v>0</v>
      </c>
      <c r="I383" s="93">
        <v>0</v>
      </c>
      <c r="J383" s="93">
        <v>0</v>
      </c>
      <c r="K383" s="93">
        <v>0</v>
      </c>
      <c r="L383" s="93">
        <v>0</v>
      </c>
      <c r="M383" s="93">
        <v>0</v>
      </c>
      <c r="N383" s="93">
        <v>0</v>
      </c>
      <c r="O383" s="93">
        <v>0</v>
      </c>
      <c r="P383" s="93">
        <v>0</v>
      </c>
      <c r="Q383" s="93">
        <v>0</v>
      </c>
      <c r="R383" s="93">
        <v>0</v>
      </c>
      <c r="S383" s="93">
        <v>0</v>
      </c>
      <c r="T383" s="93">
        <v>0</v>
      </c>
      <c r="U383" s="62" t="str">
        <f>IF(SUMPRODUCT(--(H383:T383&lt;&gt;'Source Data'!H383:T383))+(E383&lt;&gt;'Source Data'!E383)+(F383&lt;&gt;'Source Data'!F383)=0,"",SUMPRODUCT(--(H383:T383&lt;&gt;'Source Data'!H383:T383))+(E383&lt;&gt;'Source Data'!E383)+(F383&lt;&gt;'Source Data'!F383)&amp;" cell")</f>
        <v/>
      </c>
      <c r="V383" s="63" t="s">
        <v>1145</v>
      </c>
    </row>
    <row r="384" spans="2:22" x14ac:dyDescent="0.25">
      <c r="B384" s="23" t="s">
        <v>1146</v>
      </c>
      <c r="C384" s="28" t="s">
        <v>493</v>
      </c>
      <c r="D384" s="50" t="s">
        <v>432</v>
      </c>
      <c r="E384" s="92">
        <v>0.33450115960999999</v>
      </c>
      <c r="F384" s="87">
        <v>1</v>
      </c>
      <c r="H384" s="93">
        <v>3.5000000000000003E-2</v>
      </c>
      <c r="I384" s="93">
        <v>3.5000000000000003E-2</v>
      </c>
      <c r="J384" s="93">
        <v>3.5000000000000003E-2</v>
      </c>
      <c r="K384" s="93">
        <v>3.5000000000000003E-2</v>
      </c>
      <c r="L384" s="93">
        <v>3.5000000000000003E-2</v>
      </c>
      <c r="M384" s="93">
        <v>3.5000000000000003E-2</v>
      </c>
      <c r="N384" s="93">
        <v>3.5000000000000003E-2</v>
      </c>
      <c r="O384" s="93">
        <v>3.5000000000000003E-2</v>
      </c>
      <c r="P384" s="93">
        <v>3.5000000000000003E-2</v>
      </c>
      <c r="Q384" s="93">
        <v>3.5000000000000003E-2</v>
      </c>
      <c r="R384" s="93">
        <v>3.5000000000000003E-2</v>
      </c>
      <c r="S384" s="93">
        <v>3.5000000000000003E-2</v>
      </c>
      <c r="T384" s="93">
        <v>3.5000000000000003E-2</v>
      </c>
      <c r="U384" s="62" t="str">
        <f>IF(SUMPRODUCT(--(H384:T384&lt;&gt;'Source Data'!H384:T384))+(E384&lt;&gt;'Source Data'!E384)+(F384&lt;&gt;'Source Data'!F384)=0,"",SUMPRODUCT(--(H384:T384&lt;&gt;'Source Data'!H384:T384))+(E384&lt;&gt;'Source Data'!E384)+(F384&lt;&gt;'Source Data'!F384)&amp;" cell")</f>
        <v/>
      </c>
      <c r="V384" s="63" t="s">
        <v>1147</v>
      </c>
    </row>
    <row r="385" spans="2:22" x14ac:dyDescent="0.25">
      <c r="B385" s="23" t="s">
        <v>1148</v>
      </c>
      <c r="C385" s="28" t="s">
        <v>493</v>
      </c>
      <c r="D385" s="50" t="s">
        <v>432</v>
      </c>
      <c r="E385" s="92">
        <v>2.652611E-3</v>
      </c>
      <c r="F385" s="87">
        <v>1</v>
      </c>
      <c r="H385" s="93">
        <v>0</v>
      </c>
      <c r="I385" s="93">
        <v>0</v>
      </c>
      <c r="J385" s="93">
        <v>0</v>
      </c>
      <c r="K385" s="93">
        <v>0</v>
      </c>
      <c r="L385" s="93">
        <v>0</v>
      </c>
      <c r="M385" s="93">
        <v>0</v>
      </c>
      <c r="N385" s="93">
        <v>0</v>
      </c>
      <c r="O385" s="93">
        <v>0</v>
      </c>
      <c r="P385" s="93">
        <v>0</v>
      </c>
      <c r="Q385" s="93">
        <v>0</v>
      </c>
      <c r="R385" s="93">
        <v>0</v>
      </c>
      <c r="S385" s="93">
        <v>0</v>
      </c>
      <c r="T385" s="93">
        <v>0</v>
      </c>
      <c r="U385" s="62" t="str">
        <f>IF(SUMPRODUCT(--(H385:T385&lt;&gt;'Source Data'!H385:T385))+(E385&lt;&gt;'Source Data'!E385)+(F385&lt;&gt;'Source Data'!F385)=0,"",SUMPRODUCT(--(H385:T385&lt;&gt;'Source Data'!H385:T385))+(E385&lt;&gt;'Source Data'!E385)+(F385&lt;&gt;'Source Data'!F385)&amp;" cell")</f>
        <v/>
      </c>
      <c r="V385" s="63" t="s">
        <v>1149</v>
      </c>
    </row>
    <row r="386" spans="2:22" x14ac:dyDescent="0.25">
      <c r="B386" s="23" t="s">
        <v>1150</v>
      </c>
      <c r="C386" s="28" t="s">
        <v>493</v>
      </c>
      <c r="D386" s="50" t="s">
        <v>432</v>
      </c>
      <c r="E386" s="92">
        <v>0.25664334700000002</v>
      </c>
      <c r="F386" s="87">
        <v>1</v>
      </c>
      <c r="H386" s="93">
        <v>3.5000000000000003E-2</v>
      </c>
      <c r="I386" s="93">
        <v>3.5000000000000003E-2</v>
      </c>
      <c r="J386" s="93">
        <v>3.5000000000000003E-2</v>
      </c>
      <c r="K386" s="93">
        <v>3.5000000000000003E-2</v>
      </c>
      <c r="L386" s="93">
        <v>3.5000000000000003E-2</v>
      </c>
      <c r="M386" s="93">
        <v>3.5000000000000003E-2</v>
      </c>
      <c r="N386" s="93">
        <v>3.5000000000000003E-2</v>
      </c>
      <c r="O386" s="93">
        <v>3.5000000000000003E-2</v>
      </c>
      <c r="P386" s="93">
        <v>3.5000000000000003E-2</v>
      </c>
      <c r="Q386" s="93">
        <v>3.5000000000000003E-2</v>
      </c>
      <c r="R386" s="93">
        <v>3.5000000000000003E-2</v>
      </c>
      <c r="S386" s="93">
        <v>3.5000000000000003E-2</v>
      </c>
      <c r="T386" s="93">
        <v>3.5000000000000003E-2</v>
      </c>
      <c r="U386" s="62" t="str">
        <f>IF(SUMPRODUCT(--(H386:T386&lt;&gt;'Source Data'!H386:T386))+(E386&lt;&gt;'Source Data'!E386)+(F386&lt;&gt;'Source Data'!F386)=0,"",SUMPRODUCT(--(H386:T386&lt;&gt;'Source Data'!H386:T386))+(E386&lt;&gt;'Source Data'!E386)+(F386&lt;&gt;'Source Data'!F386)&amp;" cell")</f>
        <v/>
      </c>
      <c r="V386" s="63" t="s">
        <v>1151</v>
      </c>
    </row>
    <row r="387" spans="2:22" x14ac:dyDescent="0.25">
      <c r="B387" s="23" t="s">
        <v>1152</v>
      </c>
      <c r="C387" s="28" t="s">
        <v>493</v>
      </c>
      <c r="D387" s="50" t="s">
        <v>432</v>
      </c>
      <c r="E387" s="92">
        <v>1.3845168216799999</v>
      </c>
      <c r="F387" s="87">
        <v>1</v>
      </c>
      <c r="H387" s="93">
        <v>0.01</v>
      </c>
      <c r="I387" s="93">
        <v>0.01</v>
      </c>
      <c r="J387" s="93">
        <v>0.01</v>
      </c>
      <c r="K387" s="93">
        <v>0.01</v>
      </c>
      <c r="L387" s="93">
        <v>0.01</v>
      </c>
      <c r="M387" s="93">
        <v>0.01</v>
      </c>
      <c r="N387" s="93">
        <v>0.01</v>
      </c>
      <c r="O387" s="93">
        <v>0.01</v>
      </c>
      <c r="P387" s="93">
        <v>0.01</v>
      </c>
      <c r="Q387" s="93">
        <v>0.01</v>
      </c>
      <c r="R387" s="93">
        <v>0.01</v>
      </c>
      <c r="S387" s="93">
        <v>0.01</v>
      </c>
      <c r="T387" s="93">
        <v>0.01</v>
      </c>
      <c r="U387" s="62" t="str">
        <f>IF(SUMPRODUCT(--(H387:T387&lt;&gt;'Source Data'!H387:T387))+(E387&lt;&gt;'Source Data'!E387)+(F387&lt;&gt;'Source Data'!F387)=0,"",SUMPRODUCT(--(H387:T387&lt;&gt;'Source Data'!H387:T387))+(E387&lt;&gt;'Source Data'!E387)+(F387&lt;&gt;'Source Data'!F387)&amp;" cell")</f>
        <v/>
      </c>
      <c r="V387" s="63" t="s">
        <v>1153</v>
      </c>
    </row>
    <row r="388" spans="2:22" x14ac:dyDescent="0.25">
      <c r="B388" s="23" t="s">
        <v>1154</v>
      </c>
      <c r="C388" s="28" t="s">
        <v>493</v>
      </c>
      <c r="D388" s="50" t="s">
        <v>432</v>
      </c>
      <c r="E388" s="92">
        <v>9.1772826000000002E-2</v>
      </c>
      <c r="F388" s="87">
        <v>1</v>
      </c>
      <c r="H388" s="93">
        <v>0.01</v>
      </c>
      <c r="I388" s="93">
        <v>0.01</v>
      </c>
      <c r="J388" s="93">
        <v>0.01</v>
      </c>
      <c r="K388" s="93">
        <v>0.01</v>
      </c>
      <c r="L388" s="93">
        <v>0.01</v>
      </c>
      <c r="M388" s="93">
        <v>0.01</v>
      </c>
      <c r="N388" s="93">
        <v>0.01</v>
      </c>
      <c r="O388" s="93">
        <v>0.01</v>
      </c>
      <c r="P388" s="93">
        <v>0.01</v>
      </c>
      <c r="Q388" s="93">
        <v>0.01</v>
      </c>
      <c r="R388" s="93">
        <v>0.01</v>
      </c>
      <c r="S388" s="93">
        <v>0.01</v>
      </c>
      <c r="T388" s="93">
        <v>0.01</v>
      </c>
      <c r="U388" s="62" t="str">
        <f>IF(SUMPRODUCT(--(H388:T388&lt;&gt;'Source Data'!H388:T388))+(E388&lt;&gt;'Source Data'!E388)+(F388&lt;&gt;'Source Data'!F388)=0,"",SUMPRODUCT(--(H388:T388&lt;&gt;'Source Data'!H388:T388))+(E388&lt;&gt;'Source Data'!E388)+(F388&lt;&gt;'Source Data'!F388)&amp;" cell")</f>
        <v/>
      </c>
      <c r="V388" s="63" t="s">
        <v>1155</v>
      </c>
    </row>
    <row r="389" spans="2:22" x14ac:dyDescent="0.25">
      <c r="B389" s="23" t="s">
        <v>1156</v>
      </c>
      <c r="C389" s="28" t="s">
        <v>493</v>
      </c>
      <c r="D389" s="50" t="s">
        <v>432</v>
      </c>
      <c r="E389" s="92">
        <v>0.09</v>
      </c>
      <c r="F389" s="87">
        <v>1</v>
      </c>
      <c r="H389" s="93">
        <v>0.01</v>
      </c>
      <c r="I389" s="93">
        <v>0.01</v>
      </c>
      <c r="J389" s="93">
        <v>0.01</v>
      </c>
      <c r="K389" s="93">
        <v>0.01</v>
      </c>
      <c r="L389" s="93">
        <v>0.01</v>
      </c>
      <c r="M389" s="93">
        <v>0.01</v>
      </c>
      <c r="N389" s="93">
        <v>0.01</v>
      </c>
      <c r="O389" s="93">
        <v>0.01</v>
      </c>
      <c r="P389" s="93">
        <v>0.01</v>
      </c>
      <c r="Q389" s="93">
        <v>0.01</v>
      </c>
      <c r="R389" s="93">
        <v>0.01</v>
      </c>
      <c r="S389" s="93">
        <v>0.01</v>
      </c>
      <c r="T389" s="93">
        <v>0.01</v>
      </c>
      <c r="U389" s="62" t="str">
        <f>IF(SUMPRODUCT(--(H389:T389&lt;&gt;'Source Data'!H389:T389))+(E389&lt;&gt;'Source Data'!E389)+(F389&lt;&gt;'Source Data'!F389)=0,"",SUMPRODUCT(--(H389:T389&lt;&gt;'Source Data'!H389:T389))+(E389&lt;&gt;'Source Data'!E389)+(F389&lt;&gt;'Source Data'!F389)&amp;" cell")</f>
        <v/>
      </c>
      <c r="V389" s="63" t="s">
        <v>1157</v>
      </c>
    </row>
    <row r="390" spans="2:22" x14ac:dyDescent="0.25">
      <c r="B390" s="23" t="s">
        <v>1158</v>
      </c>
      <c r="C390" s="28" t="s">
        <v>493</v>
      </c>
      <c r="D390" s="50" t="s">
        <v>432</v>
      </c>
      <c r="E390" s="92">
        <v>4.422234244E-2</v>
      </c>
      <c r="F390" s="87">
        <v>1</v>
      </c>
      <c r="H390" s="93">
        <v>0.01</v>
      </c>
      <c r="I390" s="93">
        <v>0.01</v>
      </c>
      <c r="J390" s="93">
        <v>0.01</v>
      </c>
      <c r="K390" s="93">
        <v>0.01</v>
      </c>
      <c r="L390" s="93">
        <v>0.01</v>
      </c>
      <c r="M390" s="93">
        <v>0.01</v>
      </c>
      <c r="N390" s="93">
        <v>0.01</v>
      </c>
      <c r="O390" s="93">
        <v>0.01</v>
      </c>
      <c r="P390" s="93">
        <v>0.01</v>
      </c>
      <c r="Q390" s="93">
        <v>0.01</v>
      </c>
      <c r="R390" s="93">
        <v>0.01</v>
      </c>
      <c r="S390" s="93">
        <v>0.01</v>
      </c>
      <c r="T390" s="93">
        <v>0.01</v>
      </c>
      <c r="U390" s="62" t="str">
        <f>IF(SUMPRODUCT(--(H390:T390&lt;&gt;'Source Data'!H390:T390))+(E390&lt;&gt;'Source Data'!E390)+(F390&lt;&gt;'Source Data'!F390)=0,"",SUMPRODUCT(--(H390:T390&lt;&gt;'Source Data'!H390:T390))+(E390&lt;&gt;'Source Data'!E390)+(F390&lt;&gt;'Source Data'!F390)&amp;" cell")</f>
        <v/>
      </c>
      <c r="V390" s="63" t="s">
        <v>1159</v>
      </c>
    </row>
    <row r="391" spans="2:22" x14ac:dyDescent="0.25">
      <c r="B391" s="23" t="s">
        <v>1160</v>
      </c>
      <c r="C391" s="28" t="s">
        <v>493</v>
      </c>
      <c r="D391" s="50" t="s">
        <v>432</v>
      </c>
      <c r="E391" s="92">
        <v>1.1234156E-2</v>
      </c>
      <c r="F391" s="87">
        <v>1</v>
      </c>
      <c r="H391" s="93">
        <v>0.01</v>
      </c>
      <c r="I391" s="93">
        <v>0.01</v>
      </c>
      <c r="J391" s="93">
        <v>0.01</v>
      </c>
      <c r="K391" s="93">
        <v>0.01</v>
      </c>
      <c r="L391" s="93">
        <v>0.01</v>
      </c>
      <c r="M391" s="93">
        <v>0.01</v>
      </c>
      <c r="N391" s="93">
        <v>0.01</v>
      </c>
      <c r="O391" s="93">
        <v>0.01</v>
      </c>
      <c r="P391" s="93">
        <v>0.01</v>
      </c>
      <c r="Q391" s="93">
        <v>0.01</v>
      </c>
      <c r="R391" s="93">
        <v>0.01</v>
      </c>
      <c r="S391" s="93">
        <v>0.01</v>
      </c>
      <c r="T391" s="93">
        <v>0.01</v>
      </c>
      <c r="U391" s="62" t="str">
        <f>IF(SUMPRODUCT(--(H391:T391&lt;&gt;'Source Data'!H391:T391))+(E391&lt;&gt;'Source Data'!E391)+(F391&lt;&gt;'Source Data'!F391)=0,"",SUMPRODUCT(--(H391:T391&lt;&gt;'Source Data'!H391:T391))+(E391&lt;&gt;'Source Data'!E391)+(F391&lt;&gt;'Source Data'!F391)&amp;" cell")</f>
        <v/>
      </c>
      <c r="V391" s="63" t="s">
        <v>1161</v>
      </c>
    </row>
    <row r="392" spans="2:22" x14ac:dyDescent="0.25">
      <c r="B392" s="23" t="s">
        <v>1162</v>
      </c>
      <c r="C392" s="28" t="s">
        <v>493</v>
      </c>
      <c r="D392" s="50" t="s">
        <v>432</v>
      </c>
      <c r="E392" s="92">
        <v>4.1260885999999997E-2</v>
      </c>
      <c r="F392" s="87">
        <v>1</v>
      </c>
      <c r="H392" s="93">
        <v>0.01</v>
      </c>
      <c r="I392" s="93">
        <v>0.01</v>
      </c>
      <c r="J392" s="93">
        <v>0.01</v>
      </c>
      <c r="K392" s="93">
        <v>0.01</v>
      </c>
      <c r="L392" s="93">
        <v>0.01</v>
      </c>
      <c r="M392" s="93">
        <v>0.01</v>
      </c>
      <c r="N392" s="93">
        <v>0.01</v>
      </c>
      <c r="O392" s="93">
        <v>0.01</v>
      </c>
      <c r="P392" s="93">
        <v>0.01</v>
      </c>
      <c r="Q392" s="93">
        <v>0.01</v>
      </c>
      <c r="R392" s="93">
        <v>0.01</v>
      </c>
      <c r="S392" s="93">
        <v>0.01</v>
      </c>
      <c r="T392" s="93">
        <v>0.01</v>
      </c>
      <c r="U392" s="62" t="str">
        <f>IF(SUMPRODUCT(--(H392:T392&lt;&gt;'Source Data'!H392:T392))+(E392&lt;&gt;'Source Data'!E392)+(F392&lt;&gt;'Source Data'!F392)=0,"",SUMPRODUCT(--(H392:T392&lt;&gt;'Source Data'!H392:T392))+(E392&lt;&gt;'Source Data'!E392)+(F392&lt;&gt;'Source Data'!F392)&amp;" cell")</f>
        <v/>
      </c>
      <c r="V392" s="63" t="s">
        <v>1163</v>
      </c>
    </row>
    <row r="393" spans="2:22" x14ac:dyDescent="0.25">
      <c r="B393" s="23" t="s">
        <v>1164</v>
      </c>
      <c r="C393" s="28" t="s">
        <v>493</v>
      </c>
      <c r="D393" s="50" t="s">
        <v>432</v>
      </c>
      <c r="E393" s="92">
        <v>1.7500000000000002E-2</v>
      </c>
      <c r="F393" s="87">
        <v>1</v>
      </c>
      <c r="H393" s="93">
        <v>0.01</v>
      </c>
      <c r="I393" s="93">
        <v>0.01</v>
      </c>
      <c r="J393" s="93">
        <v>0.01</v>
      </c>
      <c r="K393" s="93">
        <v>0.01</v>
      </c>
      <c r="L393" s="93">
        <v>0.01</v>
      </c>
      <c r="M393" s="93">
        <v>0.01</v>
      </c>
      <c r="N393" s="93">
        <v>0.01</v>
      </c>
      <c r="O393" s="93">
        <v>0.01</v>
      </c>
      <c r="P393" s="93">
        <v>0.01</v>
      </c>
      <c r="Q393" s="93">
        <v>0.01</v>
      </c>
      <c r="R393" s="93">
        <v>0.01</v>
      </c>
      <c r="S393" s="93">
        <v>0.01</v>
      </c>
      <c r="T393" s="93">
        <v>0.01</v>
      </c>
      <c r="U393" s="62" t="str">
        <f>IF(SUMPRODUCT(--(H393:T393&lt;&gt;'Source Data'!H393:T393))+(E393&lt;&gt;'Source Data'!E393)+(F393&lt;&gt;'Source Data'!F393)=0,"",SUMPRODUCT(--(H393:T393&lt;&gt;'Source Data'!H393:T393))+(E393&lt;&gt;'Source Data'!E393)+(F393&lt;&gt;'Source Data'!F393)&amp;" cell")</f>
        <v/>
      </c>
      <c r="V393" s="63" t="s">
        <v>1165</v>
      </c>
    </row>
    <row r="394" spans="2:22" x14ac:dyDescent="0.25">
      <c r="B394" s="23" t="s">
        <v>1166</v>
      </c>
      <c r="C394" s="28" t="s">
        <v>493</v>
      </c>
      <c r="D394" s="50" t="s">
        <v>432</v>
      </c>
      <c r="E394" s="92">
        <v>3.0499999999999999E-2</v>
      </c>
      <c r="F394" s="87">
        <v>1</v>
      </c>
      <c r="H394" s="93">
        <v>0.01</v>
      </c>
      <c r="I394" s="93">
        <v>0.01</v>
      </c>
      <c r="J394" s="93">
        <v>0.01</v>
      </c>
      <c r="K394" s="93">
        <v>0.01</v>
      </c>
      <c r="L394" s="93">
        <v>0.01</v>
      </c>
      <c r="M394" s="93">
        <v>0.01</v>
      </c>
      <c r="N394" s="93">
        <v>0.01</v>
      </c>
      <c r="O394" s="93">
        <v>0.01</v>
      </c>
      <c r="P394" s="93">
        <v>0.01</v>
      </c>
      <c r="Q394" s="93">
        <v>0.01</v>
      </c>
      <c r="R394" s="93">
        <v>0.01</v>
      </c>
      <c r="S394" s="93">
        <v>0.01</v>
      </c>
      <c r="T394" s="93">
        <v>0.01</v>
      </c>
      <c r="U394" s="62" t="str">
        <f>IF(SUMPRODUCT(--(H394:T394&lt;&gt;'Source Data'!H394:T394))+(E394&lt;&gt;'Source Data'!E394)+(F394&lt;&gt;'Source Data'!F394)=0,"",SUMPRODUCT(--(H394:T394&lt;&gt;'Source Data'!H394:T394))+(E394&lt;&gt;'Source Data'!E394)+(F394&lt;&gt;'Source Data'!F394)&amp;" cell")</f>
        <v/>
      </c>
      <c r="V394" s="63" t="s">
        <v>1167</v>
      </c>
    </row>
    <row r="395" spans="2:22" x14ac:dyDescent="0.25">
      <c r="B395" s="23" t="s">
        <v>1168</v>
      </c>
      <c r="C395" s="28" t="s">
        <v>493</v>
      </c>
      <c r="D395" s="50" t="s">
        <v>432</v>
      </c>
      <c r="E395" s="92">
        <v>5.0327157329999997E-2</v>
      </c>
      <c r="F395" s="87">
        <v>1</v>
      </c>
      <c r="H395" s="93">
        <v>0.01</v>
      </c>
      <c r="I395" s="93">
        <v>0.01</v>
      </c>
      <c r="J395" s="93">
        <v>0.01</v>
      </c>
      <c r="K395" s="93">
        <v>0.01</v>
      </c>
      <c r="L395" s="93">
        <v>0.01</v>
      </c>
      <c r="M395" s="93">
        <v>0.01</v>
      </c>
      <c r="N395" s="93">
        <v>0.01</v>
      </c>
      <c r="O395" s="93">
        <v>0.01</v>
      </c>
      <c r="P395" s="93">
        <v>0.01</v>
      </c>
      <c r="Q395" s="93">
        <v>0.01</v>
      </c>
      <c r="R395" s="93">
        <v>0.01</v>
      </c>
      <c r="S395" s="93">
        <v>0.01</v>
      </c>
      <c r="T395" s="93">
        <v>0.01</v>
      </c>
      <c r="U395" s="62" t="str">
        <f>IF(SUMPRODUCT(--(H395:T395&lt;&gt;'Source Data'!H395:T395))+(E395&lt;&gt;'Source Data'!E395)+(F395&lt;&gt;'Source Data'!F395)=0,"",SUMPRODUCT(--(H395:T395&lt;&gt;'Source Data'!H395:T395))+(E395&lt;&gt;'Source Data'!E395)+(F395&lt;&gt;'Source Data'!F395)&amp;" cell")</f>
        <v/>
      </c>
      <c r="V395" s="63" t="s">
        <v>1169</v>
      </c>
    </row>
    <row r="396" spans="2:22" x14ac:dyDescent="0.25">
      <c r="B396" s="23" t="s">
        <v>1170</v>
      </c>
      <c r="C396" s="28" t="s">
        <v>493</v>
      </c>
      <c r="D396" s="50" t="s">
        <v>432</v>
      </c>
      <c r="E396" s="92">
        <v>3.8320400000000001E-3</v>
      </c>
      <c r="F396" s="87">
        <v>1</v>
      </c>
      <c r="H396" s="93">
        <v>0.01</v>
      </c>
      <c r="I396" s="93">
        <v>0.01</v>
      </c>
      <c r="J396" s="93">
        <v>0.01</v>
      </c>
      <c r="K396" s="93">
        <v>0.01</v>
      </c>
      <c r="L396" s="93">
        <v>0.01</v>
      </c>
      <c r="M396" s="93">
        <v>0.01</v>
      </c>
      <c r="N396" s="93">
        <v>0.01</v>
      </c>
      <c r="O396" s="93">
        <v>0.01</v>
      </c>
      <c r="P396" s="93">
        <v>0.01</v>
      </c>
      <c r="Q396" s="93">
        <v>0.01</v>
      </c>
      <c r="R396" s="93">
        <v>0.01</v>
      </c>
      <c r="S396" s="93">
        <v>0.01</v>
      </c>
      <c r="T396" s="93">
        <v>0.01</v>
      </c>
      <c r="U396" s="62" t="str">
        <f>IF(SUMPRODUCT(--(H396:T396&lt;&gt;'Source Data'!H396:T396))+(E396&lt;&gt;'Source Data'!E396)+(F396&lt;&gt;'Source Data'!F396)=0,"",SUMPRODUCT(--(H396:T396&lt;&gt;'Source Data'!H396:T396))+(E396&lt;&gt;'Source Data'!E396)+(F396&lt;&gt;'Source Data'!F396)&amp;" cell")</f>
        <v/>
      </c>
      <c r="V396" s="63" t="s">
        <v>1171</v>
      </c>
    </row>
    <row r="397" spans="2:22" x14ac:dyDescent="0.25">
      <c r="B397" s="23" t="s">
        <v>1172</v>
      </c>
      <c r="C397" s="28" t="s">
        <v>493</v>
      </c>
      <c r="D397" s="50" t="s">
        <v>432</v>
      </c>
      <c r="E397" s="92">
        <v>6.0000000000000001E-3</v>
      </c>
      <c r="F397" s="87">
        <v>1</v>
      </c>
      <c r="H397" s="93">
        <v>0.01</v>
      </c>
      <c r="I397" s="93">
        <v>0.01</v>
      </c>
      <c r="J397" s="93">
        <v>0.01</v>
      </c>
      <c r="K397" s="93">
        <v>0.01</v>
      </c>
      <c r="L397" s="93">
        <v>0.01</v>
      </c>
      <c r="M397" s="93">
        <v>0.01</v>
      </c>
      <c r="N397" s="93">
        <v>0.01</v>
      </c>
      <c r="O397" s="93">
        <v>0.01</v>
      </c>
      <c r="P397" s="93">
        <v>0.01</v>
      </c>
      <c r="Q397" s="93">
        <v>0.01</v>
      </c>
      <c r="R397" s="93">
        <v>0.01</v>
      </c>
      <c r="S397" s="93">
        <v>0.01</v>
      </c>
      <c r="T397" s="93">
        <v>0.01</v>
      </c>
      <c r="U397" s="62" t="str">
        <f>IF(SUMPRODUCT(--(H397:T397&lt;&gt;'Source Data'!H397:T397))+(E397&lt;&gt;'Source Data'!E397)+(F397&lt;&gt;'Source Data'!F397)=0,"",SUMPRODUCT(--(H397:T397&lt;&gt;'Source Data'!H397:T397))+(E397&lt;&gt;'Source Data'!E397)+(F397&lt;&gt;'Source Data'!F397)&amp;" cell")</f>
        <v/>
      </c>
      <c r="V397" s="63" t="s">
        <v>1173</v>
      </c>
    </row>
    <row r="398" spans="2:22" x14ac:dyDescent="0.25">
      <c r="B398" s="23" t="s">
        <v>1174</v>
      </c>
      <c r="C398" s="28" t="s">
        <v>493</v>
      </c>
      <c r="D398" s="50" t="s">
        <v>432</v>
      </c>
      <c r="E398" s="92">
        <v>3.800000001E-2</v>
      </c>
      <c r="F398" s="87">
        <v>1</v>
      </c>
      <c r="H398" s="93">
        <v>0.01</v>
      </c>
      <c r="I398" s="93">
        <v>0.01</v>
      </c>
      <c r="J398" s="93">
        <v>0.01</v>
      </c>
      <c r="K398" s="93">
        <v>0.01</v>
      </c>
      <c r="L398" s="93">
        <v>0.01</v>
      </c>
      <c r="M398" s="93">
        <v>0.01</v>
      </c>
      <c r="N398" s="93">
        <v>0.01</v>
      </c>
      <c r="O398" s="93">
        <v>0.01</v>
      </c>
      <c r="P398" s="93">
        <v>0.01</v>
      </c>
      <c r="Q398" s="93">
        <v>0.01</v>
      </c>
      <c r="R398" s="93">
        <v>0.01</v>
      </c>
      <c r="S398" s="93">
        <v>0.01</v>
      </c>
      <c r="T398" s="93">
        <v>0.01</v>
      </c>
      <c r="U398" s="62" t="str">
        <f>IF(SUMPRODUCT(--(H398:T398&lt;&gt;'Source Data'!H398:T398))+(E398&lt;&gt;'Source Data'!E398)+(F398&lt;&gt;'Source Data'!F398)=0,"",SUMPRODUCT(--(H398:T398&lt;&gt;'Source Data'!H398:T398))+(E398&lt;&gt;'Source Data'!E398)+(F398&lt;&gt;'Source Data'!F398)&amp;" cell")</f>
        <v/>
      </c>
      <c r="V398" s="63" t="s">
        <v>1175</v>
      </c>
    </row>
    <row r="399" spans="2:22" x14ac:dyDescent="0.25">
      <c r="B399" s="23" t="s">
        <v>1176</v>
      </c>
      <c r="C399" s="28" t="s">
        <v>493</v>
      </c>
      <c r="D399" s="50" t="s">
        <v>432</v>
      </c>
      <c r="E399" s="92">
        <v>1.8822505E-2</v>
      </c>
      <c r="F399" s="87">
        <v>1</v>
      </c>
      <c r="H399" s="93">
        <v>0.01</v>
      </c>
      <c r="I399" s="93">
        <v>0.01</v>
      </c>
      <c r="J399" s="93">
        <v>0.01</v>
      </c>
      <c r="K399" s="93">
        <v>0.01</v>
      </c>
      <c r="L399" s="93">
        <v>0.01</v>
      </c>
      <c r="M399" s="93">
        <v>0.01</v>
      </c>
      <c r="N399" s="93">
        <v>0.01</v>
      </c>
      <c r="O399" s="93">
        <v>0.01</v>
      </c>
      <c r="P399" s="93">
        <v>0.01</v>
      </c>
      <c r="Q399" s="93">
        <v>0.01</v>
      </c>
      <c r="R399" s="93">
        <v>0.01</v>
      </c>
      <c r="S399" s="93">
        <v>0.01</v>
      </c>
      <c r="T399" s="93">
        <v>0.01</v>
      </c>
      <c r="U399" s="62" t="str">
        <f>IF(SUMPRODUCT(--(H399:T399&lt;&gt;'Source Data'!H399:T399))+(E399&lt;&gt;'Source Data'!E399)+(F399&lt;&gt;'Source Data'!F399)=0,"",SUMPRODUCT(--(H399:T399&lt;&gt;'Source Data'!H399:T399))+(E399&lt;&gt;'Source Data'!E399)+(F399&lt;&gt;'Source Data'!F399)&amp;" cell")</f>
        <v/>
      </c>
      <c r="V399" s="63" t="s">
        <v>1177</v>
      </c>
    </row>
    <row r="400" spans="2:22" x14ac:dyDescent="0.25">
      <c r="B400" s="23" t="s">
        <v>1178</v>
      </c>
      <c r="C400" s="28" t="s">
        <v>493</v>
      </c>
      <c r="D400" s="50" t="s">
        <v>432</v>
      </c>
      <c r="E400" s="92">
        <v>1.5713000670000001E-2</v>
      </c>
      <c r="F400" s="87">
        <v>1</v>
      </c>
      <c r="H400" s="93">
        <v>0.01</v>
      </c>
      <c r="I400" s="93">
        <v>0.01</v>
      </c>
      <c r="J400" s="93">
        <v>0.01</v>
      </c>
      <c r="K400" s="93">
        <v>0.01</v>
      </c>
      <c r="L400" s="93">
        <v>0.01</v>
      </c>
      <c r="M400" s="93">
        <v>0.01</v>
      </c>
      <c r="N400" s="93">
        <v>0.01</v>
      </c>
      <c r="O400" s="93">
        <v>0.01</v>
      </c>
      <c r="P400" s="93">
        <v>0.01</v>
      </c>
      <c r="Q400" s="93">
        <v>0.01</v>
      </c>
      <c r="R400" s="93">
        <v>0.01</v>
      </c>
      <c r="S400" s="93">
        <v>0.01</v>
      </c>
      <c r="T400" s="93">
        <v>0.01</v>
      </c>
      <c r="U400" s="62" t="str">
        <f>IF(SUMPRODUCT(--(H400:T400&lt;&gt;'Source Data'!H400:T400))+(E400&lt;&gt;'Source Data'!E400)+(F400&lt;&gt;'Source Data'!F400)=0,"",SUMPRODUCT(--(H400:T400&lt;&gt;'Source Data'!H400:T400))+(E400&lt;&gt;'Source Data'!E400)+(F400&lt;&gt;'Source Data'!F400)&amp;" cell")</f>
        <v/>
      </c>
      <c r="V400" s="63" t="s">
        <v>1179</v>
      </c>
    </row>
    <row r="401" spans="2:22" x14ac:dyDescent="0.25">
      <c r="B401" s="23" t="s">
        <v>1180</v>
      </c>
      <c r="C401" s="28" t="s">
        <v>493</v>
      </c>
      <c r="D401" s="50" t="s">
        <v>432</v>
      </c>
      <c r="E401" s="92">
        <v>9.3991999999999999E-3</v>
      </c>
      <c r="F401" s="87">
        <v>1</v>
      </c>
      <c r="H401" s="93">
        <v>0.01</v>
      </c>
      <c r="I401" s="93">
        <v>0.01</v>
      </c>
      <c r="J401" s="93">
        <v>0.01</v>
      </c>
      <c r="K401" s="93">
        <v>0.01</v>
      </c>
      <c r="L401" s="93">
        <v>0.01</v>
      </c>
      <c r="M401" s="93">
        <v>0.01</v>
      </c>
      <c r="N401" s="93">
        <v>0.01</v>
      </c>
      <c r="O401" s="93">
        <v>0.01</v>
      </c>
      <c r="P401" s="93">
        <v>0.01</v>
      </c>
      <c r="Q401" s="93">
        <v>0.01</v>
      </c>
      <c r="R401" s="93">
        <v>0.01</v>
      </c>
      <c r="S401" s="93">
        <v>0.01</v>
      </c>
      <c r="T401" s="93">
        <v>0.01</v>
      </c>
      <c r="U401" s="62" t="str">
        <f>IF(SUMPRODUCT(--(H401:T401&lt;&gt;'Source Data'!H401:T401))+(E401&lt;&gt;'Source Data'!E401)+(F401&lt;&gt;'Source Data'!F401)=0,"",SUMPRODUCT(--(H401:T401&lt;&gt;'Source Data'!H401:T401))+(E401&lt;&gt;'Source Data'!E401)+(F401&lt;&gt;'Source Data'!F401)&amp;" cell")</f>
        <v/>
      </c>
      <c r="V401" s="63" t="s">
        <v>1181</v>
      </c>
    </row>
    <row r="402" spans="2:22" x14ac:dyDescent="0.25">
      <c r="B402" s="23" t="s">
        <v>1182</v>
      </c>
      <c r="C402" s="28" t="s">
        <v>493</v>
      </c>
      <c r="D402" s="50" t="s">
        <v>432</v>
      </c>
      <c r="E402" s="92">
        <v>2.5705493999999999E-2</v>
      </c>
      <c r="F402" s="87">
        <v>1</v>
      </c>
      <c r="H402" s="93">
        <v>0.01</v>
      </c>
      <c r="I402" s="93">
        <v>0.01</v>
      </c>
      <c r="J402" s="93">
        <v>0.01</v>
      </c>
      <c r="K402" s="93">
        <v>0.01</v>
      </c>
      <c r="L402" s="93">
        <v>0.01</v>
      </c>
      <c r="M402" s="93">
        <v>0.01</v>
      </c>
      <c r="N402" s="93">
        <v>0.01</v>
      </c>
      <c r="O402" s="93">
        <v>0.01</v>
      </c>
      <c r="P402" s="93">
        <v>0.01</v>
      </c>
      <c r="Q402" s="93">
        <v>0.01</v>
      </c>
      <c r="R402" s="93">
        <v>0.01</v>
      </c>
      <c r="S402" s="93">
        <v>0.01</v>
      </c>
      <c r="T402" s="93">
        <v>0.01</v>
      </c>
      <c r="U402" s="62" t="str">
        <f>IF(SUMPRODUCT(--(H402:T402&lt;&gt;'Source Data'!H402:T402))+(E402&lt;&gt;'Source Data'!E402)+(F402&lt;&gt;'Source Data'!F402)=0,"",SUMPRODUCT(--(H402:T402&lt;&gt;'Source Data'!H402:T402))+(E402&lt;&gt;'Source Data'!E402)+(F402&lt;&gt;'Source Data'!F402)&amp;" cell")</f>
        <v/>
      </c>
      <c r="V402" s="63" t="s">
        <v>1183</v>
      </c>
    </row>
    <row r="403" spans="2:22" x14ac:dyDescent="0.25">
      <c r="B403" s="23" t="s">
        <v>1184</v>
      </c>
      <c r="C403" s="28" t="s">
        <v>493</v>
      </c>
      <c r="D403" s="50" t="s">
        <v>432</v>
      </c>
      <c r="E403" s="92">
        <v>0.20696752500000001</v>
      </c>
      <c r="F403" s="87">
        <v>1</v>
      </c>
      <c r="H403" s="93">
        <v>0.01</v>
      </c>
      <c r="I403" s="93">
        <v>0.01</v>
      </c>
      <c r="J403" s="93">
        <v>0.01</v>
      </c>
      <c r="K403" s="93">
        <v>0.01</v>
      </c>
      <c r="L403" s="93">
        <v>0.01</v>
      </c>
      <c r="M403" s="93">
        <v>0.01</v>
      </c>
      <c r="N403" s="93">
        <v>0.01</v>
      </c>
      <c r="O403" s="93">
        <v>0.01</v>
      </c>
      <c r="P403" s="93">
        <v>0.01</v>
      </c>
      <c r="Q403" s="93">
        <v>0.01</v>
      </c>
      <c r="R403" s="93">
        <v>0.01</v>
      </c>
      <c r="S403" s="93">
        <v>0.01</v>
      </c>
      <c r="T403" s="93">
        <v>0.01</v>
      </c>
      <c r="U403" s="62" t="str">
        <f>IF(SUMPRODUCT(--(H403:T403&lt;&gt;'Source Data'!H403:T403))+(E403&lt;&gt;'Source Data'!E403)+(F403&lt;&gt;'Source Data'!F403)=0,"",SUMPRODUCT(--(H403:T403&lt;&gt;'Source Data'!H403:T403))+(E403&lt;&gt;'Source Data'!E403)+(F403&lt;&gt;'Source Data'!F403)&amp;" cell")</f>
        <v/>
      </c>
      <c r="V403" s="63" t="s">
        <v>1185</v>
      </c>
    </row>
    <row r="404" spans="2:22" x14ac:dyDescent="0.25">
      <c r="B404" s="23" t="s">
        <v>1186</v>
      </c>
      <c r="C404" s="28" t="s">
        <v>493</v>
      </c>
      <c r="D404" s="50" t="s">
        <v>432</v>
      </c>
      <c r="E404" s="92">
        <v>3.3630008000000003E-2</v>
      </c>
      <c r="F404" s="87">
        <v>1</v>
      </c>
      <c r="H404" s="93">
        <v>0.01</v>
      </c>
      <c r="I404" s="93">
        <v>0.01</v>
      </c>
      <c r="J404" s="93">
        <v>0.01</v>
      </c>
      <c r="K404" s="93">
        <v>0.01</v>
      </c>
      <c r="L404" s="93">
        <v>0.01</v>
      </c>
      <c r="M404" s="93">
        <v>0.01</v>
      </c>
      <c r="N404" s="93">
        <v>0.01</v>
      </c>
      <c r="O404" s="93">
        <v>0.01</v>
      </c>
      <c r="P404" s="93">
        <v>0.01</v>
      </c>
      <c r="Q404" s="93">
        <v>0.01</v>
      </c>
      <c r="R404" s="93">
        <v>0.01</v>
      </c>
      <c r="S404" s="93">
        <v>0.01</v>
      </c>
      <c r="T404" s="93">
        <v>0.01</v>
      </c>
      <c r="U404" s="62" t="str">
        <f>IF(SUMPRODUCT(--(H404:T404&lt;&gt;'Source Data'!H404:T404))+(E404&lt;&gt;'Source Data'!E404)+(F404&lt;&gt;'Source Data'!F404)=0,"",SUMPRODUCT(--(H404:T404&lt;&gt;'Source Data'!H404:T404))+(E404&lt;&gt;'Source Data'!E404)+(F404&lt;&gt;'Source Data'!F404)&amp;" cell")</f>
        <v/>
      </c>
      <c r="V404" s="63" t="s">
        <v>1187</v>
      </c>
    </row>
    <row r="405" spans="2:22" x14ac:dyDescent="0.25">
      <c r="B405" s="23" t="s">
        <v>1188</v>
      </c>
      <c r="C405" s="28" t="s">
        <v>493</v>
      </c>
      <c r="D405" s="50" t="s">
        <v>432</v>
      </c>
      <c r="E405" s="92">
        <v>9.6439427130000005E-2</v>
      </c>
      <c r="F405" s="87">
        <v>1</v>
      </c>
      <c r="H405" s="93">
        <v>0.01</v>
      </c>
      <c r="I405" s="93">
        <v>0.01</v>
      </c>
      <c r="J405" s="93">
        <v>0.01</v>
      </c>
      <c r="K405" s="93">
        <v>0.01</v>
      </c>
      <c r="L405" s="93">
        <v>0.01</v>
      </c>
      <c r="M405" s="93">
        <v>0.01</v>
      </c>
      <c r="N405" s="93">
        <v>0.01</v>
      </c>
      <c r="O405" s="93">
        <v>0.01</v>
      </c>
      <c r="P405" s="93">
        <v>0.01</v>
      </c>
      <c r="Q405" s="93">
        <v>0.01</v>
      </c>
      <c r="R405" s="93">
        <v>0.01</v>
      </c>
      <c r="S405" s="93">
        <v>0.01</v>
      </c>
      <c r="T405" s="93">
        <v>0.01</v>
      </c>
      <c r="U405" s="62" t="str">
        <f>IF(SUMPRODUCT(--(H405:T405&lt;&gt;'Source Data'!H405:T405))+(E405&lt;&gt;'Source Data'!E405)+(F405&lt;&gt;'Source Data'!F405)=0,"",SUMPRODUCT(--(H405:T405&lt;&gt;'Source Data'!H405:T405))+(E405&lt;&gt;'Source Data'!E405)+(F405&lt;&gt;'Source Data'!F405)&amp;" cell")</f>
        <v/>
      </c>
      <c r="V405" s="63" t="s">
        <v>1189</v>
      </c>
    </row>
    <row r="406" spans="2:22" x14ac:dyDescent="0.25">
      <c r="B406" s="23" t="s">
        <v>1190</v>
      </c>
      <c r="C406" s="28" t="s">
        <v>493</v>
      </c>
      <c r="D406" s="50" t="s">
        <v>432</v>
      </c>
      <c r="E406" s="92">
        <v>1.65E-3</v>
      </c>
      <c r="F406" s="87">
        <v>1</v>
      </c>
      <c r="H406" s="93">
        <v>0.01</v>
      </c>
      <c r="I406" s="93">
        <v>0.01</v>
      </c>
      <c r="J406" s="93">
        <v>0.01</v>
      </c>
      <c r="K406" s="93">
        <v>0.01</v>
      </c>
      <c r="L406" s="93">
        <v>0.01</v>
      </c>
      <c r="M406" s="93">
        <v>0.01</v>
      </c>
      <c r="N406" s="93">
        <v>0.01</v>
      </c>
      <c r="O406" s="93">
        <v>0.01</v>
      </c>
      <c r="P406" s="93">
        <v>0.01</v>
      </c>
      <c r="Q406" s="93">
        <v>0.01</v>
      </c>
      <c r="R406" s="93">
        <v>0.01</v>
      </c>
      <c r="S406" s="93">
        <v>0.01</v>
      </c>
      <c r="T406" s="93">
        <v>0.01</v>
      </c>
      <c r="U406" s="62" t="str">
        <f>IF(SUMPRODUCT(--(H406:T406&lt;&gt;'Source Data'!H406:T406))+(E406&lt;&gt;'Source Data'!E406)+(F406&lt;&gt;'Source Data'!F406)=0,"",SUMPRODUCT(--(H406:T406&lt;&gt;'Source Data'!H406:T406))+(E406&lt;&gt;'Source Data'!E406)+(F406&lt;&gt;'Source Data'!F406)&amp;" cell")</f>
        <v/>
      </c>
      <c r="V406" s="63" t="s">
        <v>1191</v>
      </c>
    </row>
    <row r="407" spans="2:22" x14ac:dyDescent="0.25">
      <c r="B407" s="23" t="s">
        <v>1192</v>
      </c>
      <c r="C407" s="28" t="s">
        <v>493</v>
      </c>
      <c r="D407" s="50" t="s">
        <v>432</v>
      </c>
      <c r="E407" s="92">
        <v>5.16E-2</v>
      </c>
      <c r="F407" s="87">
        <v>1</v>
      </c>
      <c r="H407" s="93">
        <v>0.01</v>
      </c>
      <c r="I407" s="93">
        <v>0.01</v>
      </c>
      <c r="J407" s="93">
        <v>0.01</v>
      </c>
      <c r="K407" s="93">
        <v>0.01</v>
      </c>
      <c r="L407" s="93">
        <v>0.01</v>
      </c>
      <c r="M407" s="93">
        <v>0.01</v>
      </c>
      <c r="N407" s="93">
        <v>0.01</v>
      </c>
      <c r="O407" s="93">
        <v>0.01</v>
      </c>
      <c r="P407" s="93">
        <v>0.01</v>
      </c>
      <c r="Q407" s="93">
        <v>0.01</v>
      </c>
      <c r="R407" s="93">
        <v>0.01</v>
      </c>
      <c r="S407" s="93">
        <v>0.01</v>
      </c>
      <c r="T407" s="93">
        <v>0.01</v>
      </c>
      <c r="U407" s="62" t="str">
        <f>IF(SUMPRODUCT(--(H407:T407&lt;&gt;'Source Data'!H407:T407))+(E407&lt;&gt;'Source Data'!E407)+(F407&lt;&gt;'Source Data'!F407)=0,"",SUMPRODUCT(--(H407:T407&lt;&gt;'Source Data'!H407:T407))+(E407&lt;&gt;'Source Data'!E407)+(F407&lt;&gt;'Source Data'!F407)&amp;" cell")</f>
        <v/>
      </c>
      <c r="V407" s="63" t="s">
        <v>1193</v>
      </c>
    </row>
    <row r="408" spans="2:22" x14ac:dyDescent="0.25">
      <c r="B408" s="42" t="s">
        <v>1194</v>
      </c>
    </row>
    <row r="409" spans="2:22" x14ac:dyDescent="0.25">
      <c r="B409" s="59" t="s">
        <v>1195</v>
      </c>
      <c r="C409" s="59" t="s">
        <v>466</v>
      </c>
      <c r="D409" s="59" t="s">
        <v>467</v>
      </c>
      <c r="E409" s="59" t="s">
        <v>468</v>
      </c>
      <c r="F409" s="59" t="s">
        <v>469</v>
      </c>
      <c r="G409" s="80" t="s">
        <v>628</v>
      </c>
      <c r="H409" s="81">
        <v>2024</v>
      </c>
      <c r="I409" s="81">
        <v>2025</v>
      </c>
      <c r="J409" s="81">
        <v>2026</v>
      </c>
      <c r="K409" s="81">
        <v>2027</v>
      </c>
      <c r="L409" s="81">
        <v>2028</v>
      </c>
      <c r="M409" s="81">
        <v>2029</v>
      </c>
      <c r="N409" s="81">
        <v>2030</v>
      </c>
      <c r="O409" s="81">
        <v>2031</v>
      </c>
      <c r="P409" s="81">
        <v>2032</v>
      </c>
      <c r="Q409" s="81">
        <v>2033</v>
      </c>
      <c r="R409" s="81">
        <v>2034</v>
      </c>
      <c r="S409" s="81">
        <v>2035</v>
      </c>
      <c r="T409" s="81">
        <v>2036</v>
      </c>
      <c r="U409" s="59" t="s">
        <v>470</v>
      </c>
      <c r="V409" s="59" t="s">
        <v>471</v>
      </c>
    </row>
    <row r="410" spans="2:22" ht="24.75" customHeight="1" x14ac:dyDescent="0.25">
      <c r="B410" s="23" t="s">
        <v>1196</v>
      </c>
      <c r="C410" s="90" t="s">
        <v>1197</v>
      </c>
      <c r="D410" s="50" t="s">
        <v>432</v>
      </c>
      <c r="F410" s="44" t="s">
        <v>1198</v>
      </c>
      <c r="H410" s="93">
        <v>2.1302304373178801E-2</v>
      </c>
      <c r="I410" s="93">
        <v>2.1302304373178801E-2</v>
      </c>
      <c r="J410" s="93">
        <v>2.1302304373178801E-2</v>
      </c>
      <c r="K410" s="93">
        <v>2.1302304373178801E-2</v>
      </c>
      <c r="L410" s="93">
        <v>2.1302304373178801E-2</v>
      </c>
      <c r="M410" s="93">
        <v>2.1302304373178801E-2</v>
      </c>
      <c r="N410" s="93">
        <v>2.1302304373178801E-2</v>
      </c>
      <c r="O410" s="93">
        <v>2.1302304373178801E-2</v>
      </c>
      <c r="P410" s="93">
        <v>2.1302304373178801E-2</v>
      </c>
      <c r="Q410" s="93">
        <v>2.1302304373178801E-2</v>
      </c>
      <c r="R410" s="93">
        <v>2.1302304373178801E-2</v>
      </c>
      <c r="S410" s="93">
        <v>2.1302304373178801E-2</v>
      </c>
      <c r="T410" s="93">
        <v>2.1302304373178801E-2</v>
      </c>
      <c r="U410" s="62" t="str">
        <f>IF(SUMPRODUCT(--(H410:T410&lt;&gt;'Source Data'!H410:T410))=0,"",SUMPRODUCT(--(H410:T410&lt;&gt;'Source Data'!H410:T410))&amp;" yr")</f>
        <v/>
      </c>
      <c r="V410" s="63" t="s">
        <v>642</v>
      </c>
    </row>
    <row r="411" spans="2:22" ht="24.75" customHeight="1" x14ac:dyDescent="0.25">
      <c r="B411" s="23" t="s">
        <v>1199</v>
      </c>
      <c r="C411" s="90" t="s">
        <v>1197</v>
      </c>
      <c r="D411" s="50" t="s">
        <v>432</v>
      </c>
      <c r="F411" s="44" t="s">
        <v>1200</v>
      </c>
      <c r="H411" s="93">
        <v>3.31675255830471E-2</v>
      </c>
      <c r="I411" s="93">
        <v>3.31675255830471E-2</v>
      </c>
      <c r="J411" s="93">
        <v>3.31675255830471E-2</v>
      </c>
      <c r="K411" s="93">
        <v>3.31675255830471E-2</v>
      </c>
      <c r="L411" s="93">
        <v>3.31675255830471E-2</v>
      </c>
      <c r="M411" s="93">
        <v>3.31675255830471E-2</v>
      </c>
      <c r="N411" s="93">
        <v>3.31675255830471E-2</v>
      </c>
      <c r="O411" s="93">
        <v>3.31675255830471E-2</v>
      </c>
      <c r="P411" s="93">
        <v>3.31675255830471E-2</v>
      </c>
      <c r="Q411" s="93">
        <v>3.31675255830471E-2</v>
      </c>
      <c r="R411" s="93">
        <v>3.31675255830471E-2</v>
      </c>
      <c r="S411" s="93">
        <v>3.31675255830471E-2</v>
      </c>
      <c r="T411" s="93">
        <v>3.31675255830471E-2</v>
      </c>
      <c r="U411" s="62" t="str">
        <f>IF(SUMPRODUCT(--(H411:T411&lt;&gt;'Source Data'!H411:T411))=0,"",SUMPRODUCT(--(H411:T411&lt;&gt;'Source Data'!H411:T411))&amp;" yr")</f>
        <v/>
      </c>
      <c r="V411" s="63" t="s">
        <v>642</v>
      </c>
    </row>
    <row r="412" spans="2:22" x14ac:dyDescent="0.25">
      <c r="B412" s="23" t="s">
        <v>1201</v>
      </c>
      <c r="C412" s="28" t="s">
        <v>799</v>
      </c>
      <c r="D412" s="50" t="s">
        <v>432</v>
      </c>
      <c r="F412" s="44" t="s">
        <v>1202</v>
      </c>
      <c r="H412" s="93">
        <v>2.5000000000000001E-2</v>
      </c>
      <c r="I412" s="93">
        <v>2.5000000000000001E-2</v>
      </c>
      <c r="J412" s="93">
        <v>2.5000000000000001E-2</v>
      </c>
      <c r="K412" s="93">
        <v>2.5000000000000001E-2</v>
      </c>
      <c r="L412" s="93">
        <v>2.5000000000000001E-2</v>
      </c>
      <c r="M412" s="93">
        <v>2.5000000000000001E-2</v>
      </c>
      <c r="N412" s="93">
        <v>2.5000000000000001E-2</v>
      </c>
      <c r="O412" s="93">
        <v>2.5000000000000001E-2</v>
      </c>
      <c r="P412" s="93">
        <v>2.5000000000000001E-2</v>
      </c>
      <c r="Q412" s="93">
        <v>2.5000000000000001E-2</v>
      </c>
      <c r="R412" s="93">
        <v>2.5000000000000001E-2</v>
      </c>
      <c r="S412" s="93">
        <v>2.5000000000000001E-2</v>
      </c>
      <c r="T412" s="93">
        <v>2.5000000000000001E-2</v>
      </c>
      <c r="U412" s="62" t="str">
        <f>IF(SUMPRODUCT(--(H412:T412&lt;&gt;'Source Data'!H412:T412))=0,"",SUMPRODUCT(--(H412:T412&lt;&gt;'Source Data'!H412:T412))&amp;" yr")</f>
        <v/>
      </c>
      <c r="V412" s="63" t="s">
        <v>642</v>
      </c>
    </row>
    <row r="413" spans="2:22" x14ac:dyDescent="0.25">
      <c r="B413" s="23" t="s">
        <v>1203</v>
      </c>
      <c r="C413" s="28" t="s">
        <v>799</v>
      </c>
      <c r="D413" s="50" t="s">
        <v>432</v>
      </c>
      <c r="F413" s="44" t="s">
        <v>1204</v>
      </c>
      <c r="H413" s="91">
        <v>1.49746834669823E-4</v>
      </c>
      <c r="I413" s="91">
        <v>1.49746834669823E-4</v>
      </c>
      <c r="J413" s="91">
        <v>1.49746834669823E-4</v>
      </c>
      <c r="K413" s="91">
        <v>1.49746834669823E-4</v>
      </c>
      <c r="L413" s="91">
        <v>1.49746834669823E-4</v>
      </c>
      <c r="M413" s="91">
        <v>1.49746834669823E-4</v>
      </c>
      <c r="N413" s="91">
        <v>1.49746834669823E-4</v>
      </c>
      <c r="O413" s="91">
        <v>1.49746834669823E-4</v>
      </c>
      <c r="P413" s="91">
        <v>1.49746834669823E-4</v>
      </c>
      <c r="Q413" s="91">
        <v>1.49746834669823E-4</v>
      </c>
      <c r="R413" s="91">
        <v>1.49746834669823E-4</v>
      </c>
      <c r="S413" s="91">
        <v>1.49746834669823E-4</v>
      </c>
      <c r="T413" s="91">
        <v>1.49746834669823E-4</v>
      </c>
      <c r="U413" s="62" t="str">
        <f>IF(SUMPRODUCT(--(H413:T413&lt;&gt;'Source Data'!H413:T413))=0,"",SUMPRODUCT(--(H413:T413&lt;&gt;'Source Data'!H413:T413))&amp;" yr")</f>
        <v/>
      </c>
      <c r="V413" s="63" t="s">
        <v>683</v>
      </c>
    </row>
    <row r="414" spans="2:22" x14ac:dyDescent="0.25">
      <c r="B414" s="23" t="s">
        <v>1205</v>
      </c>
      <c r="C414" s="28" t="s">
        <v>799</v>
      </c>
      <c r="D414" s="50" t="s">
        <v>432</v>
      </c>
      <c r="F414" s="44" t="s">
        <v>1206</v>
      </c>
      <c r="H414" s="91">
        <v>1.10651926007953E-3</v>
      </c>
      <c r="I414" s="91">
        <v>1.10651926007953E-3</v>
      </c>
      <c r="J414" s="91">
        <v>1.10651926007953E-3</v>
      </c>
      <c r="K414" s="91">
        <v>1.10651926007953E-3</v>
      </c>
      <c r="L414" s="91">
        <v>1.10651926007953E-3</v>
      </c>
      <c r="M414" s="91">
        <v>1.10651926007953E-3</v>
      </c>
      <c r="N414" s="91">
        <v>1.10651926007953E-3</v>
      </c>
      <c r="O414" s="91">
        <v>1.10651926007953E-3</v>
      </c>
      <c r="P414" s="91">
        <v>1.10651926007953E-3</v>
      </c>
      <c r="Q414" s="91">
        <v>1.10651926007953E-3</v>
      </c>
      <c r="R414" s="91">
        <v>1.10651926007953E-3</v>
      </c>
      <c r="S414" s="91">
        <v>1.10651926007953E-3</v>
      </c>
      <c r="T414" s="91">
        <v>1.10651926007953E-3</v>
      </c>
      <c r="U414" s="62" t="str">
        <f>IF(SUMPRODUCT(--(H414:T414&lt;&gt;'Source Data'!H414:T414))=0,"",SUMPRODUCT(--(H414:T414&lt;&gt;'Source Data'!H414:T414))&amp;" yr")</f>
        <v/>
      </c>
      <c r="V414" s="63" t="s">
        <v>683</v>
      </c>
    </row>
    <row r="415" spans="2:22" x14ac:dyDescent="0.25">
      <c r="B415" s="23" t="s">
        <v>1207</v>
      </c>
      <c r="C415" s="28" t="s">
        <v>799</v>
      </c>
      <c r="D415" s="50" t="s">
        <v>432</v>
      </c>
      <c r="F415" s="44" t="s">
        <v>1208</v>
      </c>
      <c r="H415" s="91">
        <v>4.6250166566207698E-5</v>
      </c>
      <c r="I415" s="91">
        <v>4.6250166566207698E-5</v>
      </c>
      <c r="J415" s="91">
        <v>4.6250166566207698E-5</v>
      </c>
      <c r="K415" s="91">
        <v>4.6250166566207698E-5</v>
      </c>
      <c r="L415" s="91">
        <v>4.6250166566207698E-5</v>
      </c>
      <c r="M415" s="91">
        <v>4.6250166566207698E-5</v>
      </c>
      <c r="N415" s="91">
        <v>4.6250166566207698E-5</v>
      </c>
      <c r="O415" s="91">
        <v>4.6250166566207698E-5</v>
      </c>
      <c r="P415" s="91">
        <v>4.6250166566207698E-5</v>
      </c>
      <c r="Q415" s="91">
        <v>4.6250166566207698E-5</v>
      </c>
      <c r="R415" s="91">
        <v>4.6250166566207698E-5</v>
      </c>
      <c r="S415" s="91">
        <v>4.6250166566207698E-5</v>
      </c>
      <c r="T415" s="91">
        <v>4.6250166566207698E-5</v>
      </c>
      <c r="U415" s="62" t="str">
        <f>IF(SUMPRODUCT(--(H415:T415&lt;&gt;'Source Data'!H415:T415))=0,"",SUMPRODUCT(--(H415:T415&lt;&gt;'Source Data'!H415:T415))&amp;" yr")</f>
        <v/>
      </c>
      <c r="V415" s="63" t="s">
        <v>683</v>
      </c>
    </row>
    <row r="416" spans="2:22" x14ac:dyDescent="0.25">
      <c r="B416" s="23" t="s">
        <v>1209</v>
      </c>
      <c r="C416" s="28" t="s">
        <v>799</v>
      </c>
      <c r="D416" s="50" t="s">
        <v>432</v>
      </c>
      <c r="F416" s="44" t="s">
        <v>1210</v>
      </c>
      <c r="H416" s="91">
        <v>5.2761990118853996E-6</v>
      </c>
      <c r="I416" s="91">
        <v>5.2761990118853996E-6</v>
      </c>
      <c r="J416" s="91">
        <v>5.2761990118853996E-6</v>
      </c>
      <c r="K416" s="91">
        <v>5.2761990118853996E-6</v>
      </c>
      <c r="L416" s="91">
        <v>5.2761990118853996E-6</v>
      </c>
      <c r="M416" s="91">
        <v>5.2761990118853996E-6</v>
      </c>
      <c r="N416" s="91">
        <v>5.2761990118853996E-6</v>
      </c>
      <c r="O416" s="91">
        <v>5.2761990118853996E-6</v>
      </c>
      <c r="P416" s="91">
        <v>5.2761990118853996E-6</v>
      </c>
      <c r="Q416" s="91">
        <v>5.2761990118853996E-6</v>
      </c>
      <c r="R416" s="91">
        <v>5.2761990118853996E-6</v>
      </c>
      <c r="S416" s="91">
        <v>5.2761990118853996E-6</v>
      </c>
      <c r="T416" s="91">
        <v>5.2761990118853996E-6</v>
      </c>
      <c r="U416" s="62" t="str">
        <f>IF(SUMPRODUCT(--(H416:T416&lt;&gt;'Source Data'!H416:T416))=0,"",SUMPRODUCT(--(H416:T416&lt;&gt;'Source Data'!H416:T416))&amp;" yr")</f>
        <v/>
      </c>
      <c r="V416" s="63" t="s">
        <v>642</v>
      </c>
    </row>
    <row r="417" spans="2:22" x14ac:dyDescent="0.25">
      <c r="B417" s="23" t="s">
        <v>1211</v>
      </c>
      <c r="C417" s="28" t="s">
        <v>799</v>
      </c>
      <c r="D417" s="50" t="s">
        <v>432</v>
      </c>
      <c r="F417" s="44" t="s">
        <v>1212</v>
      </c>
      <c r="H417" s="93">
        <v>0.83903628405324504</v>
      </c>
      <c r="I417" s="93">
        <v>0.83903628405324504</v>
      </c>
      <c r="J417" s="93">
        <v>0.83903628405324504</v>
      </c>
      <c r="K417" s="93">
        <v>0.83903628405324504</v>
      </c>
      <c r="L417" s="93">
        <v>0.83903628405324504</v>
      </c>
      <c r="M417" s="93">
        <v>0.83903628405324504</v>
      </c>
      <c r="N417" s="93">
        <v>0.83903628405324504</v>
      </c>
      <c r="O417" s="93">
        <v>0.83903628405324504</v>
      </c>
      <c r="P417" s="93">
        <v>0.83903628405324504</v>
      </c>
      <c r="Q417" s="93">
        <v>0.83903628405324504</v>
      </c>
      <c r="R417" s="93">
        <v>0.83903628405324504</v>
      </c>
      <c r="S417" s="93">
        <v>0.83903628405324504</v>
      </c>
      <c r="T417" s="93">
        <v>0.83903628405324504</v>
      </c>
      <c r="U417" s="62" t="str">
        <f>IF(SUMPRODUCT(--(H417:T417&lt;&gt;'Source Data'!H417:T417))=0,"",SUMPRODUCT(--(H417:T417&lt;&gt;'Source Data'!H417:T417))&amp;" yr")</f>
        <v/>
      </c>
      <c r="V417" s="63" t="s">
        <v>683</v>
      </c>
    </row>
    <row r="418" spans="2:22" x14ac:dyDescent="0.25">
      <c r="B418" s="23" t="s">
        <v>1213</v>
      </c>
      <c r="C418" s="28" t="s">
        <v>799</v>
      </c>
      <c r="D418" s="50" t="s">
        <v>432</v>
      </c>
      <c r="F418" s="44" t="s">
        <v>1214</v>
      </c>
      <c r="H418" s="93">
        <v>0.74876623324901403</v>
      </c>
      <c r="I418" s="93">
        <v>0.74876623324901403</v>
      </c>
      <c r="J418" s="93">
        <v>0.74876623324901403</v>
      </c>
      <c r="K418" s="93">
        <v>0.74876623324901403</v>
      </c>
      <c r="L418" s="93">
        <v>0.74876623324901403</v>
      </c>
      <c r="M418" s="93">
        <v>0.74876623324901403</v>
      </c>
      <c r="N418" s="93">
        <v>0.74876623324901403</v>
      </c>
      <c r="O418" s="93">
        <v>0.74876623324901403</v>
      </c>
      <c r="P418" s="93">
        <v>0.74876623324901403</v>
      </c>
      <c r="Q418" s="93">
        <v>0.74876623324901403</v>
      </c>
      <c r="R418" s="93">
        <v>0.74876623324901403</v>
      </c>
      <c r="S418" s="93">
        <v>0.74876623324901403</v>
      </c>
      <c r="T418" s="93">
        <v>0.74876623324901403</v>
      </c>
      <c r="U418" s="62" t="str">
        <f>IF(SUMPRODUCT(--(H418:T418&lt;&gt;'Source Data'!H418:T418))=0,"",SUMPRODUCT(--(H418:T418&lt;&gt;'Source Data'!H418:T418))&amp;" yr")</f>
        <v/>
      </c>
      <c r="V418" s="63" t="s">
        <v>683</v>
      </c>
    </row>
    <row r="419" spans="2:22" x14ac:dyDescent="0.25">
      <c r="B419" s="23" t="s">
        <v>1215</v>
      </c>
      <c r="C419" s="28" t="s">
        <v>799</v>
      </c>
      <c r="D419" s="50" t="s">
        <v>432</v>
      </c>
      <c r="F419" s="44" t="s">
        <v>1216</v>
      </c>
      <c r="H419" s="93">
        <v>0.48880442370025501</v>
      </c>
      <c r="I419" s="93">
        <v>0.48880442370025501</v>
      </c>
      <c r="J419" s="93">
        <v>0.48880442370025501</v>
      </c>
      <c r="K419" s="93">
        <v>0.48880442370025501</v>
      </c>
      <c r="L419" s="93">
        <v>0.48880442370025501</v>
      </c>
      <c r="M419" s="93">
        <v>0.48880442370025501</v>
      </c>
      <c r="N419" s="93">
        <v>0.48880442370025501</v>
      </c>
      <c r="O419" s="93">
        <v>0.48880442370025501</v>
      </c>
      <c r="P419" s="93">
        <v>0.48880442370025501</v>
      </c>
      <c r="Q419" s="93">
        <v>0.48880442370025501</v>
      </c>
      <c r="R419" s="93">
        <v>0.48880442370025501</v>
      </c>
      <c r="S419" s="93">
        <v>0.48880442370025501</v>
      </c>
      <c r="T419" s="93">
        <v>0.48880442370025501</v>
      </c>
      <c r="U419" s="62" t="str">
        <f>IF(SUMPRODUCT(--(H419:T419&lt;&gt;'Source Data'!H419:T419))=0,"",SUMPRODUCT(--(H419:T419&lt;&gt;'Source Data'!H419:T419))&amp;" yr")</f>
        <v/>
      </c>
      <c r="V419" s="63" t="s">
        <v>683</v>
      </c>
    </row>
    <row r="420" spans="2:22" x14ac:dyDescent="0.25">
      <c r="B420" s="23" t="s">
        <v>1217</v>
      </c>
      <c r="C420" s="28" t="s">
        <v>799</v>
      </c>
      <c r="D420" s="50" t="s">
        <v>432</v>
      </c>
      <c r="F420" s="44" t="s">
        <v>1218</v>
      </c>
      <c r="H420" s="93">
        <v>0.85137574334741195</v>
      </c>
      <c r="I420" s="93">
        <v>0</v>
      </c>
      <c r="J420" s="93">
        <v>0</v>
      </c>
      <c r="K420" s="93">
        <v>0</v>
      </c>
      <c r="L420" s="93">
        <v>0</v>
      </c>
      <c r="M420" s="93">
        <v>0</v>
      </c>
      <c r="N420" s="93">
        <v>0</v>
      </c>
      <c r="O420" s="93">
        <v>0</v>
      </c>
      <c r="P420" s="93">
        <v>0</v>
      </c>
      <c r="Q420" s="93">
        <v>0</v>
      </c>
      <c r="R420" s="93">
        <v>0</v>
      </c>
      <c r="S420" s="93">
        <v>0</v>
      </c>
      <c r="T420" s="93">
        <v>0</v>
      </c>
      <c r="U420" s="62" t="str">
        <f>IF(SUMPRODUCT(--(H420:T420&lt;&gt;'Source Data'!H420:T420))=0,"",SUMPRODUCT(--(H420:T420&lt;&gt;'Source Data'!H420:T420))&amp;" yr")</f>
        <v/>
      </c>
      <c r="V420" s="63" t="s">
        <v>642</v>
      </c>
    </row>
    <row r="421" spans="2:22" x14ac:dyDescent="0.25">
      <c r="B421" s="23" t="s">
        <v>1219</v>
      </c>
      <c r="C421" s="28" t="s">
        <v>799</v>
      </c>
      <c r="D421" s="50" t="s">
        <v>432</v>
      </c>
      <c r="F421" s="44" t="s">
        <v>1220</v>
      </c>
      <c r="H421" s="87">
        <v>0</v>
      </c>
      <c r="I421" s="87">
        <v>0.35120000000000001</v>
      </c>
      <c r="J421" s="87">
        <v>0.35120000000000001</v>
      </c>
      <c r="K421" s="87">
        <v>0.35120000000000001</v>
      </c>
      <c r="L421" s="87">
        <v>0.35120000000000001</v>
      </c>
      <c r="M421" s="87">
        <v>0.35120000000000001</v>
      </c>
      <c r="N421" s="87">
        <v>0.35120000000000001</v>
      </c>
      <c r="O421" s="87">
        <v>0.35120000000000001</v>
      </c>
      <c r="P421" s="87">
        <v>0.35120000000000001</v>
      </c>
      <c r="Q421" s="87">
        <v>0.35120000000000001</v>
      </c>
      <c r="R421" s="87">
        <v>0.35120000000000001</v>
      </c>
      <c r="S421" s="87">
        <v>0.35120000000000001</v>
      </c>
      <c r="T421" s="87">
        <v>0.35120000000000001</v>
      </c>
      <c r="U421" s="62" t="str">
        <f>IF(SUMPRODUCT(--(H421:T421&lt;&gt;'Source Data'!H421:T421))=0,"",SUMPRODUCT(--(H421:T421&lt;&gt;'Source Data'!H421:T421))&amp;" yr")</f>
        <v/>
      </c>
      <c r="V421" s="63" t="s">
        <v>642</v>
      </c>
    </row>
    <row r="422" spans="2:22" x14ac:dyDescent="0.25">
      <c r="B422" s="23" t="s">
        <v>1221</v>
      </c>
      <c r="C422" s="28" t="s">
        <v>799</v>
      </c>
      <c r="D422" s="50" t="s">
        <v>432</v>
      </c>
      <c r="F422" s="44" t="s">
        <v>1222</v>
      </c>
      <c r="H422" s="87">
        <v>0</v>
      </c>
      <c r="I422" s="87">
        <v>0.45200000000000001</v>
      </c>
      <c r="J422" s="87">
        <v>0.45200000000000001</v>
      </c>
      <c r="K422" s="87">
        <v>0.45200000000000001</v>
      </c>
      <c r="L422" s="87">
        <v>0.45200000000000001</v>
      </c>
      <c r="M422" s="87">
        <v>0.45200000000000001</v>
      </c>
      <c r="N422" s="87">
        <v>0.45200000000000001</v>
      </c>
      <c r="O422" s="87">
        <v>0.45200000000000001</v>
      </c>
      <c r="P422" s="87">
        <v>0.45200000000000001</v>
      </c>
      <c r="Q422" s="87">
        <v>0.45200000000000001</v>
      </c>
      <c r="R422" s="87">
        <v>0.45200000000000001</v>
      </c>
      <c r="S422" s="87">
        <v>0.45200000000000001</v>
      </c>
      <c r="T422" s="87">
        <v>0.45200000000000001</v>
      </c>
      <c r="U422" s="62" t="str">
        <f>IF(SUMPRODUCT(--(H422:T422&lt;&gt;'Source Data'!H422:T422))=0,"",SUMPRODUCT(--(H422:T422&lt;&gt;'Source Data'!H422:T422))&amp;" yr")</f>
        <v/>
      </c>
      <c r="V422" s="63" t="s">
        <v>642</v>
      </c>
    </row>
    <row r="423" spans="2:22" x14ac:dyDescent="0.25">
      <c r="B423" s="23" t="s">
        <v>1223</v>
      </c>
      <c r="C423" s="28" t="s">
        <v>799</v>
      </c>
      <c r="D423" s="50" t="s">
        <v>432</v>
      </c>
      <c r="F423" s="44" t="s">
        <v>1224</v>
      </c>
      <c r="H423" s="87">
        <v>0</v>
      </c>
      <c r="I423" s="87">
        <v>0.3528</v>
      </c>
      <c r="J423" s="87">
        <v>0.3528</v>
      </c>
      <c r="K423" s="87">
        <v>0.3528</v>
      </c>
      <c r="L423" s="87">
        <v>0.3528</v>
      </c>
      <c r="M423" s="87">
        <v>0.3528</v>
      </c>
      <c r="N423" s="87">
        <v>0.3528</v>
      </c>
      <c r="O423" s="87">
        <v>0.3528</v>
      </c>
      <c r="P423" s="87">
        <v>0.3528</v>
      </c>
      <c r="Q423" s="87">
        <v>0.3528</v>
      </c>
      <c r="R423" s="87">
        <v>0.3528</v>
      </c>
      <c r="S423" s="87">
        <v>0.3528</v>
      </c>
      <c r="T423" s="87">
        <v>0.3528</v>
      </c>
      <c r="U423" s="62" t="str">
        <f>IF(SUMPRODUCT(--(H423:T423&lt;&gt;'Source Data'!H423:T423))=0,"",SUMPRODUCT(--(H423:T423&lt;&gt;'Source Data'!H423:T423))&amp;" yr")</f>
        <v/>
      </c>
      <c r="V423" s="63" t="s">
        <v>642</v>
      </c>
    </row>
    <row r="424" spans="2:22" x14ac:dyDescent="0.25">
      <c r="B424" s="23" t="s">
        <v>1225</v>
      </c>
      <c r="C424" s="28" t="s">
        <v>799</v>
      </c>
      <c r="D424" s="50" t="s">
        <v>432</v>
      </c>
      <c r="F424" s="44" t="s">
        <v>1226</v>
      </c>
      <c r="H424" s="87">
        <v>0</v>
      </c>
      <c r="I424" s="87">
        <v>0.87190366972477096</v>
      </c>
      <c r="J424" s="87">
        <v>0.3528</v>
      </c>
      <c r="K424" s="87">
        <v>0.3528</v>
      </c>
      <c r="L424" s="87">
        <v>0.3528</v>
      </c>
      <c r="M424" s="87">
        <v>0.3528</v>
      </c>
      <c r="N424" s="87">
        <v>0.3528</v>
      </c>
      <c r="O424" s="87">
        <v>0.3528</v>
      </c>
      <c r="P424" s="87">
        <v>0.3528</v>
      </c>
      <c r="Q424" s="87">
        <v>0.3528</v>
      </c>
      <c r="R424" s="87">
        <v>0.3528</v>
      </c>
      <c r="S424" s="87">
        <v>0.3528</v>
      </c>
      <c r="T424" s="87">
        <v>0.3528</v>
      </c>
      <c r="U424" s="62" t="str">
        <f>IF(SUMPRODUCT(--(H424:T424&lt;&gt;'Source Data'!H424:T424))=0,"",SUMPRODUCT(--(H424:T424&lt;&gt;'Source Data'!H424:T424))&amp;" yr")</f>
        <v/>
      </c>
      <c r="V424" s="63" t="s">
        <v>642</v>
      </c>
    </row>
    <row r="425" spans="2:22" x14ac:dyDescent="0.25">
      <c r="B425" s="23" t="s">
        <v>1227</v>
      </c>
      <c r="C425" s="28" t="s">
        <v>799</v>
      </c>
      <c r="D425" s="50" t="s">
        <v>432</v>
      </c>
      <c r="F425" s="44" t="s">
        <v>1228</v>
      </c>
      <c r="H425" s="87">
        <v>0</v>
      </c>
      <c r="I425" s="87">
        <v>0.34689845910707201</v>
      </c>
      <c r="J425" s="87">
        <v>0.34689845910707201</v>
      </c>
      <c r="K425" s="87">
        <v>0.34689845910707201</v>
      </c>
      <c r="L425" s="87">
        <v>0.34689845910707201</v>
      </c>
      <c r="M425" s="87">
        <v>0.34689845910707201</v>
      </c>
      <c r="N425" s="87">
        <v>0.34689845910707201</v>
      </c>
      <c r="O425" s="87">
        <v>0.34689845910707201</v>
      </c>
      <c r="P425" s="87">
        <v>0.34689845910707201</v>
      </c>
      <c r="Q425" s="87">
        <v>0.34689845910707201</v>
      </c>
      <c r="R425" s="87">
        <v>0.34689845910707201</v>
      </c>
      <c r="S425" s="87">
        <v>0.34689845910707201</v>
      </c>
      <c r="T425" s="87">
        <v>0.34689845910707201</v>
      </c>
      <c r="U425" s="62" t="str">
        <f>IF(SUMPRODUCT(--(H425:T425&lt;&gt;'Source Data'!H425:T425))=0,"",SUMPRODUCT(--(H425:T425&lt;&gt;'Source Data'!H425:T425))&amp;" yr")</f>
        <v/>
      </c>
      <c r="V425" s="63" t="s">
        <v>642</v>
      </c>
    </row>
    <row r="427" spans="2:22" x14ac:dyDescent="0.25">
      <c r="B427" s="58" t="s">
        <v>1229</v>
      </c>
      <c r="C427" s="19"/>
      <c r="D427" s="19"/>
      <c r="E427" s="19"/>
      <c r="F427" s="19"/>
      <c r="G427" s="19"/>
      <c r="H427" s="19"/>
      <c r="I427" s="19"/>
      <c r="J427" s="19"/>
      <c r="K427" s="19"/>
      <c r="L427" s="19"/>
      <c r="M427" s="19"/>
      <c r="N427" s="19"/>
      <c r="O427" s="19"/>
      <c r="P427" s="19"/>
      <c r="Q427" s="19"/>
      <c r="R427" s="19"/>
      <c r="S427" s="19"/>
      <c r="T427" s="19"/>
      <c r="U427" s="19"/>
      <c r="V427" s="19"/>
    </row>
    <row r="428" spans="2:22" x14ac:dyDescent="0.25">
      <c r="B428" s="63" t="s">
        <v>1230</v>
      </c>
    </row>
    <row r="429" spans="2:22" x14ac:dyDescent="0.25">
      <c r="B429" s="59" t="s">
        <v>1231</v>
      </c>
      <c r="C429" s="59" t="s">
        <v>466</v>
      </c>
      <c r="D429" s="59" t="s">
        <v>467</v>
      </c>
      <c r="E429" s="59" t="s">
        <v>468</v>
      </c>
      <c r="F429" s="59" t="s">
        <v>469</v>
      </c>
      <c r="G429" s="80" t="s">
        <v>628</v>
      </c>
      <c r="H429" s="81">
        <v>2024</v>
      </c>
      <c r="I429" s="81">
        <v>2025</v>
      </c>
      <c r="J429" s="81">
        <v>2026</v>
      </c>
      <c r="K429" s="81">
        <v>2027</v>
      </c>
      <c r="L429" s="81">
        <v>2028</v>
      </c>
      <c r="M429" s="81">
        <v>2029</v>
      </c>
      <c r="N429" s="81">
        <v>2030</v>
      </c>
      <c r="O429" s="81">
        <v>2031</v>
      </c>
      <c r="P429" s="81">
        <v>2032</v>
      </c>
      <c r="Q429" s="81">
        <v>2033</v>
      </c>
      <c r="R429" s="81">
        <v>2034</v>
      </c>
      <c r="S429" s="81">
        <v>2035</v>
      </c>
      <c r="T429" s="81">
        <v>2036</v>
      </c>
      <c r="U429" s="59" t="s">
        <v>470</v>
      </c>
      <c r="V429" s="59" t="s">
        <v>471</v>
      </c>
    </row>
    <row r="430" spans="2:22" ht="24.75" customHeight="1" x14ac:dyDescent="0.25">
      <c r="B430" s="23" t="s">
        <v>1232</v>
      </c>
      <c r="C430" s="90" t="s">
        <v>1233</v>
      </c>
      <c r="D430" s="50" t="s">
        <v>432</v>
      </c>
      <c r="F430" s="44" t="s">
        <v>1234</v>
      </c>
      <c r="H430" s="87">
        <v>0.27</v>
      </c>
      <c r="I430" s="87">
        <v>0.27</v>
      </c>
      <c r="J430" s="87">
        <v>0.27</v>
      </c>
      <c r="K430" s="87">
        <v>0.27</v>
      </c>
      <c r="L430" s="87">
        <v>0.27</v>
      </c>
      <c r="M430" s="87">
        <v>0.27</v>
      </c>
      <c r="N430" s="87">
        <v>0.27</v>
      </c>
      <c r="O430" s="87">
        <v>0.27</v>
      </c>
      <c r="P430" s="87">
        <v>0.27</v>
      </c>
      <c r="Q430" s="87">
        <v>0.27</v>
      </c>
      <c r="R430" s="87">
        <v>0.27</v>
      </c>
      <c r="S430" s="87">
        <v>0.27</v>
      </c>
      <c r="T430" s="87">
        <v>0.27</v>
      </c>
      <c r="U430" s="62" t="str">
        <f>IF(SUMPRODUCT(--(H430:T430&lt;&gt;'Source Data'!H430:T430))=0,"",SUMPRODUCT(--(H430:T430&lt;&gt;'Source Data'!H430:T430))&amp;" yr")</f>
        <v/>
      </c>
      <c r="V430" s="63" t="s">
        <v>683</v>
      </c>
    </row>
    <row r="431" spans="2:22" x14ac:dyDescent="0.25">
      <c r="B431" s="23" t="s">
        <v>1235</v>
      </c>
      <c r="C431" s="28" t="s">
        <v>647</v>
      </c>
      <c r="D431" s="50" t="s">
        <v>432</v>
      </c>
      <c r="F431" s="44" t="s">
        <v>1236</v>
      </c>
      <c r="H431" s="86">
        <v>2526</v>
      </c>
      <c r="I431" s="86">
        <v>2526</v>
      </c>
      <c r="J431" s="86">
        <v>2526</v>
      </c>
      <c r="K431" s="86">
        <v>2526</v>
      </c>
      <c r="L431" s="86">
        <v>2526</v>
      </c>
      <c r="M431" s="86">
        <v>2526</v>
      </c>
      <c r="N431" s="86">
        <v>2526</v>
      </c>
      <c r="O431" s="86">
        <v>2526</v>
      </c>
      <c r="P431" s="86">
        <v>2526</v>
      </c>
      <c r="Q431" s="86">
        <v>2526</v>
      </c>
      <c r="R431" s="86">
        <v>2526</v>
      </c>
      <c r="S431" s="86">
        <v>2526</v>
      </c>
      <c r="T431" s="86">
        <v>2526</v>
      </c>
      <c r="U431" s="62" t="str">
        <f>IF(SUMPRODUCT(--(H431:T431&lt;&gt;'Source Data'!H431:T431))=0,"",SUMPRODUCT(--(H431:T431&lt;&gt;'Source Data'!H431:T431))&amp;" yr")</f>
        <v/>
      </c>
      <c r="V431" s="63" t="s">
        <v>683</v>
      </c>
    </row>
    <row r="432" spans="2:22" x14ac:dyDescent="0.25">
      <c r="B432" s="23" t="s">
        <v>1237</v>
      </c>
      <c r="C432" s="28" t="s">
        <v>647</v>
      </c>
      <c r="D432" s="50" t="s">
        <v>432</v>
      </c>
      <c r="F432" s="44" t="s">
        <v>1238</v>
      </c>
      <c r="H432" s="86">
        <v>36303</v>
      </c>
      <c r="I432" s="86">
        <v>36303</v>
      </c>
      <c r="J432" s="86">
        <v>36303</v>
      </c>
      <c r="K432" s="86">
        <v>36303</v>
      </c>
      <c r="L432" s="86">
        <v>36303</v>
      </c>
      <c r="M432" s="86">
        <v>36303</v>
      </c>
      <c r="N432" s="86">
        <v>36303</v>
      </c>
      <c r="O432" s="86">
        <v>36303</v>
      </c>
      <c r="P432" s="86">
        <v>36303</v>
      </c>
      <c r="Q432" s="86">
        <v>36303</v>
      </c>
      <c r="R432" s="86">
        <v>36303</v>
      </c>
      <c r="S432" s="86">
        <v>36303</v>
      </c>
      <c r="T432" s="86">
        <v>36303</v>
      </c>
      <c r="U432" s="62" t="str">
        <f>IF(SUMPRODUCT(--(H432:T432&lt;&gt;'Source Data'!H432:T432))=0,"",SUMPRODUCT(--(H432:T432&lt;&gt;'Source Data'!H432:T432))&amp;" yr")</f>
        <v/>
      </c>
      <c r="V432" s="63" t="s">
        <v>683</v>
      </c>
    </row>
    <row r="433" spans="2:22" x14ac:dyDescent="0.25">
      <c r="B433" s="23" t="s">
        <v>1239</v>
      </c>
      <c r="C433" s="28" t="s">
        <v>647</v>
      </c>
      <c r="D433" s="50" t="s">
        <v>432</v>
      </c>
      <c r="F433" s="44" t="s">
        <v>1240</v>
      </c>
      <c r="H433" s="86">
        <v>23777</v>
      </c>
      <c r="I433" s="86">
        <v>23777</v>
      </c>
      <c r="J433" s="86">
        <v>23777</v>
      </c>
      <c r="K433" s="86">
        <v>23777</v>
      </c>
      <c r="L433" s="86">
        <v>23777</v>
      </c>
      <c r="M433" s="86">
        <v>23777</v>
      </c>
      <c r="N433" s="86">
        <v>23777</v>
      </c>
      <c r="O433" s="86">
        <v>23777</v>
      </c>
      <c r="P433" s="86">
        <v>23777</v>
      </c>
      <c r="Q433" s="86">
        <v>23777</v>
      </c>
      <c r="R433" s="86">
        <v>23777</v>
      </c>
      <c r="S433" s="86">
        <v>23777</v>
      </c>
      <c r="T433" s="86">
        <v>23777</v>
      </c>
      <c r="U433" s="62" t="str">
        <f>IF(SUMPRODUCT(--(H433:T433&lt;&gt;'Source Data'!H433:T433))=0,"",SUMPRODUCT(--(H433:T433&lt;&gt;'Source Data'!H433:T433))&amp;" yr")</f>
        <v/>
      </c>
      <c r="V433" s="63" t="s">
        <v>683</v>
      </c>
    </row>
    <row r="434" spans="2:22" x14ac:dyDescent="0.25">
      <c r="B434" s="23" t="s">
        <v>1241</v>
      </c>
      <c r="C434" s="28" t="s">
        <v>647</v>
      </c>
      <c r="D434" s="50" t="s">
        <v>432</v>
      </c>
      <c r="F434" s="44" t="s">
        <v>1242</v>
      </c>
      <c r="H434" s="86">
        <v>8421</v>
      </c>
      <c r="I434" s="86">
        <v>8421</v>
      </c>
      <c r="J434" s="86">
        <v>8421</v>
      </c>
      <c r="K434" s="86">
        <v>8421</v>
      </c>
      <c r="L434" s="86">
        <v>8421</v>
      </c>
      <c r="M434" s="86">
        <v>8421</v>
      </c>
      <c r="N434" s="86">
        <v>8421</v>
      </c>
      <c r="O434" s="86">
        <v>8421</v>
      </c>
      <c r="P434" s="86">
        <v>8421</v>
      </c>
      <c r="Q434" s="86">
        <v>8421</v>
      </c>
      <c r="R434" s="86">
        <v>8421</v>
      </c>
      <c r="S434" s="86">
        <v>8421</v>
      </c>
      <c r="T434" s="86">
        <v>8421</v>
      </c>
      <c r="U434" s="62" t="str">
        <f>IF(SUMPRODUCT(--(H434:T434&lt;&gt;'Source Data'!H434:T434))=0,"",SUMPRODUCT(--(H434:T434&lt;&gt;'Source Data'!H434:T434))&amp;" yr")</f>
        <v/>
      </c>
      <c r="V434" s="63" t="s">
        <v>683</v>
      </c>
    </row>
    <row r="435" spans="2:22" x14ac:dyDescent="0.25">
      <c r="B435" s="23" t="s">
        <v>1243</v>
      </c>
      <c r="C435" s="28" t="s">
        <v>647</v>
      </c>
      <c r="D435" s="50" t="s">
        <v>432</v>
      </c>
      <c r="F435" s="44" t="s">
        <v>1244</v>
      </c>
      <c r="H435" s="86">
        <v>6935</v>
      </c>
      <c r="I435" s="86">
        <v>6935</v>
      </c>
      <c r="J435" s="86">
        <v>6935</v>
      </c>
      <c r="K435" s="86">
        <v>6935</v>
      </c>
      <c r="L435" s="86">
        <v>6935</v>
      </c>
      <c r="M435" s="86">
        <v>6935</v>
      </c>
      <c r="N435" s="86">
        <v>6935</v>
      </c>
      <c r="O435" s="86">
        <v>6935</v>
      </c>
      <c r="P435" s="86">
        <v>6935</v>
      </c>
      <c r="Q435" s="86">
        <v>6935</v>
      </c>
      <c r="R435" s="86">
        <v>6935</v>
      </c>
      <c r="S435" s="86">
        <v>6935</v>
      </c>
      <c r="T435" s="86">
        <v>6935</v>
      </c>
      <c r="U435" s="62" t="str">
        <f>IF(SUMPRODUCT(--(H435:T435&lt;&gt;'Source Data'!H435:T435))=0,"",SUMPRODUCT(--(H435:T435&lt;&gt;'Source Data'!H435:T435))&amp;" yr")</f>
        <v/>
      </c>
      <c r="V435" s="63" t="s">
        <v>683</v>
      </c>
    </row>
    <row r="436" spans="2:22" x14ac:dyDescent="0.25">
      <c r="B436" s="23" t="s">
        <v>1245</v>
      </c>
      <c r="C436" s="28" t="s">
        <v>647</v>
      </c>
      <c r="D436" s="50" t="s">
        <v>432</v>
      </c>
      <c r="F436" s="44" t="s">
        <v>1246</v>
      </c>
      <c r="H436" s="86">
        <v>297</v>
      </c>
      <c r="I436" s="86">
        <v>297</v>
      </c>
      <c r="J436" s="86">
        <v>297</v>
      </c>
      <c r="K436" s="86">
        <v>297</v>
      </c>
      <c r="L436" s="86">
        <v>297</v>
      </c>
      <c r="M436" s="86">
        <v>297</v>
      </c>
      <c r="N436" s="86">
        <v>297</v>
      </c>
      <c r="O436" s="86">
        <v>297</v>
      </c>
      <c r="P436" s="86">
        <v>297</v>
      </c>
      <c r="Q436" s="86">
        <v>297</v>
      </c>
      <c r="R436" s="86">
        <v>297</v>
      </c>
      <c r="S436" s="86">
        <v>297</v>
      </c>
      <c r="T436" s="86">
        <v>297</v>
      </c>
      <c r="U436" s="62" t="str">
        <f>IF(SUMPRODUCT(--(H436:T436&lt;&gt;'Source Data'!H436:T436))=0,"",SUMPRODUCT(--(H436:T436&lt;&gt;'Source Data'!H436:T436))&amp;" yr")</f>
        <v/>
      </c>
      <c r="V436" s="63" t="s">
        <v>683</v>
      </c>
    </row>
    <row r="437" spans="2:22" x14ac:dyDescent="0.25">
      <c r="B437" s="23" t="s">
        <v>1247</v>
      </c>
      <c r="C437" s="28" t="s">
        <v>647</v>
      </c>
      <c r="D437" s="50" t="s">
        <v>432</v>
      </c>
      <c r="F437" s="44" t="s">
        <v>1248</v>
      </c>
      <c r="H437" s="86">
        <v>3705</v>
      </c>
      <c r="I437" s="86">
        <v>3705</v>
      </c>
      <c r="J437" s="86">
        <v>3705</v>
      </c>
      <c r="K437" s="86">
        <v>3705</v>
      </c>
      <c r="L437" s="86">
        <v>3705</v>
      </c>
      <c r="M437" s="86">
        <v>3705</v>
      </c>
      <c r="N437" s="86">
        <v>3705</v>
      </c>
      <c r="O437" s="86">
        <v>3705</v>
      </c>
      <c r="P437" s="86">
        <v>3705</v>
      </c>
      <c r="Q437" s="86">
        <v>3705</v>
      </c>
      <c r="R437" s="86">
        <v>3705</v>
      </c>
      <c r="S437" s="86">
        <v>3705</v>
      </c>
      <c r="T437" s="86">
        <v>3705</v>
      </c>
      <c r="U437" s="62" t="str">
        <f>IF(SUMPRODUCT(--(H437:T437&lt;&gt;'Source Data'!H437:T437))=0,"",SUMPRODUCT(--(H437:T437&lt;&gt;'Source Data'!H437:T437))&amp;" yr")</f>
        <v/>
      </c>
      <c r="V437" s="63" t="s">
        <v>683</v>
      </c>
    </row>
    <row r="438" spans="2:22" x14ac:dyDescent="0.25">
      <c r="B438" s="23" t="s">
        <v>1249</v>
      </c>
      <c r="C438" s="28" t="s">
        <v>647</v>
      </c>
      <c r="D438" s="50" t="s">
        <v>432</v>
      </c>
      <c r="F438" s="44" t="s">
        <v>1250</v>
      </c>
      <c r="H438" s="86">
        <v>42588</v>
      </c>
      <c r="I438" s="86">
        <v>42588</v>
      </c>
      <c r="J438" s="86">
        <v>42588</v>
      </c>
      <c r="K438" s="86">
        <v>42588</v>
      </c>
      <c r="L438" s="86">
        <v>42588</v>
      </c>
      <c r="M438" s="86">
        <v>42588</v>
      </c>
      <c r="N438" s="86">
        <v>42588</v>
      </c>
      <c r="O438" s="86">
        <v>42588</v>
      </c>
      <c r="P438" s="86">
        <v>42588</v>
      </c>
      <c r="Q438" s="86">
        <v>42588</v>
      </c>
      <c r="R438" s="86">
        <v>42588</v>
      </c>
      <c r="S438" s="86">
        <v>42588</v>
      </c>
      <c r="T438" s="86">
        <v>42588</v>
      </c>
      <c r="U438" s="62" t="str">
        <f>IF(SUMPRODUCT(--(H438:T438&lt;&gt;'Source Data'!H438:T438))=0,"",SUMPRODUCT(--(H438:T438&lt;&gt;'Source Data'!H438:T438))&amp;" yr")</f>
        <v/>
      </c>
      <c r="V438" s="63" t="s">
        <v>683</v>
      </c>
    </row>
    <row r="439" spans="2:22" x14ac:dyDescent="0.25">
      <c r="B439" s="23" t="s">
        <v>1251</v>
      </c>
      <c r="C439" s="28" t="s">
        <v>647</v>
      </c>
      <c r="D439" s="50" t="s">
        <v>432</v>
      </c>
      <c r="F439" s="44" t="s">
        <v>1252</v>
      </c>
      <c r="H439" s="86">
        <v>23245</v>
      </c>
      <c r="I439" s="86">
        <v>23245</v>
      </c>
      <c r="J439" s="86">
        <v>23245</v>
      </c>
      <c r="K439" s="86">
        <v>23245</v>
      </c>
      <c r="L439" s="86">
        <v>23245</v>
      </c>
      <c r="M439" s="86">
        <v>23245</v>
      </c>
      <c r="N439" s="86">
        <v>23245</v>
      </c>
      <c r="O439" s="86">
        <v>23245</v>
      </c>
      <c r="P439" s="86">
        <v>23245</v>
      </c>
      <c r="Q439" s="86">
        <v>23245</v>
      </c>
      <c r="R439" s="86">
        <v>23245</v>
      </c>
      <c r="S439" s="86">
        <v>23245</v>
      </c>
      <c r="T439" s="86">
        <v>23245</v>
      </c>
      <c r="U439" s="62" t="str">
        <f>IF(SUMPRODUCT(--(H439:T439&lt;&gt;'Source Data'!H439:T439))=0,"",SUMPRODUCT(--(H439:T439&lt;&gt;'Source Data'!H439:T439))&amp;" yr")</f>
        <v/>
      </c>
      <c r="V439" s="63" t="s">
        <v>683</v>
      </c>
    </row>
    <row r="440" spans="2:22" x14ac:dyDescent="0.25">
      <c r="B440" s="23" t="s">
        <v>1253</v>
      </c>
      <c r="C440" s="28" t="s">
        <v>647</v>
      </c>
      <c r="D440" s="50" t="s">
        <v>432</v>
      </c>
      <c r="F440" s="44" t="s">
        <v>1254</v>
      </c>
      <c r="H440" s="86">
        <v>8232</v>
      </c>
      <c r="I440" s="86">
        <v>8232</v>
      </c>
      <c r="J440" s="86">
        <v>8232</v>
      </c>
      <c r="K440" s="86">
        <v>8232</v>
      </c>
      <c r="L440" s="86">
        <v>8232</v>
      </c>
      <c r="M440" s="86">
        <v>8232</v>
      </c>
      <c r="N440" s="86">
        <v>8232</v>
      </c>
      <c r="O440" s="86">
        <v>8232</v>
      </c>
      <c r="P440" s="86">
        <v>8232</v>
      </c>
      <c r="Q440" s="86">
        <v>8232</v>
      </c>
      <c r="R440" s="86">
        <v>8232</v>
      </c>
      <c r="S440" s="86">
        <v>8232</v>
      </c>
      <c r="T440" s="86">
        <v>8232</v>
      </c>
      <c r="U440" s="62" t="str">
        <f>IF(SUMPRODUCT(--(H440:T440&lt;&gt;'Source Data'!H440:T440))=0,"",SUMPRODUCT(--(H440:T440&lt;&gt;'Source Data'!H440:T440))&amp;" yr")</f>
        <v/>
      </c>
      <c r="V440" s="63" t="s">
        <v>683</v>
      </c>
    </row>
    <row r="441" spans="2:22" x14ac:dyDescent="0.25">
      <c r="B441" s="23" t="s">
        <v>1255</v>
      </c>
      <c r="C441" s="28" t="s">
        <v>647</v>
      </c>
      <c r="D441" s="50" t="s">
        <v>432</v>
      </c>
      <c r="F441" s="44" t="s">
        <v>1256</v>
      </c>
      <c r="H441" s="86">
        <v>6780</v>
      </c>
      <c r="I441" s="86">
        <v>6780</v>
      </c>
      <c r="J441" s="86">
        <v>6780</v>
      </c>
      <c r="K441" s="86">
        <v>6780</v>
      </c>
      <c r="L441" s="86">
        <v>6780</v>
      </c>
      <c r="M441" s="86">
        <v>6780</v>
      </c>
      <c r="N441" s="86">
        <v>6780</v>
      </c>
      <c r="O441" s="86">
        <v>6780</v>
      </c>
      <c r="P441" s="86">
        <v>6780</v>
      </c>
      <c r="Q441" s="86">
        <v>6780</v>
      </c>
      <c r="R441" s="86">
        <v>6780</v>
      </c>
      <c r="S441" s="86">
        <v>6780</v>
      </c>
      <c r="T441" s="86">
        <v>6780</v>
      </c>
      <c r="U441" s="62" t="str">
        <f>IF(SUMPRODUCT(--(H441:T441&lt;&gt;'Source Data'!H441:T441))=0,"",SUMPRODUCT(--(H441:T441&lt;&gt;'Source Data'!H441:T441))&amp;" yr")</f>
        <v/>
      </c>
      <c r="V441" s="63" t="s">
        <v>683</v>
      </c>
    </row>
    <row r="442" spans="2:22" x14ac:dyDescent="0.25">
      <c r="B442" s="23" t="s">
        <v>1257</v>
      </c>
      <c r="C442" s="28" t="s">
        <v>647</v>
      </c>
      <c r="D442" s="50" t="s">
        <v>432</v>
      </c>
      <c r="F442" s="44" t="s">
        <v>1258</v>
      </c>
      <c r="H442" s="86">
        <v>291</v>
      </c>
      <c r="I442" s="86">
        <v>291</v>
      </c>
      <c r="J442" s="86">
        <v>291</v>
      </c>
      <c r="K442" s="86">
        <v>291</v>
      </c>
      <c r="L442" s="86">
        <v>291</v>
      </c>
      <c r="M442" s="86">
        <v>291</v>
      </c>
      <c r="N442" s="86">
        <v>291</v>
      </c>
      <c r="O442" s="86">
        <v>291</v>
      </c>
      <c r="P442" s="86">
        <v>291</v>
      </c>
      <c r="Q442" s="86">
        <v>291</v>
      </c>
      <c r="R442" s="86">
        <v>291</v>
      </c>
      <c r="S442" s="86">
        <v>291</v>
      </c>
      <c r="T442" s="86">
        <v>291</v>
      </c>
      <c r="U442" s="62" t="str">
        <f>IF(SUMPRODUCT(--(H442:T442&lt;&gt;'Source Data'!H442:T442))=0,"",SUMPRODUCT(--(H442:T442&lt;&gt;'Source Data'!H442:T442))&amp;" yr")</f>
        <v/>
      </c>
      <c r="V442" s="63" t="s">
        <v>683</v>
      </c>
    </row>
    <row r="443" spans="2:22" x14ac:dyDescent="0.25">
      <c r="B443" s="23" t="s">
        <v>1259</v>
      </c>
      <c r="C443" s="28" t="s">
        <v>647</v>
      </c>
      <c r="D443" s="50" t="s">
        <v>432</v>
      </c>
      <c r="F443" s="44" t="s">
        <v>1260</v>
      </c>
      <c r="H443" s="86">
        <v>6748.59024058253</v>
      </c>
      <c r="I443" s="86">
        <v>6748.59024058253</v>
      </c>
      <c r="J443" s="86">
        <v>6748.59024058253</v>
      </c>
      <c r="K443" s="86">
        <v>6748.59024058253</v>
      </c>
      <c r="L443" s="86">
        <v>6748.59024058253</v>
      </c>
      <c r="M443" s="86">
        <v>6748.59024058253</v>
      </c>
      <c r="N443" s="86">
        <v>6748.59024058253</v>
      </c>
      <c r="O443" s="86">
        <v>6748.59024058253</v>
      </c>
      <c r="P443" s="86">
        <v>6748.59024058253</v>
      </c>
      <c r="Q443" s="86">
        <v>6748.59024058253</v>
      </c>
      <c r="R443" s="86">
        <v>6748.59024058253</v>
      </c>
      <c r="S443" s="86">
        <v>6748.59024058253</v>
      </c>
      <c r="T443" s="86">
        <v>6748.59024058253</v>
      </c>
      <c r="U443" s="62" t="str">
        <f>IF(SUMPRODUCT(--(H443:T443&lt;&gt;'Source Data'!H443:T443))=0,"",SUMPRODUCT(--(H443:T443&lt;&gt;'Source Data'!H443:T443))&amp;" yr")</f>
        <v/>
      </c>
      <c r="V443" s="63" t="s">
        <v>683</v>
      </c>
    </row>
    <row r="444" spans="2:22" x14ac:dyDescent="0.25">
      <c r="B444" s="23" t="s">
        <v>1261</v>
      </c>
      <c r="C444" s="28" t="s">
        <v>647</v>
      </c>
      <c r="D444" s="50" t="s">
        <v>432</v>
      </c>
      <c r="F444" s="44" t="s">
        <v>1262</v>
      </c>
      <c r="H444" s="86">
        <v>4185.74</v>
      </c>
      <c r="I444" s="86">
        <v>4185.74</v>
      </c>
      <c r="J444" s="86">
        <v>4185.74</v>
      </c>
      <c r="K444" s="86">
        <v>4185.74</v>
      </c>
      <c r="L444" s="86">
        <v>4185.74</v>
      </c>
      <c r="M444" s="86">
        <v>4185.74</v>
      </c>
      <c r="N444" s="86">
        <v>4185.74</v>
      </c>
      <c r="O444" s="86">
        <v>4185.74</v>
      </c>
      <c r="P444" s="86">
        <v>4185.74</v>
      </c>
      <c r="Q444" s="86">
        <v>4185.74</v>
      </c>
      <c r="R444" s="86">
        <v>4185.74</v>
      </c>
      <c r="S444" s="86">
        <v>4185.74</v>
      </c>
      <c r="T444" s="86">
        <v>4185.74</v>
      </c>
      <c r="U444" s="62" t="str">
        <f>IF(SUMPRODUCT(--(H444:T444&lt;&gt;'Source Data'!H444:T444))=0,"",SUMPRODUCT(--(H444:T444&lt;&gt;'Source Data'!H444:T444))&amp;" yr")</f>
        <v/>
      </c>
      <c r="V444" s="63" t="s">
        <v>683</v>
      </c>
    </row>
    <row r="445" spans="2:22" x14ac:dyDescent="0.25">
      <c r="B445" s="23" t="s">
        <v>1263</v>
      </c>
      <c r="C445" s="28" t="s">
        <v>647</v>
      </c>
      <c r="D445" s="50" t="s">
        <v>432</v>
      </c>
      <c r="F445" s="44" t="s">
        <v>1264</v>
      </c>
      <c r="H445" s="86">
        <v>12570.209759417499</v>
      </c>
      <c r="I445" s="86">
        <v>12570.209759417499</v>
      </c>
      <c r="J445" s="86">
        <v>12570.209759417499</v>
      </c>
      <c r="K445" s="86">
        <v>12570.209759417499</v>
      </c>
      <c r="L445" s="86">
        <v>12570.209759417499</v>
      </c>
      <c r="M445" s="86">
        <v>12570.209759417499</v>
      </c>
      <c r="N445" s="86">
        <v>12570.209759417499</v>
      </c>
      <c r="O445" s="86">
        <v>12570.209759417499</v>
      </c>
      <c r="P445" s="86">
        <v>12570.209759417499</v>
      </c>
      <c r="Q445" s="86">
        <v>12570.209759417499</v>
      </c>
      <c r="R445" s="86">
        <v>12570.209759417499</v>
      </c>
      <c r="S445" s="86">
        <v>12570.209759417499</v>
      </c>
      <c r="T445" s="86">
        <v>12570.209759417499</v>
      </c>
      <c r="U445" s="62" t="str">
        <f>IF(SUMPRODUCT(--(H445:T445&lt;&gt;'Source Data'!H445:T445))=0,"",SUMPRODUCT(--(H445:T445&lt;&gt;'Source Data'!H445:T445))&amp;" yr")</f>
        <v/>
      </c>
      <c r="V445" s="63" t="s">
        <v>683</v>
      </c>
    </row>
    <row r="446" spans="2:22" x14ac:dyDescent="0.25">
      <c r="B446" s="23" t="s">
        <v>1265</v>
      </c>
      <c r="C446" s="28" t="s">
        <v>647</v>
      </c>
      <c r="D446" s="50" t="s">
        <v>432</v>
      </c>
      <c r="F446" s="44" t="s">
        <v>1266</v>
      </c>
      <c r="H446" s="86">
        <v>9220.5995016695306</v>
      </c>
      <c r="I446" s="86">
        <v>9220.5995016695306</v>
      </c>
      <c r="J446" s="86">
        <v>9220.5995016695306</v>
      </c>
      <c r="K446" s="86">
        <v>9220.5995016695306</v>
      </c>
      <c r="L446" s="86">
        <v>9220.5995016695306</v>
      </c>
      <c r="M446" s="86">
        <v>9220.5995016695306</v>
      </c>
      <c r="N446" s="86">
        <v>9220.5995016695306</v>
      </c>
      <c r="O446" s="86">
        <v>9220.5995016695306</v>
      </c>
      <c r="P446" s="86">
        <v>9220.5995016695306</v>
      </c>
      <c r="Q446" s="86">
        <v>9220.5995016695306</v>
      </c>
      <c r="R446" s="86">
        <v>9220.5995016695306</v>
      </c>
      <c r="S446" s="86">
        <v>9220.5995016695306</v>
      </c>
      <c r="T446" s="86">
        <v>9220.5995016695306</v>
      </c>
      <c r="U446" s="62" t="str">
        <f>IF(SUMPRODUCT(--(H446:T446&lt;&gt;'Source Data'!H446:T446))=0,"",SUMPRODUCT(--(H446:T446&lt;&gt;'Source Data'!H446:T446))&amp;" yr")</f>
        <v/>
      </c>
      <c r="V446" s="63" t="s">
        <v>683</v>
      </c>
    </row>
    <row r="447" spans="2:22" x14ac:dyDescent="0.25">
      <c r="B447" s="23" t="s">
        <v>1267</v>
      </c>
      <c r="C447" s="28" t="s">
        <v>647</v>
      </c>
      <c r="D447" s="50" t="s">
        <v>432</v>
      </c>
      <c r="F447" s="44" t="s">
        <v>1268</v>
      </c>
      <c r="H447" s="86">
        <v>4092.01</v>
      </c>
      <c r="I447" s="86">
        <v>4092.01</v>
      </c>
      <c r="J447" s="86">
        <v>4092.01</v>
      </c>
      <c r="K447" s="86">
        <v>4092.01</v>
      </c>
      <c r="L447" s="86">
        <v>4092.01</v>
      </c>
      <c r="M447" s="86">
        <v>4092.01</v>
      </c>
      <c r="N447" s="86">
        <v>4092.01</v>
      </c>
      <c r="O447" s="86">
        <v>4092.01</v>
      </c>
      <c r="P447" s="86">
        <v>4092.01</v>
      </c>
      <c r="Q447" s="86">
        <v>4092.01</v>
      </c>
      <c r="R447" s="86">
        <v>4092.01</v>
      </c>
      <c r="S447" s="86">
        <v>4092.01</v>
      </c>
      <c r="T447" s="86">
        <v>4092.01</v>
      </c>
      <c r="U447" s="62" t="str">
        <f>IF(SUMPRODUCT(--(H447:T447&lt;&gt;'Source Data'!H447:T447))=0,"",SUMPRODUCT(--(H447:T447&lt;&gt;'Source Data'!H447:T447))&amp;" yr")</f>
        <v/>
      </c>
      <c r="V447" s="63" t="s">
        <v>683</v>
      </c>
    </row>
    <row r="448" spans="2:22" x14ac:dyDescent="0.25">
      <c r="B448" s="23" t="s">
        <v>1269</v>
      </c>
      <c r="C448" s="28" t="s">
        <v>647</v>
      </c>
      <c r="D448" s="50" t="s">
        <v>432</v>
      </c>
      <c r="F448" s="44" t="s">
        <v>1270</v>
      </c>
      <c r="H448" s="86">
        <v>9665.6004983304592</v>
      </c>
      <c r="I448" s="86">
        <v>9665.6004983304592</v>
      </c>
      <c r="J448" s="86">
        <v>9665.6004983304592</v>
      </c>
      <c r="K448" s="86">
        <v>9665.6004983304592</v>
      </c>
      <c r="L448" s="86">
        <v>9665.6004983304592</v>
      </c>
      <c r="M448" s="86">
        <v>9665.6004983304592</v>
      </c>
      <c r="N448" s="86">
        <v>9665.6004983304592</v>
      </c>
      <c r="O448" s="86">
        <v>9665.6004983304592</v>
      </c>
      <c r="P448" s="86">
        <v>9665.6004983304592</v>
      </c>
      <c r="Q448" s="86">
        <v>9665.6004983304592</v>
      </c>
      <c r="R448" s="86">
        <v>9665.6004983304592</v>
      </c>
      <c r="S448" s="86">
        <v>9665.6004983304592</v>
      </c>
      <c r="T448" s="86">
        <v>9665.6004983304592</v>
      </c>
      <c r="U448" s="62" t="str">
        <f>IF(SUMPRODUCT(--(H448:T448&lt;&gt;'Source Data'!H448:T448))=0,"",SUMPRODUCT(--(H448:T448&lt;&gt;'Source Data'!H448:T448))&amp;" yr")</f>
        <v/>
      </c>
      <c r="V448" s="63" t="s">
        <v>683</v>
      </c>
    </row>
    <row r="449" spans="2:22" x14ac:dyDescent="0.25">
      <c r="B449" s="23" t="s">
        <v>1271</v>
      </c>
      <c r="C449" s="28" t="s">
        <v>647</v>
      </c>
      <c r="D449" s="50" t="s">
        <v>432</v>
      </c>
      <c r="F449" s="44" t="s">
        <v>1272</v>
      </c>
      <c r="H449" s="86">
        <v>3175.8071720388398</v>
      </c>
      <c r="I449" s="86">
        <v>3175.8071720388398</v>
      </c>
      <c r="J449" s="86">
        <v>3175.8071720388398</v>
      </c>
      <c r="K449" s="86">
        <v>3175.8071720388398</v>
      </c>
      <c r="L449" s="86">
        <v>3175.8071720388398</v>
      </c>
      <c r="M449" s="86">
        <v>3175.8071720388398</v>
      </c>
      <c r="N449" s="86">
        <v>3175.8071720388398</v>
      </c>
      <c r="O449" s="86">
        <v>3175.8071720388398</v>
      </c>
      <c r="P449" s="86">
        <v>3175.8071720388398</v>
      </c>
      <c r="Q449" s="86">
        <v>3175.8071720388398</v>
      </c>
      <c r="R449" s="86">
        <v>3175.8071720388398</v>
      </c>
      <c r="S449" s="86">
        <v>3175.8071720388398</v>
      </c>
      <c r="T449" s="86">
        <v>3175.8071720388398</v>
      </c>
      <c r="U449" s="62" t="str">
        <f>IF(SUMPRODUCT(--(H449:T449&lt;&gt;'Source Data'!H449:T449))=0,"",SUMPRODUCT(--(H449:T449&lt;&gt;'Source Data'!H449:T449))&amp;" yr")</f>
        <v/>
      </c>
      <c r="V449" s="63" t="s">
        <v>683</v>
      </c>
    </row>
    <row r="450" spans="2:22" x14ac:dyDescent="0.25">
      <c r="B450" s="23" t="s">
        <v>1273</v>
      </c>
      <c r="C450" s="28" t="s">
        <v>647</v>
      </c>
      <c r="D450" s="50" t="s">
        <v>432</v>
      </c>
      <c r="F450" s="44" t="s">
        <v>1274</v>
      </c>
      <c r="H450" s="86">
        <v>3091.01</v>
      </c>
      <c r="I450" s="86">
        <v>3091.01</v>
      </c>
      <c r="J450" s="86">
        <v>3091.01</v>
      </c>
      <c r="K450" s="86">
        <v>3091.01</v>
      </c>
      <c r="L450" s="86">
        <v>3091.01</v>
      </c>
      <c r="M450" s="86">
        <v>3091.01</v>
      </c>
      <c r="N450" s="86">
        <v>3091.01</v>
      </c>
      <c r="O450" s="86">
        <v>3091.01</v>
      </c>
      <c r="P450" s="86">
        <v>3091.01</v>
      </c>
      <c r="Q450" s="86">
        <v>3091.01</v>
      </c>
      <c r="R450" s="86">
        <v>3091.01</v>
      </c>
      <c r="S450" s="86">
        <v>3091.01</v>
      </c>
      <c r="T450" s="86">
        <v>3091.01</v>
      </c>
      <c r="U450" s="62" t="str">
        <f>IF(SUMPRODUCT(--(H450:T450&lt;&gt;'Source Data'!H450:T450))=0,"",SUMPRODUCT(--(H450:T450&lt;&gt;'Source Data'!H450:T450))&amp;" yr")</f>
        <v/>
      </c>
      <c r="V450" s="63" t="s">
        <v>683</v>
      </c>
    </row>
    <row r="451" spans="2:22" x14ac:dyDescent="0.25">
      <c r="B451" s="23" t="s">
        <v>1275</v>
      </c>
      <c r="C451" s="28" t="s">
        <v>647</v>
      </c>
      <c r="D451" s="50" t="s">
        <v>432</v>
      </c>
      <c r="F451" s="44" t="s">
        <v>1276</v>
      </c>
      <c r="H451" s="86">
        <v>3572.7830685436902</v>
      </c>
      <c r="I451" s="86">
        <v>3572.7830685436902</v>
      </c>
      <c r="J451" s="86">
        <v>3572.7830685436902</v>
      </c>
      <c r="K451" s="86">
        <v>3572.7830685436902</v>
      </c>
      <c r="L451" s="86">
        <v>3572.7830685436902</v>
      </c>
      <c r="M451" s="86">
        <v>3572.7830685436902</v>
      </c>
      <c r="N451" s="86">
        <v>3572.7830685436902</v>
      </c>
      <c r="O451" s="86">
        <v>3572.7830685436902</v>
      </c>
      <c r="P451" s="86">
        <v>3572.7830685436902</v>
      </c>
      <c r="Q451" s="86">
        <v>3572.7830685436902</v>
      </c>
      <c r="R451" s="86">
        <v>3572.7830685436902</v>
      </c>
      <c r="S451" s="86">
        <v>3572.7830685436902</v>
      </c>
      <c r="T451" s="86">
        <v>3572.7830685436902</v>
      </c>
      <c r="U451" s="62" t="str">
        <f>IF(SUMPRODUCT(--(H451:T451&lt;&gt;'Source Data'!H451:T451))=0,"",SUMPRODUCT(--(H451:T451&lt;&gt;'Source Data'!H451:T451))&amp;" yr")</f>
        <v/>
      </c>
      <c r="V451" s="63" t="s">
        <v>683</v>
      </c>
    </row>
    <row r="452" spans="2:22" x14ac:dyDescent="0.25">
      <c r="B452" s="23" t="s">
        <v>1277</v>
      </c>
      <c r="C452" s="28" t="s">
        <v>647</v>
      </c>
      <c r="D452" s="50" t="s">
        <v>432</v>
      </c>
      <c r="F452" s="44" t="s">
        <v>1278</v>
      </c>
      <c r="H452" s="86">
        <v>1094.73</v>
      </c>
      <c r="I452" s="86">
        <v>1094.73</v>
      </c>
      <c r="J452" s="86">
        <v>1094.73</v>
      </c>
      <c r="K452" s="86">
        <v>1094.73</v>
      </c>
      <c r="L452" s="86">
        <v>1094.73</v>
      </c>
      <c r="M452" s="86">
        <v>1094.73</v>
      </c>
      <c r="N452" s="86">
        <v>1094.73</v>
      </c>
      <c r="O452" s="86">
        <v>1094.73</v>
      </c>
      <c r="P452" s="86">
        <v>1094.73</v>
      </c>
      <c r="Q452" s="86">
        <v>1094.73</v>
      </c>
      <c r="R452" s="86">
        <v>1094.73</v>
      </c>
      <c r="S452" s="86">
        <v>1094.73</v>
      </c>
      <c r="T452" s="86">
        <v>1094.73</v>
      </c>
      <c r="U452" s="62" t="str">
        <f>IF(SUMPRODUCT(--(H452:T452&lt;&gt;'Source Data'!H452:T452))=0,"",SUMPRODUCT(--(H452:T452&lt;&gt;'Source Data'!H452:T452))&amp;" yr")</f>
        <v/>
      </c>
      <c r="V452" s="63" t="s">
        <v>683</v>
      </c>
    </row>
    <row r="453" spans="2:22" x14ac:dyDescent="0.25">
      <c r="B453" s="23" t="s">
        <v>1279</v>
      </c>
      <c r="C453" s="28" t="s">
        <v>647</v>
      </c>
      <c r="D453" s="50" t="s">
        <v>432</v>
      </c>
      <c r="F453" s="44" t="s">
        <v>1280</v>
      </c>
      <c r="H453" s="86">
        <v>4339.1056478444898</v>
      </c>
      <c r="I453" s="86">
        <v>4339.1056478444898</v>
      </c>
      <c r="J453" s="86">
        <v>4339.1056478444898</v>
      </c>
      <c r="K453" s="86">
        <v>4339.1056478444898</v>
      </c>
      <c r="L453" s="86">
        <v>4339.1056478444898</v>
      </c>
      <c r="M453" s="86">
        <v>4339.1056478444898</v>
      </c>
      <c r="N453" s="86">
        <v>4339.1056478444898</v>
      </c>
      <c r="O453" s="86">
        <v>4339.1056478444898</v>
      </c>
      <c r="P453" s="86">
        <v>4339.1056478444898</v>
      </c>
      <c r="Q453" s="86">
        <v>4339.1056478444898</v>
      </c>
      <c r="R453" s="86">
        <v>4339.1056478444898</v>
      </c>
      <c r="S453" s="86">
        <v>4339.1056478444898</v>
      </c>
      <c r="T453" s="86">
        <v>4339.1056478444898</v>
      </c>
      <c r="U453" s="62" t="str">
        <f>IF(SUMPRODUCT(--(H453:T453&lt;&gt;'Source Data'!H453:T453))=0,"",SUMPRODUCT(--(H453:T453&lt;&gt;'Source Data'!H453:T453))&amp;" yr")</f>
        <v/>
      </c>
      <c r="V453" s="63" t="s">
        <v>683</v>
      </c>
    </row>
    <row r="454" spans="2:22" x14ac:dyDescent="0.25">
      <c r="B454" s="23" t="s">
        <v>1281</v>
      </c>
      <c r="C454" s="28" t="s">
        <v>647</v>
      </c>
      <c r="D454" s="50" t="s">
        <v>432</v>
      </c>
      <c r="F454" s="44" t="s">
        <v>1282</v>
      </c>
      <c r="H454" s="86">
        <v>3021.85</v>
      </c>
      <c r="I454" s="86">
        <v>3021.85</v>
      </c>
      <c r="J454" s="86">
        <v>3021.85</v>
      </c>
      <c r="K454" s="86">
        <v>3021.85</v>
      </c>
      <c r="L454" s="86">
        <v>3021.85</v>
      </c>
      <c r="M454" s="86">
        <v>3021.85</v>
      </c>
      <c r="N454" s="86">
        <v>3021.85</v>
      </c>
      <c r="O454" s="86">
        <v>3021.85</v>
      </c>
      <c r="P454" s="86">
        <v>3021.85</v>
      </c>
      <c r="Q454" s="86">
        <v>3021.85</v>
      </c>
      <c r="R454" s="86">
        <v>3021.85</v>
      </c>
      <c r="S454" s="86">
        <v>3021.85</v>
      </c>
      <c r="T454" s="86">
        <v>3021.85</v>
      </c>
      <c r="U454" s="62" t="str">
        <f>IF(SUMPRODUCT(--(H454:T454&lt;&gt;'Source Data'!H454:T454))=0,"",SUMPRODUCT(--(H454:T454&lt;&gt;'Source Data'!H454:T454))&amp;" yr")</f>
        <v/>
      </c>
      <c r="V454" s="63" t="s">
        <v>683</v>
      </c>
    </row>
    <row r="455" spans="2:22" x14ac:dyDescent="0.25">
      <c r="B455" s="23" t="s">
        <v>1283</v>
      </c>
      <c r="C455" s="28" t="s">
        <v>647</v>
      </c>
      <c r="D455" s="50" t="s">
        <v>432</v>
      </c>
      <c r="F455" s="44" t="s">
        <v>1284</v>
      </c>
      <c r="H455" s="86">
        <v>4881.4938538250499</v>
      </c>
      <c r="I455" s="86">
        <v>4881.4938538250499</v>
      </c>
      <c r="J455" s="86">
        <v>4881.4938538250499</v>
      </c>
      <c r="K455" s="86">
        <v>4881.4938538250499</v>
      </c>
      <c r="L455" s="86">
        <v>4881.4938538250499</v>
      </c>
      <c r="M455" s="86">
        <v>4881.4938538250499</v>
      </c>
      <c r="N455" s="86">
        <v>4881.4938538250499</v>
      </c>
      <c r="O455" s="86">
        <v>4881.4938538250499</v>
      </c>
      <c r="P455" s="86">
        <v>4881.4938538250499</v>
      </c>
      <c r="Q455" s="86">
        <v>4881.4938538250499</v>
      </c>
      <c r="R455" s="86">
        <v>4881.4938538250499</v>
      </c>
      <c r="S455" s="86">
        <v>4881.4938538250499</v>
      </c>
      <c r="T455" s="86">
        <v>4881.4938538250499</v>
      </c>
      <c r="U455" s="62" t="str">
        <f>IF(SUMPRODUCT(--(H455:T455&lt;&gt;'Source Data'!H455:T455))=0,"",SUMPRODUCT(--(H455:T455&lt;&gt;'Source Data'!H455:T455))&amp;" yr")</f>
        <v/>
      </c>
      <c r="V455" s="63" t="s">
        <v>683</v>
      </c>
    </row>
    <row r="456" spans="2:22" x14ac:dyDescent="0.25">
      <c r="B456" s="23" t="s">
        <v>1285</v>
      </c>
      <c r="C456" s="28" t="s">
        <v>647</v>
      </c>
      <c r="D456" s="50" t="s">
        <v>432</v>
      </c>
      <c r="F456" s="44" t="s">
        <v>1286</v>
      </c>
      <c r="H456" s="86">
        <v>1070.1600000000001</v>
      </c>
      <c r="I456" s="86">
        <v>1070.1600000000001</v>
      </c>
      <c r="J456" s="86">
        <v>1070.1600000000001</v>
      </c>
      <c r="K456" s="86">
        <v>1070.1600000000001</v>
      </c>
      <c r="L456" s="86">
        <v>1070.1600000000001</v>
      </c>
      <c r="M456" s="86">
        <v>1070.1600000000001</v>
      </c>
      <c r="N456" s="86">
        <v>1070.1600000000001</v>
      </c>
      <c r="O456" s="86">
        <v>1070.1600000000001</v>
      </c>
      <c r="P456" s="86">
        <v>1070.1600000000001</v>
      </c>
      <c r="Q456" s="86">
        <v>1070.1600000000001</v>
      </c>
      <c r="R456" s="86">
        <v>1070.1600000000001</v>
      </c>
      <c r="S456" s="86">
        <v>1070.1600000000001</v>
      </c>
      <c r="T456" s="86">
        <v>1070.1600000000001</v>
      </c>
      <c r="U456" s="62" t="str">
        <f>IF(SUMPRODUCT(--(H456:T456&lt;&gt;'Source Data'!H456:T456))=0,"",SUMPRODUCT(--(H456:T456&lt;&gt;'Source Data'!H456:T456))&amp;" yr")</f>
        <v/>
      </c>
      <c r="V456" s="63" t="s">
        <v>683</v>
      </c>
    </row>
    <row r="457" spans="2:22" x14ac:dyDescent="0.25">
      <c r="B457" s="23" t="s">
        <v>1287</v>
      </c>
      <c r="C457" s="28" t="s">
        <v>292</v>
      </c>
      <c r="D457" s="50" t="s">
        <v>432</v>
      </c>
      <c r="F457" s="44" t="s">
        <v>1288</v>
      </c>
      <c r="H457" s="87">
        <v>0.49</v>
      </c>
      <c r="I457" s="87">
        <v>0.49</v>
      </c>
      <c r="J457" s="87">
        <v>0.49</v>
      </c>
      <c r="K457" s="87">
        <v>0.49</v>
      </c>
      <c r="L457" s="87">
        <v>0.49</v>
      </c>
      <c r="M457" s="87">
        <v>0.49</v>
      </c>
      <c r="N457" s="87">
        <v>0.49</v>
      </c>
      <c r="O457" s="87">
        <v>0.49</v>
      </c>
      <c r="P457" s="87">
        <v>0.49</v>
      </c>
      <c r="Q457" s="87">
        <v>0.49</v>
      </c>
      <c r="R457" s="87">
        <v>0.49</v>
      </c>
      <c r="S457" s="87">
        <v>0.49</v>
      </c>
      <c r="T457" s="87">
        <v>0.49</v>
      </c>
      <c r="U457" s="62" t="str">
        <f>IF(SUMPRODUCT(--(H457:T457&lt;&gt;'Source Data'!H457:T457))=0,"",SUMPRODUCT(--(H457:T457&lt;&gt;'Source Data'!H457:T457))&amp;" yr")</f>
        <v/>
      </c>
      <c r="V457" s="63" t="s">
        <v>1289</v>
      </c>
    </row>
    <row r="458" spans="2:22" x14ac:dyDescent="0.25">
      <c r="B458" s="23" t="s">
        <v>1290</v>
      </c>
      <c r="C458" s="28" t="s">
        <v>647</v>
      </c>
      <c r="D458" s="50" t="s">
        <v>432</v>
      </c>
      <c r="F458" s="44" t="s">
        <v>1291</v>
      </c>
      <c r="H458" s="86">
        <v>34880</v>
      </c>
      <c r="I458" s="86">
        <v>34880</v>
      </c>
      <c r="J458" s="86">
        <v>34880</v>
      </c>
      <c r="K458" s="86">
        <v>34880</v>
      </c>
      <c r="L458" s="86">
        <v>34880</v>
      </c>
      <c r="M458" s="86">
        <v>34880</v>
      </c>
      <c r="N458" s="86">
        <v>34880</v>
      </c>
      <c r="O458" s="86">
        <v>34880</v>
      </c>
      <c r="P458" s="86">
        <v>34880</v>
      </c>
      <c r="Q458" s="86">
        <v>34880</v>
      </c>
      <c r="R458" s="86">
        <v>34880</v>
      </c>
      <c r="S458" s="86">
        <v>34880</v>
      </c>
      <c r="T458" s="86">
        <v>34880</v>
      </c>
      <c r="U458" s="62" t="str">
        <f>IF(SUMPRODUCT(--(H458:T458&lt;&gt;'Source Data'!H458:T458))=0,"",SUMPRODUCT(--(H458:T458&lt;&gt;'Source Data'!H458:T458))&amp;" yr")</f>
        <v/>
      </c>
      <c r="V458" s="63" t="s">
        <v>683</v>
      </c>
    </row>
    <row r="459" spans="2:22" x14ac:dyDescent="0.25">
      <c r="B459" s="23" t="s">
        <v>1292</v>
      </c>
      <c r="C459" s="28" t="s">
        <v>292</v>
      </c>
      <c r="D459" s="50" t="s">
        <v>432</v>
      </c>
      <c r="F459" s="44" t="s">
        <v>1293</v>
      </c>
      <c r="H459" s="87">
        <v>0.7</v>
      </c>
      <c r="I459" s="87">
        <v>0.7</v>
      </c>
      <c r="J459" s="87">
        <v>0.7</v>
      </c>
      <c r="K459" s="87">
        <v>0.7</v>
      </c>
      <c r="L459" s="87">
        <v>0.7</v>
      </c>
      <c r="M459" s="87">
        <v>0.7</v>
      </c>
      <c r="N459" s="87">
        <v>0.7</v>
      </c>
      <c r="O459" s="87">
        <v>0.7</v>
      </c>
      <c r="P459" s="87">
        <v>0.7</v>
      </c>
      <c r="Q459" s="87">
        <v>0.7</v>
      </c>
      <c r="R459" s="87">
        <v>0.7</v>
      </c>
      <c r="S459" s="87">
        <v>0.7</v>
      </c>
      <c r="T459" s="87">
        <v>0.7</v>
      </c>
      <c r="U459" s="62" t="str">
        <f>IF(SUMPRODUCT(--(H459:T459&lt;&gt;'Source Data'!H459:T459))=0,"",SUMPRODUCT(--(H459:T459&lt;&gt;'Source Data'!H459:T459))&amp;" yr")</f>
        <v/>
      </c>
      <c r="V459" s="63" t="s">
        <v>683</v>
      </c>
    </row>
    <row r="460" spans="2:22" x14ac:dyDescent="0.25">
      <c r="B460" s="23" t="s">
        <v>1294</v>
      </c>
      <c r="C460" s="28" t="s">
        <v>647</v>
      </c>
      <c r="D460" s="50" t="s">
        <v>432</v>
      </c>
      <c r="F460" s="44" t="s">
        <v>1295</v>
      </c>
      <c r="H460" s="86">
        <v>2377</v>
      </c>
      <c r="I460" s="86">
        <v>2377</v>
      </c>
      <c r="J460" s="86">
        <v>2377</v>
      </c>
      <c r="K460" s="86">
        <v>2377</v>
      </c>
      <c r="L460" s="86">
        <v>2377</v>
      </c>
      <c r="M460" s="86">
        <v>2377</v>
      </c>
      <c r="N460" s="86">
        <v>2377</v>
      </c>
      <c r="O460" s="86">
        <v>2377</v>
      </c>
      <c r="P460" s="86">
        <v>2377</v>
      </c>
      <c r="Q460" s="86">
        <v>2377</v>
      </c>
      <c r="R460" s="86">
        <v>2377</v>
      </c>
      <c r="S460" s="86">
        <v>2377</v>
      </c>
      <c r="T460" s="86">
        <v>2377</v>
      </c>
      <c r="U460" s="62" t="str">
        <f>IF(SUMPRODUCT(--(H460:T460&lt;&gt;'Source Data'!H460:T460))=0,"",SUMPRODUCT(--(H460:T460&lt;&gt;'Source Data'!H460:T460))&amp;" yr")</f>
        <v/>
      </c>
      <c r="V460" s="63" t="s">
        <v>683</v>
      </c>
    </row>
    <row r="461" spans="2:22" x14ac:dyDescent="0.25">
      <c r="B461" s="23" t="s">
        <v>1296</v>
      </c>
      <c r="C461" s="28" t="s">
        <v>647</v>
      </c>
      <c r="D461" s="50" t="s">
        <v>432</v>
      </c>
      <c r="F461" s="44" t="s">
        <v>1297</v>
      </c>
      <c r="H461" s="86">
        <v>3174.08</v>
      </c>
      <c r="I461" s="86">
        <v>3174.08</v>
      </c>
      <c r="J461" s="86">
        <v>3174.08</v>
      </c>
      <c r="K461" s="86">
        <v>3174.08</v>
      </c>
      <c r="L461" s="86">
        <v>3174.08</v>
      </c>
      <c r="M461" s="86">
        <v>3174.08</v>
      </c>
      <c r="N461" s="86">
        <v>3174.08</v>
      </c>
      <c r="O461" s="86">
        <v>3174.08</v>
      </c>
      <c r="P461" s="86">
        <v>3174.08</v>
      </c>
      <c r="Q461" s="86">
        <v>3174.08</v>
      </c>
      <c r="R461" s="86">
        <v>3174.08</v>
      </c>
      <c r="S461" s="86">
        <v>3174.08</v>
      </c>
      <c r="T461" s="86">
        <v>3174.08</v>
      </c>
      <c r="U461" s="62" t="str">
        <f>IF(SUMPRODUCT(--(H461:T461&lt;&gt;'Source Data'!H461:T461))=0,"",SUMPRODUCT(--(H461:T461&lt;&gt;'Source Data'!H461:T461))&amp;" yr")</f>
        <v/>
      </c>
      <c r="V461" s="63" t="s">
        <v>683</v>
      </c>
    </row>
    <row r="462" spans="2:22" x14ac:dyDescent="0.25">
      <c r="B462" s="23" t="s">
        <v>1298</v>
      </c>
      <c r="C462" s="28" t="s">
        <v>647</v>
      </c>
      <c r="D462" s="50" t="s">
        <v>432</v>
      </c>
      <c r="F462" s="44" t="s">
        <v>1299</v>
      </c>
      <c r="H462" s="86">
        <v>12272.1430163898</v>
      </c>
      <c r="I462" s="86">
        <v>12272.1430163898</v>
      </c>
      <c r="J462" s="86">
        <v>12272.1430163898</v>
      </c>
      <c r="K462" s="86">
        <v>12272.1430163898</v>
      </c>
      <c r="L462" s="86">
        <v>12272.1430163898</v>
      </c>
      <c r="M462" s="86">
        <v>12272.1430163898</v>
      </c>
      <c r="N462" s="86">
        <v>12272.1430163898</v>
      </c>
      <c r="O462" s="86">
        <v>12272.1430163898</v>
      </c>
      <c r="P462" s="86">
        <v>12272.1430163898</v>
      </c>
      <c r="Q462" s="86">
        <v>12272.1430163898</v>
      </c>
      <c r="R462" s="86">
        <v>12272.1430163898</v>
      </c>
      <c r="S462" s="86">
        <v>12272.1430163898</v>
      </c>
      <c r="T462" s="86">
        <v>12272.1430163898</v>
      </c>
      <c r="U462" s="62" t="str">
        <f>IF(SUMPRODUCT(--(H462:T462&lt;&gt;'Source Data'!H462:T462))=0,"",SUMPRODUCT(--(H462:T462&lt;&gt;'Source Data'!H462:T462))&amp;" yr")</f>
        <v/>
      </c>
      <c r="V462" s="63" t="s">
        <v>683</v>
      </c>
    </row>
    <row r="463" spans="2:22" x14ac:dyDescent="0.25">
      <c r="B463" s="23" t="s">
        <v>1300</v>
      </c>
      <c r="C463" s="28" t="s">
        <v>647</v>
      </c>
      <c r="D463" s="50" t="s">
        <v>432</v>
      </c>
      <c r="F463" s="44" t="s">
        <v>1301</v>
      </c>
      <c r="H463" s="86">
        <v>2377.45698361021</v>
      </c>
      <c r="I463" s="86">
        <v>2377.45698361021</v>
      </c>
      <c r="J463" s="86">
        <v>2377.45698361021</v>
      </c>
      <c r="K463" s="86">
        <v>2377.45698361021</v>
      </c>
      <c r="L463" s="86">
        <v>2377.45698361021</v>
      </c>
      <c r="M463" s="86">
        <v>2377.45698361021</v>
      </c>
      <c r="N463" s="86">
        <v>2377.45698361021</v>
      </c>
      <c r="O463" s="86">
        <v>2377.45698361021</v>
      </c>
      <c r="P463" s="86">
        <v>2377.45698361021</v>
      </c>
      <c r="Q463" s="86">
        <v>2377.45698361021</v>
      </c>
      <c r="R463" s="86">
        <v>2377.45698361021</v>
      </c>
      <c r="S463" s="86">
        <v>2377.45698361021</v>
      </c>
      <c r="T463" s="86">
        <v>2377.45698361021</v>
      </c>
      <c r="U463" s="62" t="str">
        <f>IF(SUMPRODUCT(--(H463:T463&lt;&gt;'Source Data'!H463:T463))=0,"",SUMPRODUCT(--(H463:T463&lt;&gt;'Source Data'!H463:T463))&amp;" yr")</f>
        <v/>
      </c>
      <c r="V463" s="63" t="s">
        <v>683</v>
      </c>
    </row>
    <row r="464" spans="2:22" x14ac:dyDescent="0.25">
      <c r="B464" s="23" t="s">
        <v>1302</v>
      </c>
      <c r="C464" s="28" t="s">
        <v>497</v>
      </c>
      <c r="D464" s="50" t="s">
        <v>432</v>
      </c>
      <c r="F464" s="44" t="s">
        <v>1303</v>
      </c>
      <c r="H464" s="97">
        <v>1.2</v>
      </c>
      <c r="I464" s="97">
        <v>1.2</v>
      </c>
      <c r="J464" s="97">
        <v>1.2</v>
      </c>
      <c r="K464" s="97">
        <v>1.2</v>
      </c>
      <c r="L464" s="97">
        <v>1.2</v>
      </c>
      <c r="M464" s="97">
        <v>1.2</v>
      </c>
      <c r="N464" s="97">
        <v>1.2</v>
      </c>
      <c r="O464" s="97">
        <v>1.2</v>
      </c>
      <c r="P464" s="97">
        <v>1.2</v>
      </c>
      <c r="Q464" s="97">
        <v>1.2</v>
      </c>
      <c r="R464" s="97">
        <v>1.2</v>
      </c>
      <c r="S464" s="97">
        <v>1.2</v>
      </c>
      <c r="T464" s="97">
        <v>1.2</v>
      </c>
      <c r="U464" s="62" t="str">
        <f>IF(SUMPRODUCT(--(H464:T464&lt;&gt;'Source Data'!H464:T464))=0,"",SUMPRODUCT(--(H464:T464&lt;&gt;'Source Data'!H464:T464))&amp;" yr")</f>
        <v/>
      </c>
      <c r="V464" s="63" t="s">
        <v>683</v>
      </c>
    </row>
    <row r="465" spans="2:22" x14ac:dyDescent="0.25">
      <c r="B465" s="23" t="s">
        <v>1304</v>
      </c>
      <c r="C465" s="28" t="s">
        <v>292</v>
      </c>
      <c r="D465" s="50" t="s">
        <v>432</v>
      </c>
      <c r="F465" s="44" t="s">
        <v>1305</v>
      </c>
      <c r="H465" s="87">
        <v>0.43</v>
      </c>
      <c r="I465" s="87">
        <v>0.43</v>
      </c>
      <c r="J465" s="87">
        <v>0.43</v>
      </c>
      <c r="K465" s="87">
        <v>0.43</v>
      </c>
      <c r="L465" s="87">
        <v>0.43</v>
      </c>
      <c r="M465" s="87">
        <v>0.43</v>
      </c>
      <c r="N465" s="87">
        <v>0.43</v>
      </c>
      <c r="O465" s="87">
        <v>0.43</v>
      </c>
      <c r="P465" s="87">
        <v>0.43</v>
      </c>
      <c r="Q465" s="87">
        <v>0.43</v>
      </c>
      <c r="R465" s="87">
        <v>0.43</v>
      </c>
      <c r="S465" s="87">
        <v>0.43</v>
      </c>
      <c r="T465" s="87">
        <v>0.43</v>
      </c>
      <c r="U465" s="62" t="str">
        <f>IF(SUMPRODUCT(--(H465:T465&lt;&gt;'Source Data'!H465:T465))=0,"",SUMPRODUCT(--(H465:T465&lt;&gt;'Source Data'!H465:T465))&amp;" yr")</f>
        <v/>
      </c>
      <c r="V465" s="63" t="s">
        <v>683</v>
      </c>
    </row>
    <row r="466" spans="2:22" x14ac:dyDescent="0.25">
      <c r="B466" s="23" t="s">
        <v>1306</v>
      </c>
      <c r="C466" s="28" t="s">
        <v>647</v>
      </c>
      <c r="D466" s="50" t="s">
        <v>432</v>
      </c>
      <c r="F466" s="44" t="s">
        <v>1307</v>
      </c>
      <c r="H466" s="86">
        <v>26000</v>
      </c>
      <c r="I466" s="86">
        <v>26000</v>
      </c>
      <c r="J466" s="86">
        <v>26000</v>
      </c>
      <c r="K466" s="86">
        <v>26000</v>
      </c>
      <c r="L466" s="86">
        <v>26000</v>
      </c>
      <c r="M466" s="86">
        <v>26000</v>
      </c>
      <c r="N466" s="86">
        <v>26000</v>
      </c>
      <c r="O466" s="86">
        <v>26000</v>
      </c>
      <c r="P466" s="86">
        <v>26000</v>
      </c>
      <c r="Q466" s="86">
        <v>26000</v>
      </c>
      <c r="R466" s="86">
        <v>26000</v>
      </c>
      <c r="S466" s="86">
        <v>26000</v>
      </c>
      <c r="T466" s="86">
        <v>26000</v>
      </c>
      <c r="U466" s="62" t="str">
        <f>IF(SUMPRODUCT(--(H466:T466&lt;&gt;'Source Data'!H466:T466))=0,"",SUMPRODUCT(--(H466:T466&lt;&gt;'Source Data'!H466:T466))&amp;" yr")</f>
        <v/>
      </c>
      <c r="V466" s="63" t="s">
        <v>1308</v>
      </c>
    </row>
    <row r="467" spans="2:22" x14ac:dyDescent="0.25">
      <c r="B467" s="23" t="s">
        <v>1309</v>
      </c>
      <c r="C467" s="28" t="s">
        <v>647</v>
      </c>
      <c r="D467" s="50" t="s">
        <v>432</v>
      </c>
      <c r="F467" s="44" t="s">
        <v>1310</v>
      </c>
      <c r="H467" s="86">
        <v>29000</v>
      </c>
      <c r="I467" s="86">
        <v>29000</v>
      </c>
      <c r="J467" s="86">
        <v>29000</v>
      </c>
      <c r="K467" s="86">
        <v>29000</v>
      </c>
      <c r="L467" s="86">
        <v>29000</v>
      </c>
      <c r="M467" s="86">
        <v>29000</v>
      </c>
      <c r="N467" s="86">
        <v>29000</v>
      </c>
      <c r="O467" s="86">
        <v>29000</v>
      </c>
      <c r="P467" s="86">
        <v>29000</v>
      </c>
      <c r="Q467" s="86">
        <v>29000</v>
      </c>
      <c r="R467" s="86">
        <v>29000</v>
      </c>
      <c r="S467" s="86">
        <v>29000</v>
      </c>
      <c r="T467" s="86">
        <v>29000</v>
      </c>
      <c r="U467" s="62" t="str">
        <f>IF(SUMPRODUCT(--(H467:T467&lt;&gt;'Source Data'!H467:T467))=0,"",SUMPRODUCT(--(H467:T467&lt;&gt;'Source Data'!H467:T467))&amp;" yr")</f>
        <v/>
      </c>
      <c r="V467" s="63" t="s">
        <v>683</v>
      </c>
    </row>
    <row r="468" spans="2:22" x14ac:dyDescent="0.25">
      <c r="B468" s="23" t="s">
        <v>1311</v>
      </c>
      <c r="C468" s="28" t="s">
        <v>647</v>
      </c>
      <c r="D468" s="50" t="s">
        <v>432</v>
      </c>
      <c r="F468" s="44" t="s">
        <v>1312</v>
      </c>
      <c r="H468" s="86">
        <v>3770</v>
      </c>
      <c r="I468" s="86">
        <v>3770</v>
      </c>
      <c r="J468" s="86">
        <v>3770</v>
      </c>
      <c r="K468" s="86">
        <v>3770</v>
      </c>
      <c r="L468" s="86">
        <v>3770</v>
      </c>
      <c r="M468" s="86">
        <v>3770</v>
      </c>
      <c r="N468" s="86">
        <v>3770</v>
      </c>
      <c r="O468" s="86">
        <v>3770</v>
      </c>
      <c r="P468" s="86">
        <v>3770</v>
      </c>
      <c r="Q468" s="86">
        <v>3770</v>
      </c>
      <c r="R468" s="86">
        <v>3770</v>
      </c>
      <c r="S468" s="86">
        <v>3770</v>
      </c>
      <c r="T468" s="86">
        <v>3770</v>
      </c>
      <c r="U468" s="62" t="str">
        <f>IF(SUMPRODUCT(--(H468:T468&lt;&gt;'Source Data'!H468:T468))=0,"",SUMPRODUCT(--(H468:T468&lt;&gt;'Source Data'!H468:T468))&amp;" yr")</f>
        <v/>
      </c>
      <c r="V468" s="63" t="s">
        <v>683</v>
      </c>
    </row>
    <row r="469" spans="2:22" x14ac:dyDescent="0.25">
      <c r="B469" s="23" t="s">
        <v>1313</v>
      </c>
      <c r="C469" s="28" t="s">
        <v>647</v>
      </c>
      <c r="D469" s="50" t="s">
        <v>432</v>
      </c>
      <c r="F469" s="44" t="s">
        <v>1314</v>
      </c>
      <c r="H469" s="86">
        <v>11745.1629765407</v>
      </c>
      <c r="I469" s="86">
        <v>11745.1629765407</v>
      </c>
      <c r="J469" s="86">
        <v>11745.1629765407</v>
      </c>
      <c r="K469" s="86">
        <v>11745.1629765407</v>
      </c>
      <c r="L469" s="86">
        <v>11745.1629765407</v>
      </c>
      <c r="M469" s="86">
        <v>11745.1629765407</v>
      </c>
      <c r="N469" s="86">
        <v>11745.1629765407</v>
      </c>
      <c r="O469" s="86">
        <v>11745.1629765407</v>
      </c>
      <c r="P469" s="86">
        <v>11745.1629765407</v>
      </c>
      <c r="Q469" s="86">
        <v>11745.1629765407</v>
      </c>
      <c r="R469" s="86">
        <v>11745.1629765407</v>
      </c>
      <c r="S469" s="86">
        <v>11745.1629765407</v>
      </c>
      <c r="T469" s="86">
        <v>11745.1629765407</v>
      </c>
      <c r="U469" s="62" t="str">
        <f>IF(SUMPRODUCT(--(H469:T469&lt;&gt;'Source Data'!H469:T469))=0,"",SUMPRODUCT(--(H469:T469&lt;&gt;'Source Data'!H469:T469))&amp;" yr")</f>
        <v/>
      </c>
      <c r="V469" s="63" t="s">
        <v>683</v>
      </c>
    </row>
    <row r="470" spans="2:22" x14ac:dyDescent="0.25">
      <c r="B470" s="23" t="s">
        <v>1315</v>
      </c>
      <c r="C470" s="28" t="s">
        <v>647</v>
      </c>
      <c r="D470" s="50" t="s">
        <v>432</v>
      </c>
      <c r="F470" s="44" t="s">
        <v>1316</v>
      </c>
      <c r="H470" s="86">
        <v>5654.8370234593003</v>
      </c>
      <c r="I470" s="86">
        <v>5654.8370234593003</v>
      </c>
      <c r="J470" s="86">
        <v>5654.8370234593003</v>
      </c>
      <c r="K470" s="86">
        <v>5654.8370234593003</v>
      </c>
      <c r="L470" s="86">
        <v>5654.8370234593003</v>
      </c>
      <c r="M470" s="86">
        <v>5654.8370234593003</v>
      </c>
      <c r="N470" s="86">
        <v>5654.8370234593003</v>
      </c>
      <c r="O470" s="86">
        <v>5654.8370234593003</v>
      </c>
      <c r="P470" s="86">
        <v>5654.8370234593003</v>
      </c>
      <c r="Q470" s="86">
        <v>5654.8370234593003</v>
      </c>
      <c r="R470" s="86">
        <v>5654.8370234593003</v>
      </c>
      <c r="S470" s="86">
        <v>5654.8370234593003</v>
      </c>
      <c r="T470" s="86">
        <v>5654.8370234593003</v>
      </c>
      <c r="U470" s="62" t="str">
        <f>IF(SUMPRODUCT(--(H470:T470&lt;&gt;'Source Data'!H470:T470))=0,"",SUMPRODUCT(--(H470:T470&lt;&gt;'Source Data'!H470:T470))&amp;" yr")</f>
        <v/>
      </c>
      <c r="V470" s="63" t="s">
        <v>683</v>
      </c>
    </row>
    <row r="471" spans="2:22" x14ac:dyDescent="0.25">
      <c r="B471" s="23" t="s">
        <v>1317</v>
      </c>
      <c r="C471" s="28" t="s">
        <v>647</v>
      </c>
      <c r="D471" s="50" t="s">
        <v>432</v>
      </c>
      <c r="F471" s="44" t="s">
        <v>1318</v>
      </c>
      <c r="H471" s="86">
        <v>12910.7356485744</v>
      </c>
      <c r="I471" s="86">
        <v>12910.7356485744</v>
      </c>
      <c r="J471" s="86">
        <v>12910.7356485744</v>
      </c>
      <c r="K471" s="86">
        <v>12910.7356485744</v>
      </c>
      <c r="L471" s="86">
        <v>12910.7356485744</v>
      </c>
      <c r="M471" s="86">
        <v>12910.7356485744</v>
      </c>
      <c r="N471" s="86">
        <v>12910.7356485744</v>
      </c>
      <c r="O471" s="86">
        <v>12910.7356485744</v>
      </c>
      <c r="P471" s="86">
        <v>12910.7356485744</v>
      </c>
      <c r="Q471" s="86">
        <v>12910.7356485744</v>
      </c>
      <c r="R471" s="86">
        <v>12910.7356485744</v>
      </c>
      <c r="S471" s="86">
        <v>12910.7356485744</v>
      </c>
      <c r="T471" s="86">
        <v>12910.7356485744</v>
      </c>
      <c r="U471" s="62" t="str">
        <f>IF(SUMPRODUCT(--(H471:T471&lt;&gt;'Source Data'!H471:T471))=0,"",SUMPRODUCT(--(H471:T471&lt;&gt;'Source Data'!H471:T471))&amp;" yr")</f>
        <v/>
      </c>
      <c r="V471" s="63" t="s">
        <v>683</v>
      </c>
    </row>
    <row r="472" spans="2:22" x14ac:dyDescent="0.25">
      <c r="B472" s="23" t="s">
        <v>1319</v>
      </c>
      <c r="C472" s="28" t="s">
        <v>292</v>
      </c>
      <c r="D472" s="50" t="s">
        <v>432</v>
      </c>
      <c r="F472" s="44" t="s">
        <v>1320</v>
      </c>
      <c r="H472" s="87">
        <v>0.43</v>
      </c>
      <c r="I472" s="87">
        <v>0.43</v>
      </c>
      <c r="J472" s="87">
        <v>0.43</v>
      </c>
      <c r="K472" s="87">
        <v>0.43</v>
      </c>
      <c r="L472" s="87">
        <v>0.43</v>
      </c>
      <c r="M472" s="87">
        <v>0.43</v>
      </c>
      <c r="N472" s="87">
        <v>0.43</v>
      </c>
      <c r="O472" s="87">
        <v>0.43</v>
      </c>
      <c r="P472" s="87">
        <v>0.43</v>
      </c>
      <c r="Q472" s="87">
        <v>0.43</v>
      </c>
      <c r="R472" s="87">
        <v>0.43</v>
      </c>
      <c r="S472" s="87">
        <v>0.43</v>
      </c>
      <c r="T472" s="87">
        <v>0.43</v>
      </c>
      <c r="U472" s="62" t="str">
        <f>IF(SUMPRODUCT(--(H472:T472&lt;&gt;'Source Data'!H472:T472))=0,"",SUMPRODUCT(--(H472:T472&lt;&gt;'Source Data'!H472:T472))&amp;" yr")</f>
        <v/>
      </c>
      <c r="V472" s="63" t="s">
        <v>683</v>
      </c>
    </row>
    <row r="473" spans="2:22" ht="26.25" customHeight="1" x14ac:dyDescent="0.25">
      <c r="B473" s="64" t="s">
        <v>1321</v>
      </c>
      <c r="C473" s="28" t="s">
        <v>493</v>
      </c>
      <c r="D473" s="50" t="s">
        <v>432</v>
      </c>
      <c r="F473" s="44" t="s">
        <v>1322</v>
      </c>
      <c r="H473" s="89">
        <v>0</v>
      </c>
      <c r="I473" s="89">
        <v>0</v>
      </c>
      <c r="J473" s="89">
        <v>0</v>
      </c>
      <c r="K473" s="89">
        <v>0</v>
      </c>
      <c r="L473" s="89">
        <v>0</v>
      </c>
      <c r="M473" s="89">
        <v>0</v>
      </c>
      <c r="N473" s="89">
        <v>0</v>
      </c>
      <c r="O473" s="89">
        <v>0</v>
      </c>
      <c r="P473" s="89">
        <v>0</v>
      </c>
      <c r="Q473" s="89">
        <v>0</v>
      </c>
      <c r="R473" s="89">
        <v>0</v>
      </c>
      <c r="S473" s="89">
        <v>0</v>
      </c>
      <c r="T473" s="89">
        <v>0</v>
      </c>
      <c r="U473" s="62" t="str">
        <f>IF(SUMPRODUCT(--(H473:T473&lt;&gt;'Source Data'!H473:T473))=0,"",SUMPRODUCT(--(H473:T473&lt;&gt;'Source Data'!H473:T473))&amp;" yr")</f>
        <v/>
      </c>
      <c r="V473" s="63" t="s">
        <v>1323</v>
      </c>
    </row>
    <row r="474" spans="2:22" x14ac:dyDescent="0.25">
      <c r="B474" s="23" t="s">
        <v>1324</v>
      </c>
      <c r="C474" s="28" t="s">
        <v>816</v>
      </c>
      <c r="D474" s="51" t="s">
        <v>434</v>
      </c>
      <c r="E474" s="98">
        <v>10</v>
      </c>
      <c r="F474" s="44" t="s">
        <v>1325</v>
      </c>
      <c r="U474" s="62" t="str">
        <f>IF(E474='Source Data'!E474,"","changed")</f>
        <v/>
      </c>
      <c r="V474" s="63" t="s">
        <v>1326</v>
      </c>
    </row>
    <row r="475" spans="2:22" x14ac:dyDescent="0.25">
      <c r="B475" s="63" t="s">
        <v>1327</v>
      </c>
    </row>
    <row r="477" spans="2:22" x14ac:dyDescent="0.25">
      <c r="B477" s="58" t="s">
        <v>1328</v>
      </c>
      <c r="C477" s="19"/>
      <c r="D477" s="19"/>
      <c r="E477" s="19"/>
      <c r="F477" s="19"/>
      <c r="G477" s="19"/>
      <c r="H477" s="19"/>
      <c r="I477" s="19"/>
      <c r="J477" s="19"/>
      <c r="K477" s="19"/>
      <c r="L477" s="19"/>
      <c r="M477" s="19"/>
      <c r="N477" s="19"/>
      <c r="O477" s="19"/>
      <c r="P477" s="19"/>
      <c r="Q477" s="19"/>
      <c r="R477" s="19"/>
      <c r="S477" s="19"/>
      <c r="T477" s="19"/>
      <c r="U477" s="19"/>
      <c r="V477" s="19"/>
    </row>
    <row r="478" spans="2:22" x14ac:dyDescent="0.25">
      <c r="B478" s="59" t="s">
        <v>610</v>
      </c>
      <c r="C478" s="59" t="s">
        <v>466</v>
      </c>
      <c r="D478" s="59" t="s">
        <v>467</v>
      </c>
      <c r="E478" s="59" t="s">
        <v>468</v>
      </c>
      <c r="F478" s="59" t="s">
        <v>469</v>
      </c>
      <c r="G478" s="80" t="s">
        <v>628</v>
      </c>
      <c r="H478" s="81">
        <v>2024</v>
      </c>
      <c r="I478" s="81">
        <v>2025</v>
      </c>
      <c r="J478" s="81">
        <v>2026</v>
      </c>
      <c r="K478" s="81">
        <v>2027</v>
      </c>
      <c r="L478" s="81">
        <v>2028</v>
      </c>
      <c r="M478" s="81">
        <v>2029</v>
      </c>
      <c r="N478" s="81">
        <v>2030</v>
      </c>
      <c r="O478" s="81">
        <v>2031</v>
      </c>
      <c r="P478" s="81">
        <v>2032</v>
      </c>
      <c r="Q478" s="81">
        <v>2033</v>
      </c>
      <c r="R478" s="81">
        <v>2034</v>
      </c>
      <c r="S478" s="81">
        <v>2035</v>
      </c>
      <c r="T478" s="81">
        <v>2036</v>
      </c>
      <c r="U478" s="59" t="s">
        <v>470</v>
      </c>
      <c r="V478" s="59" t="s">
        <v>471</v>
      </c>
    </row>
    <row r="479" spans="2:22" x14ac:dyDescent="0.25">
      <c r="B479" s="23" t="s">
        <v>1329</v>
      </c>
      <c r="C479" s="28" t="s">
        <v>799</v>
      </c>
      <c r="D479" s="50" t="s">
        <v>432</v>
      </c>
      <c r="F479" s="44" t="s">
        <v>1330</v>
      </c>
      <c r="H479" s="87">
        <v>0</v>
      </c>
      <c r="I479" s="87">
        <v>0</v>
      </c>
      <c r="J479" s="87">
        <v>0</v>
      </c>
      <c r="K479" s="87">
        <v>0</v>
      </c>
      <c r="L479" s="87">
        <v>0</v>
      </c>
      <c r="M479" s="87">
        <v>0</v>
      </c>
      <c r="N479" s="87">
        <v>0</v>
      </c>
      <c r="O479" s="87">
        <v>0</v>
      </c>
      <c r="P479" s="87">
        <v>0</v>
      </c>
      <c r="Q479" s="87">
        <v>0</v>
      </c>
      <c r="R479" s="87">
        <v>0</v>
      </c>
      <c r="S479" s="87">
        <v>0</v>
      </c>
      <c r="T479" s="87">
        <v>0</v>
      </c>
      <c r="U479" s="62" t="str">
        <f>IF(SUMPRODUCT(--(H479:T479&lt;&gt;'Source Data'!H479:T479))=0,"",SUMPRODUCT(--(H479:T479&lt;&gt;'Source Data'!H479:T479))&amp;" yr")</f>
        <v/>
      </c>
      <c r="V479" s="63" t="s">
        <v>1331</v>
      </c>
    </row>
    <row r="480" spans="2:22" x14ac:dyDescent="0.25">
      <c r="B480" s="23" t="s">
        <v>1332</v>
      </c>
      <c r="C480" s="28" t="s">
        <v>816</v>
      </c>
      <c r="D480" s="51" t="s">
        <v>434</v>
      </c>
      <c r="E480" s="98">
        <v>10</v>
      </c>
      <c r="F480" s="44" t="s">
        <v>1333</v>
      </c>
      <c r="U480" s="62" t="str">
        <f>IF(E480='Source Data'!E480,"","changed")</f>
        <v/>
      </c>
      <c r="V480" s="63" t="s">
        <v>1334</v>
      </c>
    </row>
    <row r="481" spans="2:22" ht="24.75" customHeight="1" x14ac:dyDescent="0.25">
      <c r="B481" s="23" t="s">
        <v>1335</v>
      </c>
      <c r="C481" s="90" t="s">
        <v>1336</v>
      </c>
      <c r="D481" s="54" t="s">
        <v>440</v>
      </c>
      <c r="E481" s="99">
        <v>0.1</v>
      </c>
      <c r="F481" s="44" t="s">
        <v>274</v>
      </c>
      <c r="U481" s="62" t="str">
        <f>IF(E481='Source Data'!E481,"","changed")</f>
        <v/>
      </c>
      <c r="V481" s="84" t="s">
        <v>1337</v>
      </c>
    </row>
    <row r="483" spans="2:22" x14ac:dyDescent="0.25">
      <c r="B483" s="58" t="s">
        <v>1338</v>
      </c>
      <c r="C483" s="19"/>
      <c r="D483" s="19"/>
      <c r="E483" s="19"/>
      <c r="F483" s="19"/>
      <c r="G483" s="19"/>
      <c r="H483" s="19"/>
      <c r="I483" s="19"/>
      <c r="J483" s="19"/>
      <c r="K483" s="19"/>
      <c r="L483" s="19"/>
      <c r="M483" s="19"/>
      <c r="N483" s="19"/>
      <c r="O483" s="19"/>
      <c r="P483" s="19"/>
      <c r="Q483" s="19"/>
      <c r="R483" s="19"/>
      <c r="S483" s="19"/>
      <c r="T483" s="19"/>
      <c r="U483" s="19"/>
      <c r="V483" s="19"/>
    </row>
    <row r="484" spans="2:22" x14ac:dyDescent="0.25">
      <c r="B484" s="59" t="s">
        <v>610</v>
      </c>
      <c r="C484" s="59" t="s">
        <v>466</v>
      </c>
      <c r="D484" s="59" t="s">
        <v>467</v>
      </c>
      <c r="E484" s="59" t="s">
        <v>468</v>
      </c>
      <c r="F484" s="59" t="s">
        <v>469</v>
      </c>
      <c r="G484" s="80" t="s">
        <v>628</v>
      </c>
      <c r="H484" s="81">
        <v>2024</v>
      </c>
      <c r="I484" s="81">
        <v>2025</v>
      </c>
      <c r="J484" s="81">
        <v>2026</v>
      </c>
      <c r="K484" s="81">
        <v>2027</v>
      </c>
      <c r="L484" s="81">
        <v>2028</v>
      </c>
      <c r="M484" s="81">
        <v>2029</v>
      </c>
      <c r="N484" s="81">
        <v>2030</v>
      </c>
      <c r="O484" s="81">
        <v>2031</v>
      </c>
      <c r="P484" s="81">
        <v>2032</v>
      </c>
      <c r="Q484" s="81">
        <v>2033</v>
      </c>
      <c r="R484" s="81">
        <v>2034</v>
      </c>
      <c r="S484" s="81">
        <v>2035</v>
      </c>
      <c r="T484" s="81">
        <v>2036</v>
      </c>
      <c r="U484" s="59" t="s">
        <v>470</v>
      </c>
      <c r="V484" s="59" t="s">
        <v>471</v>
      </c>
    </row>
    <row r="485" spans="2:22" x14ac:dyDescent="0.25">
      <c r="B485" s="23" t="s">
        <v>1339</v>
      </c>
      <c r="C485" s="28" t="s">
        <v>1340</v>
      </c>
      <c r="D485" s="50" t="s">
        <v>432</v>
      </c>
      <c r="F485" s="44" t="s">
        <v>1341</v>
      </c>
      <c r="H485" s="89">
        <v>45</v>
      </c>
      <c r="I485" s="89">
        <v>45</v>
      </c>
      <c r="J485" s="89">
        <v>45</v>
      </c>
      <c r="K485" s="89">
        <v>45</v>
      </c>
      <c r="L485" s="89">
        <v>45</v>
      </c>
      <c r="M485" s="89">
        <v>45</v>
      </c>
      <c r="N485" s="89">
        <v>45</v>
      </c>
      <c r="O485" s="89">
        <v>45</v>
      </c>
      <c r="P485" s="89">
        <v>45</v>
      </c>
      <c r="Q485" s="89">
        <v>45</v>
      </c>
      <c r="R485" s="89">
        <v>45</v>
      </c>
      <c r="S485" s="89">
        <v>45</v>
      </c>
      <c r="T485" s="89">
        <v>45</v>
      </c>
      <c r="U485" s="62" t="str">
        <f>IF(SUMPRODUCT(--(H485:T485&lt;&gt;'Source Data'!H485:T485))=0,"",SUMPRODUCT(--(H485:T485&lt;&gt;'Source Data'!H485:T485))&amp;" yr")</f>
        <v/>
      </c>
      <c r="V485" s="63" t="s">
        <v>1342</v>
      </c>
    </row>
    <row r="486" spans="2:22" x14ac:dyDescent="0.25">
      <c r="B486" s="23" t="s">
        <v>1343</v>
      </c>
      <c r="C486" s="28" t="s">
        <v>1340</v>
      </c>
      <c r="D486" s="50" t="s">
        <v>432</v>
      </c>
      <c r="F486" s="44" t="s">
        <v>1344</v>
      </c>
      <c r="H486" s="89">
        <v>30</v>
      </c>
      <c r="I486" s="89">
        <v>30</v>
      </c>
      <c r="J486" s="89">
        <v>30</v>
      </c>
      <c r="K486" s="89">
        <v>30</v>
      </c>
      <c r="L486" s="89">
        <v>30</v>
      </c>
      <c r="M486" s="89">
        <v>30</v>
      </c>
      <c r="N486" s="89">
        <v>30</v>
      </c>
      <c r="O486" s="89">
        <v>30</v>
      </c>
      <c r="P486" s="89">
        <v>30</v>
      </c>
      <c r="Q486" s="89">
        <v>30</v>
      </c>
      <c r="R486" s="89">
        <v>30</v>
      </c>
      <c r="S486" s="89">
        <v>30</v>
      </c>
      <c r="T486" s="89">
        <v>30</v>
      </c>
      <c r="U486" s="62" t="str">
        <f>IF(SUMPRODUCT(--(H486:T486&lt;&gt;'Source Data'!H486:T486))=0,"",SUMPRODUCT(--(H486:T486&lt;&gt;'Source Data'!H486:T486))&amp;" yr")</f>
        <v/>
      </c>
      <c r="V486" s="63" t="s">
        <v>683</v>
      </c>
    </row>
    <row r="487" spans="2:22" ht="26.25" customHeight="1" x14ac:dyDescent="0.25">
      <c r="B487" s="64" t="s">
        <v>1345</v>
      </c>
      <c r="C487" s="28" t="s">
        <v>493</v>
      </c>
      <c r="D487" s="50" t="s">
        <v>432</v>
      </c>
      <c r="F487" s="44" t="s">
        <v>1346</v>
      </c>
      <c r="H487" s="92">
        <v>0.51981068748259995</v>
      </c>
      <c r="I487" s="92">
        <v>0.51981068748259995</v>
      </c>
      <c r="J487" s="92">
        <v>0.51981068748259995</v>
      </c>
      <c r="K487" s="92">
        <v>0.51981068748259995</v>
      </c>
      <c r="L487" s="92">
        <v>0.51981068748259995</v>
      </c>
      <c r="M487" s="92">
        <v>0.51981068748259995</v>
      </c>
      <c r="N487" s="92">
        <v>0.51981068748259995</v>
      </c>
      <c r="O487" s="92">
        <v>0.51981068748259995</v>
      </c>
      <c r="P487" s="92">
        <v>0.51981068748259995</v>
      </c>
      <c r="Q487" s="92">
        <v>0.51981068748259995</v>
      </c>
      <c r="R487" s="92">
        <v>0</v>
      </c>
      <c r="S487" s="92">
        <v>0</v>
      </c>
      <c r="T487" s="92">
        <v>0</v>
      </c>
      <c r="U487" s="62" t="str">
        <f>IF(SUMPRODUCT(--(H487:T487&lt;&gt;'Source Data'!H487:T487))=0,"",SUMPRODUCT(--(H487:T487&lt;&gt;'Source Data'!H487:T487))&amp;" yr")</f>
        <v/>
      </c>
      <c r="V487" s="63" t="s">
        <v>1347</v>
      </c>
    </row>
    <row r="489" spans="2:22" x14ac:dyDescent="0.25">
      <c r="B489" s="58" t="s">
        <v>1348</v>
      </c>
      <c r="C489" s="19"/>
      <c r="D489" s="19"/>
      <c r="E489" s="19"/>
      <c r="F489" s="19"/>
      <c r="G489" s="19"/>
      <c r="H489" s="19"/>
      <c r="I489" s="19"/>
      <c r="J489" s="19"/>
      <c r="K489" s="19"/>
      <c r="L489" s="19"/>
      <c r="M489" s="19"/>
      <c r="N489" s="19"/>
      <c r="O489" s="19"/>
      <c r="P489" s="19"/>
      <c r="Q489" s="19"/>
      <c r="R489" s="19"/>
      <c r="S489" s="19"/>
      <c r="T489" s="19"/>
      <c r="U489" s="19"/>
      <c r="V489" s="19"/>
    </row>
    <row r="490" spans="2:22" x14ac:dyDescent="0.25">
      <c r="B490" s="59" t="s">
        <v>610</v>
      </c>
      <c r="C490" s="59" t="s">
        <v>466</v>
      </c>
      <c r="D490" s="59" t="s">
        <v>467</v>
      </c>
      <c r="E490" s="59" t="s">
        <v>468</v>
      </c>
      <c r="F490" s="59" t="s">
        <v>469</v>
      </c>
      <c r="G490" s="80" t="s">
        <v>628</v>
      </c>
      <c r="H490" s="81">
        <v>2024</v>
      </c>
      <c r="I490" s="81">
        <v>2025</v>
      </c>
      <c r="J490" s="81">
        <v>2026</v>
      </c>
      <c r="K490" s="81">
        <v>2027</v>
      </c>
      <c r="L490" s="81">
        <v>2028</v>
      </c>
      <c r="M490" s="81">
        <v>2029</v>
      </c>
      <c r="N490" s="81">
        <v>2030</v>
      </c>
      <c r="O490" s="81">
        <v>2031</v>
      </c>
      <c r="P490" s="81">
        <v>2032</v>
      </c>
      <c r="Q490" s="81">
        <v>2033</v>
      </c>
      <c r="R490" s="81">
        <v>2034</v>
      </c>
      <c r="S490" s="81">
        <v>2035</v>
      </c>
      <c r="T490" s="81">
        <v>2036</v>
      </c>
      <c r="U490" s="59" t="s">
        <v>470</v>
      </c>
      <c r="V490" s="59" t="s">
        <v>471</v>
      </c>
    </row>
    <row r="491" spans="2:22" x14ac:dyDescent="0.25">
      <c r="B491" s="42" t="s">
        <v>1349</v>
      </c>
    </row>
    <row r="492" spans="2:22" x14ac:dyDescent="0.25">
      <c r="B492" s="23" t="s">
        <v>1350</v>
      </c>
      <c r="C492" s="28" t="s">
        <v>806</v>
      </c>
      <c r="D492" s="50" t="s">
        <v>432</v>
      </c>
      <c r="E492" s="94">
        <v>12</v>
      </c>
      <c r="F492" s="44" t="s">
        <v>1351</v>
      </c>
      <c r="U492" s="62" t="str">
        <f>IF(E492='Source Data'!E492,"","changed")</f>
        <v/>
      </c>
      <c r="V492" s="63" t="s">
        <v>1352</v>
      </c>
    </row>
    <row r="493" spans="2:22" x14ac:dyDescent="0.25">
      <c r="B493" s="23" t="s">
        <v>1353</v>
      </c>
      <c r="C493" s="28" t="s">
        <v>493</v>
      </c>
      <c r="D493" s="50" t="s">
        <v>432</v>
      </c>
      <c r="E493" s="92">
        <v>195.18</v>
      </c>
      <c r="F493" s="44" t="s">
        <v>1354</v>
      </c>
      <c r="U493" s="62" t="str">
        <f>IF(E493='Source Data'!E493,"","changed")</f>
        <v/>
      </c>
      <c r="V493" s="63" t="s">
        <v>1355</v>
      </c>
    </row>
    <row r="494" spans="2:22" x14ac:dyDescent="0.25">
      <c r="B494" s="23" t="s">
        <v>1356</v>
      </c>
      <c r="C494" s="28" t="s">
        <v>613</v>
      </c>
      <c r="D494" s="52" t="s">
        <v>436</v>
      </c>
      <c r="E494" s="82">
        <v>46568</v>
      </c>
      <c r="F494" s="44" t="s">
        <v>1357</v>
      </c>
      <c r="U494" s="62" t="str">
        <f>IF(E494='Source Data'!E494,"","changed")</f>
        <v/>
      </c>
      <c r="V494" s="66" t="s">
        <v>1358</v>
      </c>
    </row>
    <row r="495" spans="2:22" x14ac:dyDescent="0.25">
      <c r="B495" s="23" t="s">
        <v>1359</v>
      </c>
      <c r="C495" s="28" t="s">
        <v>1360</v>
      </c>
      <c r="D495" s="51" t="s">
        <v>434</v>
      </c>
      <c r="E495" s="96">
        <v>7.8253151848394598E-2</v>
      </c>
      <c r="F495" s="44" t="s">
        <v>1361</v>
      </c>
      <c r="U495" s="62" t="str">
        <f>IF(E495='Source Data'!E495,"","changed")</f>
        <v/>
      </c>
      <c r="V495" s="63" t="s">
        <v>1362</v>
      </c>
    </row>
    <row r="496" spans="2:22" ht="26.25" customHeight="1" x14ac:dyDescent="0.25">
      <c r="B496" s="64" t="s">
        <v>1363</v>
      </c>
      <c r="C496" s="28" t="s">
        <v>292</v>
      </c>
      <c r="D496" s="51" t="s">
        <v>434</v>
      </c>
      <c r="E496" s="100">
        <v>0.127159969500307</v>
      </c>
      <c r="F496" s="44" t="s">
        <v>1364</v>
      </c>
      <c r="U496" s="62" t="str">
        <f>IF(E496='Source Data'!E496,"","changed")</f>
        <v/>
      </c>
      <c r="V496" s="63" t="s">
        <v>1365</v>
      </c>
    </row>
    <row r="497" spans="2:22" x14ac:dyDescent="0.25">
      <c r="B497" s="23" t="s">
        <v>1366</v>
      </c>
      <c r="C497" s="28" t="s">
        <v>493</v>
      </c>
      <c r="D497" s="50" t="s">
        <v>432</v>
      </c>
      <c r="F497" s="44" t="s">
        <v>1367</v>
      </c>
      <c r="H497" s="92">
        <v>29.338465248760102</v>
      </c>
      <c r="I497" s="92">
        <v>0</v>
      </c>
      <c r="J497" s="92">
        <v>0</v>
      </c>
      <c r="K497" s="92">
        <v>0</v>
      </c>
      <c r="L497" s="92">
        <v>0</v>
      </c>
      <c r="M497" s="92">
        <v>0</v>
      </c>
      <c r="N497" s="92">
        <v>0</v>
      </c>
      <c r="O497" s="92">
        <v>0</v>
      </c>
      <c r="P497" s="92">
        <v>0</v>
      </c>
      <c r="Q497" s="92">
        <v>0</v>
      </c>
      <c r="R497" s="92">
        <v>0</v>
      </c>
      <c r="S497" s="92">
        <v>0</v>
      </c>
      <c r="T497" s="92">
        <v>0</v>
      </c>
      <c r="U497" s="62" t="str">
        <f>IF(SUMPRODUCT(--(H497:T497&lt;&gt;'Source Data'!H497:T497))=0,"",SUMPRODUCT(--(H497:T497&lt;&gt;'Source Data'!H497:T497))&amp;" yr")</f>
        <v/>
      </c>
      <c r="V497" s="63" t="s">
        <v>1368</v>
      </c>
    </row>
    <row r="498" spans="2:22" ht="26.25" customHeight="1" x14ac:dyDescent="0.25">
      <c r="B498" s="64" t="s">
        <v>1369</v>
      </c>
      <c r="C498" s="28" t="s">
        <v>493</v>
      </c>
      <c r="D498" s="50" t="s">
        <v>432</v>
      </c>
      <c r="F498" s="44" t="s">
        <v>1370</v>
      </c>
      <c r="H498" s="92">
        <v>5.4709055176610004</v>
      </c>
      <c r="I498" s="92">
        <v>1.9421714587696599</v>
      </c>
      <c r="J498" s="92">
        <v>0</v>
      </c>
      <c r="K498" s="92">
        <v>0</v>
      </c>
      <c r="L498" s="92">
        <v>0</v>
      </c>
      <c r="M498" s="92">
        <v>0</v>
      </c>
      <c r="N498" s="92">
        <v>0</v>
      </c>
      <c r="O498" s="92">
        <v>0</v>
      </c>
      <c r="P498" s="92">
        <v>0</v>
      </c>
      <c r="Q498" s="92">
        <v>0</v>
      </c>
      <c r="R498" s="92">
        <v>0</v>
      </c>
      <c r="S498" s="92">
        <v>0</v>
      </c>
      <c r="T498" s="92">
        <v>0</v>
      </c>
      <c r="U498" s="62" t="str">
        <f>IF(SUMPRODUCT(--(H498:T498&lt;&gt;'Source Data'!H498:T498))=0,"",SUMPRODUCT(--(H498:T498&lt;&gt;'Source Data'!H498:T498))&amp;" yr")</f>
        <v/>
      </c>
      <c r="V498" s="63" t="s">
        <v>1371</v>
      </c>
    </row>
    <row r="499" spans="2:22" x14ac:dyDescent="0.25">
      <c r="B499" s="23" t="s">
        <v>1372</v>
      </c>
      <c r="C499" s="28" t="s">
        <v>493</v>
      </c>
      <c r="D499" s="50" t="s">
        <v>432</v>
      </c>
      <c r="F499" s="44" t="s">
        <v>1373</v>
      </c>
      <c r="H499" s="92">
        <v>0</v>
      </c>
      <c r="I499" s="92">
        <v>13.331278719</v>
      </c>
      <c r="J499" s="92">
        <v>0</v>
      </c>
      <c r="K499" s="92">
        <v>0</v>
      </c>
      <c r="L499" s="92">
        <v>0</v>
      </c>
      <c r="M499" s="92">
        <v>0</v>
      </c>
      <c r="N499" s="92">
        <v>0</v>
      </c>
      <c r="O499" s="92">
        <v>0</v>
      </c>
      <c r="P499" s="92">
        <v>0</v>
      </c>
      <c r="Q499" s="92">
        <v>0</v>
      </c>
      <c r="R499" s="92">
        <v>0</v>
      </c>
      <c r="S499" s="92">
        <v>0</v>
      </c>
      <c r="T499" s="92">
        <v>0</v>
      </c>
      <c r="U499" s="62" t="str">
        <f>IF(SUMPRODUCT(--(H499:T499&lt;&gt;'Source Data'!H499:T499))=0,"",SUMPRODUCT(--(H499:T499&lt;&gt;'Source Data'!H499:T499))&amp;" yr")</f>
        <v/>
      </c>
      <c r="V499" s="63" t="s">
        <v>1374</v>
      </c>
    </row>
    <row r="500" spans="2:22" x14ac:dyDescent="0.25">
      <c r="B500" s="42" t="s">
        <v>1375</v>
      </c>
    </row>
    <row r="501" spans="2:22" x14ac:dyDescent="0.25">
      <c r="B501" s="23" t="s">
        <v>1376</v>
      </c>
      <c r="C501" s="28" t="s">
        <v>493</v>
      </c>
      <c r="D501" s="54" t="s">
        <v>440</v>
      </c>
      <c r="E501" s="101">
        <v>800</v>
      </c>
      <c r="F501" s="44" t="s">
        <v>274</v>
      </c>
      <c r="U501" s="62" t="str">
        <f>IF(E501='Source Data'!E501,"","changed")</f>
        <v/>
      </c>
      <c r="V501" s="84" t="s">
        <v>1377</v>
      </c>
    </row>
    <row r="502" spans="2:22" x14ac:dyDescent="0.25">
      <c r="B502" s="23" t="s">
        <v>1378</v>
      </c>
      <c r="C502" s="28" t="s">
        <v>1379</v>
      </c>
      <c r="D502" s="54" t="s">
        <v>440</v>
      </c>
      <c r="E502" s="102">
        <v>0.01</v>
      </c>
      <c r="F502" s="44" t="s">
        <v>274</v>
      </c>
      <c r="U502" s="62" t="str">
        <f>IF(E502='Source Data'!E502,"","changed")</f>
        <v/>
      </c>
      <c r="V502" s="84" t="s">
        <v>1380</v>
      </c>
    </row>
    <row r="503" spans="2:22" x14ac:dyDescent="0.25">
      <c r="B503" s="23" t="s">
        <v>1381</v>
      </c>
      <c r="C503" s="28" t="s">
        <v>816</v>
      </c>
      <c r="D503" s="51" t="s">
        <v>434</v>
      </c>
      <c r="E503" s="98">
        <v>5</v>
      </c>
      <c r="F503" s="44" t="s">
        <v>1382</v>
      </c>
      <c r="U503" s="62" t="str">
        <f>IF(E503='Source Data'!E503,"","changed")</f>
        <v/>
      </c>
      <c r="V503" s="63" t="s">
        <v>1383</v>
      </c>
    </row>
    <row r="504" spans="2:22" x14ac:dyDescent="0.25">
      <c r="B504" s="23" t="s">
        <v>1384</v>
      </c>
      <c r="C504" s="28" t="s">
        <v>816</v>
      </c>
      <c r="D504" s="51" t="s">
        <v>434</v>
      </c>
      <c r="E504" s="98">
        <v>1</v>
      </c>
      <c r="F504" s="44" t="s">
        <v>1385</v>
      </c>
      <c r="U504" s="62" t="str">
        <f>IF(E504='Source Data'!E504,"","changed")</f>
        <v/>
      </c>
      <c r="V504" s="63" t="s">
        <v>1386</v>
      </c>
    </row>
    <row r="505" spans="2:22" x14ac:dyDescent="0.25">
      <c r="B505" s="23" t="s">
        <v>1387</v>
      </c>
      <c r="C505" s="28" t="s">
        <v>497</v>
      </c>
      <c r="D505" s="54" t="s">
        <v>440</v>
      </c>
      <c r="E505" s="103">
        <v>1.2</v>
      </c>
      <c r="F505" s="44" t="s">
        <v>274</v>
      </c>
      <c r="U505" s="62" t="str">
        <f>IF(E505='Source Data'!E505,"","changed")</f>
        <v/>
      </c>
      <c r="V505" s="84" t="s">
        <v>1388</v>
      </c>
    </row>
    <row r="506" spans="2:22" x14ac:dyDescent="0.25">
      <c r="B506" s="23" t="s">
        <v>1389</v>
      </c>
      <c r="C506" s="28" t="s">
        <v>292</v>
      </c>
      <c r="D506" s="50" t="s">
        <v>432</v>
      </c>
      <c r="F506" s="44" t="s">
        <v>1390</v>
      </c>
      <c r="H506" s="87">
        <v>0</v>
      </c>
      <c r="I506" s="87">
        <v>0</v>
      </c>
      <c r="J506" s="87">
        <v>0</v>
      </c>
      <c r="K506" s="87">
        <v>0</v>
      </c>
      <c r="L506" s="87">
        <v>0</v>
      </c>
      <c r="M506" s="87">
        <v>0</v>
      </c>
      <c r="N506" s="87">
        <v>0</v>
      </c>
      <c r="O506" s="87">
        <v>0</v>
      </c>
      <c r="P506" s="87">
        <v>0</v>
      </c>
      <c r="Q506" s="87">
        <v>0</v>
      </c>
      <c r="R506" s="87">
        <v>0</v>
      </c>
      <c r="S506" s="87">
        <v>0</v>
      </c>
      <c r="T506" s="87">
        <v>0</v>
      </c>
      <c r="U506" s="62" t="str">
        <f>IF(SUMPRODUCT(--(H506:T506&lt;&gt;'Source Data'!H506:T506))=0,"",SUMPRODUCT(--(H506:T506&lt;&gt;'Source Data'!H506:T506))&amp;" yr")</f>
        <v/>
      </c>
      <c r="V506" s="63" t="s">
        <v>1391</v>
      </c>
    </row>
    <row r="507" spans="2:22" x14ac:dyDescent="0.25">
      <c r="B507" s="23" t="s">
        <v>1392</v>
      </c>
      <c r="C507" s="28" t="s">
        <v>1360</v>
      </c>
      <c r="D507" s="51" t="s">
        <v>434</v>
      </c>
      <c r="F507" s="44" t="s">
        <v>1393</v>
      </c>
      <c r="H507" s="96">
        <v>0.105</v>
      </c>
      <c r="I507" s="96">
        <v>0.105</v>
      </c>
      <c r="J507" s="96">
        <v>0.105</v>
      </c>
      <c r="K507" s="96">
        <v>0.105</v>
      </c>
      <c r="L507" s="96">
        <v>0.105</v>
      </c>
      <c r="M507" s="96">
        <v>0.105</v>
      </c>
      <c r="N507" s="96">
        <v>0.105</v>
      </c>
      <c r="O507" s="96">
        <v>0.105</v>
      </c>
      <c r="P507" s="96">
        <v>0.105</v>
      </c>
      <c r="Q507" s="96">
        <v>0.105</v>
      </c>
      <c r="R507" s="96">
        <v>0.105</v>
      </c>
      <c r="S507" s="96">
        <v>0.105</v>
      </c>
      <c r="T507" s="96">
        <v>0.105</v>
      </c>
      <c r="U507" s="62" t="str">
        <f>IF(SUMPRODUCT(--(H507:T507&lt;&gt;'Source Data'!H507:T507))=0,"",SUMPRODUCT(--(H507:T507&lt;&gt;'Source Data'!H507:T507))&amp;" yr")</f>
        <v/>
      </c>
      <c r="V507" s="63" t="s">
        <v>1394</v>
      </c>
    </row>
    <row r="508" spans="2:22" x14ac:dyDescent="0.25">
      <c r="B508" s="23" t="s">
        <v>1395</v>
      </c>
      <c r="C508" s="28" t="s">
        <v>493</v>
      </c>
      <c r="D508" s="54" t="s">
        <v>440</v>
      </c>
      <c r="F508" s="44" t="s">
        <v>274</v>
      </c>
      <c r="H508" s="101">
        <v>0</v>
      </c>
      <c r="I508" s="101">
        <v>0</v>
      </c>
      <c r="J508" s="101">
        <v>0</v>
      </c>
      <c r="K508" s="101">
        <v>0</v>
      </c>
      <c r="L508" s="101">
        <v>0</v>
      </c>
      <c r="M508" s="101">
        <v>0</v>
      </c>
      <c r="N508" s="101">
        <v>0</v>
      </c>
      <c r="O508" s="101">
        <v>0</v>
      </c>
      <c r="P508" s="101">
        <v>0</v>
      </c>
      <c r="Q508" s="101">
        <v>0</v>
      </c>
      <c r="R508" s="101">
        <v>0</v>
      </c>
      <c r="S508" s="101">
        <v>0</v>
      </c>
      <c r="T508" s="101">
        <v>0</v>
      </c>
      <c r="U508" s="62" t="str">
        <f>IF(SUMPRODUCT(--(H508:T508&lt;&gt;'Source Data'!H508:T508))=0,"",SUMPRODUCT(--(H508:T508&lt;&gt;'Source Data'!H508:T508))&amp;" yr")</f>
        <v/>
      </c>
      <c r="V508" s="84" t="s">
        <v>1396</v>
      </c>
    </row>
    <row r="509" spans="2:22" x14ac:dyDescent="0.25">
      <c r="B509" s="42" t="s">
        <v>1397</v>
      </c>
    </row>
    <row r="510" spans="2:22" ht="26.25" customHeight="1" x14ac:dyDescent="0.25">
      <c r="B510" s="64" t="s">
        <v>1398</v>
      </c>
      <c r="C510" s="28" t="s">
        <v>1399</v>
      </c>
      <c r="D510" s="50" t="s">
        <v>432</v>
      </c>
      <c r="F510" s="44" t="s">
        <v>1400</v>
      </c>
      <c r="H510" s="87">
        <v>0</v>
      </c>
      <c r="I510" s="87">
        <v>0</v>
      </c>
      <c r="J510" s="87">
        <v>1</v>
      </c>
      <c r="K510" s="87">
        <v>1</v>
      </c>
      <c r="L510" s="87">
        <v>0</v>
      </c>
      <c r="M510" s="87">
        <v>0</v>
      </c>
      <c r="N510" s="87">
        <v>0</v>
      </c>
      <c r="O510" s="87">
        <v>0</v>
      </c>
      <c r="P510" s="87">
        <v>0</v>
      </c>
      <c r="Q510" s="87">
        <v>0</v>
      </c>
      <c r="R510" s="87">
        <v>0</v>
      </c>
      <c r="S510" s="87">
        <v>0</v>
      </c>
      <c r="T510" s="87">
        <v>0</v>
      </c>
      <c r="U510" s="62" t="str">
        <f>IF(SUMPRODUCT(--(H510:T510&lt;&gt;'Source Data'!H510:T510))=0,"",SUMPRODUCT(--(H510:T510&lt;&gt;'Source Data'!H510:T510))&amp;" yr")</f>
        <v/>
      </c>
      <c r="V510" s="63" t="s">
        <v>1401</v>
      </c>
    </row>
    <row r="511" spans="2:22" ht="26.25" customHeight="1" x14ac:dyDescent="0.25">
      <c r="B511" s="64" t="s">
        <v>1402</v>
      </c>
      <c r="C511" s="28" t="s">
        <v>806</v>
      </c>
      <c r="D511" s="50" t="s">
        <v>432</v>
      </c>
      <c r="E511" s="94">
        <v>110</v>
      </c>
      <c r="F511" s="44" t="s">
        <v>1403</v>
      </c>
      <c r="U511" s="62" t="str">
        <f>IF(E511='Source Data'!E511,"","changed")</f>
        <v/>
      </c>
      <c r="V511" s="63" t="s">
        <v>1404</v>
      </c>
    </row>
    <row r="512" spans="2:22" x14ac:dyDescent="0.25">
      <c r="B512" s="23" t="s">
        <v>1405</v>
      </c>
      <c r="C512" s="28" t="s">
        <v>493</v>
      </c>
      <c r="D512" s="50" t="s">
        <v>432</v>
      </c>
      <c r="F512" s="44" t="s">
        <v>1406</v>
      </c>
      <c r="H512" s="89">
        <v>3</v>
      </c>
      <c r="I512" s="89">
        <v>3</v>
      </c>
      <c r="J512" s="89">
        <v>3</v>
      </c>
      <c r="K512" s="89">
        <v>3</v>
      </c>
      <c r="L512" s="89">
        <v>3</v>
      </c>
      <c r="M512" s="89">
        <v>3</v>
      </c>
      <c r="N512" s="89">
        <v>3</v>
      </c>
      <c r="O512" s="89">
        <v>3</v>
      </c>
      <c r="P512" s="89">
        <v>3</v>
      </c>
      <c r="Q512" s="89">
        <v>3</v>
      </c>
      <c r="R512" s="89">
        <v>3</v>
      </c>
      <c r="S512" s="89">
        <v>3</v>
      </c>
      <c r="T512" s="89">
        <v>3</v>
      </c>
      <c r="U512" s="62" t="str">
        <f>IF(SUMPRODUCT(--(H512:T512&lt;&gt;'Source Data'!H512:T512))=0,"",SUMPRODUCT(--(H512:T512&lt;&gt;'Source Data'!H512:T512))&amp;" yr")</f>
        <v/>
      </c>
      <c r="V512" s="63" t="s">
        <v>1407</v>
      </c>
    </row>
    <row r="513" spans="2:22" x14ac:dyDescent="0.25">
      <c r="B513" s="23" t="s">
        <v>1408</v>
      </c>
      <c r="C513" s="28" t="s">
        <v>1360</v>
      </c>
      <c r="D513" s="50" t="s">
        <v>432</v>
      </c>
      <c r="F513" s="44" t="s">
        <v>1409</v>
      </c>
      <c r="H513" s="93">
        <v>0</v>
      </c>
      <c r="I513" s="93">
        <v>0</v>
      </c>
      <c r="J513" s="93">
        <v>0</v>
      </c>
      <c r="K513" s="93">
        <v>0</v>
      </c>
      <c r="L513" s="93">
        <v>0</v>
      </c>
      <c r="M513" s="93">
        <v>0</v>
      </c>
      <c r="N513" s="93">
        <v>0</v>
      </c>
      <c r="O513" s="93">
        <v>0</v>
      </c>
      <c r="P513" s="93">
        <v>0</v>
      </c>
      <c r="Q513" s="93">
        <v>0</v>
      </c>
      <c r="R513" s="93">
        <v>0</v>
      </c>
      <c r="S513" s="93">
        <v>0</v>
      </c>
      <c r="T513" s="93">
        <v>0</v>
      </c>
      <c r="U513" s="62" t="str">
        <f>IF(SUMPRODUCT(--(H513:T513&lt;&gt;'Source Data'!H513:T513))=0,"",SUMPRODUCT(--(H513:T513&lt;&gt;'Source Data'!H513:T513))&amp;" yr")</f>
        <v/>
      </c>
      <c r="V513" s="63" t="s">
        <v>1410</v>
      </c>
    </row>
    <row r="514" spans="2:22" x14ac:dyDescent="0.25">
      <c r="B514" s="42" t="s">
        <v>1411</v>
      </c>
    </row>
    <row r="515" spans="2:22" x14ac:dyDescent="0.25">
      <c r="B515" s="23" t="s">
        <v>1412</v>
      </c>
      <c r="C515" s="28" t="s">
        <v>806</v>
      </c>
      <c r="D515" s="50" t="s">
        <v>432</v>
      </c>
      <c r="E515" s="94">
        <v>18</v>
      </c>
      <c r="F515" s="44" t="s">
        <v>1413</v>
      </c>
      <c r="U515" s="62" t="str">
        <f>IF(E515='Source Data'!E515,"","changed")</f>
        <v/>
      </c>
      <c r="V515" s="63" t="s">
        <v>1414</v>
      </c>
    </row>
    <row r="516" spans="2:22" x14ac:dyDescent="0.25">
      <c r="B516" s="23" t="s">
        <v>1415</v>
      </c>
      <c r="C516" s="28" t="s">
        <v>292</v>
      </c>
      <c r="D516" s="50" t="s">
        <v>432</v>
      </c>
      <c r="E516" s="87">
        <v>0.2</v>
      </c>
      <c r="F516" s="44" t="s">
        <v>1416</v>
      </c>
      <c r="U516" s="62" t="str">
        <f>IF(E516='Source Data'!E516,"","changed")</f>
        <v/>
      </c>
      <c r="V516" s="63" t="s">
        <v>1414</v>
      </c>
    </row>
    <row r="517" spans="2:22" x14ac:dyDescent="0.25">
      <c r="B517" s="23" t="s">
        <v>1417</v>
      </c>
      <c r="C517" s="28" t="s">
        <v>292</v>
      </c>
      <c r="D517" s="50" t="s">
        <v>432</v>
      </c>
      <c r="F517" s="44" t="s">
        <v>1418</v>
      </c>
      <c r="H517" s="87">
        <v>0.3</v>
      </c>
      <c r="I517" s="87">
        <v>0.3</v>
      </c>
      <c r="J517" s="87">
        <v>0.3</v>
      </c>
      <c r="K517" s="87">
        <v>0.3</v>
      </c>
      <c r="L517" s="87">
        <v>0.3</v>
      </c>
      <c r="M517" s="87">
        <v>0.3</v>
      </c>
      <c r="N517" s="87">
        <v>0.3</v>
      </c>
      <c r="O517" s="87">
        <v>0.3</v>
      </c>
      <c r="P517" s="87">
        <v>0.3</v>
      </c>
      <c r="Q517" s="87">
        <v>0.3</v>
      </c>
      <c r="R517" s="87">
        <v>0.3</v>
      </c>
      <c r="S517" s="87">
        <v>0.3</v>
      </c>
      <c r="T517" s="87">
        <v>0.3</v>
      </c>
      <c r="U517" s="62" t="str">
        <f>IF(SUMPRODUCT(--(H517:T517&lt;&gt;'Source Data'!H517:T517))=0,"",SUMPRODUCT(--(H517:T517&lt;&gt;'Source Data'!H517:T517))&amp;" yr")</f>
        <v/>
      </c>
      <c r="V517" s="63" t="s">
        <v>1419</v>
      </c>
    </row>
    <row r="518" spans="2:22" ht="26.25" customHeight="1" x14ac:dyDescent="0.25">
      <c r="B518" s="64" t="s">
        <v>1420</v>
      </c>
      <c r="C518" s="28" t="s">
        <v>1421</v>
      </c>
      <c r="D518" s="50" t="s">
        <v>432</v>
      </c>
      <c r="F518" s="44" t="s">
        <v>1422</v>
      </c>
      <c r="H518" s="87">
        <v>0</v>
      </c>
      <c r="I518" s="87">
        <v>0</v>
      </c>
      <c r="J518" s="87">
        <v>0</v>
      </c>
      <c r="K518" s="87">
        <v>0</v>
      </c>
      <c r="L518" s="87">
        <v>0</v>
      </c>
      <c r="M518" s="87">
        <v>0</v>
      </c>
      <c r="N518" s="87">
        <v>0</v>
      </c>
      <c r="O518" s="87">
        <v>0</v>
      </c>
      <c r="P518" s="87">
        <v>0</v>
      </c>
      <c r="Q518" s="87">
        <v>0</v>
      </c>
      <c r="R518" s="87">
        <v>0</v>
      </c>
      <c r="S518" s="87">
        <v>0</v>
      </c>
      <c r="T518" s="87">
        <v>0</v>
      </c>
      <c r="U518" s="62" t="str">
        <f>IF(SUMPRODUCT(--(H518:T518&lt;&gt;'Source Data'!H518:T518))=0,"",SUMPRODUCT(--(H518:T518&lt;&gt;'Source Data'!H518:T518))&amp;" yr")</f>
        <v/>
      </c>
      <c r="V518" s="63" t="s">
        <v>1423</v>
      </c>
    </row>
    <row r="520" spans="2:22" x14ac:dyDescent="0.25">
      <c r="B520" s="58" t="s">
        <v>1424</v>
      </c>
      <c r="C520" s="19"/>
      <c r="D520" s="19"/>
      <c r="E520" s="19"/>
      <c r="F520" s="19"/>
      <c r="G520" s="19"/>
      <c r="H520" s="19"/>
      <c r="I520" s="19"/>
      <c r="J520" s="19"/>
      <c r="K520" s="19"/>
      <c r="L520" s="19"/>
      <c r="M520" s="19"/>
      <c r="N520" s="19"/>
      <c r="O520" s="19"/>
      <c r="P520" s="19"/>
      <c r="Q520" s="19"/>
      <c r="R520" s="19"/>
      <c r="S520" s="19"/>
      <c r="T520" s="19"/>
      <c r="U520" s="19"/>
      <c r="V520" s="19"/>
    </row>
    <row r="521" spans="2:22" x14ac:dyDescent="0.25">
      <c r="B521" s="59" t="s">
        <v>610</v>
      </c>
      <c r="C521" s="59" t="s">
        <v>466</v>
      </c>
      <c r="D521" s="59" t="s">
        <v>467</v>
      </c>
      <c r="E521" s="59" t="s">
        <v>468</v>
      </c>
      <c r="F521" s="59" t="s">
        <v>469</v>
      </c>
      <c r="G521" s="80" t="s">
        <v>628</v>
      </c>
      <c r="H521" s="81">
        <v>2024</v>
      </c>
      <c r="I521" s="81">
        <v>2025</v>
      </c>
      <c r="J521" s="81">
        <v>2026</v>
      </c>
      <c r="K521" s="81">
        <v>2027</v>
      </c>
      <c r="L521" s="81">
        <v>2028</v>
      </c>
      <c r="M521" s="81">
        <v>2029</v>
      </c>
      <c r="N521" s="81">
        <v>2030</v>
      </c>
      <c r="O521" s="81">
        <v>2031</v>
      </c>
      <c r="P521" s="81">
        <v>2032</v>
      </c>
      <c r="Q521" s="81">
        <v>2033</v>
      </c>
      <c r="R521" s="81">
        <v>2034</v>
      </c>
      <c r="S521" s="81">
        <v>2035</v>
      </c>
      <c r="T521" s="81">
        <v>2036</v>
      </c>
      <c r="U521" s="59" t="s">
        <v>470</v>
      </c>
      <c r="V521" s="59" t="s">
        <v>471</v>
      </c>
    </row>
    <row r="522" spans="2:22" x14ac:dyDescent="0.25">
      <c r="B522" s="23" t="s">
        <v>1425</v>
      </c>
      <c r="C522" s="28" t="s">
        <v>292</v>
      </c>
      <c r="D522" s="50" t="s">
        <v>432</v>
      </c>
      <c r="F522" s="44" t="s">
        <v>1426</v>
      </c>
      <c r="H522" s="87">
        <v>0.22</v>
      </c>
      <c r="I522" s="87">
        <v>0.22</v>
      </c>
      <c r="J522" s="87">
        <v>0.22</v>
      </c>
      <c r="K522" s="87">
        <v>0.22</v>
      </c>
      <c r="L522" s="87">
        <v>0.22</v>
      </c>
      <c r="M522" s="87">
        <v>0.22</v>
      </c>
      <c r="N522" s="87">
        <v>0.22</v>
      </c>
      <c r="O522" s="87">
        <v>0.22</v>
      </c>
      <c r="P522" s="87">
        <v>0.22</v>
      </c>
      <c r="Q522" s="87">
        <v>0.22</v>
      </c>
      <c r="R522" s="87">
        <v>0.22</v>
      </c>
      <c r="S522" s="87">
        <v>0.22</v>
      </c>
      <c r="T522" s="87">
        <v>0.22</v>
      </c>
      <c r="U522" s="62" t="str">
        <f>IF(SUMPRODUCT(--(H522:T522&lt;&gt;'Source Data'!H522:T522))=0,"",SUMPRODUCT(--(H522:T522&lt;&gt;'Source Data'!H522:T522))&amp;" yr")</f>
        <v/>
      </c>
      <c r="V522" s="63" t="s">
        <v>683</v>
      </c>
    </row>
    <row r="523" spans="2:22" x14ac:dyDescent="0.25">
      <c r="B523" s="63" t="s">
        <v>1427</v>
      </c>
    </row>
    <row r="524" spans="2:22" ht="26.25" customHeight="1" x14ac:dyDescent="0.25">
      <c r="B524" s="64" t="s">
        <v>1428</v>
      </c>
      <c r="C524" s="28" t="s">
        <v>493</v>
      </c>
      <c r="D524" s="54" t="s">
        <v>440</v>
      </c>
      <c r="E524" s="101">
        <v>0</v>
      </c>
      <c r="F524" s="44" t="s">
        <v>274</v>
      </c>
      <c r="U524" s="62" t="str">
        <f>IF(E524='Source Data'!E524,"","changed")</f>
        <v/>
      </c>
      <c r="V524" s="84" t="s">
        <v>1429</v>
      </c>
    </row>
    <row r="525" spans="2:22" ht="26.25" customHeight="1" x14ac:dyDescent="0.25">
      <c r="B525" s="64" t="s">
        <v>1430</v>
      </c>
      <c r="C525" s="28" t="s">
        <v>493</v>
      </c>
      <c r="D525" s="54" t="s">
        <v>440</v>
      </c>
      <c r="E525" s="101">
        <v>0</v>
      </c>
      <c r="F525" s="44" t="s">
        <v>274</v>
      </c>
      <c r="U525" s="62" t="str">
        <f>IF(E525='Source Data'!E525,"","changed")</f>
        <v/>
      </c>
      <c r="V525" s="84" t="s">
        <v>1431</v>
      </c>
    </row>
    <row r="526" spans="2:22" ht="26.25" customHeight="1" x14ac:dyDescent="0.25">
      <c r="B526" s="64" t="s">
        <v>1432</v>
      </c>
      <c r="C526" s="28" t="s">
        <v>493</v>
      </c>
      <c r="D526" s="54" t="s">
        <v>440</v>
      </c>
      <c r="E526" s="101">
        <v>0</v>
      </c>
      <c r="F526" s="44" t="s">
        <v>274</v>
      </c>
      <c r="U526" s="62" t="str">
        <f>IF(E526='Source Data'!E526,"","changed")</f>
        <v/>
      </c>
      <c r="V526" s="84" t="s">
        <v>1431</v>
      </c>
    </row>
    <row r="527" spans="2:22" x14ac:dyDescent="0.25">
      <c r="B527" s="23" t="s">
        <v>1433</v>
      </c>
      <c r="C527" s="28" t="s">
        <v>493</v>
      </c>
      <c r="D527" s="54" t="s">
        <v>440</v>
      </c>
      <c r="E527" s="101">
        <v>0</v>
      </c>
      <c r="F527" s="44" t="s">
        <v>274</v>
      </c>
      <c r="U527" s="62" t="str">
        <f>IF(E527='Source Data'!E527,"","changed")</f>
        <v/>
      </c>
      <c r="V527" s="84" t="s">
        <v>1431</v>
      </c>
    </row>
    <row r="528" spans="2:22" ht="26.25" customHeight="1" x14ac:dyDescent="0.25">
      <c r="B528" s="64" t="s">
        <v>1434</v>
      </c>
      <c r="C528" s="28" t="s">
        <v>493</v>
      </c>
      <c r="D528" s="54" t="s">
        <v>440</v>
      </c>
      <c r="E528" s="101">
        <v>0</v>
      </c>
      <c r="F528" s="44" t="s">
        <v>274</v>
      </c>
      <c r="U528" s="62" t="str">
        <f>IF(E528='Source Data'!E528,"","changed")</f>
        <v/>
      </c>
      <c r="V528" s="84" t="s">
        <v>1431</v>
      </c>
    </row>
    <row r="529" spans="2:22" ht="26.25" customHeight="1" x14ac:dyDescent="0.25">
      <c r="B529" s="64" t="s">
        <v>1435</v>
      </c>
      <c r="C529" s="28" t="s">
        <v>493</v>
      </c>
      <c r="D529" s="54" t="s">
        <v>440</v>
      </c>
      <c r="E529" s="101">
        <v>0</v>
      </c>
      <c r="F529" s="44" t="s">
        <v>274</v>
      </c>
      <c r="U529" s="62" t="str">
        <f>IF(E529='Source Data'!E529,"","changed")</f>
        <v/>
      </c>
      <c r="V529" s="84" t="s">
        <v>1431</v>
      </c>
    </row>
    <row r="530" spans="2:22" ht="26.25" customHeight="1" x14ac:dyDescent="0.25">
      <c r="B530" s="64" t="s">
        <v>1436</v>
      </c>
      <c r="C530" s="28" t="s">
        <v>493</v>
      </c>
      <c r="D530" s="54" t="s">
        <v>440</v>
      </c>
      <c r="E530" s="101">
        <v>0</v>
      </c>
      <c r="F530" s="44" t="s">
        <v>274</v>
      </c>
      <c r="U530" s="62" t="str">
        <f>IF(E530='Source Data'!E530,"","changed")</f>
        <v/>
      </c>
      <c r="V530" s="84" t="s">
        <v>1431</v>
      </c>
    </row>
    <row r="531" spans="2:22" x14ac:dyDescent="0.25">
      <c r="B531" s="23" t="s">
        <v>1437</v>
      </c>
      <c r="C531" s="28" t="s">
        <v>292</v>
      </c>
      <c r="D531" s="50" t="s">
        <v>432</v>
      </c>
      <c r="E531" s="87">
        <v>0.65</v>
      </c>
      <c r="F531" s="44" t="s">
        <v>1438</v>
      </c>
      <c r="U531" s="62" t="str">
        <f>IF(E531='Source Data'!E531,"","changed")</f>
        <v/>
      </c>
      <c r="V531" s="63" t="s">
        <v>1439</v>
      </c>
    </row>
    <row r="532" spans="2:22" x14ac:dyDescent="0.25">
      <c r="B532" s="23" t="s">
        <v>1440</v>
      </c>
      <c r="C532" s="28" t="s">
        <v>292</v>
      </c>
      <c r="D532" s="50" t="s">
        <v>432</v>
      </c>
      <c r="E532" s="87">
        <v>1</v>
      </c>
      <c r="F532" s="44" t="s">
        <v>1441</v>
      </c>
      <c r="U532" s="62" t="str">
        <f>IF(E532='Source Data'!E532,"","changed")</f>
        <v/>
      </c>
      <c r="V532" s="63" t="s">
        <v>1442</v>
      </c>
    </row>
    <row r="533" spans="2:22" x14ac:dyDescent="0.25">
      <c r="B533" s="23" t="s">
        <v>1443</v>
      </c>
      <c r="C533" s="28" t="s">
        <v>292</v>
      </c>
      <c r="D533" s="50" t="s">
        <v>432</v>
      </c>
      <c r="E533" s="87">
        <v>1</v>
      </c>
      <c r="F533" s="44" t="s">
        <v>1441</v>
      </c>
      <c r="U533" s="62" t="str">
        <f>IF(E533='Source Data'!E533,"","changed")</f>
        <v/>
      </c>
      <c r="V533" s="63" t="s">
        <v>1442</v>
      </c>
    </row>
    <row r="534" spans="2:22" x14ac:dyDescent="0.25">
      <c r="B534" s="23" t="s">
        <v>1444</v>
      </c>
      <c r="C534" s="28" t="s">
        <v>292</v>
      </c>
      <c r="D534" s="50" t="s">
        <v>432</v>
      </c>
      <c r="E534" s="87">
        <v>1</v>
      </c>
      <c r="F534" s="44" t="s">
        <v>1441</v>
      </c>
      <c r="U534" s="62" t="str">
        <f>IF(E534='Source Data'!E534,"","changed")</f>
        <v/>
      </c>
      <c r="V534" s="63" t="s">
        <v>1442</v>
      </c>
    </row>
    <row r="535" spans="2:22" x14ac:dyDescent="0.25">
      <c r="B535" s="23" t="s">
        <v>1445</v>
      </c>
      <c r="C535" s="28" t="s">
        <v>292</v>
      </c>
      <c r="D535" s="50" t="s">
        <v>432</v>
      </c>
      <c r="E535" s="87">
        <v>1</v>
      </c>
      <c r="F535" s="44" t="s">
        <v>1441</v>
      </c>
      <c r="U535" s="62" t="str">
        <f>IF(E535='Source Data'!E535,"","changed")</f>
        <v/>
      </c>
      <c r="V535" s="63" t="s">
        <v>1446</v>
      </c>
    </row>
    <row r="536" spans="2:22" x14ac:dyDescent="0.25">
      <c r="B536" s="23" t="s">
        <v>1447</v>
      </c>
      <c r="C536" s="28" t="s">
        <v>292</v>
      </c>
      <c r="D536" s="50" t="s">
        <v>432</v>
      </c>
      <c r="E536" s="87">
        <v>1</v>
      </c>
      <c r="F536" s="44" t="s">
        <v>1441</v>
      </c>
      <c r="U536" s="62" t="str">
        <f>IF(E536='Source Data'!E536,"","changed")</f>
        <v/>
      </c>
      <c r="V536" s="63" t="s">
        <v>1446</v>
      </c>
    </row>
    <row r="537" spans="2:22" x14ac:dyDescent="0.25">
      <c r="B537" s="23" t="s">
        <v>1448</v>
      </c>
      <c r="C537" s="28" t="s">
        <v>292</v>
      </c>
      <c r="D537" s="50" t="s">
        <v>432</v>
      </c>
      <c r="E537" s="87">
        <v>1</v>
      </c>
      <c r="F537" s="44" t="s">
        <v>1441</v>
      </c>
      <c r="U537" s="62" t="str">
        <f>IF(E537='Source Data'!E537,"","changed")</f>
        <v/>
      </c>
      <c r="V537" s="63" t="s">
        <v>1446</v>
      </c>
    </row>
    <row r="538" spans="2:22" x14ac:dyDescent="0.25">
      <c r="B538" s="63" t="s">
        <v>1449</v>
      </c>
    </row>
    <row r="540" spans="2:22" x14ac:dyDescent="0.25">
      <c r="B540" s="58" t="s">
        <v>1450</v>
      </c>
      <c r="C540" s="19"/>
      <c r="D540" s="19"/>
      <c r="E540" s="19"/>
      <c r="F540" s="19"/>
      <c r="G540" s="19"/>
      <c r="H540" s="19"/>
      <c r="I540" s="19"/>
      <c r="J540" s="19"/>
      <c r="K540" s="19"/>
      <c r="L540" s="19"/>
      <c r="M540" s="19"/>
      <c r="N540" s="19"/>
      <c r="O540" s="19"/>
      <c r="P540" s="19"/>
      <c r="Q540" s="19"/>
      <c r="R540" s="19"/>
      <c r="S540" s="19"/>
      <c r="T540" s="19"/>
      <c r="U540" s="19"/>
      <c r="V540" s="19"/>
    </row>
    <row r="541" spans="2:22" x14ac:dyDescent="0.25">
      <c r="B541" s="59" t="s">
        <v>610</v>
      </c>
      <c r="C541" s="59" t="s">
        <v>466</v>
      </c>
      <c r="D541" s="59" t="s">
        <v>467</v>
      </c>
      <c r="E541" s="59" t="s">
        <v>468</v>
      </c>
      <c r="F541" s="59" t="s">
        <v>469</v>
      </c>
      <c r="G541" s="80" t="s">
        <v>628</v>
      </c>
      <c r="H541" s="81">
        <v>2024</v>
      </c>
      <c r="I541" s="81">
        <v>2025</v>
      </c>
      <c r="J541" s="81">
        <v>2026</v>
      </c>
      <c r="K541" s="81">
        <v>2027</v>
      </c>
      <c r="L541" s="81">
        <v>2028</v>
      </c>
      <c r="M541" s="81">
        <v>2029</v>
      </c>
      <c r="N541" s="81">
        <v>2030</v>
      </c>
      <c r="O541" s="81">
        <v>2031</v>
      </c>
      <c r="P541" s="81">
        <v>2032</v>
      </c>
      <c r="Q541" s="81">
        <v>2033</v>
      </c>
      <c r="R541" s="81">
        <v>2034</v>
      </c>
      <c r="S541" s="81">
        <v>2035</v>
      </c>
      <c r="T541" s="81">
        <v>2036</v>
      </c>
      <c r="U541" s="59" t="s">
        <v>470</v>
      </c>
      <c r="V541" s="59" t="s">
        <v>471</v>
      </c>
    </row>
    <row r="542" spans="2:22" x14ac:dyDescent="0.25">
      <c r="B542" s="23" t="s">
        <v>1451</v>
      </c>
      <c r="C542" s="28" t="s">
        <v>292</v>
      </c>
      <c r="D542" s="54" t="s">
        <v>440</v>
      </c>
      <c r="E542" s="102">
        <v>7.0099999999999996E-2</v>
      </c>
      <c r="F542" s="44" t="s">
        <v>274</v>
      </c>
      <c r="U542" s="62" t="str">
        <f>IF(E542='Source Data'!E542,"","changed")</f>
        <v/>
      </c>
      <c r="V542" s="84" t="s">
        <v>1452</v>
      </c>
    </row>
    <row r="543" spans="2:22" x14ac:dyDescent="0.25">
      <c r="B543" s="23" t="s">
        <v>1453</v>
      </c>
      <c r="C543" s="28" t="s">
        <v>292</v>
      </c>
      <c r="D543" s="54" t="s">
        <v>440</v>
      </c>
      <c r="E543" s="102">
        <v>1.6199999999999999E-2</v>
      </c>
      <c r="F543" s="44" t="s">
        <v>274</v>
      </c>
      <c r="U543" s="62" t="str">
        <f>IF(E543='Source Data'!E543,"","changed")</f>
        <v/>
      </c>
      <c r="V543" s="84" t="s">
        <v>1454</v>
      </c>
    </row>
    <row r="544" spans="2:22" x14ac:dyDescent="0.25">
      <c r="B544" s="23" t="s">
        <v>1455</v>
      </c>
      <c r="C544" s="28" t="s">
        <v>292</v>
      </c>
      <c r="D544" s="54" t="s">
        <v>440</v>
      </c>
      <c r="E544" s="102">
        <v>6.6900000000000001E-2</v>
      </c>
      <c r="F544" s="44" t="s">
        <v>274</v>
      </c>
      <c r="U544" s="62" t="str">
        <f>IF(E544='Source Data'!E544,"","changed")</f>
        <v/>
      </c>
      <c r="V544" s="84" t="s">
        <v>1456</v>
      </c>
    </row>
    <row r="545" spans="2:22" x14ac:dyDescent="0.25">
      <c r="B545" s="23" t="s">
        <v>1457</v>
      </c>
      <c r="C545" s="28" t="s">
        <v>497</v>
      </c>
      <c r="D545" s="54" t="s">
        <v>440</v>
      </c>
      <c r="E545" s="103">
        <v>0.8</v>
      </c>
      <c r="F545" s="44" t="s">
        <v>274</v>
      </c>
      <c r="U545" s="62" t="str">
        <f>IF(E545='Source Data'!E545,"","changed")</f>
        <v/>
      </c>
      <c r="V545" s="84" t="s">
        <v>1458</v>
      </c>
    </row>
    <row r="546" spans="2:22" x14ac:dyDescent="0.25">
      <c r="B546" s="23" t="s">
        <v>1459</v>
      </c>
      <c r="C546" s="28" t="s">
        <v>292</v>
      </c>
      <c r="D546" s="54" t="s">
        <v>440</v>
      </c>
      <c r="E546" s="99">
        <v>0.2</v>
      </c>
      <c r="F546" s="44" t="s">
        <v>274</v>
      </c>
      <c r="U546" s="62" t="str">
        <f>IF(E546='Source Data'!E546,"","changed")</f>
        <v/>
      </c>
      <c r="V546" s="84" t="s">
        <v>1460</v>
      </c>
    </row>
    <row r="547" spans="2:22" x14ac:dyDescent="0.25">
      <c r="B547" s="23" t="s">
        <v>1461</v>
      </c>
      <c r="C547" s="28" t="s">
        <v>292</v>
      </c>
      <c r="D547" s="51" t="s">
        <v>434</v>
      </c>
      <c r="E547" s="96">
        <v>0.105</v>
      </c>
      <c r="F547" s="44" t="s">
        <v>1462</v>
      </c>
      <c r="U547" s="62" t="str">
        <f>IF(E547='Source Data'!E547,"","changed")</f>
        <v/>
      </c>
      <c r="V547" s="63" t="s">
        <v>1463</v>
      </c>
    </row>
    <row r="548" spans="2:22" x14ac:dyDescent="0.25">
      <c r="B548" s="23" t="s">
        <v>1464</v>
      </c>
      <c r="C548" s="28" t="s">
        <v>292</v>
      </c>
      <c r="D548" s="54" t="s">
        <v>440</v>
      </c>
      <c r="E548" s="102">
        <v>0.01</v>
      </c>
      <c r="F548" s="44" t="s">
        <v>274</v>
      </c>
      <c r="U548" s="62" t="str">
        <f>IF(E548='Source Data'!E548,"","changed")</f>
        <v/>
      </c>
      <c r="V548" s="84" t="s">
        <v>1465</v>
      </c>
    </row>
    <row r="549" spans="2:22" x14ac:dyDescent="0.25">
      <c r="B549" s="23" t="s">
        <v>1466</v>
      </c>
      <c r="C549" s="28" t="s">
        <v>292</v>
      </c>
      <c r="D549" s="54" t="s">
        <v>440</v>
      </c>
      <c r="E549" s="102">
        <v>0.03</v>
      </c>
      <c r="F549" s="44" t="s">
        <v>274</v>
      </c>
      <c r="U549" s="62" t="str">
        <f>IF(E549='Source Data'!E549,"","changed")</f>
        <v/>
      </c>
      <c r="V549" s="84" t="s">
        <v>1467</v>
      </c>
    </row>
    <row r="550" spans="2:22" x14ac:dyDescent="0.25">
      <c r="B550" s="23" t="s">
        <v>1468</v>
      </c>
      <c r="C550" s="28" t="s">
        <v>292</v>
      </c>
      <c r="D550" s="54" t="s">
        <v>440</v>
      </c>
      <c r="E550" s="102">
        <v>0.04</v>
      </c>
      <c r="F550" s="44" t="s">
        <v>274</v>
      </c>
      <c r="U550" s="62" t="str">
        <f>IF(E550='Source Data'!E550,"","changed")</f>
        <v/>
      </c>
      <c r="V550" s="84" t="s">
        <v>1469</v>
      </c>
    </row>
    <row r="551" spans="2:22" x14ac:dyDescent="0.25">
      <c r="B551" s="42" t="s">
        <v>1470</v>
      </c>
    </row>
    <row r="552" spans="2:22" x14ac:dyDescent="0.25">
      <c r="B552" s="23" t="s">
        <v>1471</v>
      </c>
      <c r="E552" s="104">
        <f>$E$542-$E$543</f>
        <v>5.3899999999999997E-2</v>
      </c>
    </row>
    <row r="553" spans="2:22" x14ac:dyDescent="0.25">
      <c r="B553" s="23" t="s">
        <v>1472</v>
      </c>
      <c r="E553" s="105">
        <f>$E$546/(1-$E$546)</f>
        <v>0.25</v>
      </c>
    </row>
    <row r="554" spans="2:22" x14ac:dyDescent="0.25">
      <c r="B554" s="23" t="s">
        <v>1473</v>
      </c>
      <c r="E554" s="105">
        <f>T522</f>
        <v>0.22</v>
      </c>
    </row>
    <row r="555" spans="2:22" x14ac:dyDescent="0.25">
      <c r="B555" s="23" t="s">
        <v>1474</v>
      </c>
      <c r="E555" s="106">
        <f>$E$545*(1+(1-$E$554)*$E$553)</f>
        <v>0.95600000000000007</v>
      </c>
    </row>
    <row r="556" spans="2:22" x14ac:dyDescent="0.25">
      <c r="B556" s="23" t="s">
        <v>1475</v>
      </c>
      <c r="E556" s="104">
        <f>$E$552+$E$555*$E$544+$E$548</f>
        <v>0.12785640000000001</v>
      </c>
    </row>
    <row r="557" spans="2:22" x14ac:dyDescent="0.25">
      <c r="B557" s="23" t="s">
        <v>1476</v>
      </c>
      <c r="E557" s="104">
        <f>$E$547*(1-$E$554)</f>
        <v>8.1900000000000001E-2</v>
      </c>
    </row>
    <row r="558" spans="2:22" x14ac:dyDescent="0.25">
      <c r="B558" s="21" t="s">
        <v>1477</v>
      </c>
      <c r="E558" s="107">
        <f>(1-$E$546)*$E$556+$E$546*$E$557</f>
        <v>0.11866512000000001</v>
      </c>
    </row>
    <row r="559" spans="2:22" x14ac:dyDescent="0.25">
      <c r="B559" s="23" t="s">
        <v>1478</v>
      </c>
      <c r="E559" s="104">
        <f>$E$549</f>
        <v>0.03</v>
      </c>
    </row>
    <row r="560" spans="2:22" x14ac:dyDescent="0.25">
      <c r="B560" s="23" t="s">
        <v>1479</v>
      </c>
      <c r="E560" s="45">
        <f>YEAR($E$93)</f>
        <v>2026</v>
      </c>
    </row>
    <row r="561" spans="2:22" x14ac:dyDescent="0.25">
      <c r="B561" s="23" t="s">
        <v>1480</v>
      </c>
      <c r="E561" s="108">
        <f>INDEX($G$95:$T$95,1,YEAR($E$93)-2022)</f>
        <v>16265</v>
      </c>
    </row>
    <row r="562" spans="2:22" x14ac:dyDescent="0.25">
      <c r="B562" s="63" t="s">
        <v>1481</v>
      </c>
    </row>
    <row r="564" spans="2:22" x14ac:dyDescent="0.25">
      <c r="B564" s="58" t="s">
        <v>1482</v>
      </c>
      <c r="C564" s="19"/>
      <c r="D564" s="19"/>
      <c r="E564" s="19"/>
      <c r="F564" s="19"/>
      <c r="G564" s="19"/>
      <c r="H564" s="19"/>
      <c r="I564" s="19"/>
      <c r="J564" s="19"/>
      <c r="K564" s="19"/>
      <c r="L564" s="19"/>
      <c r="M564" s="19"/>
      <c r="N564" s="19"/>
      <c r="O564" s="19"/>
      <c r="P564" s="19"/>
      <c r="Q564" s="19"/>
      <c r="R564" s="19"/>
      <c r="S564" s="19"/>
      <c r="T564" s="19"/>
      <c r="U564" s="19"/>
      <c r="V564" s="19"/>
    </row>
    <row r="565" spans="2:22" x14ac:dyDescent="0.25">
      <c r="B565" s="63" t="s">
        <v>1483</v>
      </c>
    </row>
    <row r="566" spans="2:22" x14ac:dyDescent="0.25">
      <c r="B566" s="63" t="s">
        <v>1484</v>
      </c>
    </row>
    <row r="567" spans="2:22" x14ac:dyDescent="0.25">
      <c r="B567" s="59" t="s">
        <v>1485</v>
      </c>
      <c r="C567" s="59" t="s">
        <v>466</v>
      </c>
      <c r="D567" s="59" t="s">
        <v>467</v>
      </c>
      <c r="E567" s="59" t="s">
        <v>468</v>
      </c>
      <c r="F567" s="59" t="s">
        <v>469</v>
      </c>
      <c r="G567" s="80" t="s">
        <v>611</v>
      </c>
      <c r="H567" s="81">
        <v>2024</v>
      </c>
      <c r="I567" s="81">
        <v>2025</v>
      </c>
      <c r="J567" s="81">
        <v>2026</v>
      </c>
      <c r="K567" s="81">
        <v>2027</v>
      </c>
      <c r="L567" s="81">
        <v>2028</v>
      </c>
      <c r="M567" s="81">
        <v>2029</v>
      </c>
      <c r="N567" s="81">
        <v>2030</v>
      </c>
      <c r="O567" s="81">
        <v>2031</v>
      </c>
      <c r="P567" s="81">
        <v>2032</v>
      </c>
      <c r="Q567" s="81">
        <v>2033</v>
      </c>
      <c r="R567" s="81">
        <v>2034</v>
      </c>
      <c r="S567" s="81">
        <v>2035</v>
      </c>
      <c r="T567" s="81">
        <v>2036</v>
      </c>
      <c r="U567" s="59" t="s">
        <v>470</v>
      </c>
      <c r="V567" s="59" t="s">
        <v>471</v>
      </c>
    </row>
    <row r="568" spans="2:22" ht="26.25" customHeight="1" x14ac:dyDescent="0.25">
      <c r="B568" s="64" t="s">
        <v>1486</v>
      </c>
      <c r="C568" s="28" t="s">
        <v>477</v>
      </c>
      <c r="D568" s="55" t="s">
        <v>442</v>
      </c>
      <c r="E568" s="61">
        <v>1</v>
      </c>
      <c r="F568" s="44" t="s">
        <v>484</v>
      </c>
      <c r="U568" s="62" t="str">
        <f>IF(E568='Source Data'!E568,"","changed")</f>
        <v/>
      </c>
      <c r="V568" s="63" t="s">
        <v>1487</v>
      </c>
    </row>
    <row r="569" spans="2:22" x14ac:dyDescent="0.25">
      <c r="B569" s="109" t="s">
        <v>1488</v>
      </c>
      <c r="C569" s="110" t="s">
        <v>292</v>
      </c>
      <c r="D569" s="53" t="s">
        <v>438</v>
      </c>
      <c r="E569" s="111">
        <v>1</v>
      </c>
      <c r="F569" s="112" t="s">
        <v>1489</v>
      </c>
      <c r="U569" s="62" t="str">
        <f>IF(E569='Source Data'!E569,"","changed")</f>
        <v/>
      </c>
      <c r="V569" s="84" t="s">
        <v>1490</v>
      </c>
    </row>
    <row r="570" spans="2:22" ht="26.25" customHeight="1" x14ac:dyDescent="0.25">
      <c r="B570" s="113" t="s">
        <v>1491</v>
      </c>
      <c r="C570" s="110" t="s">
        <v>292</v>
      </c>
      <c r="D570" s="53" t="s">
        <v>438</v>
      </c>
      <c r="E570" s="111">
        <v>1</v>
      </c>
      <c r="F570" s="112" t="s">
        <v>1489</v>
      </c>
      <c r="U570" s="62" t="str">
        <f>IF(E570='Source Data'!E570,"","changed")</f>
        <v/>
      </c>
      <c r="V570" s="84" t="s">
        <v>1492</v>
      </c>
    </row>
    <row r="571" spans="2:22" x14ac:dyDescent="0.25">
      <c r="B571" s="109" t="s">
        <v>1493</v>
      </c>
      <c r="C571" s="110" t="s">
        <v>613</v>
      </c>
      <c r="D571" s="53" t="s">
        <v>438</v>
      </c>
      <c r="E571" s="114">
        <v>47119</v>
      </c>
      <c r="F571" s="112" t="s">
        <v>1489</v>
      </c>
      <c r="U571" s="62" t="str">
        <f>IF(E571='Source Data'!E571,"","changed")</f>
        <v/>
      </c>
      <c r="V571" s="84" t="s">
        <v>1494</v>
      </c>
    </row>
    <row r="572" spans="2:22" x14ac:dyDescent="0.25">
      <c r="B572" s="109" t="s">
        <v>1495</v>
      </c>
      <c r="C572" s="110" t="s">
        <v>1496</v>
      </c>
      <c r="D572" s="53" t="s">
        <v>438</v>
      </c>
      <c r="E572" s="115">
        <v>1000000</v>
      </c>
      <c r="F572" s="112" t="s">
        <v>1489</v>
      </c>
      <c r="U572" s="62" t="str">
        <f>IF(E572='Source Data'!E572,"","changed")</f>
        <v/>
      </c>
      <c r="V572" s="84" t="s">
        <v>1489</v>
      </c>
    </row>
    <row r="573" spans="2:22" x14ac:dyDescent="0.25">
      <c r="B573" s="109" t="s">
        <v>1497</v>
      </c>
      <c r="C573" s="110" t="s">
        <v>292</v>
      </c>
      <c r="D573" s="53" t="s">
        <v>438</v>
      </c>
      <c r="E573" s="111">
        <v>0.5</v>
      </c>
      <c r="F573" s="112" t="s">
        <v>1489</v>
      </c>
      <c r="U573" s="62" t="str">
        <f>IF(E573='Source Data'!E573,"","changed")</f>
        <v/>
      </c>
      <c r="V573" s="84" t="s">
        <v>1489</v>
      </c>
    </row>
    <row r="574" spans="2:22" x14ac:dyDescent="0.25">
      <c r="B574" s="109" t="s">
        <v>1498</v>
      </c>
      <c r="C574" s="110" t="s">
        <v>1499</v>
      </c>
      <c r="D574" s="53" t="s">
        <v>438</v>
      </c>
      <c r="E574" s="116">
        <v>1.5</v>
      </c>
      <c r="F574" s="112" t="s">
        <v>1489</v>
      </c>
      <c r="U574" s="62" t="str">
        <f>IF(E574='Source Data'!E574,"","changed")</f>
        <v/>
      </c>
      <c r="V574" s="84" t="s">
        <v>1489</v>
      </c>
    </row>
    <row r="575" spans="2:22" x14ac:dyDescent="0.25">
      <c r="B575" s="109" t="s">
        <v>1500</v>
      </c>
      <c r="C575" s="110" t="s">
        <v>292</v>
      </c>
      <c r="D575" s="53" t="s">
        <v>438</v>
      </c>
      <c r="E575" s="111">
        <v>0.3</v>
      </c>
      <c r="F575" s="112" t="s">
        <v>1489</v>
      </c>
      <c r="U575" s="62" t="str">
        <f>IF(E575='Source Data'!E575,"","changed")</f>
        <v/>
      </c>
      <c r="V575" s="84" t="s">
        <v>1489</v>
      </c>
    </row>
    <row r="576" spans="2:22" x14ac:dyDescent="0.25">
      <c r="B576" s="109" t="s">
        <v>1501</v>
      </c>
      <c r="C576" s="110" t="s">
        <v>493</v>
      </c>
      <c r="D576" s="53" t="s">
        <v>438</v>
      </c>
      <c r="E576" s="116">
        <v>1.5</v>
      </c>
      <c r="F576" s="112" t="s">
        <v>1489</v>
      </c>
      <c r="U576" s="62" t="str">
        <f>IF(E576='Source Data'!E576,"","changed")</f>
        <v/>
      </c>
      <c r="V576" s="84" t="s">
        <v>1502</v>
      </c>
    </row>
    <row r="577" spans="2:22" x14ac:dyDescent="0.25">
      <c r="B577" s="23" t="s">
        <v>1503</v>
      </c>
      <c r="C577" s="28" t="s">
        <v>806</v>
      </c>
      <c r="D577" s="54" t="s">
        <v>440</v>
      </c>
      <c r="E577" s="117">
        <v>10</v>
      </c>
      <c r="F577" s="44" t="s">
        <v>1504</v>
      </c>
      <c r="U577" s="62" t="str">
        <f>IF(E577='Source Data'!E577,"","changed")</f>
        <v/>
      </c>
      <c r="V577" s="84" t="s">
        <v>1505</v>
      </c>
    </row>
    <row r="578" spans="2:22" x14ac:dyDescent="0.25">
      <c r="B578" s="109" t="s">
        <v>1506</v>
      </c>
      <c r="C578" s="110" t="s">
        <v>810</v>
      </c>
      <c r="D578" s="53" t="s">
        <v>438</v>
      </c>
      <c r="E578" s="95">
        <f>SUM(H578:T578)</f>
        <v>1</v>
      </c>
      <c r="F578" s="112" t="s">
        <v>1489</v>
      </c>
      <c r="H578" s="118">
        <v>0</v>
      </c>
      <c r="I578" s="118">
        <v>0</v>
      </c>
      <c r="J578" s="118">
        <v>0</v>
      </c>
      <c r="K578" s="118">
        <v>0.4</v>
      </c>
      <c r="L578" s="118">
        <v>0.6</v>
      </c>
      <c r="M578" s="118">
        <v>0</v>
      </c>
      <c r="N578" s="118">
        <v>0</v>
      </c>
      <c r="O578" s="118">
        <v>0</v>
      </c>
      <c r="P578" s="118">
        <v>0</v>
      </c>
      <c r="Q578" s="118">
        <v>0</v>
      </c>
      <c r="R578" s="118">
        <v>0</v>
      </c>
      <c r="S578" s="118">
        <v>0</v>
      </c>
      <c r="T578" s="118">
        <v>0</v>
      </c>
      <c r="U578" s="62" t="str">
        <f>IF(SUMPRODUCT(--(H578:T578&lt;&gt;'Source Data'!H578:T578))=0,"",SUMPRODUCT(--(H578:T578&lt;&gt;'Source Data'!H578:T578))&amp;" yr")</f>
        <v/>
      </c>
      <c r="V578" s="84" t="s">
        <v>1507</v>
      </c>
    </row>
    <row r="579" spans="2:22" x14ac:dyDescent="0.25">
      <c r="B579" s="109" t="s">
        <v>1508</v>
      </c>
      <c r="C579" s="110" t="s">
        <v>292</v>
      </c>
      <c r="D579" s="53" t="s">
        <v>438</v>
      </c>
      <c r="E579" s="111">
        <v>0.6</v>
      </c>
      <c r="F579" s="112" t="s">
        <v>1489</v>
      </c>
      <c r="U579" s="62" t="str">
        <f>IF(E579='Source Data'!E579,"","changed")</f>
        <v/>
      </c>
      <c r="V579" s="84" t="s">
        <v>1509</v>
      </c>
    </row>
    <row r="580" spans="2:22" x14ac:dyDescent="0.25">
      <c r="B580" s="109" t="s">
        <v>1510</v>
      </c>
      <c r="C580" s="110" t="s">
        <v>816</v>
      </c>
      <c r="D580" s="53" t="s">
        <v>438</v>
      </c>
      <c r="E580" s="119">
        <v>20</v>
      </c>
      <c r="F580" s="112" t="s">
        <v>1489</v>
      </c>
      <c r="U580" s="62" t="str">
        <f>IF(E580='Source Data'!E580,"","changed")</f>
        <v/>
      </c>
      <c r="V580" s="84" t="s">
        <v>1489</v>
      </c>
    </row>
    <row r="581" spans="2:22" x14ac:dyDescent="0.25">
      <c r="B581" s="109" t="s">
        <v>1511</v>
      </c>
      <c r="C581" s="110" t="s">
        <v>816</v>
      </c>
      <c r="D581" s="53" t="s">
        <v>438</v>
      </c>
      <c r="E581" s="119">
        <v>10</v>
      </c>
      <c r="F581" s="112" t="s">
        <v>1489</v>
      </c>
      <c r="U581" s="62" t="str">
        <f>IF(E581='Source Data'!E581,"","changed")</f>
        <v/>
      </c>
      <c r="V581" s="84" t="s">
        <v>1489</v>
      </c>
    </row>
    <row r="582" spans="2:22" x14ac:dyDescent="0.25">
      <c r="B582" s="109" t="s">
        <v>1339</v>
      </c>
      <c r="C582" s="110" t="s">
        <v>1340</v>
      </c>
      <c r="D582" s="53" t="s">
        <v>438</v>
      </c>
      <c r="E582" s="120">
        <v>45</v>
      </c>
      <c r="F582" s="112" t="s">
        <v>1489</v>
      </c>
      <c r="U582" s="62" t="str">
        <f>IF(E582='Source Data'!E582,"","changed")</f>
        <v/>
      </c>
      <c r="V582" s="84" t="s">
        <v>1489</v>
      </c>
    </row>
    <row r="583" spans="2:22" x14ac:dyDescent="0.25">
      <c r="B583" s="109" t="s">
        <v>1343</v>
      </c>
      <c r="C583" s="110" t="s">
        <v>1340</v>
      </c>
      <c r="D583" s="53" t="s">
        <v>438</v>
      </c>
      <c r="E583" s="120">
        <v>30</v>
      </c>
      <c r="F583" s="112" t="s">
        <v>1489</v>
      </c>
      <c r="U583" s="62" t="str">
        <f>IF(E583='Source Data'!E583,"","changed")</f>
        <v/>
      </c>
      <c r="V583" s="84" t="s">
        <v>1489</v>
      </c>
    </row>
    <row r="584" spans="2:22" x14ac:dyDescent="0.25">
      <c r="B584" s="109" t="s">
        <v>1512</v>
      </c>
      <c r="C584" s="110" t="s">
        <v>292</v>
      </c>
      <c r="D584" s="53" t="s">
        <v>438</v>
      </c>
      <c r="E584" s="111">
        <v>0.5</v>
      </c>
      <c r="F584" s="112" t="s">
        <v>1489</v>
      </c>
      <c r="U584" s="62" t="str">
        <f>IF(E584='Source Data'!E584,"","changed")</f>
        <v/>
      </c>
      <c r="V584" s="84" t="s">
        <v>1513</v>
      </c>
    </row>
    <row r="585" spans="2:22" x14ac:dyDescent="0.25">
      <c r="B585" s="109" t="s">
        <v>1514</v>
      </c>
      <c r="C585" s="110" t="s">
        <v>816</v>
      </c>
      <c r="D585" s="53" t="s">
        <v>438</v>
      </c>
      <c r="E585" s="119">
        <v>7</v>
      </c>
      <c r="F585" s="112" t="s">
        <v>1489</v>
      </c>
      <c r="U585" s="62" t="str">
        <f>IF(E585='Source Data'!E585,"","changed")</f>
        <v/>
      </c>
      <c r="V585" s="84" t="s">
        <v>1489</v>
      </c>
    </row>
    <row r="586" spans="2:22" x14ac:dyDescent="0.25">
      <c r="B586" s="109" t="s">
        <v>1515</v>
      </c>
      <c r="C586" s="110" t="s">
        <v>816</v>
      </c>
      <c r="D586" s="53" t="s">
        <v>438</v>
      </c>
      <c r="E586" s="119">
        <v>2</v>
      </c>
      <c r="F586" s="112" t="s">
        <v>1489</v>
      </c>
      <c r="U586" s="62" t="str">
        <f>IF(E586='Source Data'!E586,"","changed")</f>
        <v/>
      </c>
      <c r="V586" s="84" t="s">
        <v>1516</v>
      </c>
    </row>
    <row r="587" spans="2:22" x14ac:dyDescent="0.25">
      <c r="B587" s="109" t="s">
        <v>1517</v>
      </c>
      <c r="C587" s="110" t="s">
        <v>1518</v>
      </c>
      <c r="D587" s="53" t="s">
        <v>438</v>
      </c>
      <c r="F587" s="112" t="s">
        <v>1489</v>
      </c>
      <c r="H587" s="111">
        <v>0.55000000000000004</v>
      </c>
      <c r="I587" s="111">
        <v>0.55000000000000004</v>
      </c>
      <c r="J587" s="111">
        <v>0.55000000000000004</v>
      </c>
      <c r="K587" s="111">
        <v>0.55000000000000004</v>
      </c>
      <c r="L587" s="111">
        <v>0.55000000000000004</v>
      </c>
      <c r="M587" s="111">
        <v>0.55000000000000004</v>
      </c>
      <c r="N587" s="111">
        <v>0.7</v>
      </c>
      <c r="O587" s="111">
        <v>0.8</v>
      </c>
      <c r="P587" s="111">
        <v>0.85</v>
      </c>
      <c r="Q587" s="111">
        <v>0.85</v>
      </c>
      <c r="R587" s="111">
        <v>0.85</v>
      </c>
      <c r="S587" s="111">
        <v>0.85</v>
      </c>
      <c r="T587" s="111">
        <v>0.85</v>
      </c>
      <c r="U587" s="62" t="str">
        <f>IF(SUMPRODUCT(--(H587:T587&lt;&gt;'Source Data'!H587:T587))=0,"",SUMPRODUCT(--(H587:T587&lt;&gt;'Source Data'!H587:T587))&amp;" yr")</f>
        <v/>
      </c>
      <c r="V587" s="84" t="s">
        <v>1519</v>
      </c>
    </row>
    <row r="588" spans="2:22" x14ac:dyDescent="0.25">
      <c r="B588" s="109" t="s">
        <v>1520</v>
      </c>
      <c r="C588" s="110" t="s">
        <v>647</v>
      </c>
      <c r="D588" s="53" t="s">
        <v>438</v>
      </c>
      <c r="F588" s="112" t="s">
        <v>1489</v>
      </c>
      <c r="H588" s="115">
        <v>45000</v>
      </c>
      <c r="I588" s="115">
        <v>45000</v>
      </c>
      <c r="J588" s="115">
        <v>45000</v>
      </c>
      <c r="K588" s="115">
        <v>45000</v>
      </c>
      <c r="L588" s="115">
        <v>45000</v>
      </c>
      <c r="M588" s="115">
        <v>45000</v>
      </c>
      <c r="N588" s="115">
        <v>45000</v>
      </c>
      <c r="O588" s="115">
        <v>45000</v>
      </c>
      <c r="P588" s="115">
        <v>45000</v>
      </c>
      <c r="Q588" s="115">
        <v>45000</v>
      </c>
      <c r="R588" s="115">
        <v>45000</v>
      </c>
      <c r="S588" s="115">
        <v>45000</v>
      </c>
      <c r="T588" s="115">
        <v>45000</v>
      </c>
      <c r="U588" s="62" t="str">
        <f>IF(SUMPRODUCT(--(H588:T588&lt;&gt;'Source Data'!H588:T588))=0,"",SUMPRODUCT(--(H588:T588&lt;&gt;'Source Data'!H588:T588))&amp;" yr")</f>
        <v/>
      </c>
      <c r="V588" s="84" t="s">
        <v>1521</v>
      </c>
    </row>
    <row r="589" spans="2:22" x14ac:dyDescent="0.25">
      <c r="B589" s="109" t="s">
        <v>1522</v>
      </c>
      <c r="C589" s="110" t="s">
        <v>886</v>
      </c>
      <c r="D589" s="53" t="s">
        <v>438</v>
      </c>
      <c r="F589" s="112" t="s">
        <v>1489</v>
      </c>
      <c r="H589" s="115">
        <v>12000</v>
      </c>
      <c r="I589" s="115">
        <v>12000</v>
      </c>
      <c r="J589" s="115">
        <v>12000</v>
      </c>
      <c r="K589" s="115">
        <v>12000</v>
      </c>
      <c r="L589" s="115">
        <v>12000</v>
      </c>
      <c r="M589" s="115">
        <v>12000</v>
      </c>
      <c r="N589" s="115">
        <v>12000</v>
      </c>
      <c r="O589" s="115">
        <v>12000</v>
      </c>
      <c r="P589" s="115">
        <v>12000</v>
      </c>
      <c r="Q589" s="115">
        <v>12000</v>
      </c>
      <c r="R589" s="115">
        <v>12000</v>
      </c>
      <c r="S589" s="115">
        <v>12000</v>
      </c>
      <c r="T589" s="115">
        <v>12000</v>
      </c>
      <c r="U589" s="62" t="str">
        <f>IF(SUMPRODUCT(--(H589:T589&lt;&gt;'Source Data'!H589:T589))=0,"",SUMPRODUCT(--(H589:T589&lt;&gt;'Source Data'!H589:T589))&amp;" yr")</f>
        <v/>
      </c>
      <c r="V589" s="84" t="s">
        <v>1489</v>
      </c>
    </row>
    <row r="590" spans="2:22" x14ac:dyDescent="0.25">
      <c r="B590" s="109" t="s">
        <v>1523</v>
      </c>
      <c r="C590" s="110" t="s">
        <v>647</v>
      </c>
      <c r="D590" s="53" t="s">
        <v>438</v>
      </c>
      <c r="F590" s="112" t="s">
        <v>1489</v>
      </c>
      <c r="H590" s="115">
        <v>9000</v>
      </c>
      <c r="I590" s="115">
        <v>9000</v>
      </c>
      <c r="J590" s="115">
        <v>9000</v>
      </c>
      <c r="K590" s="115">
        <v>9000</v>
      </c>
      <c r="L590" s="115">
        <v>9000</v>
      </c>
      <c r="M590" s="115">
        <v>9000</v>
      </c>
      <c r="N590" s="115">
        <v>9000</v>
      </c>
      <c r="O590" s="115">
        <v>9000</v>
      </c>
      <c r="P590" s="115">
        <v>9000</v>
      </c>
      <c r="Q590" s="115">
        <v>9000</v>
      </c>
      <c r="R590" s="115">
        <v>9000</v>
      </c>
      <c r="S590" s="115">
        <v>9000</v>
      </c>
      <c r="T590" s="115">
        <v>9000</v>
      </c>
      <c r="U590" s="62" t="str">
        <f>IF(SUMPRODUCT(--(H590:T590&lt;&gt;'Source Data'!H590:T590))=0,"",SUMPRODUCT(--(H590:T590&lt;&gt;'Source Data'!H590:T590))&amp;" yr")</f>
        <v/>
      </c>
      <c r="V590" s="84" t="s">
        <v>1489</v>
      </c>
    </row>
    <row r="591" spans="2:22" x14ac:dyDescent="0.25">
      <c r="B591" s="109" t="s">
        <v>1524</v>
      </c>
      <c r="C591" s="110" t="s">
        <v>647</v>
      </c>
      <c r="D591" s="53" t="s">
        <v>438</v>
      </c>
      <c r="F591" s="112" t="s">
        <v>1489</v>
      </c>
      <c r="H591" s="115">
        <v>8500</v>
      </c>
      <c r="I591" s="115">
        <v>8500</v>
      </c>
      <c r="J591" s="115">
        <v>8500</v>
      </c>
      <c r="K591" s="115">
        <v>8500</v>
      </c>
      <c r="L591" s="115">
        <v>8500</v>
      </c>
      <c r="M591" s="115">
        <v>8500</v>
      </c>
      <c r="N591" s="115">
        <v>8500</v>
      </c>
      <c r="O591" s="115">
        <v>8500</v>
      </c>
      <c r="P591" s="115">
        <v>8500</v>
      </c>
      <c r="Q591" s="115">
        <v>8500</v>
      </c>
      <c r="R591" s="115">
        <v>8500</v>
      </c>
      <c r="S591" s="115">
        <v>8500</v>
      </c>
      <c r="T591" s="115">
        <v>8500</v>
      </c>
      <c r="U591" s="62" t="str">
        <f>IF(SUMPRODUCT(--(H591:T591&lt;&gt;'Source Data'!H591:T591))=0,"",SUMPRODUCT(--(H591:T591&lt;&gt;'Source Data'!H591:T591))&amp;" yr")</f>
        <v/>
      </c>
      <c r="V591" s="84" t="s">
        <v>1489</v>
      </c>
    </row>
    <row r="592" spans="2:22" x14ac:dyDescent="0.25">
      <c r="B592" s="109" t="s">
        <v>1525</v>
      </c>
      <c r="C592" s="110" t="s">
        <v>1526</v>
      </c>
      <c r="D592" s="53" t="s">
        <v>438</v>
      </c>
      <c r="F592" s="112" t="s">
        <v>1489</v>
      </c>
      <c r="H592" s="119">
        <v>40</v>
      </c>
      <c r="I592" s="119">
        <v>40</v>
      </c>
      <c r="J592" s="119">
        <v>40</v>
      </c>
      <c r="K592" s="119">
        <v>40</v>
      </c>
      <c r="L592" s="119">
        <v>40</v>
      </c>
      <c r="M592" s="119">
        <v>40</v>
      </c>
      <c r="N592" s="119">
        <v>40</v>
      </c>
      <c r="O592" s="119">
        <v>40</v>
      </c>
      <c r="P592" s="119">
        <v>40</v>
      </c>
      <c r="Q592" s="119">
        <v>40</v>
      </c>
      <c r="R592" s="119">
        <v>40</v>
      </c>
      <c r="S592" s="119">
        <v>40</v>
      </c>
      <c r="T592" s="119">
        <v>40</v>
      </c>
      <c r="U592" s="62" t="str">
        <f>IF(SUMPRODUCT(--(H592:T592&lt;&gt;'Source Data'!H592:T592))=0,"",SUMPRODUCT(--(H592:T592&lt;&gt;'Source Data'!H592:T592))&amp;" yr")</f>
        <v/>
      </c>
      <c r="V592" s="84" t="s">
        <v>1489</v>
      </c>
    </row>
    <row r="593" spans="2:22" x14ac:dyDescent="0.25">
      <c r="B593" s="109" t="s">
        <v>1527</v>
      </c>
      <c r="C593" s="110" t="s">
        <v>1528</v>
      </c>
      <c r="D593" s="53" t="s">
        <v>438</v>
      </c>
      <c r="F593" s="112" t="s">
        <v>1489</v>
      </c>
      <c r="H593" s="115">
        <v>150</v>
      </c>
      <c r="I593" s="115">
        <v>150</v>
      </c>
      <c r="J593" s="115">
        <v>150</v>
      </c>
      <c r="K593" s="115">
        <v>150</v>
      </c>
      <c r="L593" s="115">
        <v>150</v>
      </c>
      <c r="M593" s="115">
        <v>150</v>
      </c>
      <c r="N593" s="115">
        <v>150</v>
      </c>
      <c r="O593" s="115">
        <v>150</v>
      </c>
      <c r="P593" s="115">
        <v>150</v>
      </c>
      <c r="Q593" s="115">
        <v>150</v>
      </c>
      <c r="R593" s="115">
        <v>150</v>
      </c>
      <c r="S593" s="115">
        <v>150</v>
      </c>
      <c r="T593" s="115">
        <v>150</v>
      </c>
      <c r="U593" s="62" t="str">
        <f>IF(SUMPRODUCT(--(H593:T593&lt;&gt;'Source Data'!H593:T593))=0,"",SUMPRODUCT(--(H593:T593&lt;&gt;'Source Data'!H593:T593))&amp;" yr")</f>
        <v/>
      </c>
      <c r="V593" s="84" t="s">
        <v>1489</v>
      </c>
    </row>
    <row r="594" spans="2:22" x14ac:dyDescent="0.25">
      <c r="B594" s="109" t="s">
        <v>1529</v>
      </c>
      <c r="C594" s="110" t="s">
        <v>1530</v>
      </c>
      <c r="D594" s="53" t="s">
        <v>438</v>
      </c>
      <c r="F594" s="112" t="s">
        <v>1489</v>
      </c>
      <c r="H594" s="116">
        <v>2.5</v>
      </c>
      <c r="I594" s="116">
        <v>2.5</v>
      </c>
      <c r="J594" s="116">
        <v>2.5</v>
      </c>
      <c r="K594" s="116">
        <v>2.5</v>
      </c>
      <c r="L594" s="116">
        <v>2.5</v>
      </c>
      <c r="M594" s="116">
        <v>2.5</v>
      </c>
      <c r="N594" s="116">
        <v>2.5</v>
      </c>
      <c r="O594" s="116">
        <v>2.5</v>
      </c>
      <c r="P594" s="116">
        <v>2.5</v>
      </c>
      <c r="Q594" s="116">
        <v>2.5</v>
      </c>
      <c r="R594" s="116">
        <v>2.5</v>
      </c>
      <c r="S594" s="116">
        <v>2.5</v>
      </c>
      <c r="T594" s="116">
        <v>2.5</v>
      </c>
      <c r="U594" s="62" t="str">
        <f>IF(SUMPRODUCT(--(H594:T594&lt;&gt;'Source Data'!H594:T594))=0,"",SUMPRODUCT(--(H594:T594&lt;&gt;'Source Data'!H594:T594))&amp;" yr")</f>
        <v/>
      </c>
      <c r="V594" s="84" t="s">
        <v>1489</v>
      </c>
    </row>
    <row r="595" spans="2:22" x14ac:dyDescent="0.25">
      <c r="B595" s="109" t="s">
        <v>1531</v>
      </c>
      <c r="C595" s="110" t="s">
        <v>802</v>
      </c>
      <c r="D595" s="53" t="s">
        <v>438</v>
      </c>
      <c r="F595" s="112" t="s">
        <v>1489</v>
      </c>
      <c r="H595" s="118">
        <v>1.4999999999999999E-2</v>
      </c>
      <c r="I595" s="118">
        <v>1.4999999999999999E-2</v>
      </c>
      <c r="J595" s="118">
        <v>1.4999999999999999E-2</v>
      </c>
      <c r="K595" s="118">
        <v>1.4999999999999999E-2</v>
      </c>
      <c r="L595" s="118">
        <v>1.4999999999999999E-2</v>
      </c>
      <c r="M595" s="118">
        <v>1.4999999999999999E-2</v>
      </c>
      <c r="N595" s="118">
        <v>1.4999999999999999E-2</v>
      </c>
      <c r="O595" s="118">
        <v>1.4999999999999999E-2</v>
      </c>
      <c r="P595" s="118">
        <v>1.4999999999999999E-2</v>
      </c>
      <c r="Q595" s="118">
        <v>1.4999999999999999E-2</v>
      </c>
      <c r="R595" s="118">
        <v>1.4999999999999999E-2</v>
      </c>
      <c r="S595" s="118">
        <v>1.4999999999999999E-2</v>
      </c>
      <c r="T595" s="118">
        <v>1.4999999999999999E-2</v>
      </c>
      <c r="U595" s="62" t="str">
        <f>IF(SUMPRODUCT(--(H595:T595&lt;&gt;'Source Data'!H595:T595))=0,"",SUMPRODUCT(--(H595:T595&lt;&gt;'Source Data'!H595:T595))&amp;" yr")</f>
        <v/>
      </c>
      <c r="V595" s="84" t="s">
        <v>1489</v>
      </c>
    </row>
    <row r="596" spans="2:22" x14ac:dyDescent="0.25">
      <c r="B596" s="109" t="s">
        <v>801</v>
      </c>
      <c r="C596" s="110" t="s">
        <v>802</v>
      </c>
      <c r="D596" s="53" t="s">
        <v>438</v>
      </c>
      <c r="F596" s="112" t="s">
        <v>1489</v>
      </c>
      <c r="H596" s="118">
        <v>5.0000000000000001E-3</v>
      </c>
      <c r="I596" s="118">
        <v>5.0000000000000001E-3</v>
      </c>
      <c r="J596" s="118">
        <v>5.0000000000000001E-3</v>
      </c>
      <c r="K596" s="118">
        <v>5.0000000000000001E-3</v>
      </c>
      <c r="L596" s="118">
        <v>5.0000000000000001E-3</v>
      </c>
      <c r="M596" s="118">
        <v>5.0000000000000001E-3</v>
      </c>
      <c r="N596" s="118">
        <v>5.0000000000000001E-3</v>
      </c>
      <c r="O596" s="118">
        <v>5.0000000000000001E-3</v>
      </c>
      <c r="P596" s="118">
        <v>5.0000000000000001E-3</v>
      </c>
      <c r="Q596" s="118">
        <v>5.0000000000000001E-3</v>
      </c>
      <c r="R596" s="118">
        <v>5.0000000000000001E-3</v>
      </c>
      <c r="S596" s="118">
        <v>5.0000000000000001E-3</v>
      </c>
      <c r="T596" s="118">
        <v>5.0000000000000001E-3</v>
      </c>
      <c r="U596" s="62" t="str">
        <f>IF(SUMPRODUCT(--(H596:T596&lt;&gt;'Source Data'!H596:T596))=0,"",SUMPRODUCT(--(H596:T596&lt;&gt;'Source Data'!H596:T596))&amp;" yr")</f>
        <v/>
      </c>
      <c r="V596" s="84" t="s">
        <v>1489</v>
      </c>
    </row>
    <row r="597" spans="2:22" x14ac:dyDescent="0.25">
      <c r="B597" s="109" t="s">
        <v>1532</v>
      </c>
      <c r="C597" s="110" t="s">
        <v>799</v>
      </c>
      <c r="D597" s="53" t="s">
        <v>438</v>
      </c>
      <c r="F597" s="112" t="s">
        <v>1489</v>
      </c>
      <c r="H597" s="118">
        <v>0.05</v>
      </c>
      <c r="I597" s="118">
        <v>0.05</v>
      </c>
      <c r="J597" s="118">
        <v>0.05</v>
      </c>
      <c r="K597" s="118">
        <v>0.05</v>
      </c>
      <c r="L597" s="118">
        <v>0.05</v>
      </c>
      <c r="M597" s="118">
        <v>0.05</v>
      </c>
      <c r="N597" s="118">
        <v>0.05</v>
      </c>
      <c r="O597" s="118">
        <v>0.05</v>
      </c>
      <c r="P597" s="118">
        <v>0.05</v>
      </c>
      <c r="Q597" s="118">
        <v>0.05</v>
      </c>
      <c r="R597" s="118">
        <v>0.05</v>
      </c>
      <c r="S597" s="118">
        <v>0.05</v>
      </c>
      <c r="T597" s="118">
        <v>0.05</v>
      </c>
      <c r="U597" s="62" t="str">
        <f>IF(SUMPRODUCT(--(H597:T597&lt;&gt;'Source Data'!H597:T597))=0,"",SUMPRODUCT(--(H597:T597&lt;&gt;'Source Data'!H597:T597))&amp;" yr")</f>
        <v/>
      </c>
      <c r="V597" s="84" t="s">
        <v>1489</v>
      </c>
    </row>
    <row r="598" spans="2:22" x14ac:dyDescent="0.25">
      <c r="B598" s="109" t="s">
        <v>1533</v>
      </c>
      <c r="C598" s="110" t="s">
        <v>1360</v>
      </c>
      <c r="D598" s="53" t="s">
        <v>438</v>
      </c>
      <c r="F598" s="112" t="s">
        <v>1489</v>
      </c>
      <c r="H598" s="118">
        <v>0.105</v>
      </c>
      <c r="I598" s="118">
        <v>0.105</v>
      </c>
      <c r="J598" s="118">
        <v>0.105</v>
      </c>
      <c r="K598" s="118">
        <v>0.105</v>
      </c>
      <c r="L598" s="118">
        <v>0.105</v>
      </c>
      <c r="M598" s="118">
        <v>0.105</v>
      </c>
      <c r="N598" s="118">
        <v>0.105</v>
      </c>
      <c r="O598" s="118">
        <v>0.105</v>
      </c>
      <c r="P598" s="118">
        <v>0.105</v>
      </c>
      <c r="Q598" s="118">
        <v>0.105</v>
      </c>
      <c r="R598" s="118">
        <v>0.105</v>
      </c>
      <c r="S598" s="118">
        <v>0.105</v>
      </c>
      <c r="T598" s="118">
        <v>0.105</v>
      </c>
      <c r="U598" s="62" t="str">
        <f>IF(SUMPRODUCT(--(H598:T598&lt;&gt;'Source Data'!H598:T598))=0,"",SUMPRODUCT(--(H598:T598&lt;&gt;'Source Data'!H598:T598))&amp;" yr")</f>
        <v/>
      </c>
      <c r="V598" s="84" t="s">
        <v>1534</v>
      </c>
    </row>
    <row r="599" spans="2:22" x14ac:dyDescent="0.25">
      <c r="B599" s="63" t="s">
        <v>1535</v>
      </c>
    </row>
    <row r="601" spans="2:22" x14ac:dyDescent="0.25">
      <c r="B601" s="58" t="s">
        <v>1536</v>
      </c>
      <c r="C601" s="19"/>
      <c r="D601" s="19"/>
      <c r="E601" s="19"/>
      <c r="F601" s="19"/>
      <c r="G601" s="19"/>
      <c r="H601" s="19"/>
      <c r="I601" s="19"/>
      <c r="J601" s="19"/>
      <c r="K601" s="19"/>
      <c r="L601" s="19"/>
      <c r="M601" s="19"/>
      <c r="N601" s="19"/>
      <c r="O601" s="19"/>
      <c r="P601" s="19"/>
      <c r="Q601" s="19"/>
      <c r="R601" s="19"/>
      <c r="S601" s="19"/>
      <c r="T601" s="19"/>
      <c r="U601" s="19"/>
      <c r="V601" s="19"/>
    </row>
    <row r="602" spans="2:22" x14ac:dyDescent="0.25">
      <c r="B602" s="63" t="s">
        <v>1537</v>
      </c>
    </row>
    <row r="603" spans="2:22" x14ac:dyDescent="0.25">
      <c r="B603" s="42" t="s">
        <v>1538</v>
      </c>
    </row>
    <row r="604" spans="2:22" x14ac:dyDescent="0.25">
      <c r="B604" s="59" t="s">
        <v>1539</v>
      </c>
      <c r="C604" s="59" t="s">
        <v>466</v>
      </c>
      <c r="D604" s="59" t="s">
        <v>467</v>
      </c>
      <c r="E604" s="59" t="s">
        <v>468</v>
      </c>
      <c r="F604" s="59" t="s">
        <v>469</v>
      </c>
      <c r="G604" s="80" t="s">
        <v>628</v>
      </c>
      <c r="H604" s="81">
        <v>2024</v>
      </c>
      <c r="I604" s="81">
        <v>2025</v>
      </c>
      <c r="J604" s="81">
        <v>2026</v>
      </c>
      <c r="K604" s="81">
        <v>2027</v>
      </c>
      <c r="L604" s="81">
        <v>2028</v>
      </c>
      <c r="M604" s="81">
        <v>2029</v>
      </c>
      <c r="N604" s="81">
        <v>2030</v>
      </c>
      <c r="O604" s="81">
        <v>2031</v>
      </c>
      <c r="P604" s="81">
        <v>2032</v>
      </c>
      <c r="Q604" s="81">
        <v>2033</v>
      </c>
      <c r="R604" s="81">
        <v>2034</v>
      </c>
      <c r="S604" s="81">
        <v>2035</v>
      </c>
      <c r="T604" s="81">
        <v>2036</v>
      </c>
      <c r="U604" s="59" t="s">
        <v>470</v>
      </c>
      <c r="V604" s="59" t="s">
        <v>471</v>
      </c>
    </row>
    <row r="605" spans="2:22" x14ac:dyDescent="0.25">
      <c r="B605" s="23" t="s">
        <v>1540</v>
      </c>
      <c r="C605" s="28" t="s">
        <v>1541</v>
      </c>
      <c r="D605" s="56" t="s">
        <v>444</v>
      </c>
      <c r="E605" s="121" t="s">
        <v>1542</v>
      </c>
      <c r="F605" s="72" t="s">
        <v>274</v>
      </c>
      <c r="V605" s="63" t="s">
        <v>1543</v>
      </c>
    </row>
    <row r="606" spans="2:22" x14ac:dyDescent="0.25">
      <c r="B606" s="23" t="s">
        <v>1544</v>
      </c>
      <c r="C606" s="28" t="s">
        <v>292</v>
      </c>
      <c r="D606" s="56" t="s">
        <v>444</v>
      </c>
      <c r="E606" s="122"/>
      <c r="F606" s="72" t="s">
        <v>274</v>
      </c>
      <c r="V606" s="63" t="s">
        <v>1545</v>
      </c>
    </row>
    <row r="607" spans="2:22" x14ac:dyDescent="0.25">
      <c r="B607" s="23" t="s">
        <v>1546</v>
      </c>
      <c r="C607" s="28" t="s">
        <v>613</v>
      </c>
      <c r="D607" s="56" t="s">
        <v>444</v>
      </c>
      <c r="E607" s="123"/>
      <c r="F607" s="72" t="s">
        <v>274</v>
      </c>
      <c r="V607" s="63" t="s">
        <v>1547</v>
      </c>
    </row>
    <row r="608" spans="2:22" x14ac:dyDescent="0.25">
      <c r="B608" s="23" t="s">
        <v>1495</v>
      </c>
      <c r="C608" s="28" t="s">
        <v>1496</v>
      </c>
      <c r="D608" s="56" t="s">
        <v>444</v>
      </c>
      <c r="E608" s="124"/>
      <c r="F608" s="72" t="s">
        <v>274</v>
      </c>
      <c r="V608" s="63" t="s">
        <v>1548</v>
      </c>
    </row>
    <row r="609" spans="2:22" x14ac:dyDescent="0.25">
      <c r="B609" s="23" t="s">
        <v>1549</v>
      </c>
      <c r="C609" s="28" t="s">
        <v>806</v>
      </c>
      <c r="D609" s="56" t="s">
        <v>444</v>
      </c>
      <c r="E609" s="125"/>
      <c r="F609" s="72" t="s">
        <v>274</v>
      </c>
      <c r="V609" s="63" t="s">
        <v>1550</v>
      </c>
    </row>
    <row r="610" spans="2:22" x14ac:dyDescent="0.25">
      <c r="B610" s="23" t="s">
        <v>1508</v>
      </c>
      <c r="C610" s="28" t="s">
        <v>292</v>
      </c>
      <c r="D610" s="56" t="s">
        <v>444</v>
      </c>
      <c r="E610" s="122"/>
      <c r="F610" s="72" t="s">
        <v>274</v>
      </c>
      <c r="V610" s="63" t="s">
        <v>1551</v>
      </c>
    </row>
    <row r="611" spans="2:22" x14ac:dyDescent="0.25">
      <c r="B611" s="23" t="s">
        <v>1510</v>
      </c>
      <c r="C611" s="28" t="s">
        <v>816</v>
      </c>
      <c r="D611" s="56" t="s">
        <v>444</v>
      </c>
      <c r="E611" s="126"/>
      <c r="F611" s="72" t="s">
        <v>274</v>
      </c>
      <c r="V611" s="63" t="s">
        <v>1552</v>
      </c>
    </row>
    <row r="612" spans="2:22" x14ac:dyDescent="0.25">
      <c r="B612" s="23" t="s">
        <v>1511</v>
      </c>
      <c r="C612" s="28" t="s">
        <v>816</v>
      </c>
      <c r="D612" s="56" t="s">
        <v>444</v>
      </c>
      <c r="E612" s="126"/>
      <c r="F612" s="72" t="s">
        <v>274</v>
      </c>
      <c r="V612" s="63" t="s">
        <v>1552</v>
      </c>
    </row>
    <row r="613" spans="2:22" x14ac:dyDescent="0.25">
      <c r="B613" s="23" t="s">
        <v>1553</v>
      </c>
      <c r="C613" s="28" t="s">
        <v>1340</v>
      </c>
      <c r="D613" s="56" t="s">
        <v>444</v>
      </c>
      <c r="E613" s="127"/>
      <c r="F613" s="72" t="s">
        <v>274</v>
      </c>
      <c r="V613" s="63" t="s">
        <v>1554</v>
      </c>
    </row>
    <row r="614" spans="2:22" x14ac:dyDescent="0.25">
      <c r="B614" s="23" t="s">
        <v>1555</v>
      </c>
      <c r="C614" s="28" t="s">
        <v>1340</v>
      </c>
      <c r="D614" s="56" t="s">
        <v>444</v>
      </c>
      <c r="E614" s="127"/>
      <c r="F614" s="72" t="s">
        <v>274</v>
      </c>
      <c r="V614" s="63" t="s">
        <v>1556</v>
      </c>
    </row>
    <row r="615" spans="2:22" x14ac:dyDescent="0.25">
      <c r="B615" s="23" t="s">
        <v>1557</v>
      </c>
      <c r="C615" s="28" t="s">
        <v>1518</v>
      </c>
      <c r="D615" s="56" t="s">
        <v>444</v>
      </c>
      <c r="F615" s="72" t="s">
        <v>274</v>
      </c>
      <c r="H615" s="122"/>
      <c r="I615" s="122"/>
      <c r="J615" s="122"/>
      <c r="K615" s="122"/>
      <c r="L615" s="122"/>
      <c r="M615" s="122"/>
      <c r="N615" s="122"/>
      <c r="O615" s="122"/>
      <c r="P615" s="122"/>
      <c r="Q615" s="122"/>
      <c r="R615" s="122"/>
      <c r="S615" s="122"/>
      <c r="T615" s="122"/>
      <c r="U615" s="128" t="str">
        <f>IF(COUNT(H615:T615)=0,"",COUNT(H615:T615)&amp;" of 13")</f>
        <v/>
      </c>
      <c r="V615" s="63" t="s">
        <v>1558</v>
      </c>
    </row>
    <row r="616" spans="2:22" x14ac:dyDescent="0.25">
      <c r="B616" s="23" t="s">
        <v>1559</v>
      </c>
      <c r="C616" s="28" t="s">
        <v>647</v>
      </c>
      <c r="D616" s="56" t="s">
        <v>444</v>
      </c>
      <c r="F616" s="72" t="s">
        <v>274</v>
      </c>
      <c r="H616" s="124"/>
      <c r="I616" s="124"/>
      <c r="J616" s="124"/>
      <c r="K616" s="124"/>
      <c r="L616" s="124"/>
      <c r="M616" s="124"/>
      <c r="N616" s="124"/>
      <c r="O616" s="124"/>
      <c r="P616" s="124"/>
      <c r="Q616" s="124"/>
      <c r="R616" s="124"/>
      <c r="S616" s="124"/>
      <c r="T616" s="124"/>
      <c r="U616" s="128" t="str">
        <f>IF(COUNT(H616:T616)=0,"",COUNT(H616:T616)&amp;" of 13")</f>
        <v/>
      </c>
      <c r="V616" s="63" t="s">
        <v>1560</v>
      </c>
    </row>
    <row r="617" spans="2:22" x14ac:dyDescent="0.25">
      <c r="B617" s="23" t="s">
        <v>1561</v>
      </c>
      <c r="C617" s="28" t="s">
        <v>647</v>
      </c>
      <c r="D617" s="56" t="s">
        <v>444</v>
      </c>
      <c r="F617" s="72" t="s">
        <v>274</v>
      </c>
      <c r="H617" s="124"/>
      <c r="I617" s="124"/>
      <c r="J617" s="124"/>
      <c r="K617" s="124"/>
      <c r="L617" s="124"/>
      <c r="M617" s="124"/>
      <c r="N617" s="124"/>
      <c r="O617" s="124"/>
      <c r="P617" s="124"/>
      <c r="Q617" s="124"/>
      <c r="R617" s="124"/>
      <c r="S617" s="124"/>
      <c r="T617" s="124"/>
      <c r="U617" s="128" t="str">
        <f>IF(COUNT(H617:T617)=0,"",COUNT(H617:T617)&amp;" of 13")</f>
        <v/>
      </c>
      <c r="V617" s="63" t="s">
        <v>1562</v>
      </c>
    </row>
    <row r="618" spans="2:22" x14ac:dyDescent="0.25">
      <c r="B618" s="23" t="s">
        <v>1563</v>
      </c>
      <c r="C618" s="28" t="s">
        <v>1530</v>
      </c>
      <c r="D618" s="56" t="s">
        <v>444</v>
      </c>
      <c r="F618" s="72" t="s">
        <v>274</v>
      </c>
      <c r="H618" s="125"/>
      <c r="I618" s="125"/>
      <c r="J618" s="125"/>
      <c r="K618" s="125"/>
      <c r="L618" s="125"/>
      <c r="M618" s="125"/>
      <c r="N618" s="125"/>
      <c r="O618" s="125"/>
      <c r="P618" s="125"/>
      <c r="Q618" s="125"/>
      <c r="R618" s="125"/>
      <c r="S618" s="125"/>
      <c r="T618" s="125"/>
      <c r="U618" s="128" t="str">
        <f>IF(COUNT(H618:T618)=0,"",COUNT(H618:T618)&amp;" of 13")</f>
        <v/>
      </c>
      <c r="V618" s="63" t="s">
        <v>1564</v>
      </c>
    </row>
    <row r="619" spans="2:22" x14ac:dyDescent="0.25">
      <c r="B619" s="23" t="s">
        <v>1565</v>
      </c>
      <c r="C619" s="28" t="s">
        <v>1399</v>
      </c>
      <c r="D619" s="56" t="s">
        <v>444</v>
      </c>
      <c r="F619" s="72" t="s">
        <v>274</v>
      </c>
      <c r="H619" s="122"/>
      <c r="I619" s="122"/>
      <c r="J619" s="122"/>
      <c r="K619" s="122"/>
      <c r="L619" s="122"/>
      <c r="M619" s="122"/>
      <c r="N619" s="122"/>
      <c r="O619" s="122"/>
      <c r="P619" s="122"/>
      <c r="Q619" s="122"/>
      <c r="R619" s="122"/>
      <c r="S619" s="122"/>
      <c r="T619" s="122"/>
      <c r="U619" s="128" t="str">
        <f>IF(COUNT(H619:T619)=0,"",COUNT(H619:T619)&amp;" of 13")</f>
        <v/>
      </c>
      <c r="V619" s="63" t="s">
        <v>1566</v>
      </c>
    </row>
    <row r="620" spans="2:22" x14ac:dyDescent="0.25">
      <c r="B620" s="21" t="s">
        <v>1567</v>
      </c>
    </row>
    <row r="621" spans="2:22" x14ac:dyDescent="0.25">
      <c r="B621" s="70" t="s">
        <v>1568</v>
      </c>
      <c r="E621" s="129">
        <f>IF(LEN(TRIM(E605&amp;""))&gt;0,1,0)</f>
        <v>1</v>
      </c>
      <c r="G621" s="84" t="str">
        <f>IF(E621=1,"","project name; ")</f>
        <v/>
      </c>
    </row>
    <row r="622" spans="2:22" x14ac:dyDescent="0.25">
      <c r="B622" s="70" t="s">
        <v>1569</v>
      </c>
      <c r="E622" s="129">
        <f>IF(AND(ISNUMBER(E606),N(E606)&gt;0,N(E606)&lt;=1),1,0)</f>
        <v>0</v>
      </c>
      <c r="G622" s="84" t="str">
        <f>IF(E622=1,"","ownership (0-100%); ")</f>
        <v xml:space="preserve">ownership (0-100%); </v>
      </c>
    </row>
    <row r="623" spans="2:22" x14ac:dyDescent="0.25">
      <c r="B623" s="70" t="s">
        <v>1570</v>
      </c>
      <c r="E623" s="129">
        <f>IF(AND(ISNUMBER(E607),YEAR(N(E607))&gt;=2026,YEAR(N(E607))&lt;=2036),1,0)</f>
        <v>0</v>
      </c>
      <c r="G623" s="84" t="str">
        <f>IF(E623=1,"","commencement date (2026-2036); ")</f>
        <v xml:space="preserve">commencement date (2026-2036); </v>
      </c>
    </row>
    <row r="624" spans="2:22" x14ac:dyDescent="0.25">
      <c r="B624" s="70" t="s">
        <v>1571</v>
      </c>
      <c r="E624" s="129">
        <f>IF(AND(ISNUMBER(E608),N(E608)&gt;0),1,0)</f>
        <v>0</v>
      </c>
      <c r="G624" s="84" t="str">
        <f>IF(E624=1,"","capacity; ")</f>
        <v xml:space="preserve">capacity; </v>
      </c>
    </row>
    <row r="625" spans="2:22" x14ac:dyDescent="0.25">
      <c r="B625" s="70" t="s">
        <v>1572</v>
      </c>
      <c r="E625" s="129">
        <f>IF(AND(ISNUMBER(E607),SUMPRODUCT(--('Revenue Calculation'!$H$7:$T$7&gt;=YEAR(N(E607))),--ISNUMBER(H615:T615))=2036-YEAR(N(E607))+1),1,0)</f>
        <v>0</v>
      </c>
      <c r="G625" s="84" t="str">
        <f>IF(E625=1,"","utilisation for every operating year; ")</f>
        <v xml:space="preserve">utilisation for every operating year; </v>
      </c>
    </row>
    <row r="626" spans="2:22" x14ac:dyDescent="0.25">
      <c r="B626" s="70" t="s">
        <v>1573</v>
      </c>
      <c r="E626" s="129">
        <f>IF(AND(ISNUMBER(E607),SUMPRODUCT(--('Revenue Calculation'!$H$7:$T$7&gt;=YEAR(N(E607))),--ISNUMBER(H616:T616))=2036-YEAR(N(E607))+1),1,0)</f>
        <v>0</v>
      </c>
      <c r="G626" s="84" t="str">
        <f>IF(E626=1,"","tariff for every operating year; ")</f>
        <v xml:space="preserve">tariff for every operating year; </v>
      </c>
    </row>
    <row r="627" spans="2:22" x14ac:dyDescent="0.25">
      <c r="B627" s="70" t="s">
        <v>1574</v>
      </c>
      <c r="E627" s="129">
        <f>IF(AND(ISNUMBER(E607),SUMPRODUCT(--('Revenue Calculation'!$H$7:$T$7&gt;=YEAR(N(E607))),--ISNUMBER(H617:T617))=2036-YEAR(N(E607))+1),1,0)</f>
        <v>0</v>
      </c>
      <c r="G627" s="84" t="str">
        <f>IF(E627=1,"","variable cost for every operating year; ")</f>
        <v xml:space="preserve">variable cost for every operating year; </v>
      </c>
    </row>
    <row r="628" spans="2:22" x14ac:dyDescent="0.25">
      <c r="B628" s="70" t="s">
        <v>1575</v>
      </c>
      <c r="E628" s="129">
        <f>IF(AND(ISNUMBER(E607),SUMPRODUCT(--('Revenue Calculation'!$H$7:$T$7&gt;=YEAR(N(E607))),--ISNUMBER(H618:T618))=2036-YEAR(N(E607))+1),1,0)</f>
        <v>0</v>
      </c>
      <c r="G628" s="84" t="str">
        <f>IF(E628=1,"","fixed cost for every operating year; ")</f>
        <v xml:space="preserve">fixed cost for every operating year; </v>
      </c>
    </row>
    <row r="629" spans="2:22" x14ac:dyDescent="0.25">
      <c r="B629" s="70" t="s">
        <v>1576</v>
      </c>
      <c r="E629" s="129">
        <f>IF(ISNUMBER(E609),1,0)</f>
        <v>0</v>
      </c>
      <c r="G629" s="84" t="str">
        <f>IF(E629=1,"","capex total; ")</f>
        <v xml:space="preserve">capex total; </v>
      </c>
    </row>
    <row r="630" spans="2:22" x14ac:dyDescent="0.25">
      <c r="B630" s="70" t="s">
        <v>1577</v>
      </c>
      <c r="E630" s="129">
        <f>IF(ABS(SUM(H619:T619)-1)&lt;0.0001,1,0)</f>
        <v>0</v>
      </c>
      <c r="G630" s="84" t="str">
        <f>IF(E630=1,"","capex phasing adding to 100%; ")</f>
        <v xml:space="preserve">capex phasing adding to 100%; </v>
      </c>
    </row>
    <row r="631" spans="2:22" x14ac:dyDescent="0.25">
      <c r="B631" s="70" t="s">
        <v>1578</v>
      </c>
      <c r="E631" s="129">
        <f>IF(AND(ISNUMBER(E610),N(E610)&gt;=0,N(E610)&lt;=1,N(E611)&gt;0,N(E612)&gt;0),1,0)</f>
        <v>0</v>
      </c>
      <c r="G631" s="84" t="str">
        <f>IF(E631=1,"","building share and useful lives; ")</f>
        <v xml:space="preserve">building share and useful lives; </v>
      </c>
    </row>
    <row r="632" spans="2:22" x14ac:dyDescent="0.25">
      <c r="B632" s="70" t="s">
        <v>1579</v>
      </c>
      <c r="E632" s="129">
        <f>IF(AND(OR(ISBLANK(E613),N(E613)&gt;=0),OR(ISBLANK(E614),N(E614)&gt;=0)),1,0)</f>
        <v>1</v>
      </c>
      <c r="G632" s="84" t="str">
        <f>IF(E632=1,"","receivable / payable days valid (optional); ")</f>
        <v/>
      </c>
    </row>
    <row r="633" spans="2:22" ht="24.75" customHeight="1" x14ac:dyDescent="0.25">
      <c r="B633" s="21" t="s">
        <v>1580</v>
      </c>
      <c r="G633" s="4" t="str">
        <f>G621&amp;G622&amp;G623&amp;G624&amp;G625&amp;G626&amp;G627&amp;G628&amp;G629&amp;G630&amp;G631&amp;G632</f>
        <v xml:space="preserve">ownership (0-100%); commencement date (2026-2036); capacity; utilisation for every operating year; tariff for every operating year; variable cost for every operating year; fixed cost for every operating year; capex total; capex phasing adding to 100%; building share and useful lives; </v>
      </c>
      <c r="H633" s="4"/>
      <c r="I633" s="4"/>
      <c r="J633" s="4"/>
      <c r="K633" s="4"/>
      <c r="L633" s="4"/>
      <c r="M633" s="4"/>
      <c r="N633" s="4"/>
      <c r="O633" s="4"/>
      <c r="P633" s="4"/>
      <c r="Q633" s="4"/>
      <c r="R633" s="4"/>
      <c r="S633" s="4"/>
      <c r="T633" s="4"/>
    </row>
    <row r="634" spans="2:22" x14ac:dyDescent="0.25">
      <c r="B634" s="21" t="s">
        <v>1581</v>
      </c>
      <c r="E634" s="73">
        <f>MIN(E621:E632)</f>
        <v>0</v>
      </c>
    </row>
    <row r="635" spans="2:22" x14ac:dyDescent="0.25">
      <c r="B635" s="21" t="s">
        <v>1582</v>
      </c>
      <c r="E635" s="130" t="str">
        <f>$I$79</f>
        <v>Placeholder - inputs not yet populated (OFF)</v>
      </c>
    </row>
    <row r="637" spans="2:22" x14ac:dyDescent="0.25">
      <c r="B637" s="42" t="s">
        <v>1583</v>
      </c>
    </row>
    <row r="638" spans="2:22" x14ac:dyDescent="0.25">
      <c r="B638" s="59" t="s">
        <v>1584</v>
      </c>
      <c r="C638" s="59" t="s">
        <v>466</v>
      </c>
      <c r="D638" s="59" t="s">
        <v>467</v>
      </c>
      <c r="E638" s="59" t="s">
        <v>468</v>
      </c>
      <c r="F638" s="59" t="s">
        <v>469</v>
      </c>
      <c r="G638" s="80" t="s">
        <v>628</v>
      </c>
      <c r="H638" s="81">
        <v>2024</v>
      </c>
      <c r="I638" s="81">
        <v>2025</v>
      </c>
      <c r="J638" s="81">
        <v>2026</v>
      </c>
      <c r="K638" s="81">
        <v>2027</v>
      </c>
      <c r="L638" s="81">
        <v>2028</v>
      </c>
      <c r="M638" s="81">
        <v>2029</v>
      </c>
      <c r="N638" s="81">
        <v>2030</v>
      </c>
      <c r="O638" s="81">
        <v>2031</v>
      </c>
      <c r="P638" s="81">
        <v>2032</v>
      </c>
      <c r="Q638" s="81">
        <v>2033</v>
      </c>
      <c r="R638" s="81">
        <v>2034</v>
      </c>
      <c r="S638" s="81">
        <v>2035</v>
      </c>
      <c r="T638" s="81">
        <v>2036</v>
      </c>
      <c r="U638" s="59" t="s">
        <v>470</v>
      </c>
      <c r="V638" s="59" t="s">
        <v>471</v>
      </c>
    </row>
    <row r="639" spans="2:22" x14ac:dyDescent="0.25">
      <c r="B639" s="23" t="s">
        <v>1540</v>
      </c>
      <c r="C639" s="28" t="s">
        <v>1541</v>
      </c>
      <c r="D639" s="56" t="s">
        <v>444</v>
      </c>
      <c r="E639" s="121" t="s">
        <v>1585</v>
      </c>
      <c r="F639" s="72" t="s">
        <v>274</v>
      </c>
      <c r="V639" s="63" t="s">
        <v>1543</v>
      </c>
    </row>
    <row r="640" spans="2:22" x14ac:dyDescent="0.25">
      <c r="B640" s="23" t="s">
        <v>1544</v>
      </c>
      <c r="C640" s="28" t="s">
        <v>292</v>
      </c>
      <c r="D640" s="56" t="s">
        <v>444</v>
      </c>
      <c r="E640" s="122"/>
      <c r="F640" s="72" t="s">
        <v>274</v>
      </c>
      <c r="V640" s="63" t="s">
        <v>1545</v>
      </c>
    </row>
    <row r="641" spans="2:22" x14ac:dyDescent="0.25">
      <c r="B641" s="23" t="s">
        <v>1546</v>
      </c>
      <c r="C641" s="28" t="s">
        <v>613</v>
      </c>
      <c r="D641" s="56" t="s">
        <v>444</v>
      </c>
      <c r="E641" s="123"/>
      <c r="F641" s="72" t="s">
        <v>274</v>
      </c>
      <c r="V641" s="63" t="s">
        <v>1547</v>
      </c>
    </row>
    <row r="642" spans="2:22" x14ac:dyDescent="0.25">
      <c r="B642" s="23" t="s">
        <v>1495</v>
      </c>
      <c r="C642" s="28" t="s">
        <v>1496</v>
      </c>
      <c r="D642" s="56" t="s">
        <v>444</v>
      </c>
      <c r="E642" s="124"/>
      <c r="F642" s="72" t="s">
        <v>274</v>
      </c>
      <c r="V642" s="63" t="s">
        <v>1548</v>
      </c>
    </row>
    <row r="643" spans="2:22" x14ac:dyDescent="0.25">
      <c r="B643" s="23" t="s">
        <v>1549</v>
      </c>
      <c r="C643" s="28" t="s">
        <v>806</v>
      </c>
      <c r="D643" s="56" t="s">
        <v>444</v>
      </c>
      <c r="E643" s="125"/>
      <c r="F643" s="72" t="s">
        <v>274</v>
      </c>
      <c r="V643" s="63" t="s">
        <v>1550</v>
      </c>
    </row>
    <row r="644" spans="2:22" x14ac:dyDescent="0.25">
      <c r="B644" s="23" t="s">
        <v>1508</v>
      </c>
      <c r="C644" s="28" t="s">
        <v>292</v>
      </c>
      <c r="D644" s="56" t="s">
        <v>444</v>
      </c>
      <c r="E644" s="122"/>
      <c r="F644" s="72" t="s">
        <v>274</v>
      </c>
      <c r="V644" s="63" t="s">
        <v>1551</v>
      </c>
    </row>
    <row r="645" spans="2:22" x14ac:dyDescent="0.25">
      <c r="B645" s="23" t="s">
        <v>1510</v>
      </c>
      <c r="C645" s="28" t="s">
        <v>816</v>
      </c>
      <c r="D645" s="56" t="s">
        <v>444</v>
      </c>
      <c r="E645" s="126"/>
      <c r="F645" s="72" t="s">
        <v>274</v>
      </c>
      <c r="V645" s="63" t="s">
        <v>1552</v>
      </c>
    </row>
    <row r="646" spans="2:22" x14ac:dyDescent="0.25">
      <c r="B646" s="23" t="s">
        <v>1511</v>
      </c>
      <c r="C646" s="28" t="s">
        <v>816</v>
      </c>
      <c r="D646" s="56" t="s">
        <v>444</v>
      </c>
      <c r="E646" s="126"/>
      <c r="F646" s="72" t="s">
        <v>274</v>
      </c>
      <c r="V646" s="63" t="s">
        <v>1552</v>
      </c>
    </row>
    <row r="647" spans="2:22" x14ac:dyDescent="0.25">
      <c r="B647" s="23" t="s">
        <v>1553</v>
      </c>
      <c r="C647" s="28" t="s">
        <v>1340</v>
      </c>
      <c r="D647" s="56" t="s">
        <v>444</v>
      </c>
      <c r="E647" s="127"/>
      <c r="F647" s="72" t="s">
        <v>274</v>
      </c>
      <c r="V647" s="63" t="s">
        <v>1554</v>
      </c>
    </row>
    <row r="648" spans="2:22" x14ac:dyDescent="0.25">
      <c r="B648" s="23" t="s">
        <v>1555</v>
      </c>
      <c r="C648" s="28" t="s">
        <v>1340</v>
      </c>
      <c r="D648" s="56" t="s">
        <v>444</v>
      </c>
      <c r="E648" s="127"/>
      <c r="F648" s="72" t="s">
        <v>274</v>
      </c>
      <c r="V648" s="63" t="s">
        <v>1556</v>
      </c>
    </row>
    <row r="649" spans="2:22" x14ac:dyDescent="0.25">
      <c r="B649" s="23" t="s">
        <v>1557</v>
      </c>
      <c r="C649" s="28" t="s">
        <v>1518</v>
      </c>
      <c r="D649" s="56" t="s">
        <v>444</v>
      </c>
      <c r="F649" s="72" t="s">
        <v>274</v>
      </c>
      <c r="H649" s="122"/>
      <c r="I649" s="122"/>
      <c r="J649" s="122"/>
      <c r="K649" s="122"/>
      <c r="L649" s="122"/>
      <c r="M649" s="122"/>
      <c r="N649" s="122"/>
      <c r="O649" s="122"/>
      <c r="P649" s="122"/>
      <c r="Q649" s="122"/>
      <c r="R649" s="122"/>
      <c r="S649" s="122"/>
      <c r="T649" s="122"/>
      <c r="U649" s="128" t="str">
        <f>IF(COUNT(H649:T649)=0,"",COUNT(H649:T649)&amp;" of 13")</f>
        <v/>
      </c>
      <c r="V649" s="63" t="s">
        <v>1558</v>
      </c>
    </row>
    <row r="650" spans="2:22" x14ac:dyDescent="0.25">
      <c r="B650" s="23" t="s">
        <v>1559</v>
      </c>
      <c r="C650" s="28" t="s">
        <v>647</v>
      </c>
      <c r="D650" s="56" t="s">
        <v>444</v>
      </c>
      <c r="F650" s="72" t="s">
        <v>274</v>
      </c>
      <c r="H650" s="124"/>
      <c r="I650" s="124"/>
      <c r="J650" s="124"/>
      <c r="K650" s="124"/>
      <c r="L650" s="124"/>
      <c r="M650" s="124"/>
      <c r="N650" s="124"/>
      <c r="O650" s="124"/>
      <c r="P650" s="124"/>
      <c r="Q650" s="124"/>
      <c r="R650" s="124"/>
      <c r="S650" s="124"/>
      <c r="T650" s="124"/>
      <c r="U650" s="128" t="str">
        <f>IF(COUNT(H650:T650)=0,"",COUNT(H650:T650)&amp;" of 13")</f>
        <v/>
      </c>
      <c r="V650" s="63" t="s">
        <v>1560</v>
      </c>
    </row>
    <row r="651" spans="2:22" x14ac:dyDescent="0.25">
      <c r="B651" s="23" t="s">
        <v>1561</v>
      </c>
      <c r="C651" s="28" t="s">
        <v>647</v>
      </c>
      <c r="D651" s="56" t="s">
        <v>444</v>
      </c>
      <c r="F651" s="72" t="s">
        <v>274</v>
      </c>
      <c r="H651" s="124"/>
      <c r="I651" s="124"/>
      <c r="J651" s="124"/>
      <c r="K651" s="124"/>
      <c r="L651" s="124"/>
      <c r="M651" s="124"/>
      <c r="N651" s="124"/>
      <c r="O651" s="124"/>
      <c r="P651" s="124"/>
      <c r="Q651" s="124"/>
      <c r="R651" s="124"/>
      <c r="S651" s="124"/>
      <c r="T651" s="124"/>
      <c r="U651" s="128" t="str">
        <f>IF(COUNT(H651:T651)=0,"",COUNT(H651:T651)&amp;" of 13")</f>
        <v/>
      </c>
      <c r="V651" s="63" t="s">
        <v>1562</v>
      </c>
    </row>
    <row r="652" spans="2:22" x14ac:dyDescent="0.25">
      <c r="B652" s="23" t="s">
        <v>1563</v>
      </c>
      <c r="C652" s="28" t="s">
        <v>1530</v>
      </c>
      <c r="D652" s="56" t="s">
        <v>444</v>
      </c>
      <c r="F652" s="72" t="s">
        <v>274</v>
      </c>
      <c r="H652" s="125"/>
      <c r="I652" s="125"/>
      <c r="J652" s="125"/>
      <c r="K652" s="125"/>
      <c r="L652" s="125"/>
      <c r="M652" s="125"/>
      <c r="N652" s="125"/>
      <c r="O652" s="125"/>
      <c r="P652" s="125"/>
      <c r="Q652" s="125"/>
      <c r="R652" s="125"/>
      <c r="S652" s="125"/>
      <c r="T652" s="125"/>
      <c r="U652" s="128" t="str">
        <f>IF(COUNT(H652:T652)=0,"",COUNT(H652:T652)&amp;" of 13")</f>
        <v/>
      </c>
      <c r="V652" s="63" t="s">
        <v>1564</v>
      </c>
    </row>
    <row r="653" spans="2:22" x14ac:dyDescent="0.25">
      <c r="B653" s="23" t="s">
        <v>1565</v>
      </c>
      <c r="C653" s="28" t="s">
        <v>1399</v>
      </c>
      <c r="D653" s="56" t="s">
        <v>444</v>
      </c>
      <c r="F653" s="72" t="s">
        <v>274</v>
      </c>
      <c r="H653" s="122"/>
      <c r="I653" s="122"/>
      <c r="J653" s="122"/>
      <c r="K653" s="122"/>
      <c r="L653" s="122"/>
      <c r="M653" s="122"/>
      <c r="N653" s="122"/>
      <c r="O653" s="122"/>
      <c r="P653" s="122"/>
      <c r="Q653" s="122"/>
      <c r="R653" s="122"/>
      <c r="S653" s="122"/>
      <c r="T653" s="122"/>
      <c r="U653" s="128" t="str">
        <f>IF(COUNT(H653:T653)=0,"",COUNT(H653:T653)&amp;" of 13")</f>
        <v/>
      </c>
      <c r="V653" s="63" t="s">
        <v>1566</v>
      </c>
    </row>
    <row r="654" spans="2:22" x14ac:dyDescent="0.25">
      <c r="B654" s="21" t="s">
        <v>1586</v>
      </c>
    </row>
    <row r="655" spans="2:22" x14ac:dyDescent="0.25">
      <c r="B655" s="70" t="s">
        <v>1568</v>
      </c>
      <c r="E655" s="129">
        <f>IF(LEN(TRIM(E639&amp;""))&gt;0,1,0)</f>
        <v>1</v>
      </c>
      <c r="G655" s="84" t="str">
        <f>IF(E655=1,"","project name; ")</f>
        <v/>
      </c>
    </row>
    <row r="656" spans="2:22" x14ac:dyDescent="0.25">
      <c r="B656" s="70" t="s">
        <v>1569</v>
      </c>
      <c r="E656" s="129">
        <f>IF(AND(ISNUMBER(E640),N(E640)&gt;0,N(E640)&lt;=1),1,0)</f>
        <v>0</v>
      </c>
      <c r="G656" s="84" t="str">
        <f>IF(E656=1,"","ownership (0-100%); ")</f>
        <v xml:space="preserve">ownership (0-100%); </v>
      </c>
    </row>
    <row r="657" spans="2:22" x14ac:dyDescent="0.25">
      <c r="B657" s="70" t="s">
        <v>1570</v>
      </c>
      <c r="E657" s="129">
        <f>IF(AND(ISNUMBER(E641),YEAR(N(E641))&gt;=2026,YEAR(N(E641))&lt;=2036),1,0)</f>
        <v>0</v>
      </c>
      <c r="G657" s="84" t="str">
        <f>IF(E657=1,"","commencement date (2026-2036); ")</f>
        <v xml:space="preserve">commencement date (2026-2036); </v>
      </c>
    </row>
    <row r="658" spans="2:22" x14ac:dyDescent="0.25">
      <c r="B658" s="70" t="s">
        <v>1571</v>
      </c>
      <c r="E658" s="129">
        <f>IF(AND(ISNUMBER(E642),N(E642)&gt;0),1,0)</f>
        <v>0</v>
      </c>
      <c r="G658" s="84" t="str">
        <f>IF(E658=1,"","capacity; ")</f>
        <v xml:space="preserve">capacity; </v>
      </c>
    </row>
    <row r="659" spans="2:22" x14ac:dyDescent="0.25">
      <c r="B659" s="70" t="s">
        <v>1572</v>
      </c>
      <c r="E659" s="129">
        <f>IF(AND(ISNUMBER(E641),SUMPRODUCT(--('Revenue Calculation'!$H$7:$T$7&gt;=YEAR(N(E641))),--ISNUMBER(H649:T649))=2036-YEAR(N(E641))+1),1,0)</f>
        <v>0</v>
      </c>
      <c r="G659" s="84" t="str">
        <f>IF(E659=1,"","utilisation for every operating year; ")</f>
        <v xml:space="preserve">utilisation for every operating year; </v>
      </c>
    </row>
    <row r="660" spans="2:22" x14ac:dyDescent="0.25">
      <c r="B660" s="70" t="s">
        <v>1573</v>
      </c>
      <c r="E660" s="129">
        <f>IF(AND(ISNUMBER(E641),SUMPRODUCT(--('Revenue Calculation'!$H$7:$T$7&gt;=YEAR(N(E641))),--ISNUMBER(H650:T650))=2036-YEAR(N(E641))+1),1,0)</f>
        <v>0</v>
      </c>
      <c r="G660" s="84" t="str">
        <f>IF(E660=1,"","tariff for every operating year; ")</f>
        <v xml:space="preserve">tariff for every operating year; </v>
      </c>
    </row>
    <row r="661" spans="2:22" x14ac:dyDescent="0.25">
      <c r="B661" s="70" t="s">
        <v>1574</v>
      </c>
      <c r="E661" s="129">
        <f>IF(AND(ISNUMBER(E641),SUMPRODUCT(--('Revenue Calculation'!$H$7:$T$7&gt;=YEAR(N(E641))),--ISNUMBER(H651:T651))=2036-YEAR(N(E641))+1),1,0)</f>
        <v>0</v>
      </c>
      <c r="G661" s="84" t="str">
        <f>IF(E661=1,"","variable cost for every operating year; ")</f>
        <v xml:space="preserve">variable cost for every operating year; </v>
      </c>
    </row>
    <row r="662" spans="2:22" x14ac:dyDescent="0.25">
      <c r="B662" s="70" t="s">
        <v>1575</v>
      </c>
      <c r="E662" s="129">
        <f>IF(AND(ISNUMBER(E641),SUMPRODUCT(--('Revenue Calculation'!$H$7:$T$7&gt;=YEAR(N(E641))),--ISNUMBER(H652:T652))=2036-YEAR(N(E641))+1),1,0)</f>
        <v>0</v>
      </c>
      <c r="G662" s="84" t="str">
        <f>IF(E662=1,"","fixed cost for every operating year; ")</f>
        <v xml:space="preserve">fixed cost for every operating year; </v>
      </c>
    </row>
    <row r="663" spans="2:22" x14ac:dyDescent="0.25">
      <c r="B663" s="70" t="s">
        <v>1576</v>
      </c>
      <c r="E663" s="129">
        <f>IF(ISNUMBER(E643),1,0)</f>
        <v>0</v>
      </c>
      <c r="G663" s="84" t="str">
        <f>IF(E663=1,"","capex total; ")</f>
        <v xml:space="preserve">capex total; </v>
      </c>
    </row>
    <row r="664" spans="2:22" x14ac:dyDescent="0.25">
      <c r="B664" s="70" t="s">
        <v>1577</v>
      </c>
      <c r="E664" s="129">
        <f>IF(ABS(SUM(H653:T653)-1)&lt;0.0001,1,0)</f>
        <v>0</v>
      </c>
      <c r="G664" s="84" t="str">
        <f>IF(E664=1,"","capex phasing adding to 100%; ")</f>
        <v xml:space="preserve">capex phasing adding to 100%; </v>
      </c>
    </row>
    <row r="665" spans="2:22" x14ac:dyDescent="0.25">
      <c r="B665" s="70" t="s">
        <v>1578</v>
      </c>
      <c r="E665" s="129">
        <f>IF(AND(ISNUMBER(E644),N(E644)&gt;=0,N(E644)&lt;=1,N(E645)&gt;0,N(E646)&gt;0),1,0)</f>
        <v>0</v>
      </c>
      <c r="G665" s="84" t="str">
        <f>IF(E665=1,"","building share and useful lives; ")</f>
        <v xml:space="preserve">building share and useful lives; </v>
      </c>
    </row>
    <row r="666" spans="2:22" x14ac:dyDescent="0.25">
      <c r="B666" s="70" t="s">
        <v>1579</v>
      </c>
      <c r="E666" s="129">
        <f>IF(AND(OR(ISBLANK(E647),N(E647)&gt;=0),OR(ISBLANK(E648),N(E648)&gt;=0)),1,0)</f>
        <v>1</v>
      </c>
      <c r="G666" s="84" t="str">
        <f>IF(E666=1,"","receivable / payable days valid (optional); ")</f>
        <v/>
      </c>
    </row>
    <row r="667" spans="2:22" ht="24.75" customHeight="1" x14ac:dyDescent="0.25">
      <c r="B667" s="21" t="s">
        <v>1587</v>
      </c>
      <c r="G667" s="4" t="str">
        <f>G655&amp;G656&amp;G657&amp;G658&amp;G659&amp;G660&amp;G661&amp;G662&amp;G663&amp;G664&amp;G665&amp;G666</f>
        <v xml:space="preserve">ownership (0-100%); commencement date (2026-2036); capacity; utilisation for every operating year; tariff for every operating year; variable cost for every operating year; fixed cost for every operating year; capex total; capex phasing adding to 100%; building share and useful lives; </v>
      </c>
      <c r="H667" s="4"/>
      <c r="I667" s="4"/>
      <c r="J667" s="4"/>
      <c r="K667" s="4"/>
      <c r="L667" s="4"/>
      <c r="M667" s="4"/>
      <c r="N667" s="4"/>
      <c r="O667" s="4"/>
      <c r="P667" s="4"/>
      <c r="Q667" s="4"/>
      <c r="R667" s="4"/>
      <c r="S667" s="4"/>
      <c r="T667" s="4"/>
    </row>
    <row r="668" spans="2:22" x14ac:dyDescent="0.25">
      <c r="B668" s="21" t="s">
        <v>1588</v>
      </c>
      <c r="E668" s="73">
        <f>MIN(E655:E666)</f>
        <v>0</v>
      </c>
    </row>
    <row r="669" spans="2:22" x14ac:dyDescent="0.25">
      <c r="B669" s="21" t="s">
        <v>1589</v>
      </c>
      <c r="E669" s="130" t="str">
        <f>$I$80</f>
        <v>Placeholder - inputs not yet populated (OFF)</v>
      </c>
    </row>
    <row r="671" spans="2:22" x14ac:dyDescent="0.25">
      <c r="B671" s="42" t="s">
        <v>1590</v>
      </c>
    </row>
    <row r="672" spans="2:22" x14ac:dyDescent="0.25">
      <c r="B672" s="59" t="s">
        <v>1591</v>
      </c>
      <c r="C672" s="59" t="s">
        <v>466</v>
      </c>
      <c r="D672" s="59" t="s">
        <v>467</v>
      </c>
      <c r="E672" s="59" t="s">
        <v>468</v>
      </c>
      <c r="F672" s="59" t="s">
        <v>469</v>
      </c>
      <c r="G672" s="80" t="s">
        <v>628</v>
      </c>
      <c r="H672" s="81">
        <v>2024</v>
      </c>
      <c r="I672" s="81">
        <v>2025</v>
      </c>
      <c r="J672" s="81">
        <v>2026</v>
      </c>
      <c r="K672" s="81">
        <v>2027</v>
      </c>
      <c r="L672" s="81">
        <v>2028</v>
      </c>
      <c r="M672" s="81">
        <v>2029</v>
      </c>
      <c r="N672" s="81">
        <v>2030</v>
      </c>
      <c r="O672" s="81">
        <v>2031</v>
      </c>
      <c r="P672" s="81">
        <v>2032</v>
      </c>
      <c r="Q672" s="81">
        <v>2033</v>
      </c>
      <c r="R672" s="81">
        <v>2034</v>
      </c>
      <c r="S672" s="81">
        <v>2035</v>
      </c>
      <c r="T672" s="81">
        <v>2036</v>
      </c>
      <c r="U672" s="59" t="s">
        <v>470</v>
      </c>
      <c r="V672" s="59" t="s">
        <v>471</v>
      </c>
    </row>
    <row r="673" spans="2:22" x14ac:dyDescent="0.25">
      <c r="B673" s="23" t="s">
        <v>1540</v>
      </c>
      <c r="C673" s="28" t="s">
        <v>1541</v>
      </c>
      <c r="D673" s="56" t="s">
        <v>444</v>
      </c>
      <c r="E673" s="121" t="s">
        <v>1592</v>
      </c>
      <c r="F673" s="72" t="s">
        <v>274</v>
      </c>
      <c r="V673" s="63" t="s">
        <v>1543</v>
      </c>
    </row>
    <row r="674" spans="2:22" x14ac:dyDescent="0.25">
      <c r="B674" s="23" t="s">
        <v>1544</v>
      </c>
      <c r="C674" s="28" t="s">
        <v>292</v>
      </c>
      <c r="D674" s="56" t="s">
        <v>444</v>
      </c>
      <c r="E674" s="122"/>
      <c r="F674" s="72" t="s">
        <v>274</v>
      </c>
      <c r="V674" s="63" t="s">
        <v>1545</v>
      </c>
    </row>
    <row r="675" spans="2:22" x14ac:dyDescent="0.25">
      <c r="B675" s="23" t="s">
        <v>1546</v>
      </c>
      <c r="C675" s="28" t="s">
        <v>613</v>
      </c>
      <c r="D675" s="56" t="s">
        <v>444</v>
      </c>
      <c r="E675" s="123"/>
      <c r="F675" s="72" t="s">
        <v>274</v>
      </c>
      <c r="V675" s="63" t="s">
        <v>1547</v>
      </c>
    </row>
    <row r="676" spans="2:22" x14ac:dyDescent="0.25">
      <c r="B676" s="23" t="s">
        <v>1495</v>
      </c>
      <c r="C676" s="28" t="s">
        <v>1496</v>
      </c>
      <c r="D676" s="56" t="s">
        <v>444</v>
      </c>
      <c r="E676" s="124"/>
      <c r="F676" s="72" t="s">
        <v>274</v>
      </c>
      <c r="V676" s="63" t="s">
        <v>1548</v>
      </c>
    </row>
    <row r="677" spans="2:22" x14ac:dyDescent="0.25">
      <c r="B677" s="23" t="s">
        <v>1549</v>
      </c>
      <c r="C677" s="28" t="s">
        <v>806</v>
      </c>
      <c r="D677" s="56" t="s">
        <v>444</v>
      </c>
      <c r="E677" s="125"/>
      <c r="F677" s="72" t="s">
        <v>274</v>
      </c>
      <c r="V677" s="63" t="s">
        <v>1550</v>
      </c>
    </row>
    <row r="678" spans="2:22" x14ac:dyDescent="0.25">
      <c r="B678" s="23" t="s">
        <v>1508</v>
      </c>
      <c r="C678" s="28" t="s">
        <v>292</v>
      </c>
      <c r="D678" s="56" t="s">
        <v>444</v>
      </c>
      <c r="E678" s="122"/>
      <c r="F678" s="72" t="s">
        <v>274</v>
      </c>
      <c r="V678" s="63" t="s">
        <v>1551</v>
      </c>
    </row>
    <row r="679" spans="2:22" x14ac:dyDescent="0.25">
      <c r="B679" s="23" t="s">
        <v>1510</v>
      </c>
      <c r="C679" s="28" t="s">
        <v>816</v>
      </c>
      <c r="D679" s="56" t="s">
        <v>444</v>
      </c>
      <c r="E679" s="126"/>
      <c r="F679" s="72" t="s">
        <v>274</v>
      </c>
      <c r="V679" s="63" t="s">
        <v>1552</v>
      </c>
    </row>
    <row r="680" spans="2:22" x14ac:dyDescent="0.25">
      <c r="B680" s="23" t="s">
        <v>1511</v>
      </c>
      <c r="C680" s="28" t="s">
        <v>816</v>
      </c>
      <c r="D680" s="56" t="s">
        <v>444</v>
      </c>
      <c r="E680" s="126"/>
      <c r="F680" s="72" t="s">
        <v>274</v>
      </c>
      <c r="V680" s="63" t="s">
        <v>1552</v>
      </c>
    </row>
    <row r="681" spans="2:22" x14ac:dyDescent="0.25">
      <c r="B681" s="23" t="s">
        <v>1553</v>
      </c>
      <c r="C681" s="28" t="s">
        <v>1340</v>
      </c>
      <c r="D681" s="56" t="s">
        <v>444</v>
      </c>
      <c r="E681" s="127"/>
      <c r="F681" s="72" t="s">
        <v>274</v>
      </c>
      <c r="V681" s="63" t="s">
        <v>1554</v>
      </c>
    </row>
    <row r="682" spans="2:22" x14ac:dyDescent="0.25">
      <c r="B682" s="23" t="s">
        <v>1555</v>
      </c>
      <c r="C682" s="28" t="s">
        <v>1340</v>
      </c>
      <c r="D682" s="56" t="s">
        <v>444</v>
      </c>
      <c r="E682" s="127"/>
      <c r="F682" s="72" t="s">
        <v>274</v>
      </c>
      <c r="V682" s="63" t="s">
        <v>1556</v>
      </c>
    </row>
    <row r="683" spans="2:22" x14ac:dyDescent="0.25">
      <c r="B683" s="23" t="s">
        <v>1557</v>
      </c>
      <c r="C683" s="28" t="s">
        <v>1518</v>
      </c>
      <c r="D683" s="56" t="s">
        <v>444</v>
      </c>
      <c r="F683" s="72" t="s">
        <v>274</v>
      </c>
      <c r="H683" s="122"/>
      <c r="I683" s="122"/>
      <c r="J683" s="122"/>
      <c r="K683" s="122"/>
      <c r="L683" s="122"/>
      <c r="M683" s="122"/>
      <c r="N683" s="122"/>
      <c r="O683" s="122"/>
      <c r="P683" s="122"/>
      <c r="Q683" s="122"/>
      <c r="R683" s="122"/>
      <c r="S683" s="122"/>
      <c r="T683" s="122"/>
      <c r="U683" s="128" t="str">
        <f>IF(COUNT(H683:T683)=0,"",COUNT(H683:T683)&amp;" of 13")</f>
        <v/>
      </c>
      <c r="V683" s="63" t="s">
        <v>1558</v>
      </c>
    </row>
    <row r="684" spans="2:22" x14ac:dyDescent="0.25">
      <c r="B684" s="23" t="s">
        <v>1559</v>
      </c>
      <c r="C684" s="28" t="s">
        <v>647</v>
      </c>
      <c r="D684" s="56" t="s">
        <v>444</v>
      </c>
      <c r="F684" s="72" t="s">
        <v>274</v>
      </c>
      <c r="H684" s="124"/>
      <c r="I684" s="124"/>
      <c r="J684" s="124"/>
      <c r="K684" s="124"/>
      <c r="L684" s="124"/>
      <c r="M684" s="124"/>
      <c r="N684" s="124"/>
      <c r="O684" s="124"/>
      <c r="P684" s="124"/>
      <c r="Q684" s="124"/>
      <c r="R684" s="124"/>
      <c r="S684" s="124"/>
      <c r="T684" s="124"/>
      <c r="U684" s="128" t="str">
        <f>IF(COUNT(H684:T684)=0,"",COUNT(H684:T684)&amp;" of 13")</f>
        <v/>
      </c>
      <c r="V684" s="63" t="s">
        <v>1560</v>
      </c>
    </row>
    <row r="685" spans="2:22" x14ac:dyDescent="0.25">
      <c r="B685" s="23" t="s">
        <v>1561</v>
      </c>
      <c r="C685" s="28" t="s">
        <v>647</v>
      </c>
      <c r="D685" s="56" t="s">
        <v>444</v>
      </c>
      <c r="F685" s="72" t="s">
        <v>274</v>
      </c>
      <c r="H685" s="124"/>
      <c r="I685" s="124"/>
      <c r="J685" s="124"/>
      <c r="K685" s="124"/>
      <c r="L685" s="124"/>
      <c r="M685" s="124"/>
      <c r="N685" s="124"/>
      <c r="O685" s="124"/>
      <c r="P685" s="124"/>
      <c r="Q685" s="124"/>
      <c r="R685" s="124"/>
      <c r="S685" s="124"/>
      <c r="T685" s="124"/>
      <c r="U685" s="128" t="str">
        <f>IF(COUNT(H685:T685)=0,"",COUNT(H685:T685)&amp;" of 13")</f>
        <v/>
      </c>
      <c r="V685" s="63" t="s">
        <v>1562</v>
      </c>
    </row>
    <row r="686" spans="2:22" x14ac:dyDescent="0.25">
      <c r="B686" s="23" t="s">
        <v>1563</v>
      </c>
      <c r="C686" s="28" t="s">
        <v>1530</v>
      </c>
      <c r="D686" s="56" t="s">
        <v>444</v>
      </c>
      <c r="F686" s="72" t="s">
        <v>274</v>
      </c>
      <c r="H686" s="125"/>
      <c r="I686" s="125"/>
      <c r="J686" s="125"/>
      <c r="K686" s="125"/>
      <c r="L686" s="125"/>
      <c r="M686" s="125"/>
      <c r="N686" s="125"/>
      <c r="O686" s="125"/>
      <c r="P686" s="125"/>
      <c r="Q686" s="125"/>
      <c r="R686" s="125"/>
      <c r="S686" s="125"/>
      <c r="T686" s="125"/>
      <c r="U686" s="128" t="str">
        <f>IF(COUNT(H686:T686)=0,"",COUNT(H686:T686)&amp;" of 13")</f>
        <v/>
      </c>
      <c r="V686" s="63" t="s">
        <v>1564</v>
      </c>
    </row>
    <row r="687" spans="2:22" x14ac:dyDescent="0.25">
      <c r="B687" s="23" t="s">
        <v>1565</v>
      </c>
      <c r="C687" s="28" t="s">
        <v>1399</v>
      </c>
      <c r="D687" s="56" t="s">
        <v>444</v>
      </c>
      <c r="F687" s="72" t="s">
        <v>274</v>
      </c>
      <c r="H687" s="122"/>
      <c r="I687" s="122"/>
      <c r="J687" s="122"/>
      <c r="K687" s="122"/>
      <c r="L687" s="122"/>
      <c r="M687" s="122"/>
      <c r="N687" s="122"/>
      <c r="O687" s="122"/>
      <c r="P687" s="122"/>
      <c r="Q687" s="122"/>
      <c r="R687" s="122"/>
      <c r="S687" s="122"/>
      <c r="T687" s="122"/>
      <c r="U687" s="128" t="str">
        <f>IF(COUNT(H687:T687)=0,"",COUNT(H687:T687)&amp;" of 13")</f>
        <v/>
      </c>
      <c r="V687" s="63" t="s">
        <v>1566</v>
      </c>
    </row>
    <row r="688" spans="2:22" x14ac:dyDescent="0.25">
      <c r="B688" s="21" t="s">
        <v>1593</v>
      </c>
    </row>
    <row r="689" spans="2:20" x14ac:dyDescent="0.25">
      <c r="B689" s="70" t="s">
        <v>1568</v>
      </c>
      <c r="E689" s="129">
        <f>IF(LEN(TRIM(E673&amp;""))&gt;0,1,0)</f>
        <v>1</v>
      </c>
      <c r="G689" s="84" t="str">
        <f>IF(E689=1,"","project name; ")</f>
        <v/>
      </c>
    </row>
    <row r="690" spans="2:20" x14ac:dyDescent="0.25">
      <c r="B690" s="70" t="s">
        <v>1569</v>
      </c>
      <c r="E690" s="129">
        <f>IF(AND(ISNUMBER(E674),N(E674)&gt;0,N(E674)&lt;=1),1,0)</f>
        <v>0</v>
      </c>
      <c r="G690" s="84" t="str">
        <f>IF(E690=1,"","ownership (0-100%); ")</f>
        <v xml:space="preserve">ownership (0-100%); </v>
      </c>
    </row>
    <row r="691" spans="2:20" x14ac:dyDescent="0.25">
      <c r="B691" s="70" t="s">
        <v>1570</v>
      </c>
      <c r="E691" s="129">
        <f>IF(AND(ISNUMBER(E675),YEAR(N(E675))&gt;=2026,YEAR(N(E675))&lt;=2036),1,0)</f>
        <v>0</v>
      </c>
      <c r="G691" s="84" t="str">
        <f>IF(E691=1,"","commencement date (2026-2036); ")</f>
        <v xml:space="preserve">commencement date (2026-2036); </v>
      </c>
    </row>
    <row r="692" spans="2:20" x14ac:dyDescent="0.25">
      <c r="B692" s="70" t="s">
        <v>1571</v>
      </c>
      <c r="E692" s="129">
        <f>IF(AND(ISNUMBER(E676),N(E676)&gt;0),1,0)</f>
        <v>0</v>
      </c>
      <c r="G692" s="84" t="str">
        <f>IF(E692=1,"","capacity; ")</f>
        <v xml:space="preserve">capacity; </v>
      </c>
    </row>
    <row r="693" spans="2:20" x14ac:dyDescent="0.25">
      <c r="B693" s="70" t="s">
        <v>1572</v>
      </c>
      <c r="E693" s="129">
        <f>IF(AND(ISNUMBER(E675),SUMPRODUCT(--('Revenue Calculation'!$H$7:$T$7&gt;=YEAR(N(E675))),--ISNUMBER(H683:T683))=2036-YEAR(N(E675))+1),1,0)</f>
        <v>0</v>
      </c>
      <c r="G693" s="84" t="str">
        <f>IF(E693=1,"","utilisation for every operating year; ")</f>
        <v xml:space="preserve">utilisation for every operating year; </v>
      </c>
    </row>
    <row r="694" spans="2:20" x14ac:dyDescent="0.25">
      <c r="B694" s="70" t="s">
        <v>1573</v>
      </c>
      <c r="E694" s="129">
        <f>IF(AND(ISNUMBER(E675),SUMPRODUCT(--('Revenue Calculation'!$H$7:$T$7&gt;=YEAR(N(E675))),--ISNUMBER(H684:T684))=2036-YEAR(N(E675))+1),1,0)</f>
        <v>0</v>
      </c>
      <c r="G694" s="84" t="str">
        <f>IF(E694=1,"","tariff for every operating year; ")</f>
        <v xml:space="preserve">tariff for every operating year; </v>
      </c>
    </row>
    <row r="695" spans="2:20" x14ac:dyDescent="0.25">
      <c r="B695" s="70" t="s">
        <v>1574</v>
      </c>
      <c r="E695" s="129">
        <f>IF(AND(ISNUMBER(E675),SUMPRODUCT(--('Revenue Calculation'!$H$7:$T$7&gt;=YEAR(N(E675))),--ISNUMBER(H685:T685))=2036-YEAR(N(E675))+1),1,0)</f>
        <v>0</v>
      </c>
      <c r="G695" s="84" t="str">
        <f>IF(E695=1,"","variable cost for every operating year; ")</f>
        <v xml:space="preserve">variable cost for every operating year; </v>
      </c>
    </row>
    <row r="696" spans="2:20" x14ac:dyDescent="0.25">
      <c r="B696" s="70" t="s">
        <v>1575</v>
      </c>
      <c r="E696" s="129">
        <f>IF(AND(ISNUMBER(E675),SUMPRODUCT(--('Revenue Calculation'!$H$7:$T$7&gt;=YEAR(N(E675))),--ISNUMBER(H686:T686))=2036-YEAR(N(E675))+1),1,0)</f>
        <v>0</v>
      </c>
      <c r="G696" s="84" t="str">
        <f>IF(E696=1,"","fixed cost for every operating year; ")</f>
        <v xml:space="preserve">fixed cost for every operating year; </v>
      </c>
    </row>
    <row r="697" spans="2:20" x14ac:dyDescent="0.25">
      <c r="B697" s="70" t="s">
        <v>1576</v>
      </c>
      <c r="E697" s="129">
        <f>IF(ISNUMBER(E677),1,0)</f>
        <v>0</v>
      </c>
      <c r="G697" s="84" t="str">
        <f>IF(E697=1,"","capex total; ")</f>
        <v xml:space="preserve">capex total; </v>
      </c>
    </row>
    <row r="698" spans="2:20" x14ac:dyDescent="0.25">
      <c r="B698" s="70" t="s">
        <v>1577</v>
      </c>
      <c r="E698" s="129">
        <f>IF(ABS(SUM(H687:T687)-1)&lt;0.0001,1,0)</f>
        <v>0</v>
      </c>
      <c r="G698" s="84" t="str">
        <f>IF(E698=1,"","capex phasing adding to 100%; ")</f>
        <v xml:space="preserve">capex phasing adding to 100%; </v>
      </c>
    </row>
    <row r="699" spans="2:20" x14ac:dyDescent="0.25">
      <c r="B699" s="70" t="s">
        <v>1578</v>
      </c>
      <c r="E699" s="129">
        <f>IF(AND(ISNUMBER(E678),N(E678)&gt;=0,N(E678)&lt;=1,N(E679)&gt;0,N(E680)&gt;0),1,0)</f>
        <v>0</v>
      </c>
      <c r="G699" s="84" t="str">
        <f>IF(E699=1,"","building share and useful lives; ")</f>
        <v xml:space="preserve">building share and useful lives; </v>
      </c>
    </row>
    <row r="700" spans="2:20" x14ac:dyDescent="0.25">
      <c r="B700" s="70" t="s">
        <v>1579</v>
      </c>
      <c r="E700" s="129">
        <f>IF(AND(OR(ISBLANK(E681),N(E681)&gt;=0),OR(ISBLANK(E682),N(E682)&gt;=0)),1,0)</f>
        <v>1</v>
      </c>
      <c r="G700" s="84" t="str">
        <f>IF(E700=1,"","receivable / payable days valid (optional); ")</f>
        <v/>
      </c>
    </row>
    <row r="701" spans="2:20" ht="24.75" customHeight="1" x14ac:dyDescent="0.25">
      <c r="B701" s="21" t="s">
        <v>1594</v>
      </c>
      <c r="G701" s="4" t="str">
        <f>G689&amp;G690&amp;G691&amp;G692&amp;G693&amp;G694&amp;G695&amp;G696&amp;G697&amp;G698&amp;G699&amp;G700</f>
        <v xml:space="preserve">ownership (0-100%); commencement date (2026-2036); capacity; utilisation for every operating year; tariff for every operating year; variable cost for every operating year; fixed cost for every operating year; capex total; capex phasing adding to 100%; building share and useful lives; </v>
      </c>
      <c r="H701" s="4"/>
      <c r="I701" s="4"/>
      <c r="J701" s="4"/>
      <c r="K701" s="4"/>
      <c r="L701" s="4"/>
      <c r="M701" s="4"/>
      <c r="N701" s="4"/>
      <c r="O701" s="4"/>
      <c r="P701" s="4"/>
      <c r="Q701" s="4"/>
      <c r="R701" s="4"/>
      <c r="S701" s="4"/>
      <c r="T701" s="4"/>
    </row>
    <row r="702" spans="2:20" x14ac:dyDescent="0.25">
      <c r="B702" s="21" t="s">
        <v>1595</v>
      </c>
      <c r="E702" s="73">
        <f>MIN(E689:E700)</f>
        <v>0</v>
      </c>
    </row>
    <row r="703" spans="2:20" x14ac:dyDescent="0.25">
      <c r="B703" s="21" t="s">
        <v>1596</v>
      </c>
      <c r="E703" s="130" t="str">
        <f>$I$81</f>
        <v>Placeholder - inputs not yet populated (OFF)</v>
      </c>
    </row>
    <row r="706" spans="2:22" x14ac:dyDescent="0.25">
      <c r="B706" s="58" t="s">
        <v>1597</v>
      </c>
      <c r="C706" s="19"/>
      <c r="D706" s="19"/>
      <c r="E706" s="19"/>
      <c r="F706" s="19"/>
      <c r="G706" s="19"/>
      <c r="H706" s="19"/>
      <c r="I706" s="19"/>
      <c r="J706" s="19"/>
      <c r="K706" s="19"/>
      <c r="L706" s="19"/>
      <c r="M706" s="19"/>
      <c r="N706" s="19"/>
      <c r="O706" s="19"/>
      <c r="P706" s="19"/>
      <c r="Q706" s="19"/>
      <c r="R706" s="19"/>
      <c r="S706" s="19"/>
      <c r="T706" s="19"/>
      <c r="U706" s="19"/>
      <c r="V706" s="19"/>
    </row>
    <row r="707" spans="2:22" x14ac:dyDescent="0.25">
      <c r="B707" s="63" t="s">
        <v>1598</v>
      </c>
    </row>
    <row r="708" spans="2:22" x14ac:dyDescent="0.25">
      <c r="B708" s="63" t="s">
        <v>1599</v>
      </c>
    </row>
    <row r="709" spans="2:22" x14ac:dyDescent="0.25">
      <c r="B709" s="59" t="s">
        <v>1600</v>
      </c>
      <c r="C709" s="59" t="s">
        <v>466</v>
      </c>
      <c r="D709" s="59" t="s">
        <v>467</v>
      </c>
      <c r="E709" s="59" t="s">
        <v>468</v>
      </c>
      <c r="F709" s="59" t="s">
        <v>469</v>
      </c>
      <c r="G709" s="80" t="s">
        <v>611</v>
      </c>
      <c r="H709" s="81">
        <v>2024</v>
      </c>
      <c r="I709" s="81">
        <v>2025</v>
      </c>
      <c r="J709" s="81">
        <v>2026</v>
      </c>
      <c r="K709" s="81">
        <v>2027</v>
      </c>
      <c r="L709" s="81">
        <v>2028</v>
      </c>
      <c r="M709" s="81">
        <v>2029</v>
      </c>
      <c r="N709" s="81">
        <v>2030</v>
      </c>
      <c r="O709" s="81">
        <v>2031</v>
      </c>
      <c r="P709" s="81">
        <v>2032</v>
      </c>
      <c r="Q709" s="81">
        <v>2033</v>
      </c>
      <c r="R709" s="81">
        <v>2034</v>
      </c>
      <c r="S709" s="81">
        <v>2035</v>
      </c>
      <c r="T709" s="81">
        <v>2036</v>
      </c>
      <c r="U709" s="59" t="s">
        <v>470</v>
      </c>
      <c r="V709" s="59" t="s">
        <v>471</v>
      </c>
    </row>
    <row r="710" spans="2:22" x14ac:dyDescent="0.25">
      <c r="B710" s="42" t="s">
        <v>1601</v>
      </c>
    </row>
    <row r="711" spans="2:22" x14ac:dyDescent="0.25">
      <c r="B711" s="23" t="s">
        <v>1602</v>
      </c>
      <c r="C711" s="28" t="s">
        <v>1541</v>
      </c>
      <c r="D711" s="56" t="s">
        <v>444</v>
      </c>
      <c r="E711" s="121"/>
      <c r="F711" s="44" t="s">
        <v>274</v>
      </c>
      <c r="U711" s="62" t="str">
        <f>IF(E711='Source Data'!E711,"","changed")</f>
        <v/>
      </c>
      <c r="V711" s="63" t="s">
        <v>1603</v>
      </c>
    </row>
    <row r="712" spans="2:22" x14ac:dyDescent="0.25">
      <c r="B712" s="23" t="s">
        <v>1604</v>
      </c>
      <c r="C712" s="28" t="s">
        <v>806</v>
      </c>
      <c r="D712" s="56" t="s">
        <v>444</v>
      </c>
      <c r="E712" s="125"/>
      <c r="F712" s="44" t="s">
        <v>274</v>
      </c>
      <c r="U712" s="62" t="str">
        <f>IF(E712='Source Data'!E712,"","changed")</f>
        <v/>
      </c>
      <c r="V712" s="63" t="s">
        <v>1605</v>
      </c>
    </row>
    <row r="713" spans="2:22" x14ac:dyDescent="0.25">
      <c r="B713" s="23" t="s">
        <v>1606</v>
      </c>
      <c r="C713" s="28" t="s">
        <v>810</v>
      </c>
      <c r="D713" s="56" t="s">
        <v>444</v>
      </c>
      <c r="E713" s="131">
        <f>SUM(H713:T713)</f>
        <v>0</v>
      </c>
      <c r="F713" s="44" t="s">
        <v>274</v>
      </c>
      <c r="H713" s="122"/>
      <c r="I713" s="122"/>
      <c r="J713" s="122"/>
      <c r="K713" s="122"/>
      <c r="L713" s="122"/>
      <c r="M713" s="122"/>
      <c r="N713" s="122"/>
      <c r="O713" s="122"/>
      <c r="P713" s="122"/>
      <c r="Q713" s="122"/>
      <c r="R713" s="122"/>
      <c r="S713" s="122"/>
      <c r="T713" s="122"/>
      <c r="U713" s="62" t="str">
        <f>IF(SUMPRODUCT(--(H713:T713&lt;&gt;'Source Data'!H713:T713))=0,"",SUMPRODUCT(--(H713:T713&lt;&gt;'Source Data'!H713:T713))&amp;" yr")</f>
        <v/>
      </c>
      <c r="V713" s="63" t="s">
        <v>1607</v>
      </c>
    </row>
    <row r="714" spans="2:22" x14ac:dyDescent="0.25">
      <c r="B714" s="23" t="s">
        <v>1608</v>
      </c>
      <c r="C714" s="28" t="s">
        <v>477</v>
      </c>
      <c r="D714" s="55" t="s">
        <v>442</v>
      </c>
      <c r="E714" s="61">
        <v>1</v>
      </c>
      <c r="F714" s="44" t="s">
        <v>484</v>
      </c>
      <c r="U714" s="62" t="str">
        <f>IF(E714='Source Data'!E714,"","changed")</f>
        <v/>
      </c>
      <c r="V714" s="63" t="s">
        <v>1609</v>
      </c>
    </row>
    <row r="715" spans="2:22" x14ac:dyDescent="0.25">
      <c r="B715" s="42" t="s">
        <v>1610</v>
      </c>
    </row>
    <row r="716" spans="2:22" x14ac:dyDescent="0.25">
      <c r="B716" s="23" t="s">
        <v>1611</v>
      </c>
      <c r="C716" s="28" t="s">
        <v>1541</v>
      </c>
      <c r="D716" s="56" t="s">
        <v>444</v>
      </c>
      <c r="E716" s="121"/>
      <c r="F716" s="44" t="s">
        <v>274</v>
      </c>
      <c r="U716" s="62" t="str">
        <f>IF(E716='Source Data'!E716,"","changed")</f>
        <v/>
      </c>
      <c r="V716" s="63" t="s">
        <v>1603</v>
      </c>
    </row>
    <row r="717" spans="2:22" x14ac:dyDescent="0.25">
      <c r="B717" s="23" t="s">
        <v>1612</v>
      </c>
      <c r="C717" s="28" t="s">
        <v>806</v>
      </c>
      <c r="D717" s="56" t="s">
        <v>444</v>
      </c>
      <c r="E717" s="125"/>
      <c r="F717" s="44" t="s">
        <v>274</v>
      </c>
      <c r="U717" s="62" t="str">
        <f>IF(E717='Source Data'!E717,"","changed")</f>
        <v/>
      </c>
      <c r="V717" s="63" t="s">
        <v>1605</v>
      </c>
    </row>
    <row r="718" spans="2:22" x14ac:dyDescent="0.25">
      <c r="B718" s="23" t="s">
        <v>1613</v>
      </c>
      <c r="C718" s="28" t="s">
        <v>810</v>
      </c>
      <c r="D718" s="56" t="s">
        <v>444</v>
      </c>
      <c r="E718" s="131">
        <f>SUM(H718:T718)</f>
        <v>0</v>
      </c>
      <c r="F718" s="44" t="s">
        <v>274</v>
      </c>
      <c r="H718" s="122"/>
      <c r="I718" s="122"/>
      <c r="J718" s="122"/>
      <c r="K718" s="122"/>
      <c r="L718" s="122"/>
      <c r="M718" s="122"/>
      <c r="N718" s="122"/>
      <c r="O718" s="122"/>
      <c r="P718" s="122"/>
      <c r="Q718" s="122"/>
      <c r="R718" s="122"/>
      <c r="S718" s="122"/>
      <c r="T718" s="122"/>
      <c r="U718" s="62" t="str">
        <f>IF(SUMPRODUCT(--(H718:T718&lt;&gt;'Source Data'!H718:T718))=0,"",SUMPRODUCT(--(H718:T718&lt;&gt;'Source Data'!H718:T718))&amp;" yr")</f>
        <v/>
      </c>
      <c r="V718" s="63" t="s">
        <v>1607</v>
      </c>
    </row>
    <row r="719" spans="2:22" x14ac:dyDescent="0.25">
      <c r="B719" s="23" t="s">
        <v>1614</v>
      </c>
      <c r="C719" s="28" t="s">
        <v>477</v>
      </c>
      <c r="D719" s="55" t="s">
        <v>442</v>
      </c>
      <c r="E719" s="61">
        <v>1</v>
      </c>
      <c r="F719" s="44" t="s">
        <v>484</v>
      </c>
      <c r="U719" s="62" t="str">
        <f>IF(E719='Source Data'!E719,"","changed")</f>
        <v/>
      </c>
      <c r="V719" s="63" t="s">
        <v>1609</v>
      </c>
    </row>
    <row r="720" spans="2:22" x14ac:dyDescent="0.25">
      <c r="B720" s="42" t="s">
        <v>1615</v>
      </c>
    </row>
    <row r="721" spans="2:22" x14ac:dyDescent="0.25">
      <c r="B721" s="23" t="s">
        <v>1616</v>
      </c>
      <c r="C721" s="28" t="s">
        <v>1541</v>
      </c>
      <c r="D721" s="56" t="s">
        <v>444</v>
      </c>
      <c r="E721" s="121"/>
      <c r="F721" s="44" t="s">
        <v>274</v>
      </c>
      <c r="U721" s="62" t="str">
        <f>IF(E721='Source Data'!E721,"","changed")</f>
        <v/>
      </c>
      <c r="V721" s="63" t="s">
        <v>1603</v>
      </c>
    </row>
    <row r="722" spans="2:22" x14ac:dyDescent="0.25">
      <c r="B722" s="23" t="s">
        <v>1617</v>
      </c>
      <c r="C722" s="28" t="s">
        <v>806</v>
      </c>
      <c r="D722" s="56" t="s">
        <v>444</v>
      </c>
      <c r="E722" s="125"/>
      <c r="F722" s="44" t="s">
        <v>274</v>
      </c>
      <c r="U722" s="62" t="str">
        <f>IF(E722='Source Data'!E722,"","changed")</f>
        <v/>
      </c>
      <c r="V722" s="63" t="s">
        <v>1605</v>
      </c>
    </row>
    <row r="723" spans="2:22" x14ac:dyDescent="0.25">
      <c r="B723" s="23" t="s">
        <v>1618</v>
      </c>
      <c r="C723" s="28" t="s">
        <v>810</v>
      </c>
      <c r="D723" s="56" t="s">
        <v>444</v>
      </c>
      <c r="E723" s="131">
        <f>SUM(H723:T723)</f>
        <v>0</v>
      </c>
      <c r="F723" s="44" t="s">
        <v>274</v>
      </c>
      <c r="H723" s="122"/>
      <c r="I723" s="122"/>
      <c r="J723" s="122"/>
      <c r="K723" s="122"/>
      <c r="L723" s="122"/>
      <c r="M723" s="122"/>
      <c r="N723" s="122"/>
      <c r="O723" s="122"/>
      <c r="P723" s="122"/>
      <c r="Q723" s="122"/>
      <c r="R723" s="122"/>
      <c r="S723" s="122"/>
      <c r="T723" s="122"/>
      <c r="U723" s="62" t="str">
        <f>IF(SUMPRODUCT(--(H723:T723&lt;&gt;'Source Data'!H723:T723))=0,"",SUMPRODUCT(--(H723:T723&lt;&gt;'Source Data'!H723:T723))&amp;" yr")</f>
        <v/>
      </c>
      <c r="V723" s="63" t="s">
        <v>1607</v>
      </c>
    </row>
    <row r="724" spans="2:22" x14ac:dyDescent="0.25">
      <c r="B724" s="23" t="s">
        <v>1619</v>
      </c>
      <c r="C724" s="28" t="s">
        <v>477</v>
      </c>
      <c r="D724" s="55" t="s">
        <v>442</v>
      </c>
      <c r="E724" s="61">
        <v>1</v>
      </c>
      <c r="F724" s="44" t="s">
        <v>484</v>
      </c>
      <c r="U724" s="62" t="str">
        <f>IF(E724='Source Data'!E724,"","changed")</f>
        <v/>
      </c>
      <c r="V724" s="63" t="s">
        <v>1609</v>
      </c>
    </row>
    <row r="725" spans="2:22" x14ac:dyDescent="0.25">
      <c r="B725" s="42" t="s">
        <v>1620</v>
      </c>
    </row>
    <row r="726" spans="2:22" x14ac:dyDescent="0.25">
      <c r="B726" s="23" t="s">
        <v>1621</v>
      </c>
      <c r="C726" s="28" t="s">
        <v>1541</v>
      </c>
      <c r="D726" s="56" t="s">
        <v>444</v>
      </c>
      <c r="E726" s="121"/>
      <c r="F726" s="44" t="s">
        <v>274</v>
      </c>
      <c r="U726" s="62" t="str">
        <f>IF(E726='Source Data'!E726,"","changed")</f>
        <v/>
      </c>
      <c r="V726" s="63" t="s">
        <v>1603</v>
      </c>
    </row>
    <row r="727" spans="2:22" x14ac:dyDescent="0.25">
      <c r="B727" s="23" t="s">
        <v>1622</v>
      </c>
      <c r="C727" s="28" t="s">
        <v>806</v>
      </c>
      <c r="D727" s="56" t="s">
        <v>444</v>
      </c>
      <c r="E727" s="125"/>
      <c r="F727" s="44" t="s">
        <v>274</v>
      </c>
      <c r="U727" s="62" t="str">
        <f>IF(E727='Source Data'!E727,"","changed")</f>
        <v/>
      </c>
      <c r="V727" s="63" t="s">
        <v>1605</v>
      </c>
    </row>
    <row r="728" spans="2:22" x14ac:dyDescent="0.25">
      <c r="B728" s="23" t="s">
        <v>1623</v>
      </c>
      <c r="C728" s="28" t="s">
        <v>810</v>
      </c>
      <c r="D728" s="56" t="s">
        <v>444</v>
      </c>
      <c r="E728" s="131">
        <f>SUM(H728:T728)</f>
        <v>0</v>
      </c>
      <c r="F728" s="44" t="s">
        <v>274</v>
      </c>
      <c r="H728" s="122"/>
      <c r="I728" s="122"/>
      <c r="J728" s="122"/>
      <c r="K728" s="122"/>
      <c r="L728" s="122"/>
      <c r="M728" s="122"/>
      <c r="N728" s="122"/>
      <c r="O728" s="122"/>
      <c r="P728" s="122"/>
      <c r="Q728" s="122"/>
      <c r="R728" s="122"/>
      <c r="S728" s="122"/>
      <c r="T728" s="122"/>
      <c r="U728" s="62" t="str">
        <f>IF(SUMPRODUCT(--(H728:T728&lt;&gt;'Source Data'!H728:T728))=0,"",SUMPRODUCT(--(H728:T728&lt;&gt;'Source Data'!H728:T728))&amp;" yr")</f>
        <v/>
      </c>
      <c r="V728" s="63" t="s">
        <v>1607</v>
      </c>
    </row>
    <row r="729" spans="2:22" x14ac:dyDescent="0.25">
      <c r="B729" s="23" t="s">
        <v>1624</v>
      </c>
      <c r="C729" s="28" t="s">
        <v>477</v>
      </c>
      <c r="D729" s="55" t="s">
        <v>442</v>
      </c>
      <c r="E729" s="61">
        <v>1</v>
      </c>
      <c r="F729" s="44" t="s">
        <v>484</v>
      </c>
      <c r="U729" s="62" t="str">
        <f>IF(E729='Source Data'!E729,"","changed")</f>
        <v/>
      </c>
      <c r="V729" s="63" t="s">
        <v>1609</v>
      </c>
    </row>
    <row r="730" spans="2:22" x14ac:dyDescent="0.25">
      <c r="B730" s="42" t="s">
        <v>1625</v>
      </c>
    </row>
    <row r="731" spans="2:22" x14ac:dyDescent="0.25">
      <c r="B731" s="23" t="s">
        <v>1626</v>
      </c>
      <c r="C731" s="28" t="s">
        <v>1541</v>
      </c>
      <c r="D731" s="56" t="s">
        <v>444</v>
      </c>
      <c r="E731" s="121"/>
      <c r="F731" s="44" t="s">
        <v>274</v>
      </c>
      <c r="U731" s="62" t="str">
        <f>IF(E731='Source Data'!E731,"","changed")</f>
        <v/>
      </c>
      <c r="V731" s="63" t="s">
        <v>1603</v>
      </c>
    </row>
    <row r="732" spans="2:22" x14ac:dyDescent="0.25">
      <c r="B732" s="23" t="s">
        <v>1627</v>
      </c>
      <c r="C732" s="28" t="s">
        <v>806</v>
      </c>
      <c r="D732" s="56" t="s">
        <v>444</v>
      </c>
      <c r="E732" s="125"/>
      <c r="F732" s="44" t="s">
        <v>274</v>
      </c>
      <c r="U732" s="62" t="str">
        <f>IF(E732='Source Data'!E732,"","changed")</f>
        <v/>
      </c>
      <c r="V732" s="63" t="s">
        <v>1605</v>
      </c>
    </row>
    <row r="733" spans="2:22" x14ac:dyDescent="0.25">
      <c r="B733" s="23" t="s">
        <v>1628</v>
      </c>
      <c r="C733" s="28" t="s">
        <v>810</v>
      </c>
      <c r="D733" s="56" t="s">
        <v>444</v>
      </c>
      <c r="E733" s="131">
        <f>SUM(H733:T733)</f>
        <v>0</v>
      </c>
      <c r="F733" s="44" t="s">
        <v>274</v>
      </c>
      <c r="H733" s="122"/>
      <c r="I733" s="122"/>
      <c r="J733" s="122"/>
      <c r="K733" s="122"/>
      <c r="L733" s="122"/>
      <c r="M733" s="122"/>
      <c r="N733" s="122"/>
      <c r="O733" s="122"/>
      <c r="P733" s="122"/>
      <c r="Q733" s="122"/>
      <c r="R733" s="122"/>
      <c r="S733" s="122"/>
      <c r="T733" s="122"/>
      <c r="U733" s="62" t="str">
        <f>IF(SUMPRODUCT(--(H733:T733&lt;&gt;'Source Data'!H733:T733))=0,"",SUMPRODUCT(--(H733:T733&lt;&gt;'Source Data'!H733:T733))&amp;" yr")</f>
        <v/>
      </c>
      <c r="V733" s="63" t="s">
        <v>1607</v>
      </c>
    </row>
    <row r="734" spans="2:22" x14ac:dyDescent="0.25">
      <c r="B734" s="23" t="s">
        <v>1629</v>
      </c>
      <c r="C734" s="28" t="s">
        <v>477</v>
      </c>
      <c r="D734" s="55" t="s">
        <v>442</v>
      </c>
      <c r="E734" s="61">
        <v>1</v>
      </c>
      <c r="F734" s="44" t="s">
        <v>484</v>
      </c>
      <c r="U734" s="62" t="str">
        <f>IF(E734='Source Data'!E734,"","changed")</f>
        <v/>
      </c>
      <c r="V734" s="63" t="s">
        <v>1609</v>
      </c>
    </row>
    <row r="735" spans="2:22" x14ac:dyDescent="0.25">
      <c r="B735" s="23" t="s">
        <v>1630</v>
      </c>
      <c r="C735" s="28" t="s">
        <v>292</v>
      </c>
      <c r="D735" s="54" t="s">
        <v>440</v>
      </c>
      <c r="E735" s="99">
        <v>0</v>
      </c>
      <c r="F735" s="44" t="s">
        <v>274</v>
      </c>
      <c r="U735" s="62" t="str">
        <f>IF(E735='Source Data'!E735,"","changed")</f>
        <v/>
      </c>
      <c r="V735" s="84" t="s">
        <v>1631</v>
      </c>
    </row>
    <row r="737" spans="2:22" x14ac:dyDescent="0.25">
      <c r="B737" s="58" t="s">
        <v>1632</v>
      </c>
      <c r="C737" s="19"/>
      <c r="D737" s="19"/>
      <c r="E737" s="19"/>
      <c r="F737" s="19"/>
      <c r="G737" s="19"/>
      <c r="H737" s="19"/>
      <c r="I737" s="19"/>
      <c r="J737" s="19"/>
      <c r="K737" s="19"/>
      <c r="L737" s="19"/>
      <c r="M737" s="19"/>
      <c r="N737" s="19"/>
      <c r="O737" s="19"/>
      <c r="P737" s="19"/>
      <c r="Q737" s="19"/>
      <c r="R737" s="19"/>
      <c r="S737" s="19"/>
      <c r="T737" s="19"/>
      <c r="U737" s="19"/>
      <c r="V737" s="19"/>
    </row>
    <row r="738" spans="2:22" x14ac:dyDescent="0.25">
      <c r="B738" s="63" t="s">
        <v>1633</v>
      </c>
    </row>
    <row r="739" spans="2:22" x14ac:dyDescent="0.25">
      <c r="B739" s="59" t="s">
        <v>1634</v>
      </c>
      <c r="C739" s="59" t="s">
        <v>466</v>
      </c>
      <c r="D739" s="59" t="s">
        <v>467</v>
      </c>
      <c r="E739" s="59" t="s">
        <v>1635</v>
      </c>
      <c r="F739" s="59" t="s">
        <v>1636</v>
      </c>
      <c r="G739" s="59" t="s">
        <v>1637</v>
      </c>
      <c r="H739" s="60"/>
      <c r="I739" s="60"/>
      <c r="J739" s="60"/>
      <c r="K739" s="60"/>
      <c r="L739" s="60"/>
      <c r="M739" s="60"/>
      <c r="N739" s="60"/>
      <c r="O739" s="60"/>
      <c r="P739" s="60"/>
      <c r="Q739" s="60"/>
      <c r="R739" s="60"/>
      <c r="S739" s="60"/>
      <c r="T739" s="60"/>
      <c r="U739" s="59" t="s">
        <v>470</v>
      </c>
      <c r="V739" s="59" t="s">
        <v>1638</v>
      </c>
    </row>
    <row r="740" spans="2:22" x14ac:dyDescent="0.25">
      <c r="B740" s="21" t="s">
        <v>1639</v>
      </c>
      <c r="C740" s="28" t="s">
        <v>477</v>
      </c>
      <c r="D740" s="55" t="s">
        <v>442</v>
      </c>
      <c r="E740" s="132">
        <v>0</v>
      </c>
      <c r="F740" s="44" t="s">
        <v>1640</v>
      </c>
      <c r="G740" s="3" t="str">
        <f>IF(E740=1,"ON - correction applied: The Input row 852 tariff (41,753 IDR/t) is applied in FY2034-36 (Source Data section 18 holds the row-852 values).","OFF - v29 as delivered")</f>
        <v>OFF - v29 as delivered</v>
      </c>
      <c r="H740" s="3"/>
      <c r="I740" s="3"/>
      <c r="J740" s="3"/>
      <c r="K740" s="3"/>
      <c r="L740" s="3"/>
      <c r="M740" s="3"/>
      <c r="N740" s="3"/>
      <c r="O740" s="3"/>
      <c r="P740" s="3"/>
      <c r="Q740" s="3"/>
      <c r="R740" s="3"/>
      <c r="S740" s="3"/>
      <c r="T740" s="3"/>
      <c r="U740" s="62" t="str">
        <f>IF(E740='Source Data'!E740,"","changed")</f>
        <v/>
      </c>
      <c r="V740" s="44" t="s">
        <v>1641</v>
      </c>
    </row>
    <row r="741" spans="2:22" x14ac:dyDescent="0.25">
      <c r="B741" s="21" t="s">
        <v>1642</v>
      </c>
      <c r="C741" s="28" t="s">
        <v>477</v>
      </c>
      <c r="D741" s="55" t="s">
        <v>442</v>
      </c>
      <c r="E741" s="132">
        <v>0</v>
      </c>
      <c r="F741" s="44" t="s">
        <v>1643</v>
      </c>
      <c r="G741" s="3" t="str">
        <f>IF(E741=1,"ON - correction applied: The warehouse capex is depreciated (v29 method: 20-year building life from the commencement year, or by vintage with C03).","OFF - v29 as delivered")</f>
        <v>OFF - v29 as delivered</v>
      </c>
      <c r="H741" s="3"/>
      <c r="I741" s="3"/>
      <c r="J741" s="3"/>
      <c r="K741" s="3"/>
      <c r="L741" s="3"/>
      <c r="M741" s="3"/>
      <c r="N741" s="3"/>
      <c r="O741" s="3"/>
      <c r="P741" s="3"/>
      <c r="Q741" s="3"/>
      <c r="R741" s="3"/>
      <c r="S741" s="3"/>
      <c r="T741" s="3"/>
      <c r="U741" s="62" t="str">
        <f>IF(E741='Source Data'!E741,"","changed")</f>
        <v/>
      </c>
      <c r="V741" s="44" t="s">
        <v>1644</v>
      </c>
    </row>
    <row r="742" spans="2:22" x14ac:dyDescent="0.25">
      <c r="B742" s="21" t="s">
        <v>1645</v>
      </c>
      <c r="C742" s="28" t="s">
        <v>477</v>
      </c>
      <c r="D742" s="55" t="s">
        <v>442</v>
      </c>
      <c r="E742" s="132">
        <v>0</v>
      </c>
      <c r="F742" s="44" t="s">
        <v>1646</v>
      </c>
      <c r="G742" s="3" t="str">
        <f>IF(E742=1,"ON - correction applied: Each vintage is placed in service at commissioning (or when spent later) and depreciated straight-line over its useful life only.","OFF - v29 as delivered")</f>
        <v>OFF - v29 as delivered</v>
      </c>
      <c r="H742" s="3"/>
      <c r="I742" s="3"/>
      <c r="J742" s="3"/>
      <c r="K742" s="3"/>
      <c r="L742" s="3"/>
      <c r="M742" s="3"/>
      <c r="N742" s="3"/>
      <c r="O742" s="3"/>
      <c r="P742" s="3"/>
      <c r="Q742" s="3"/>
      <c r="R742" s="3"/>
      <c r="S742" s="3"/>
      <c r="T742" s="3"/>
      <c r="U742" s="62" t="str">
        <f>IF(E742='Source Data'!E742,"","changed")</f>
        <v/>
      </c>
      <c r="V742" s="44" t="s">
        <v>1647</v>
      </c>
    </row>
    <row r="743" spans="2:22" x14ac:dyDescent="0.25">
      <c r="B743" s="21" t="s">
        <v>1648</v>
      </c>
      <c r="C743" s="28" t="s">
        <v>477</v>
      </c>
      <c r="D743" s="55" t="s">
        <v>442</v>
      </c>
      <c r="E743" s="132">
        <v>0</v>
      </c>
      <c r="F743" s="44" t="s">
        <v>1649</v>
      </c>
      <c r="G743" s="3" t="str">
        <f>IF(E743=1,"ON - correction applied: Depreciation of each existing pool is capped at its remaining net book value.","OFF - v29 as delivered")</f>
        <v>OFF - v29 as delivered</v>
      </c>
      <c r="H743" s="3"/>
      <c r="I743" s="3"/>
      <c r="J743" s="3"/>
      <c r="K743" s="3"/>
      <c r="L743" s="3"/>
      <c r="M743" s="3"/>
      <c r="N743" s="3"/>
      <c r="O743" s="3"/>
      <c r="P743" s="3"/>
      <c r="Q743" s="3"/>
      <c r="R743" s="3"/>
      <c r="S743" s="3"/>
      <c r="T743" s="3"/>
      <c r="U743" s="62" t="str">
        <f>IF(E743='Source Data'!E743,"","changed")</f>
        <v/>
      </c>
      <c r="V743" s="44" t="s">
        <v>1650</v>
      </c>
    </row>
    <row r="744" spans="2:22" x14ac:dyDescent="0.25">
      <c r="B744" s="21" t="s">
        <v>1651</v>
      </c>
      <c r="C744" s="28" t="s">
        <v>477</v>
      </c>
      <c r="D744" s="55" t="s">
        <v>442</v>
      </c>
      <c r="E744" s="132">
        <v>0</v>
      </c>
      <c r="F744" s="44" t="s">
        <v>1652</v>
      </c>
      <c r="G744" s="3" t="str">
        <f>IF(E744=1,"ON - correction applied: The 197.4bn is transferred to fixed assets at 1-Jan-2024 (other assets reduced by the same amount); no effect on profit, cash or equity.","OFF - v29 as delivered")</f>
        <v>OFF - v29 as delivered</v>
      </c>
      <c r="H744" s="3"/>
      <c r="I744" s="3"/>
      <c r="J744" s="3"/>
      <c r="K744" s="3"/>
      <c r="L744" s="3"/>
      <c r="M744" s="3"/>
      <c r="N744" s="3"/>
      <c r="O744" s="3"/>
      <c r="P744" s="3"/>
      <c r="Q744" s="3"/>
      <c r="R744" s="3"/>
      <c r="S744" s="3"/>
      <c r="T744" s="3"/>
      <c r="U744" s="62" t="str">
        <f>IF(E744='Source Data'!E744,"","changed")</f>
        <v/>
      </c>
      <c r="V744" s="44" t="s">
        <v>1653</v>
      </c>
    </row>
    <row r="745" spans="2:22" x14ac:dyDescent="0.25">
      <c r="B745" s="21" t="s">
        <v>1654</v>
      </c>
      <c r="C745" s="28" t="s">
        <v>477</v>
      </c>
      <c r="D745" s="55" t="s">
        <v>442</v>
      </c>
      <c r="E745" s="132">
        <v>0</v>
      </c>
      <c r="F745" s="44" t="s">
        <v>1655</v>
      </c>
      <c r="G745" s="3" t="str">
        <f>IF(E745=1,"ON - correction applied: Tax per legal entity on operating profit with tax losses carried forward; interest deducted at group level.","OFF - v29 as delivered")</f>
        <v>OFF - v29 as delivered</v>
      </c>
      <c r="H745" s="3"/>
      <c r="I745" s="3"/>
      <c r="J745" s="3"/>
      <c r="K745" s="3"/>
      <c r="L745" s="3"/>
      <c r="M745" s="3"/>
      <c r="N745" s="3"/>
      <c r="O745" s="3"/>
      <c r="P745" s="3"/>
      <c r="Q745" s="3"/>
      <c r="R745" s="3"/>
      <c r="S745" s="3"/>
      <c r="T745" s="3"/>
      <c r="U745" s="62" t="str">
        <f>IF(E745='Source Data'!E745,"","changed")</f>
        <v/>
      </c>
      <c r="V745" s="44" t="s">
        <v>1656</v>
      </c>
    </row>
    <row r="746" spans="2:22" x14ac:dyDescent="0.25">
      <c r="B746" s="21" t="s">
        <v>1657</v>
      </c>
      <c r="C746" s="28" t="s">
        <v>477</v>
      </c>
      <c r="D746" s="55" t="s">
        <v>442</v>
      </c>
      <c r="E746" s="132">
        <v>0</v>
      </c>
      <c r="F746" s="44" t="s">
        <v>1658</v>
      </c>
      <c r="G746" s="3" t="str">
        <f>IF(E746=1,"ON - correction applied: The equipment capex is spent in the first operating year of each DMS business.","OFF - v29 as delivered")</f>
        <v>OFF - v29 as delivered</v>
      </c>
      <c r="H746" s="3"/>
      <c r="I746" s="3"/>
      <c r="J746" s="3"/>
      <c r="K746" s="3"/>
      <c r="L746" s="3"/>
      <c r="M746" s="3"/>
      <c r="N746" s="3"/>
      <c r="O746" s="3"/>
      <c r="P746" s="3"/>
      <c r="Q746" s="3"/>
      <c r="R746" s="3"/>
      <c r="S746" s="3"/>
      <c r="T746" s="3"/>
      <c r="U746" s="62" t="str">
        <f>IF(E746='Source Data'!E746,"","changed")</f>
        <v/>
      </c>
      <c r="V746" s="44" t="s">
        <v>1659</v>
      </c>
    </row>
    <row r="747" spans="2:22" x14ac:dyDescent="0.25">
      <c r="B747" s="21" t="s">
        <v>1660</v>
      </c>
      <c r="C747" s="28" t="s">
        <v>477</v>
      </c>
      <c r="D747" s="55" t="s">
        <v>442</v>
      </c>
      <c r="E747" s="132">
        <v>0</v>
      </c>
      <c r="F747" s="44" t="s">
        <v>1661</v>
      </c>
      <c r="G747" s="3" t="str">
        <f>IF(E747=1,"ON - correction applied: The FY2034 volume is held in FY2035-36.","OFF - v29 as delivered")</f>
        <v>OFF - v29 as delivered</v>
      </c>
      <c r="H747" s="3"/>
      <c r="I747" s="3"/>
      <c r="J747" s="3"/>
      <c r="K747" s="3"/>
      <c r="L747" s="3"/>
      <c r="M747" s="3"/>
      <c r="N747" s="3"/>
      <c r="O747" s="3"/>
      <c r="P747" s="3"/>
      <c r="Q747" s="3"/>
      <c r="R747" s="3"/>
      <c r="S747" s="3"/>
      <c r="T747" s="3"/>
      <c r="U747" s="62" t="str">
        <f>IF(E747='Source Data'!E747,"","changed")</f>
        <v/>
      </c>
      <c r="V747" s="44" t="s">
        <v>1662</v>
      </c>
    </row>
    <row r="748" spans="2:22" ht="26.25" customHeight="1" x14ac:dyDescent="0.25">
      <c r="B748" s="133" t="s">
        <v>1663</v>
      </c>
      <c r="C748" s="28" t="s">
        <v>477</v>
      </c>
      <c r="D748" s="55" t="s">
        <v>442</v>
      </c>
      <c r="E748" s="132">
        <v>0</v>
      </c>
      <c r="F748" s="44" t="s">
        <v>1664</v>
      </c>
      <c r="G748" s="3" t="str">
        <f>IF(E748=1,"ON - correction applied: Actual Dec-23 balances are used (receivables 104.1, payables 23.3, other liabilities 106.4); the balance sheet then balances exactly.","OFF - v29 as delivered")</f>
        <v>OFF - v29 as delivered</v>
      </c>
      <c r="H748" s="3"/>
      <c r="I748" s="3"/>
      <c r="J748" s="3"/>
      <c r="K748" s="3"/>
      <c r="L748" s="3"/>
      <c r="M748" s="3"/>
      <c r="N748" s="3"/>
      <c r="O748" s="3"/>
      <c r="P748" s="3"/>
      <c r="Q748" s="3"/>
      <c r="R748" s="3"/>
      <c r="S748" s="3"/>
      <c r="T748" s="3"/>
      <c r="U748" s="62" t="str">
        <f>IF(E748='Source Data'!E748,"","changed")</f>
        <v/>
      </c>
      <c r="V748" s="44" t="s">
        <v>1665</v>
      </c>
    </row>
    <row r="749" spans="2:22" x14ac:dyDescent="0.25">
      <c r="B749" s="21" t="s">
        <v>1666</v>
      </c>
      <c r="C749" s="28" t="s">
        <v>477</v>
      </c>
      <c r="D749" s="55" t="s">
        <v>442</v>
      </c>
      <c r="E749" s="132">
        <v>0</v>
      </c>
      <c r="F749" s="44" t="s">
        <v>1667</v>
      </c>
      <c r="G749" s="3" t="str">
        <f>IF(E749=1,"ON - correction applied: Inventory is held at the Dec-23 balance in every year.","OFF - v29 as delivered")</f>
        <v>OFF - v29 as delivered</v>
      </c>
      <c r="H749" s="3"/>
      <c r="I749" s="3"/>
      <c r="J749" s="3"/>
      <c r="K749" s="3"/>
      <c r="L749" s="3"/>
      <c r="M749" s="3"/>
      <c r="N749" s="3"/>
      <c r="O749" s="3"/>
      <c r="P749" s="3"/>
      <c r="Q749" s="3"/>
      <c r="R749" s="3"/>
      <c r="S749" s="3"/>
      <c r="T749" s="3"/>
      <c r="U749" s="62" t="str">
        <f>IF(E749='Source Data'!E749,"","changed")</f>
        <v/>
      </c>
      <c r="V749" s="44" t="s">
        <v>1668</v>
      </c>
    </row>
    <row r="750" spans="2:22" ht="24.75" customHeight="1" x14ac:dyDescent="0.25">
      <c r="B750" s="21" t="s">
        <v>1669</v>
      </c>
      <c r="C750" s="28" t="s">
        <v>477</v>
      </c>
      <c r="D750" s="55" t="s">
        <v>442</v>
      </c>
      <c r="E750" s="132">
        <v>0</v>
      </c>
      <c r="F750" s="85" t="s">
        <v>1670</v>
      </c>
      <c r="G750" s="3" t="str">
        <f>IF(E750=1,"ON - correction applied: The 65% share is applied to every NPLOG line (E1, P04, P08, P12) in the dividend base and the profit attributable to FSL.","OFF - v29 as delivered")</f>
        <v>OFF - v29 as delivered</v>
      </c>
      <c r="H750" s="3"/>
      <c r="I750" s="3"/>
      <c r="J750" s="3"/>
      <c r="K750" s="3"/>
      <c r="L750" s="3"/>
      <c r="M750" s="3"/>
      <c r="N750" s="3"/>
      <c r="O750" s="3"/>
      <c r="P750" s="3"/>
      <c r="Q750" s="3"/>
      <c r="R750" s="3"/>
      <c r="S750" s="3"/>
      <c r="T750" s="3"/>
      <c r="U750" s="62" t="str">
        <f>IF(E750='Source Data'!E750,"","changed")</f>
        <v/>
      </c>
      <c r="V750" s="44" t="s">
        <v>1671</v>
      </c>
    </row>
    <row r="751" spans="2:22" x14ac:dyDescent="0.25">
      <c r="B751" s="21" t="s">
        <v>1672</v>
      </c>
      <c r="C751" s="28" t="s">
        <v>477</v>
      </c>
      <c r="D751" s="55" t="s">
        <v>442</v>
      </c>
      <c r="E751" s="132">
        <v>0</v>
      </c>
      <c r="F751" s="44" t="s">
        <v>1673</v>
      </c>
      <c r="G751" s="3" t="str">
        <f>IF(E751=1,"ON - correction applied: The staff-cost growth row (3.5%) is applied.","OFF - v29 as delivered")</f>
        <v>OFF - v29 as delivered</v>
      </c>
      <c r="H751" s="3"/>
      <c r="I751" s="3"/>
      <c r="J751" s="3"/>
      <c r="K751" s="3"/>
      <c r="L751" s="3"/>
      <c r="M751" s="3"/>
      <c r="N751" s="3"/>
      <c r="O751" s="3"/>
      <c r="P751" s="3"/>
      <c r="Q751" s="3"/>
      <c r="R751" s="3"/>
      <c r="S751" s="3"/>
      <c r="T751" s="3"/>
      <c r="U751" s="62" t="str">
        <f>IF(E751='Source Data'!E751,"","changed")</f>
        <v/>
      </c>
      <c r="V751" s="44" t="s">
        <v>1674</v>
      </c>
    </row>
    <row r="752" spans="2:22" x14ac:dyDescent="0.25">
      <c r="B752" s="21" t="s">
        <v>1675</v>
      </c>
      <c r="C752" s="28" t="s">
        <v>477</v>
      </c>
      <c r="D752" s="55" t="s">
        <v>442</v>
      </c>
      <c r="E752" s="132">
        <v>0</v>
      </c>
      <c r="F752" s="44" t="s">
        <v>1676</v>
      </c>
      <c r="G752" s="3" t="str">
        <f>IF(E752=1,"ON - correction applied: The reserve test uses opening retained earnings (after dividends) plus the profit of the year.","OFF - v29 as delivered")</f>
        <v>OFF - v29 as delivered</v>
      </c>
      <c r="H752" s="3"/>
      <c r="I752" s="3"/>
      <c r="J752" s="3"/>
      <c r="K752" s="3"/>
      <c r="L752" s="3"/>
      <c r="M752" s="3"/>
      <c r="N752" s="3"/>
      <c r="O752" s="3"/>
      <c r="P752" s="3"/>
      <c r="Q752" s="3"/>
      <c r="R752" s="3"/>
      <c r="S752" s="3"/>
      <c r="T752" s="3"/>
      <c r="U752" s="62" t="str">
        <f>IF(E752='Source Data'!E752,"","changed")</f>
        <v/>
      </c>
      <c r="V752" s="44" t="s">
        <v>1677</v>
      </c>
    </row>
    <row r="753" spans="2:7" x14ac:dyDescent="0.25">
      <c r="B753" s="63" t="s">
        <v>1678</v>
      </c>
      <c r="E753" s="76">
        <f>$E$740+$E$741+$E$742+$E$743+$E$744+$E$745+$E$746+$E$747+$E$748+$E$749+$E$750+$E$751+$E$752</f>
        <v>0</v>
      </c>
      <c r="G753" s="84" t="str">
        <f>"Corrections ON: "&amp;IF(E753=0,"none",IF($E$740=1,"C01 ","")&amp;IF($E$741=1,"C02 ","")&amp;IF($E$742=1,"C03 ","")&amp;IF($E$743=1,"C05 ","")&amp;IF($E$744=1,"C06 ","")&amp;IF($E$745=1,"C07 ","")&amp;IF($E$746=1,"C08 ","")&amp;IF($E$747=1,"C09 ","")&amp;IF($E$748=1,"C10 ","")&amp;IF($E$749=1,"C11 ","")&amp;IF($E$750=1,"C12 ","")&amp;IF($E$751=1,"C13 ","")&amp;IF($E$752=1,"C14 ",""))</f>
        <v>Corrections ON: none</v>
      </c>
    </row>
    <row r="754" spans="2:7" x14ac:dyDescent="0.25">
      <c r="B754" s="63" t="s">
        <v>1679</v>
      </c>
    </row>
  </sheetData>
  <mergeCells count="104">
    <mergeCell ref="G749:T749"/>
    <mergeCell ref="G750:T750"/>
    <mergeCell ref="G751:T751"/>
    <mergeCell ref="G752:T752"/>
    <mergeCell ref="G740:T740"/>
    <mergeCell ref="G741:T741"/>
    <mergeCell ref="G742:T742"/>
    <mergeCell ref="G743:T743"/>
    <mergeCell ref="G744:T744"/>
    <mergeCell ref="G745:T745"/>
    <mergeCell ref="G746:T746"/>
    <mergeCell ref="G747:T747"/>
    <mergeCell ref="G748:T748"/>
    <mergeCell ref="I86:K86"/>
    <mergeCell ref="L86:N86"/>
    <mergeCell ref="O86:Q86"/>
    <mergeCell ref="I87:K87"/>
    <mergeCell ref="L87:N87"/>
    <mergeCell ref="O87:Q87"/>
    <mergeCell ref="G633:T633"/>
    <mergeCell ref="G667:T667"/>
    <mergeCell ref="G701:T701"/>
    <mergeCell ref="I83:K83"/>
    <mergeCell ref="L83:N83"/>
    <mergeCell ref="O83:Q83"/>
    <mergeCell ref="I84:K84"/>
    <mergeCell ref="L84:N84"/>
    <mergeCell ref="O84:Q84"/>
    <mergeCell ref="I85:K85"/>
    <mergeCell ref="L85:N85"/>
    <mergeCell ref="O85:Q85"/>
    <mergeCell ref="I80:K80"/>
    <mergeCell ref="L80:N80"/>
    <mergeCell ref="O80:Q80"/>
    <mergeCell ref="I81:K81"/>
    <mergeCell ref="L81:N81"/>
    <mergeCell ref="O81:Q81"/>
    <mergeCell ref="I82:K82"/>
    <mergeCell ref="L82:N82"/>
    <mergeCell ref="O82:Q82"/>
    <mergeCell ref="I77:K77"/>
    <mergeCell ref="L77:N77"/>
    <mergeCell ref="O77:Q77"/>
    <mergeCell ref="I78:K78"/>
    <mergeCell ref="L78:N78"/>
    <mergeCell ref="O78:Q78"/>
    <mergeCell ref="I79:K79"/>
    <mergeCell ref="L79:N79"/>
    <mergeCell ref="O79:Q79"/>
    <mergeCell ref="I74:K74"/>
    <mergeCell ref="L74:N74"/>
    <mergeCell ref="O74:Q74"/>
    <mergeCell ref="I75:K75"/>
    <mergeCell ref="L75:N75"/>
    <mergeCell ref="O75:Q75"/>
    <mergeCell ref="I76:K76"/>
    <mergeCell ref="L76:N76"/>
    <mergeCell ref="O76:Q76"/>
    <mergeCell ref="I71:K71"/>
    <mergeCell ref="L71:N71"/>
    <mergeCell ref="O71:Q71"/>
    <mergeCell ref="I72:K72"/>
    <mergeCell ref="L72:N72"/>
    <mergeCell ref="O72:Q72"/>
    <mergeCell ref="I73:K73"/>
    <mergeCell ref="L73:N73"/>
    <mergeCell ref="O73:Q73"/>
    <mergeCell ref="I68:K68"/>
    <mergeCell ref="L68:N68"/>
    <mergeCell ref="O68:Q68"/>
    <mergeCell ref="I69:K69"/>
    <mergeCell ref="L69:N69"/>
    <mergeCell ref="O69:Q69"/>
    <mergeCell ref="I70:K70"/>
    <mergeCell ref="L70:N70"/>
    <mergeCell ref="O70:Q70"/>
    <mergeCell ref="I65:K65"/>
    <mergeCell ref="L65:N65"/>
    <mergeCell ref="O65:Q65"/>
    <mergeCell ref="I66:K66"/>
    <mergeCell ref="L66:N66"/>
    <mergeCell ref="O66:Q66"/>
    <mergeCell ref="I67:K67"/>
    <mergeCell ref="L67:N67"/>
    <mergeCell ref="O67:Q67"/>
    <mergeCell ref="I62:K62"/>
    <mergeCell ref="L62:N62"/>
    <mergeCell ref="O62:Q62"/>
    <mergeCell ref="I63:K63"/>
    <mergeCell ref="L63:N63"/>
    <mergeCell ref="O63:Q63"/>
    <mergeCell ref="I64:K64"/>
    <mergeCell ref="L64:N64"/>
    <mergeCell ref="O64:Q64"/>
    <mergeCell ref="I59:K59"/>
    <mergeCell ref="L59:N59"/>
    <mergeCell ref="O59:Q59"/>
    <mergeCell ref="R59:T59"/>
    <mergeCell ref="I60:K60"/>
    <mergeCell ref="L60:N60"/>
    <mergeCell ref="O60:Q60"/>
    <mergeCell ref="I61:K61"/>
    <mergeCell ref="L61:N61"/>
    <mergeCell ref="O61:Q61"/>
  </mergeCells>
  <conditionalFormatting sqref="U40:U756">
    <cfRule type="expression" dxfId="98" priority="4">
      <formula>U40&lt;&gt;""</formula>
    </cfRule>
  </conditionalFormatting>
  <dataValidations count="34">
    <dataValidation type="list" allowBlank="1" showErrorMessage="1" error="Select a value from the list" sqref="E42 E94 E44" xr:uid="{00000000-0002-0000-0100-000000000000}">
      <formula1>"1,2"</formula1>
      <formula2>0</formula2>
    </dataValidation>
    <dataValidation type="list" allowBlank="1" showErrorMessage="1" error="Select a value from the list" sqref="E43 E740:E752 E734 E729 E724 E719 E714 E568 E64:E82" xr:uid="{00000000-0002-0000-0100-000001000000}">
      <formula1>"0,1"</formula1>
      <formula2>0</formula2>
    </dataValidation>
    <dataValidation type="decimal" allowBlank="1" showErrorMessage="1" error="Value outside the permitted range" sqref="E45:E48" xr:uid="{00000000-0002-0000-0100-000003000000}">
      <formula1>-0.9</formula1>
      <formula2>2</formula2>
    </dataValidation>
    <dataValidation type="decimal" allowBlank="1" showErrorMessage="1" error="Value outside the permitted range" sqref="E49" xr:uid="{00000000-0002-0000-0100-000007000000}">
      <formula1>2024</formula1>
      <formula2>2036</formula2>
    </dataValidation>
    <dataValidation type="decimal" allowBlank="1" showErrorMessage="1" error="Value outside the permitted range" sqref="E50 E504:E505 E586" xr:uid="{00000000-0002-0000-0100-000008000000}">
      <formula1>0</formula1>
      <formula2>10</formula2>
    </dataValidation>
    <dataValidation type="whole" allowBlank="1" showErrorMessage="1" error="Value outside the permitted range" sqref="G64:G78" xr:uid="{00000000-0002-0000-0100-00000A000000}">
      <formula1>2024</formula1>
      <formula2>2036</formula2>
    </dataValidation>
    <dataValidation type="date" allowBlank="1" showErrorMessage="1" error="Value outside the permitted range" sqref="E93 E494 E571" xr:uid="{00000000-0002-0000-0100-00001D000000}">
      <formula1>45000</formula1>
      <formula2>51000</formula2>
    </dataValidation>
    <dataValidation type="decimal" allowBlank="1" showErrorMessage="1" error="Value outside the permitted range" sqref="G95:T95" xr:uid="{00000000-0002-0000-0100-00001F000000}">
      <formula1>1000</formula1>
      <formula2>50000</formula2>
    </dataValidation>
    <dataValidation type="decimal" allowBlank="1" showErrorMessage="1" error="Value outside the permitted range" sqref="H304:T304 H259:T259 H219:T219 H205:T205 H192:T192 H180:T180 H178:T178 H176:T176 H174:T174 H172:T172 H170:T170 H168:T168 H166:T166 H164:T164 H162:T162 H160:T160 H158:T158 H156:T156 H124:T124 H117:T117 H108:T109" xr:uid="{00000000-0002-0000-0100-000020000000}">
      <formula1>-1</formula1>
      <formula2>5</formula2>
    </dataValidation>
    <dataValidation type="decimal" allowBlank="1" showErrorMessage="1" error="Value outside the permitted range" sqref="E196 E210 E225 E237 E250 E261 E271 E307 E577 E712 E717 E722 E727 E732" xr:uid="{00000000-0002-0000-0100-000032000000}">
      <formula1>0</formula1>
      <formula2>5000</formula2>
    </dataValidation>
    <dataValidation type="decimal" allowBlank="1" showErrorMessage="1" error="Value outside the permitted range" sqref="G197:T197 G211:T211 G226:T226 G238:T238 G251:T251 G262:T262 G272:T272 G308:T308 E481 H506:T506 H510:T510 H517:T518 E569:E570 E573 E575 H578:T578 E579 E584 H597:T597 E606 E610 H619:T619 E640 E644 H653:T653 E674 E678 H687:T687 H713:T713 H718:T718 H723:T723 H728:T728 H733:T733 E735" xr:uid="{00000000-0002-0000-0100-000033000000}">
      <formula1>0</formula1>
      <formula2>1</formula2>
    </dataValidation>
    <dataValidation type="decimal" allowBlank="1" showErrorMessage="1" error="Value outside the permitted range" sqref="H473:T473 H487:T487 E501 H508:T508 H512:T512 E576 H594:T594" xr:uid="{00000000-0002-0000-0100-000038000000}">
      <formula1>0</formula1>
      <formula2>1000000</formula2>
    </dataValidation>
    <dataValidation type="decimal" allowBlank="1" showErrorMessage="1" error="Value outside the permitted range" sqref="E474" xr:uid="{00000000-0002-0000-0100-000039000000}">
      <formula1>1</formula1>
      <formula2>40</formula2>
    </dataValidation>
    <dataValidation type="decimal" allowBlank="1" showErrorMessage="1" error="Value outside the permitted range" sqref="H479:T479 H507:T507 E547 E550 H595:T596 H598:T598" xr:uid="{00000000-0002-0000-0100-00003A000000}">
      <formula1>0</formula1>
      <formula2>0.5</formula2>
    </dataValidation>
    <dataValidation type="decimal" allowBlank="1" showErrorMessage="1" error="Value outside the permitted range" sqref="E480" xr:uid="{00000000-0002-0000-0100-00003B000000}">
      <formula1>1</formula1>
      <formula2>50</formula2>
    </dataValidation>
    <dataValidation type="decimal" allowBlank="1" showErrorMessage="1" error="Value outside the permitted range" sqref="H485:T486 E582:E583" xr:uid="{00000000-0002-0000-0100-00003C000000}">
      <formula1>0</formula1>
      <formula2>365</formula2>
    </dataValidation>
    <dataValidation type="decimal" allowBlank="1" showErrorMessage="1" error="Value outside the permitted range" sqref="E502" xr:uid="{00000000-0002-0000-0100-00003D000000}">
      <formula1>0</formula1>
      <formula2>0.1</formula2>
    </dataValidation>
    <dataValidation type="decimal" allowBlank="1" showErrorMessage="1" error="Value outside the permitted range" sqref="E503 E585" xr:uid="{00000000-0002-0000-0100-00003E000000}">
      <formula1>1</formula1>
      <formula2>30</formula2>
    </dataValidation>
    <dataValidation type="decimal" allowBlank="1" showErrorMessage="1" error="Value outside the permitted range" sqref="E511" xr:uid="{00000000-0002-0000-0100-00003F000000}">
      <formula1>0</formula1>
      <formula2>10000</formula2>
    </dataValidation>
    <dataValidation type="decimal" allowBlank="1" showErrorMessage="1" error="Value outside the permitted range" sqref="H513:T513 E543 E548" xr:uid="{00000000-0002-0000-0100-000040000000}">
      <formula1>0</formula1>
      <formula2>0.2</formula2>
    </dataValidation>
    <dataValidation type="decimal" allowBlank="1" showErrorMessage="1" error="Value outside the permitted range" sqref="H522:T522" xr:uid="{00000000-0002-0000-0100-000041000000}">
      <formula1>0</formula1>
      <formula2>0.6</formula2>
    </dataValidation>
    <dataValidation type="decimal" allowBlank="1" showErrorMessage="1" error="Value outside the permitted range" sqref="E542 E544" xr:uid="{00000000-0002-0000-0100-000042000000}">
      <formula1>0</formula1>
      <formula2>0.3</formula2>
    </dataValidation>
    <dataValidation type="decimal" allowBlank="1" showErrorMessage="1" error="Value outside the permitted range" sqref="E545" xr:uid="{00000000-0002-0000-0100-000043000000}">
      <formula1>0</formula1>
      <formula2>3</formula2>
    </dataValidation>
    <dataValidation type="decimal" allowBlank="1" showErrorMessage="1" error="Value outside the permitted range" sqref="E546" xr:uid="{00000000-0002-0000-0100-000044000000}">
      <formula1>0</formula1>
      <formula2>0.9</formula2>
    </dataValidation>
    <dataValidation type="decimal" allowBlank="1" showErrorMessage="1" error="Value outside the permitted range" sqref="E549" xr:uid="{00000000-0002-0000-0100-000045000000}">
      <formula1>-0.05</formula1>
      <formula2>0.1</formula2>
    </dataValidation>
    <dataValidation type="decimal" allowBlank="1" showErrorMessage="1" error="Value outside the permitted range" sqref="E572" xr:uid="{00000000-0002-0000-0100-000047000000}">
      <formula1>0</formula1>
      <formula2>1000000000</formula2>
    </dataValidation>
    <dataValidation type="decimal" allowBlank="1" showErrorMessage="1" error="Value outside the permitted range" sqref="E574" xr:uid="{00000000-0002-0000-0100-000048000000}">
      <formula1>0</formula1>
      <formula2>24</formula2>
    </dataValidation>
    <dataValidation type="decimal" allowBlank="1" showErrorMessage="1" error="Value outside the permitted range" sqref="E580:E581" xr:uid="{00000000-0002-0000-0100-000049000000}">
      <formula1>1</formula1>
      <formula2>60</formula2>
    </dataValidation>
    <dataValidation type="decimal" allowBlank="1" showErrorMessage="1" error="Value outside the permitted range" sqref="H587:T587 H615:T615 H649:T649 H683:T683" xr:uid="{00000000-0002-0000-0100-00004A000000}">
      <formula1>0</formula1>
      <formula2>1.5</formula2>
    </dataValidation>
    <dataValidation type="decimal" allowBlank="1" showErrorMessage="1" error="Value outside the permitted range" sqref="H588:T591" xr:uid="{00000000-0002-0000-0100-00004B000000}">
      <formula1>0</formula1>
      <formula2>10000000</formula2>
    </dataValidation>
    <dataValidation type="decimal" allowBlank="1" showErrorMessage="1" error="Value outside the permitted range" sqref="H592:T593" xr:uid="{00000000-0002-0000-0100-00004C000000}">
      <formula1>0</formula1>
      <formula2>100000</formula2>
    </dataValidation>
    <dataValidation type="date" allowBlank="1" showInputMessage="1" showErrorMessage="1" error="Value outside the permitted range" prompt="Commencement date between 1-Jan-2026 and 31-Dec-2036, e.g. 1-Jul-2028" sqref="E607 E641 E675" xr:uid="{00000000-0002-0000-0100-00004D000000}">
      <formula1>46023</formula1>
      <formula2>50040</formula2>
    </dataValidation>
    <dataValidation type="decimal" allowBlank="1" showErrorMessage="1" error="Value outside the permitted range" sqref="E608:E609 E613:E614 H616:T618 E642:E643 E647:E648 H650:T652 E676:E677 E681:E682 H684:T686" xr:uid="{00000000-0002-0000-0100-00004E000000}">
      <formula1>0</formula1>
      <formula2>1000000000000</formula2>
    </dataValidation>
    <dataValidation type="whole" allowBlank="1" showErrorMessage="1" error="Value outside the permitted range" sqref="E611:E612 E645:E646 E679:E680" xr:uid="{00000000-0002-0000-0100-00004F000000}">
      <formula1>1</formula1>
      <formula2>60</formula2>
    </dataValidation>
  </dataValidations>
  <hyperlinks>
    <hyperlink ref="C3" location="'Model Flow'!A1" display="Model Flow" xr:uid="{00000000-0004-0000-0100-000000000000}"/>
    <hyperlink ref="E3" location="'FS Data Request'!A1" display="FS Request" xr:uid="{00000000-0004-0000-0100-000001000000}"/>
    <hyperlink ref="F3" location="'Revenue Calculation'!A1" display="Revenue" xr:uid="{00000000-0004-0000-0100-000002000000}"/>
    <hyperlink ref="G3" location="'Cost Calculation'!A1" display="Costs" xr:uid="{00000000-0004-0000-0100-000003000000}"/>
    <hyperlink ref="H3" location="'BUMN Synergy Calculation'!A1" display="BUMN Synergy" xr:uid="{00000000-0004-0000-0100-000004000000}"/>
    <hyperlink ref="I3" location="'Capex &amp; Depreciation'!A1" display="Capex" xr:uid="{00000000-0004-0000-0100-000005000000}"/>
    <hyperlink ref="J3" location="'Working Capital'!A1" display="Work. cap." xr:uid="{00000000-0004-0000-0100-000006000000}"/>
    <hyperlink ref="K3" location="Financing!A1" display="Financing" xr:uid="{00000000-0004-0000-0100-000007000000}"/>
    <hyperlink ref="L3" location="'Funding Requirement'!A1" display="Funding" xr:uid="{00000000-0004-0000-0100-000008000000}"/>
    <hyperlink ref="M3" location="'FSL Output - Without BUMN'!A1" display="Out: w/o BUMN" xr:uid="{00000000-0004-0000-0100-000009000000}"/>
    <hyperlink ref="N3" location="'FSL Output - With BUMN'!A1" display="Out: With BUMN" xr:uid="{00000000-0004-0000-0100-00000A000000}"/>
    <hyperlink ref="O3" location="'Valuation — Without BUMN'!A1" display="Val: w/o BUMN" xr:uid="{00000000-0004-0000-0100-00000B000000}"/>
    <hyperlink ref="P3" location="'Valuation — With BUMN'!A1" display="Val: With BUMN" xr:uid="{00000000-0004-0000-0100-00000C000000}"/>
    <hyperlink ref="Q3" location="'Project Cash Flows'!A1" display="Proj. CF" xr:uid="{00000000-0004-0000-0100-00000D000000}"/>
    <hyperlink ref="R3" location="'Project Summary'!A1" display="Proj. Summary" xr:uid="{00000000-0004-0000-0100-00000E000000}"/>
    <hyperlink ref="S3" location="'Checks &amp; Reconciliation'!A1" display="Checks" xr:uid="{00000000-0004-0000-0100-00000F000000}"/>
    <hyperlink ref="T3" location="'Source Data'!A1" display="Source Data" xr:uid="{00000000-0004-0000-0100-000010000000}"/>
    <hyperlink ref="B24" location="Inputs!B40" display="1.  CONTROLS - business cases, funding basis and sensitivity levers (project switches: section 2; Badas: 2 and 13; optional v29 corrections: 16)" xr:uid="{00000000-0004-0000-0100-000011000000}"/>
    <hyperlink ref="B25" location="Inputs!B58" display="2.  PROJECT REGISTER - every business and project, its source, inclusion switch, timing and where it is modelled" xr:uid="{00000000-0004-0000-0100-000012000000}"/>
    <hyperlink ref="B26" location="Inputs!B91" display="3.  GENERAL ASSUMPTIONS - dates, currency, units" xr:uid="{00000000-0004-0000-0100-000013000000}"/>
    <hyperlink ref="B27" location="Inputs!B99" display="4.  EXISTING OPERATIONS (E1-E4) - volumes, tariffs, growth and existing-asset depreciation schedules" xr:uid="{00000000-0004-0000-0100-000014000000}"/>
    <hyperlink ref="B28" location="Inputs!B187" display="5.  PROJECTS (P01-P11, P15) - operating assumptions, capex (total investment x annual spending %) and asset lives, project by project" xr:uid="{00000000-0004-0000-0100-000015000000}"/>
    <hyperlink ref="B29" location="Inputs!B313" display="6.  OPERATING COSTS OF EXISTING BUSINESSES - FY2023 base x v29 uplift, then each year's growth; cost ratios" xr:uid="{00000000-0004-0000-0100-000016000000}"/>
    <hyperlink ref="B30" location="Inputs!B427" display="7.  BUMN SYNERGIES (P12-P14) - SOE-level tariffs and unit costs by year, FSL margins, investment and working-capital requirements" xr:uid="{00000000-0004-0000-0100-000017000000}"/>
    <hyperlink ref="B31" location="Inputs!B477" display="8.  SUSTAINING CAPEX AND CANCELLATION (all asset-owning businesses) - nil in v29" xr:uid="{00000000-0004-0000-0100-000018000000}"/>
    <hyperlink ref="B32" location="Inputs!B483" display="9.  WORKING CAPITAL" xr:uid="{00000000-0004-0000-0100-000019000000}"/>
    <hyperlink ref="B33" location="Inputs!B489" display="10.  FINANCING - existing loans (incl. the 12 USD mn LT loan, now repaid in 2027), new debt, committed funding, equity basis, dividends" xr:uid="{00000000-0004-0000-0100-00001A000000}"/>
    <hyperlink ref="B34" location="Inputs!B520" display="11.  TAX AND OWNERSHIP" xr:uid="{00000000-0004-0000-0100-00001B000000}"/>
    <hyperlink ref="B35" location="Inputs!B540" display="12.  VALUATION - discount rate build-up (nominal IDR), terminal growth and normalised reinvestment; derived WACC used by both valuation sheets" xr:uid="{00000000-0004-0000-0100-00001C000000}"/>
    <hyperlink ref="B36" location="Inputs!B564" display="13.  BADAS PROJECT TEMPLATE (P19) - OPERATING INPUTS ARE DUMMY UNTIL THE FEASIBILITY STUDY IS RECEIVED (replace through the FS Data Request sheet)" xr:uid="{00000000-0004-0000-0100-00001D000000}"/>
    <hyperlink ref="B37" location="Inputs!B601" display="14.  PIPELINE PLACEHOLDERS (P16-P18, e.g. Lampung) - INPUTS INTENTIONALLY BLANK; ENTER EVERY REQUIRED FIELD BEFORE SWITCHING ON" xr:uid="{00000000-0004-0000-0100-00001E000000}"/>
    <hyperlink ref="B38" location="Inputs!B706" display="15.  FUNDING-ONLY PROJECTS (F01-F05) - CAPEX AND FUNDING REQUEST ONLY; NEVER IN THE VALUATION OR THE FINANCIAL STATEMENTS (no FS, no revenue)" xr:uid="{00000000-0004-0000-0100-00001F000000}"/>
    <hyperlink ref="B39" location="Inputs!B737" display="16.  v29 SOURCE ISSUES - OPTIONAL CORRECTIONS (technical; every switch 0 = v29 as saved, 1 = correction applied)" xr:uid="{00000000-0004-0000-0100-000020000000}"/>
    <hyperlink ref="R60" location="'Revenue Calculation'!B41" display="Revenue" xr:uid="{00000000-0004-0000-0100-000021000000}"/>
    <hyperlink ref="S60" location="'Cost Calculation'!B35" display="Costs" xr:uid="{00000000-0004-0000-0100-000022000000}"/>
    <hyperlink ref="T60" location="'Capex &amp; Depreciation'!B231" display="D&amp;A" xr:uid="{00000000-0004-0000-0100-000023000000}"/>
    <hyperlink ref="R61" location="'Revenue Calculation'!B47" display="Revenue" xr:uid="{00000000-0004-0000-0100-000024000000}"/>
    <hyperlink ref="S61" location="'Cost Calculation'!B66" display="Costs" xr:uid="{00000000-0004-0000-0100-000025000000}"/>
    <hyperlink ref="T61" location="'Capex &amp; Depreciation'!B232" display="D&amp;A" xr:uid="{00000000-0004-0000-0100-000026000000}"/>
    <hyperlink ref="R62" location="'Revenue Calculation'!B53" display="Revenue" xr:uid="{00000000-0004-0000-0100-000027000000}"/>
    <hyperlink ref="S62" location="'Cost Calculation'!B94" display="Costs" xr:uid="{00000000-0004-0000-0100-000028000000}"/>
    <hyperlink ref="T62" location="'Capex &amp; Depreciation'!B233" display="D&amp;A" xr:uid="{00000000-0004-0000-0100-000029000000}"/>
    <hyperlink ref="R63" location="'Revenue Calculation'!B92" display="Revenue" xr:uid="{00000000-0004-0000-0100-00002A000000}"/>
    <hyperlink ref="S63" location="'Cost Calculation'!B131" display="Costs" xr:uid="{00000000-0004-0000-0100-00002B000000}"/>
    <hyperlink ref="T63" location="'Capex &amp; Depreciation'!B234" display="D&amp;A" xr:uid="{00000000-0004-0000-0100-00002C000000}"/>
    <hyperlink ref="R64" location="'Revenue Calculation'!B99" display="Revenue" xr:uid="{00000000-0004-0000-0100-00002D000000}"/>
    <hyperlink ref="S64" location="'Cost Calculation'!B137" display="Costs" xr:uid="{00000000-0004-0000-0100-00002E000000}"/>
    <hyperlink ref="T64" location="'Capex &amp; Depreciation'!B56" display="Capex / D&amp;A" xr:uid="{00000000-0004-0000-0100-00002F000000}"/>
    <hyperlink ref="R65" location="'Revenue Calculation'!B104" display="Revenue" xr:uid="{00000000-0004-0000-0100-000030000000}"/>
    <hyperlink ref="S65" location="'Cost Calculation'!B141" display="Costs" xr:uid="{00000000-0004-0000-0100-000031000000}"/>
    <hyperlink ref="T65" location="'Capex &amp; Depreciation'!B57" display="Capex / D&amp;A" xr:uid="{00000000-0004-0000-0100-000032000000}"/>
    <hyperlink ref="R66" location="'Revenue Calculation'!B111" display="Revenue" xr:uid="{00000000-0004-0000-0100-000033000000}"/>
    <hyperlink ref="S66" location="'Cost Calculation'!B145" display="Costs" xr:uid="{00000000-0004-0000-0100-000034000000}"/>
    <hyperlink ref="T66" location="'Capex &amp; Depreciation'!B58" display="Capex / D&amp;A" xr:uid="{00000000-0004-0000-0100-000035000000}"/>
    <hyperlink ref="R67" location="'Revenue Calculation'!B115" display="Revenue" xr:uid="{00000000-0004-0000-0100-000036000000}"/>
    <hyperlink ref="S67" location="'Cost Calculation'!B149" display="Costs" xr:uid="{00000000-0004-0000-0100-000037000000}"/>
    <hyperlink ref="T67" location="'Capex &amp; Depreciation'!B59" display="Capex / D&amp;A" xr:uid="{00000000-0004-0000-0100-000038000000}"/>
    <hyperlink ref="R68" location="'Revenue Calculation'!B122" display="Revenue" xr:uid="{00000000-0004-0000-0100-000039000000}"/>
    <hyperlink ref="S68" location="'Cost Calculation'!B153" display="Costs" xr:uid="{00000000-0004-0000-0100-00003A000000}"/>
    <hyperlink ref="T68" location="'Capex &amp; Depreciation'!B60" display="Capex / D&amp;A" xr:uid="{00000000-0004-0000-0100-00003B000000}"/>
    <hyperlink ref="R69" location="'Revenue Calculation'!B129" display="Revenue" xr:uid="{00000000-0004-0000-0100-00003C000000}"/>
    <hyperlink ref="S69" location="'Cost Calculation'!B157" display="Costs" xr:uid="{00000000-0004-0000-0100-00003D000000}"/>
    <hyperlink ref="T69" location="'Capex &amp; Depreciation'!B61" display="Capex / D&amp;A" xr:uid="{00000000-0004-0000-0100-00003E000000}"/>
    <hyperlink ref="R70" location="'Revenue Calculation'!B133" display="Revenue" xr:uid="{00000000-0004-0000-0100-00003F000000}"/>
    <hyperlink ref="S70" location="'Cost Calculation'!B161" display="Costs" xr:uid="{00000000-0004-0000-0100-000040000000}"/>
    <hyperlink ref="T70" location="'Capex &amp; Depreciation'!B62" display="Capex / D&amp;A" xr:uid="{00000000-0004-0000-0100-000041000000}"/>
    <hyperlink ref="R71" location="'Revenue Calculation'!B137" display="Revenue" xr:uid="{00000000-0004-0000-0100-000042000000}"/>
    <hyperlink ref="S71" location="'Cost Calculation'!B165" display="Costs" xr:uid="{00000000-0004-0000-0100-000043000000}"/>
    <hyperlink ref="T71" location="'Capex &amp; Depreciation'!B68" display="Capex / D&amp;A" xr:uid="{00000000-0004-0000-0100-000044000000}"/>
    <hyperlink ref="R72" location="'Revenue Calculation'!B140" display="Revenue" xr:uid="{00000000-0004-0000-0100-000045000000}"/>
    <hyperlink ref="S72" location="'Cost Calculation'!B168" display="Costs" xr:uid="{00000000-0004-0000-0100-000046000000}"/>
    <hyperlink ref="T72" location="'Capex &amp; Depreciation'!B69" display="Capex / D&amp;A" xr:uid="{00000000-0004-0000-0100-000047000000}"/>
    <hyperlink ref="R73" location="'Revenue Calculation'!B143" display="Revenue" xr:uid="{00000000-0004-0000-0100-000048000000}"/>
    <hyperlink ref="S73" location="'Cost Calculation'!B171" display="Costs" xr:uid="{00000000-0004-0000-0100-000049000000}"/>
    <hyperlink ref="T73" location="'Capex &amp; Depreciation'!B70" display="Capex / D&amp;A" xr:uid="{00000000-0004-0000-0100-00004A000000}"/>
    <hyperlink ref="R74" location="'Revenue Calculation'!B146" display="Revenue" xr:uid="{00000000-0004-0000-0100-00004B000000}"/>
    <hyperlink ref="S74" location="'Cost Calculation'!B174" display="Costs" xr:uid="{00000000-0004-0000-0100-00004C000000}"/>
    <hyperlink ref="T74" location="'Capex &amp; Depreciation'!B71" display="Capex / D&amp;A" xr:uid="{00000000-0004-0000-0100-00004D000000}"/>
    <hyperlink ref="R75" location="'BUMN Synergy Calculation'!B34" display="Revenue" xr:uid="{00000000-0004-0000-0100-00004E000000}"/>
    <hyperlink ref="S75" location="'BUMN Synergy Calculation'!B37" display="Costs" xr:uid="{00000000-0004-0000-0100-00004F000000}"/>
    <hyperlink ref="T75" location="'Capex &amp; Depreciation'!B77" display="Capex / D&amp;A" xr:uid="{00000000-0004-0000-0100-000050000000}"/>
    <hyperlink ref="R76" location="'BUMN Synergy Calculation'!B59" display="Revenue" xr:uid="{00000000-0004-0000-0100-000051000000}"/>
    <hyperlink ref="S76" location="'BUMN Synergy Calculation'!B62" display="Costs" xr:uid="{00000000-0004-0000-0100-000052000000}"/>
    <hyperlink ref="T76" location="'Capex &amp; Depreciation'!B78" display="Capex / D&amp;A" xr:uid="{00000000-0004-0000-0100-000053000000}"/>
    <hyperlink ref="R77" location="'BUMN Synergy Calculation'!B81" display="Revenue" xr:uid="{00000000-0004-0000-0100-000054000000}"/>
    <hyperlink ref="S77" location="'BUMN Synergy Calculation'!B84" display="Costs" xr:uid="{00000000-0004-0000-0100-000055000000}"/>
    <hyperlink ref="T77" location="'Capex &amp; Depreciation'!B79" display="Capex / D&amp;A" xr:uid="{00000000-0004-0000-0100-000056000000}"/>
    <hyperlink ref="R78" location="'Revenue Calculation'!B157" display="Revenue" xr:uid="{00000000-0004-0000-0100-000057000000}"/>
    <hyperlink ref="S78" location="'Cost Calculation'!B178" display="Costs" xr:uid="{00000000-0004-0000-0100-000058000000}"/>
    <hyperlink ref="T78" location="'Capex &amp; Depreciation'!B63" display="Capex / D&amp;A" xr:uid="{00000000-0004-0000-0100-000059000000}"/>
    <hyperlink ref="R79" location="'Revenue Calculation'!B163" display="Revenue" xr:uid="{00000000-0004-0000-0100-00005A000000}"/>
    <hyperlink ref="S79" location="'Cost Calculation'!B186" display="Costs" xr:uid="{00000000-0004-0000-0100-00005B000000}"/>
    <hyperlink ref="T79" location="'Capex &amp; Depreciation'!B72" display="Capex / D&amp;A" xr:uid="{00000000-0004-0000-0100-00005C000000}"/>
    <hyperlink ref="R80" location="'Revenue Calculation'!B167" display="Revenue" xr:uid="{00000000-0004-0000-0100-00005D000000}"/>
    <hyperlink ref="S80" location="'Cost Calculation'!B192" display="Costs" xr:uid="{00000000-0004-0000-0100-00005E000000}"/>
    <hyperlink ref="T80" location="'Capex &amp; Depreciation'!B73" display="Capex / D&amp;A" xr:uid="{00000000-0004-0000-0100-00005F000000}"/>
    <hyperlink ref="R81" location="'Revenue Calculation'!B171" display="Revenue" xr:uid="{00000000-0004-0000-0100-000060000000}"/>
    <hyperlink ref="S81" location="'Cost Calculation'!B198" display="Costs" xr:uid="{00000000-0004-0000-0100-000061000000}"/>
    <hyperlink ref="T81" location="'Capex &amp; Depreciation'!B74" display="Capex / D&amp;A" xr:uid="{00000000-0004-0000-0100-000062000000}"/>
    <hyperlink ref="R82" location="'Revenue Calculation'!B186" display="Revenue" xr:uid="{00000000-0004-0000-0100-000063000000}"/>
    <hyperlink ref="S82" location="'Cost Calculation'!B214" display="Costs" xr:uid="{00000000-0004-0000-0100-000064000000}"/>
    <hyperlink ref="T82" location="'Capex &amp; Depreciation'!B76" display="Capex / D&amp;A" xr:uid="{00000000-0004-0000-0100-000065000000}"/>
  </hyperlinks>
  <pageMargins left="0.4" right="0.4" top="0.5" bottom="0.5" header="0.511811023622047" footer="0.5"/>
  <pageSetup paperSize="9" fitToHeight="0" orientation="landscape" horizontalDpi="300" verticalDpi="300"/>
  <headerFooter>
    <oddFooter>&amp;L&amp;A&amp;RPage &amp;P of &amp;N</oddFooter>
  </headerFooter>
  <extLst>
    <ext xmlns:x14="http://schemas.microsoft.com/office/spreadsheetml/2009/9/main" uri="{78C0D931-6437-407d-A8EE-F0AAD7539E65}">
      <x14:conditionalFormattings>
        <x14:conditionalFormatting xmlns:xm="http://schemas.microsoft.com/office/excel/2006/main">
          <x14:cfRule type="expression" priority="2" id="{00000000-000E-0000-0100-000002000000}">
            <xm:f>AND(ISNUMBER(E40),E40&lt;&gt;'Source Data'!E40)</xm:f>
            <x14:dxf>
              <fill>
                <patternFill>
                  <bgColor rgb="FFFFFF00"/>
                </patternFill>
              </fill>
            </x14:dxf>
          </x14:cfRule>
          <xm:sqref>E40:F756</xm:sqref>
        </x14:conditionalFormatting>
        <x14:conditionalFormatting xmlns:xm="http://schemas.microsoft.com/office/excel/2006/main">
          <x14:cfRule type="expression" priority="3" id="{00000000-000E-0000-0100-000003000000}">
            <xm:f>AND(ISNUMBER(G40),G40&lt;&gt;'Source Data'!G40)</xm:f>
            <x14:dxf>
              <fill>
                <patternFill>
                  <bgColor rgb="FFFFFF00"/>
                </patternFill>
              </fill>
            </x14:dxf>
          </x14:cfRule>
          <xm:sqref>G40:T756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pageSetUpPr fitToPage="1"/>
  </sheetPr>
  <dimension ref="B1:T64"/>
  <sheetViews>
    <sheetView showGridLines="0" zoomScale="85" zoomScaleNormal="85" workbookViewId="0">
      <pane xSplit="3" ySplit="5" topLeftCell="D6" activePane="bottomRight" state="frozen"/>
      <selection pane="topRight" activeCell="D1" sqref="D1"/>
      <selection pane="bottomLeft" activeCell="A6" sqref="A6"/>
      <selection pane="bottomRight"/>
    </sheetView>
  </sheetViews>
  <sheetFormatPr defaultColWidth="8.7109375" defaultRowHeight="15" x14ac:dyDescent="0.25"/>
  <cols>
    <col min="1" max="1" width="1.5703125" customWidth="1"/>
    <col min="2" max="2" width="8" customWidth="1"/>
    <col min="3" max="3" width="34" customWidth="1"/>
    <col min="4" max="4" width="60" customWidth="1"/>
    <col min="5" max="5" width="12" customWidth="1"/>
    <col min="6" max="6" width="14" customWidth="1"/>
    <col min="7" max="7" width="16" customWidth="1"/>
    <col min="8" max="8" width="22" customWidth="1"/>
    <col min="9" max="9" width="16" customWidth="1"/>
    <col min="10" max="11" width="30" customWidth="1"/>
  </cols>
  <sheetData>
    <row r="1" spans="2:20" ht="18" x14ac:dyDescent="0.25">
      <c r="B1" s="13" t="s">
        <v>1680</v>
      </c>
    </row>
    <row r="2" spans="2:20" x14ac:dyDescent="0.25">
      <c r="B2" s="14" t="s">
        <v>1681</v>
      </c>
    </row>
    <row r="3" spans="2:20" x14ac:dyDescent="0.25">
      <c r="B3" s="15" t="s">
        <v>2</v>
      </c>
      <c r="C3" s="17" t="s">
        <v>422</v>
      </c>
      <c r="D3" s="17" t="s">
        <v>4</v>
      </c>
      <c r="E3" s="16" t="s">
        <v>1682</v>
      </c>
      <c r="F3" s="17" t="s">
        <v>6</v>
      </c>
      <c r="G3" s="17" t="s">
        <v>7</v>
      </c>
      <c r="H3" s="17" t="s">
        <v>8</v>
      </c>
      <c r="I3" s="17" t="s">
        <v>9</v>
      </c>
      <c r="J3" s="17" t="s">
        <v>10</v>
      </c>
      <c r="K3" s="17" t="s">
        <v>11</v>
      </c>
      <c r="L3" s="17" t="s">
        <v>12</v>
      </c>
      <c r="M3" s="17" t="s">
        <v>13</v>
      </c>
      <c r="N3" s="17" t="s">
        <v>14</v>
      </c>
      <c r="O3" s="17" t="s">
        <v>15</v>
      </c>
      <c r="P3" s="17" t="s">
        <v>16</v>
      </c>
      <c r="Q3" s="17" t="s">
        <v>17</v>
      </c>
      <c r="R3" s="17" t="s">
        <v>18</v>
      </c>
      <c r="S3" s="17" t="s">
        <v>19</v>
      </c>
      <c r="T3" s="17" t="s">
        <v>20</v>
      </c>
    </row>
    <row r="5" spans="2:20" x14ac:dyDescent="0.25">
      <c r="C5" s="21" t="s">
        <v>1683</v>
      </c>
      <c r="E5" s="134">
        <f>COUNTIF(H9:H38,"DUMMY*")+COUNTIF(H9:H38,"PROVISIONAL*")</f>
        <v>30</v>
      </c>
      <c r="F5" s="70" t="str">
        <f>"of 30 items"</f>
        <v>of 30 items</v>
      </c>
    </row>
    <row r="7" spans="2:20" x14ac:dyDescent="0.25">
      <c r="B7" s="58" t="s">
        <v>1684</v>
      </c>
      <c r="C7" s="19"/>
      <c r="D7" s="19"/>
      <c r="E7" s="19"/>
      <c r="F7" s="19"/>
      <c r="G7" s="19"/>
      <c r="H7" s="19"/>
      <c r="I7" s="19"/>
      <c r="J7" s="19"/>
      <c r="K7" s="19"/>
    </row>
    <row r="8" spans="2:20" ht="58.5" customHeight="1" x14ac:dyDescent="0.25">
      <c r="B8" s="25" t="s">
        <v>1685</v>
      </c>
      <c r="C8" s="25" t="s">
        <v>1686</v>
      </c>
      <c r="D8" s="25" t="s">
        <v>1687</v>
      </c>
      <c r="E8" s="25" t="s">
        <v>466</v>
      </c>
      <c r="F8" s="25" t="s">
        <v>1688</v>
      </c>
      <c r="G8" s="25" t="s">
        <v>1689</v>
      </c>
      <c r="H8" s="25" t="s">
        <v>1690</v>
      </c>
      <c r="I8" s="25" t="s">
        <v>1691</v>
      </c>
      <c r="J8" s="25" t="s">
        <v>1692</v>
      </c>
      <c r="K8" s="25"/>
    </row>
    <row r="9" spans="2:20" ht="21.75" customHeight="1" x14ac:dyDescent="0.25">
      <c r="B9" s="70" t="s">
        <v>1693</v>
      </c>
      <c r="C9" s="135" t="s">
        <v>1694</v>
      </c>
      <c r="D9" s="136" t="s">
        <v>1695</v>
      </c>
      <c r="E9" s="72" t="s">
        <v>613</v>
      </c>
      <c r="F9" s="70" t="s">
        <v>1696</v>
      </c>
      <c r="G9" s="137">
        <f>Inputs!$E$571</f>
        <v>47119</v>
      </c>
      <c r="H9" s="135" t="str">
        <f>IF(Inputs!$E$571&lt;&gt;'Source Data'!$E$571,"Updated - FS data entered","DUMMY - awaiting FS")</f>
        <v>DUMMY - awaiting FS</v>
      </c>
      <c r="I9" s="22" t="s">
        <v>1697</v>
      </c>
      <c r="J9" s="22" t="s">
        <v>1698</v>
      </c>
    </row>
    <row r="10" spans="2:20" ht="21.75" customHeight="1" x14ac:dyDescent="0.25">
      <c r="B10" s="70" t="s">
        <v>1699</v>
      </c>
      <c r="C10" s="135" t="s">
        <v>1700</v>
      </c>
      <c r="D10" s="136" t="s">
        <v>1701</v>
      </c>
      <c r="E10" s="72" t="s">
        <v>1496</v>
      </c>
      <c r="F10" s="70" t="s">
        <v>468</v>
      </c>
      <c r="G10" s="138">
        <f>Inputs!$E$572</f>
        <v>1000000</v>
      </c>
      <c r="H10" s="135" t="str">
        <f>IF(Inputs!$E$572&lt;&gt;'Source Data'!$E$572,"Updated - FS data entered","DUMMY - awaiting FS")</f>
        <v>DUMMY - awaiting FS</v>
      </c>
      <c r="I10" s="22" t="s">
        <v>1702</v>
      </c>
      <c r="J10" s="22" t="s">
        <v>1703</v>
      </c>
    </row>
    <row r="11" spans="2:20" ht="24.75" customHeight="1" x14ac:dyDescent="0.25">
      <c r="B11" s="70" t="s">
        <v>1704</v>
      </c>
      <c r="C11" s="135" t="s">
        <v>1705</v>
      </c>
      <c r="D11" s="136" t="s">
        <v>1706</v>
      </c>
      <c r="E11" s="72" t="s">
        <v>1518</v>
      </c>
      <c r="F11" s="70" t="s">
        <v>1707</v>
      </c>
      <c r="G11" s="139">
        <f>Inputs!M587</f>
        <v>0.55000000000000004</v>
      </c>
      <c r="H11" s="135" t="str">
        <f>IF(SUMPRODUCT(--(Inputs!$H$587:$T$587&lt;&gt;'Source Data'!$H$587:$T$587))&gt;0,"Updated - FS data entered","DUMMY - awaiting FS")</f>
        <v>DUMMY - awaiting FS</v>
      </c>
      <c r="I11" s="22" t="s">
        <v>1708</v>
      </c>
      <c r="J11" s="22" t="s">
        <v>1703</v>
      </c>
    </row>
    <row r="12" spans="2:20" ht="21.75" customHeight="1" x14ac:dyDescent="0.25">
      <c r="B12" s="70" t="s">
        <v>1709</v>
      </c>
      <c r="C12" s="135" t="s">
        <v>1710</v>
      </c>
      <c r="D12" s="136" t="s">
        <v>1711</v>
      </c>
      <c r="E12" s="72" t="s">
        <v>647</v>
      </c>
      <c r="F12" s="70" t="s">
        <v>1707</v>
      </c>
      <c r="G12" s="138">
        <f>Inputs!M588</f>
        <v>45000</v>
      </c>
      <c r="H12" s="135" t="str">
        <f>IF(SUMPRODUCT(--(Inputs!$H$588:$T$588&lt;&gt;'Source Data'!$H$588:$T$588))&gt;0,"Updated - FS data entered","DUMMY - awaiting FS")</f>
        <v>DUMMY - awaiting FS</v>
      </c>
      <c r="I12" s="22" t="s">
        <v>1712</v>
      </c>
      <c r="J12" s="22" t="s">
        <v>1713</v>
      </c>
    </row>
    <row r="13" spans="2:20" ht="21.75" customHeight="1" x14ac:dyDescent="0.25">
      <c r="B13" s="70" t="s">
        <v>1714</v>
      </c>
      <c r="C13" s="135" t="s">
        <v>1715</v>
      </c>
      <c r="D13" s="136" t="s">
        <v>1716</v>
      </c>
      <c r="E13" s="72" t="s">
        <v>292</v>
      </c>
      <c r="F13" s="70" t="s">
        <v>468</v>
      </c>
      <c r="G13" s="139">
        <f>Inputs!$E$573</f>
        <v>0.5</v>
      </c>
      <c r="H13" s="135" t="str">
        <f>IF(Inputs!$E$573&lt;&gt;'Source Data'!$E$573,"Updated - FS data entered","DUMMY - awaiting FS")</f>
        <v>DUMMY - awaiting FS</v>
      </c>
      <c r="I13" s="22" t="s">
        <v>1717</v>
      </c>
      <c r="J13" s="22" t="s">
        <v>1718</v>
      </c>
    </row>
    <row r="14" spans="2:20" ht="21.75" customHeight="1" x14ac:dyDescent="0.25">
      <c r="B14" s="70" t="s">
        <v>1719</v>
      </c>
      <c r="C14" s="135" t="s">
        <v>1498</v>
      </c>
      <c r="D14" s="136" t="s">
        <v>1720</v>
      </c>
      <c r="E14" s="72" t="s">
        <v>1499</v>
      </c>
      <c r="F14" s="70" t="s">
        <v>468</v>
      </c>
      <c r="G14" s="140">
        <f>Inputs!$E$574</f>
        <v>1.5</v>
      </c>
      <c r="H14" s="135" t="str">
        <f>IF(Inputs!$E$574&lt;&gt;'Source Data'!$E$574,"Updated - FS data entered","DUMMY - awaiting FS")</f>
        <v>DUMMY - awaiting FS</v>
      </c>
      <c r="I14" s="22" t="s">
        <v>1721</v>
      </c>
      <c r="J14" s="22" t="s">
        <v>1722</v>
      </c>
    </row>
    <row r="15" spans="2:20" ht="21.75" customHeight="1" x14ac:dyDescent="0.25">
      <c r="B15" s="70" t="s">
        <v>1723</v>
      </c>
      <c r="C15" s="135" t="s">
        <v>1522</v>
      </c>
      <c r="D15" s="136" t="s">
        <v>1724</v>
      </c>
      <c r="E15" s="72" t="s">
        <v>886</v>
      </c>
      <c r="F15" s="70" t="s">
        <v>1707</v>
      </c>
      <c r="G15" s="138">
        <f>Inputs!M589</f>
        <v>12000</v>
      </c>
      <c r="H15" s="135" t="str">
        <f>IF(SUMPRODUCT(--(Inputs!$H$589:$T$589&lt;&gt;'Source Data'!$H$589:$T$589))&gt;0,"Updated - FS data entered","DUMMY - awaiting FS")</f>
        <v>DUMMY - awaiting FS</v>
      </c>
      <c r="I15" s="22" t="s">
        <v>1725</v>
      </c>
      <c r="J15" s="22" t="s">
        <v>1726</v>
      </c>
    </row>
    <row r="16" spans="2:20" ht="21.75" customHeight="1" x14ac:dyDescent="0.25">
      <c r="B16" s="70" t="s">
        <v>1727</v>
      </c>
      <c r="C16" s="135" t="s">
        <v>1728</v>
      </c>
      <c r="D16" s="136" t="s">
        <v>1729</v>
      </c>
      <c r="E16" s="72" t="s">
        <v>292</v>
      </c>
      <c r="F16" s="70" t="s">
        <v>468</v>
      </c>
      <c r="G16" s="139">
        <f>Inputs!$E$575</f>
        <v>0.3</v>
      </c>
      <c r="H16" s="135" t="str">
        <f>IF(Inputs!$E$575&lt;&gt;'Source Data'!$E$575,"Updated - FS data entered","DUMMY - awaiting FS")</f>
        <v>DUMMY - awaiting FS</v>
      </c>
      <c r="I16" s="22" t="s">
        <v>1730</v>
      </c>
      <c r="J16" s="22" t="s">
        <v>1731</v>
      </c>
    </row>
    <row r="17" spans="2:10" ht="21.75" customHeight="1" x14ac:dyDescent="0.25">
      <c r="B17" s="70" t="s">
        <v>1732</v>
      </c>
      <c r="C17" s="135" t="s">
        <v>1733</v>
      </c>
      <c r="D17" s="136" t="s">
        <v>1734</v>
      </c>
      <c r="E17" s="72" t="s">
        <v>647</v>
      </c>
      <c r="F17" s="70" t="s">
        <v>1707</v>
      </c>
      <c r="G17" s="138">
        <f>Inputs!M590</f>
        <v>9000</v>
      </c>
      <c r="H17" s="135" t="str">
        <f>IF(SUMPRODUCT(--(Inputs!$H$590:$T$590&lt;&gt;'Source Data'!$H$590:$T$590))&gt;0,"Updated - FS data entered","DUMMY - awaiting FS")</f>
        <v>DUMMY - awaiting FS</v>
      </c>
      <c r="I17" s="22" t="s">
        <v>1735</v>
      </c>
      <c r="J17" s="22" t="s">
        <v>1736</v>
      </c>
    </row>
    <row r="18" spans="2:10" ht="24.75" customHeight="1" x14ac:dyDescent="0.25">
      <c r="B18" s="70" t="s">
        <v>1737</v>
      </c>
      <c r="C18" s="135" t="s">
        <v>1738</v>
      </c>
      <c r="D18" s="136" t="s">
        <v>1739</v>
      </c>
      <c r="E18" s="72" t="s">
        <v>292</v>
      </c>
      <c r="F18" s="70" t="s">
        <v>468</v>
      </c>
      <c r="G18" s="139">
        <f>Inputs!$E$570</f>
        <v>1</v>
      </c>
      <c r="H18" s="135" t="str">
        <f>IF(Inputs!$E$570&lt;&gt;'Source Data'!$E$570,"Updated - FS data entered","DUMMY - awaiting FS")</f>
        <v>DUMMY - awaiting FS</v>
      </c>
      <c r="I18" s="22" t="s">
        <v>1740</v>
      </c>
      <c r="J18" s="22" t="s">
        <v>282</v>
      </c>
    </row>
    <row r="19" spans="2:10" ht="21.75" customHeight="1" x14ac:dyDescent="0.25">
      <c r="B19" s="70" t="s">
        <v>1741</v>
      </c>
      <c r="C19" s="135" t="s">
        <v>1532</v>
      </c>
      <c r="D19" s="136" t="s">
        <v>1742</v>
      </c>
      <c r="E19" s="72" t="s">
        <v>799</v>
      </c>
      <c r="F19" s="70" t="s">
        <v>1707</v>
      </c>
      <c r="G19" s="141">
        <f>Inputs!M597</f>
        <v>0.05</v>
      </c>
      <c r="H19" s="135" t="str">
        <f>IF(SUMPRODUCT(--(Inputs!$H$597:$T$597&lt;&gt;'Source Data'!$H$597:$T$597))&gt;0,"Updated - FS data entered","DUMMY - awaiting FS")</f>
        <v>DUMMY - awaiting FS</v>
      </c>
      <c r="I19" s="22" t="s">
        <v>1743</v>
      </c>
      <c r="J19" s="22" t="s">
        <v>1744</v>
      </c>
    </row>
    <row r="20" spans="2:10" ht="21.75" customHeight="1" x14ac:dyDescent="0.25">
      <c r="B20" s="70" t="s">
        <v>1745</v>
      </c>
      <c r="C20" s="135" t="s">
        <v>1561</v>
      </c>
      <c r="D20" s="136" t="s">
        <v>1746</v>
      </c>
      <c r="E20" s="72" t="s">
        <v>647</v>
      </c>
      <c r="F20" s="70" t="s">
        <v>1707</v>
      </c>
      <c r="G20" s="138">
        <f>Inputs!M591</f>
        <v>8500</v>
      </c>
      <c r="H20" s="135" t="str">
        <f>IF(SUMPRODUCT(--(Inputs!$H$591:$T$591&lt;&gt;'Source Data'!$H$591:$T$591))&gt;0,"Updated - FS data entered","DUMMY - awaiting FS")</f>
        <v>DUMMY - awaiting FS</v>
      </c>
      <c r="I20" s="22" t="s">
        <v>1747</v>
      </c>
      <c r="J20" s="22" t="s">
        <v>1748</v>
      </c>
    </row>
    <row r="21" spans="2:10" ht="21.75" customHeight="1" x14ac:dyDescent="0.25">
      <c r="B21" s="70" t="s">
        <v>1749</v>
      </c>
      <c r="C21" s="135" t="s">
        <v>1750</v>
      </c>
      <c r="D21" s="136" t="s">
        <v>1751</v>
      </c>
      <c r="E21" s="72" t="s">
        <v>1526</v>
      </c>
      <c r="F21" s="70" t="s">
        <v>1707</v>
      </c>
      <c r="G21" s="142">
        <f>Inputs!M592</f>
        <v>40</v>
      </c>
      <c r="H21" s="135" t="str">
        <f>IF(SUMPRODUCT(--(Inputs!$H$592:$T$592&lt;&gt;'Source Data'!$H$592:$T$592))&gt;0,"Updated - FS data entered","DUMMY - awaiting FS")</f>
        <v>DUMMY - awaiting FS</v>
      </c>
      <c r="I21" s="22" t="s">
        <v>1752</v>
      </c>
      <c r="J21" s="22" t="s">
        <v>1753</v>
      </c>
    </row>
    <row r="22" spans="2:10" ht="21.75" customHeight="1" x14ac:dyDescent="0.25">
      <c r="B22" s="70" t="s">
        <v>1754</v>
      </c>
      <c r="C22" s="135" t="s">
        <v>1755</v>
      </c>
      <c r="D22" s="136" t="s">
        <v>1756</v>
      </c>
      <c r="E22" s="72" t="s">
        <v>1528</v>
      </c>
      <c r="F22" s="70" t="s">
        <v>1707</v>
      </c>
      <c r="G22" s="138">
        <f>Inputs!M593</f>
        <v>150</v>
      </c>
      <c r="H22" s="135" t="str">
        <f>IF(SUMPRODUCT(--(Inputs!$H$593:$T$593&lt;&gt;'Source Data'!$H$593:$T$593))&gt;0,"Updated - FS data entered","DUMMY - awaiting FS")</f>
        <v>DUMMY - awaiting FS</v>
      </c>
      <c r="I22" s="22" t="s">
        <v>1757</v>
      </c>
      <c r="J22" s="22" t="s">
        <v>1753</v>
      </c>
    </row>
    <row r="23" spans="2:10" ht="21.75" customHeight="1" x14ac:dyDescent="0.25">
      <c r="B23" s="70" t="s">
        <v>1758</v>
      </c>
      <c r="C23" s="135" t="s">
        <v>1759</v>
      </c>
      <c r="D23" s="136" t="s">
        <v>1760</v>
      </c>
      <c r="E23" s="72" t="s">
        <v>1530</v>
      </c>
      <c r="F23" s="70" t="s">
        <v>1707</v>
      </c>
      <c r="G23" s="140">
        <f>Inputs!M594</f>
        <v>2.5</v>
      </c>
      <c r="H23" s="135" t="str">
        <f>IF(SUMPRODUCT(--(Inputs!$H$594:$T$594&lt;&gt;'Source Data'!$H$594:$T$594))&gt;0,"Updated - FS data entered","DUMMY - awaiting FS")</f>
        <v>DUMMY - awaiting FS</v>
      </c>
      <c r="I23" s="22" t="s">
        <v>1761</v>
      </c>
      <c r="J23" s="22" t="s">
        <v>1762</v>
      </c>
    </row>
    <row r="24" spans="2:10" ht="21.75" customHeight="1" x14ac:dyDescent="0.25">
      <c r="B24" s="70" t="s">
        <v>1763</v>
      </c>
      <c r="C24" s="135" t="s">
        <v>1764</v>
      </c>
      <c r="D24" s="136" t="s">
        <v>1765</v>
      </c>
      <c r="E24" s="72" t="s">
        <v>802</v>
      </c>
      <c r="F24" s="70" t="s">
        <v>1707</v>
      </c>
      <c r="G24" s="141">
        <f>Inputs!M595</f>
        <v>1.4999999999999999E-2</v>
      </c>
      <c r="H24" s="135" t="str">
        <f>IF(SUMPRODUCT(--(Inputs!$H$595:$T$595&lt;&gt;'Source Data'!$H$595:$T$595))&gt;0,"Updated - FS data entered","DUMMY - awaiting FS")</f>
        <v>DUMMY - awaiting FS</v>
      </c>
      <c r="I24" s="22" t="s">
        <v>1766</v>
      </c>
      <c r="J24" s="22" t="s">
        <v>1767</v>
      </c>
    </row>
    <row r="25" spans="2:10" ht="21.75" customHeight="1" x14ac:dyDescent="0.25">
      <c r="B25" s="70" t="s">
        <v>1768</v>
      </c>
      <c r="C25" s="135" t="s">
        <v>1769</v>
      </c>
      <c r="D25" s="136" t="s">
        <v>1770</v>
      </c>
      <c r="E25" s="72" t="s">
        <v>802</v>
      </c>
      <c r="F25" s="70" t="s">
        <v>1707</v>
      </c>
      <c r="G25" s="141">
        <f>Inputs!M596</f>
        <v>5.0000000000000001E-3</v>
      </c>
      <c r="H25" s="135" t="str">
        <f>IF(SUMPRODUCT(--(Inputs!$H$596:$T$596&lt;&gt;'Source Data'!$H$596:$T$596))&gt;0,"Updated - FS data entered","DUMMY - awaiting FS")</f>
        <v>DUMMY - awaiting FS</v>
      </c>
      <c r="I25" s="22" t="s">
        <v>1771</v>
      </c>
      <c r="J25" s="22" t="s">
        <v>1772</v>
      </c>
    </row>
    <row r="26" spans="2:10" ht="24.75" customHeight="1" x14ac:dyDescent="0.25">
      <c r="B26" s="70" t="s">
        <v>1773</v>
      </c>
      <c r="C26" s="135" t="s">
        <v>1774</v>
      </c>
      <c r="D26" s="136" t="s">
        <v>1775</v>
      </c>
      <c r="E26" s="72" t="s">
        <v>493</v>
      </c>
      <c r="F26" s="70" t="s">
        <v>468</v>
      </c>
      <c r="G26" s="140">
        <f>Inputs!$E$576</f>
        <v>1.5</v>
      </c>
      <c r="H26" s="135" t="str">
        <f>IF(Inputs!$E$576&lt;&gt;'Source Data'!$E$576,"Updated - FS data entered","DUMMY - awaiting FS")</f>
        <v>DUMMY - awaiting FS</v>
      </c>
      <c r="I26" s="22" t="s">
        <v>1776</v>
      </c>
      <c r="J26" s="22" t="s">
        <v>1777</v>
      </c>
    </row>
    <row r="27" spans="2:10" ht="24.75" customHeight="1" x14ac:dyDescent="0.25">
      <c r="B27" s="70" t="s">
        <v>1778</v>
      </c>
      <c r="C27" s="135" t="s">
        <v>1503</v>
      </c>
      <c r="D27" s="136" t="s">
        <v>1779</v>
      </c>
      <c r="E27" s="72" t="s">
        <v>806</v>
      </c>
      <c r="F27" s="70" t="s">
        <v>468</v>
      </c>
      <c r="G27" s="140">
        <f>Inputs!$E$577</f>
        <v>10</v>
      </c>
      <c r="H27" s="135" t="str">
        <f>IF(Inputs!$E$577&lt;&gt;'Source Data'!$E$577,"Updated - FS data entered","PROVISIONAL (board deck)")</f>
        <v>PROVISIONAL (board deck)</v>
      </c>
      <c r="I27" s="22" t="s">
        <v>1780</v>
      </c>
      <c r="J27" s="22" t="s">
        <v>1781</v>
      </c>
    </row>
    <row r="28" spans="2:10" ht="24.75" customHeight="1" x14ac:dyDescent="0.25">
      <c r="B28" s="70" t="s">
        <v>1782</v>
      </c>
      <c r="C28" s="135" t="s">
        <v>1783</v>
      </c>
      <c r="D28" s="136" t="s">
        <v>1784</v>
      </c>
      <c r="E28" s="72" t="s">
        <v>810</v>
      </c>
      <c r="F28" s="70" t="s">
        <v>1707</v>
      </c>
      <c r="G28" s="143">
        <f>SUM(Inputs!$H$578:$T$578)</f>
        <v>1</v>
      </c>
      <c r="H28" s="135" t="str">
        <f>IF(SUMPRODUCT(--(Inputs!$H$578:$T$578&lt;&gt;'Source Data'!$H$578:$T$578))&gt;0,"Updated - FS data entered","DUMMY - awaiting FS")</f>
        <v>DUMMY - awaiting FS</v>
      </c>
      <c r="I28" s="22" t="s">
        <v>1785</v>
      </c>
      <c r="J28" s="22" t="s">
        <v>284</v>
      </c>
    </row>
    <row r="29" spans="2:10" ht="24.75" customHeight="1" x14ac:dyDescent="0.25">
      <c r="B29" s="70" t="s">
        <v>1786</v>
      </c>
      <c r="C29" s="135" t="s">
        <v>1787</v>
      </c>
      <c r="D29" s="136" t="s">
        <v>1788</v>
      </c>
      <c r="E29" s="72" t="s">
        <v>292</v>
      </c>
      <c r="F29" s="70" t="s">
        <v>468</v>
      </c>
      <c r="G29" s="139">
        <f>Inputs!$E$579</f>
        <v>0.6</v>
      </c>
      <c r="H29" s="135" t="str">
        <f>IF(Inputs!$E$579&lt;&gt;'Source Data'!$E$579,"Updated - FS data entered","DUMMY - awaiting FS")</f>
        <v>DUMMY - awaiting FS</v>
      </c>
      <c r="I29" s="22" t="s">
        <v>1789</v>
      </c>
      <c r="J29" s="22" t="s">
        <v>1790</v>
      </c>
    </row>
    <row r="30" spans="2:10" ht="21.75" customHeight="1" x14ac:dyDescent="0.25">
      <c r="B30" s="70" t="s">
        <v>1791</v>
      </c>
      <c r="C30" s="135" t="s">
        <v>1510</v>
      </c>
      <c r="D30" s="136" t="s">
        <v>1792</v>
      </c>
      <c r="E30" s="72" t="s">
        <v>816</v>
      </c>
      <c r="F30" s="70" t="s">
        <v>468</v>
      </c>
      <c r="G30" s="142">
        <f>Inputs!$E$580</f>
        <v>20</v>
      </c>
      <c r="H30" s="135" t="str">
        <f>IF(Inputs!$E$580&lt;&gt;'Source Data'!$E$580,"Updated - FS data entered","DUMMY - awaiting FS")</f>
        <v>DUMMY - awaiting FS</v>
      </c>
      <c r="I30" s="22" t="s">
        <v>1793</v>
      </c>
      <c r="J30" s="22" t="s">
        <v>1790</v>
      </c>
    </row>
    <row r="31" spans="2:10" ht="21.75" customHeight="1" x14ac:dyDescent="0.25">
      <c r="B31" s="70" t="s">
        <v>1794</v>
      </c>
      <c r="C31" s="135" t="s">
        <v>1511</v>
      </c>
      <c r="D31" s="136" t="s">
        <v>1795</v>
      </c>
      <c r="E31" s="72" t="s">
        <v>816</v>
      </c>
      <c r="F31" s="70" t="s">
        <v>468</v>
      </c>
      <c r="G31" s="142">
        <f>Inputs!$E$581</f>
        <v>10</v>
      </c>
      <c r="H31" s="135" t="str">
        <f>IF(Inputs!$E$581&lt;&gt;'Source Data'!$E$581,"Updated - FS data entered","DUMMY - awaiting FS")</f>
        <v>DUMMY - awaiting FS</v>
      </c>
      <c r="I31" s="22" t="s">
        <v>1796</v>
      </c>
      <c r="J31" s="22" t="s">
        <v>1790</v>
      </c>
    </row>
    <row r="32" spans="2:10" ht="21.75" customHeight="1" x14ac:dyDescent="0.25">
      <c r="B32" s="70" t="s">
        <v>1797</v>
      </c>
      <c r="C32" s="135" t="s">
        <v>1798</v>
      </c>
      <c r="D32" s="136" t="s">
        <v>1799</v>
      </c>
      <c r="E32" s="72" t="s">
        <v>1340</v>
      </c>
      <c r="F32" s="70" t="s">
        <v>468</v>
      </c>
      <c r="G32" s="144">
        <f>Inputs!$E$582</f>
        <v>45</v>
      </c>
      <c r="H32" s="135" t="str">
        <f>IF(Inputs!$E$582&lt;&gt;'Source Data'!$E$582,"Updated - FS data entered","DUMMY - awaiting FS")</f>
        <v>DUMMY - awaiting FS</v>
      </c>
      <c r="I32" s="22" t="s">
        <v>1800</v>
      </c>
      <c r="J32" s="22" t="s">
        <v>1801</v>
      </c>
    </row>
    <row r="33" spans="2:11" ht="21.75" customHeight="1" x14ac:dyDescent="0.25">
      <c r="B33" s="70" t="s">
        <v>1802</v>
      </c>
      <c r="C33" s="135" t="s">
        <v>1803</v>
      </c>
      <c r="D33" s="136" t="s">
        <v>1804</v>
      </c>
      <c r="E33" s="72" t="s">
        <v>1340</v>
      </c>
      <c r="F33" s="70" t="s">
        <v>468</v>
      </c>
      <c r="G33" s="144">
        <f>Inputs!$E$583</f>
        <v>30</v>
      </c>
      <c r="H33" s="135" t="str">
        <f>IF(Inputs!$E$583&lt;&gt;'Source Data'!$E$583,"Updated - FS data entered","DUMMY - awaiting FS")</f>
        <v>DUMMY - awaiting FS</v>
      </c>
      <c r="I33" s="22" t="s">
        <v>1805</v>
      </c>
      <c r="J33" s="22" t="s">
        <v>1806</v>
      </c>
    </row>
    <row r="34" spans="2:11" ht="21.75" customHeight="1" x14ac:dyDescent="0.25">
      <c r="B34" s="70" t="s">
        <v>1807</v>
      </c>
      <c r="C34" s="135" t="s">
        <v>1808</v>
      </c>
      <c r="D34" s="136" t="s">
        <v>1809</v>
      </c>
      <c r="E34" s="72" t="s">
        <v>292</v>
      </c>
      <c r="F34" s="70" t="s">
        <v>468</v>
      </c>
      <c r="G34" s="139">
        <f>Inputs!$E$584</f>
        <v>0.5</v>
      </c>
      <c r="H34" s="135" t="str">
        <f>IF(Inputs!$E$584&lt;&gt;'Source Data'!$E$584,"Updated - FS data entered","DUMMY - awaiting FS")</f>
        <v>DUMMY - awaiting FS</v>
      </c>
      <c r="I34" s="22" t="s">
        <v>1810</v>
      </c>
      <c r="J34" s="22" t="s">
        <v>1811</v>
      </c>
    </row>
    <row r="35" spans="2:11" ht="21.75" customHeight="1" x14ac:dyDescent="0.25">
      <c r="B35" s="70" t="s">
        <v>1812</v>
      </c>
      <c r="C35" s="135" t="s">
        <v>1813</v>
      </c>
      <c r="D35" s="136" t="s">
        <v>1814</v>
      </c>
      <c r="E35" s="72" t="s">
        <v>1360</v>
      </c>
      <c r="F35" s="70" t="s">
        <v>1707</v>
      </c>
      <c r="G35" s="141">
        <f>Inputs!M598</f>
        <v>0.105</v>
      </c>
      <c r="H35" s="135" t="str">
        <f>IF(SUMPRODUCT(--(Inputs!$H$598:$T$598&lt;&gt;'Source Data'!$H$598:$T$598))&gt;0,"Updated - FS data entered","DUMMY - awaiting FS")</f>
        <v>DUMMY - awaiting FS</v>
      </c>
      <c r="I35" s="22" t="s">
        <v>1815</v>
      </c>
      <c r="J35" s="22" t="s">
        <v>1816</v>
      </c>
    </row>
    <row r="36" spans="2:11" ht="21.75" customHeight="1" x14ac:dyDescent="0.25">
      <c r="B36" s="70" t="s">
        <v>1817</v>
      </c>
      <c r="C36" s="135" t="s">
        <v>1818</v>
      </c>
      <c r="D36" s="136" t="s">
        <v>1819</v>
      </c>
      <c r="E36" s="72" t="s">
        <v>816</v>
      </c>
      <c r="F36" s="70" t="s">
        <v>468</v>
      </c>
      <c r="G36" s="142">
        <f>Inputs!$E$585</f>
        <v>7</v>
      </c>
      <c r="H36" s="135" t="str">
        <f>IF(Inputs!$E$585&lt;&gt;'Source Data'!$E$585,"Updated - FS data entered","DUMMY - awaiting FS")</f>
        <v>DUMMY - awaiting FS</v>
      </c>
      <c r="I36" s="22" t="s">
        <v>1820</v>
      </c>
      <c r="J36" s="22" t="s">
        <v>1821</v>
      </c>
    </row>
    <row r="37" spans="2:11" ht="21.75" customHeight="1" x14ac:dyDescent="0.25">
      <c r="B37" s="70" t="s">
        <v>1822</v>
      </c>
      <c r="C37" s="135" t="s">
        <v>1823</v>
      </c>
      <c r="D37" s="136" t="s">
        <v>1824</v>
      </c>
      <c r="E37" s="72" t="s">
        <v>816</v>
      </c>
      <c r="F37" s="70" t="s">
        <v>468</v>
      </c>
      <c r="G37" s="142">
        <f>Inputs!$E$586</f>
        <v>2</v>
      </c>
      <c r="H37" s="135" t="str">
        <f>IF(Inputs!$E$586&lt;&gt;'Source Data'!$E$586,"Updated - FS data entered","DUMMY - awaiting FS")</f>
        <v>DUMMY - awaiting FS</v>
      </c>
      <c r="I37" s="22" t="s">
        <v>1825</v>
      </c>
      <c r="J37" s="22" t="s">
        <v>1821</v>
      </c>
    </row>
    <row r="38" spans="2:11" ht="24.75" customHeight="1" x14ac:dyDescent="0.25">
      <c r="B38" s="70" t="s">
        <v>1826</v>
      </c>
      <c r="C38" s="135" t="s">
        <v>1827</v>
      </c>
      <c r="D38" s="136" t="s">
        <v>1828</v>
      </c>
      <c r="E38" s="72" t="s">
        <v>292</v>
      </c>
      <c r="F38" s="70" t="s">
        <v>468</v>
      </c>
      <c r="G38" s="139">
        <f>Inputs!$E$569</f>
        <v>1</v>
      </c>
      <c r="H38" s="135" t="str">
        <f>IF(Inputs!$E$569&lt;&gt;'Source Data'!$E$569,"Updated - FS data entered","DUMMY - awaiting FS")</f>
        <v>DUMMY - awaiting FS</v>
      </c>
      <c r="I38" s="22" t="s">
        <v>1829</v>
      </c>
      <c r="J38" s="22" t="s">
        <v>1830</v>
      </c>
    </row>
    <row r="40" spans="2:11" x14ac:dyDescent="0.25">
      <c r="C40" s="145" t="s">
        <v>1831</v>
      </c>
    </row>
    <row r="42" spans="2:11" x14ac:dyDescent="0.25">
      <c r="B42" s="58" t="s">
        <v>1832</v>
      </c>
      <c r="C42" s="19"/>
      <c r="D42" s="19"/>
      <c r="E42" s="19"/>
      <c r="F42" s="19"/>
      <c r="G42" s="19"/>
      <c r="H42" s="19"/>
      <c r="I42" s="19"/>
      <c r="J42" s="19"/>
      <c r="K42" s="19"/>
    </row>
    <row r="43" spans="2:11" ht="27.75" customHeight="1" x14ac:dyDescent="0.25">
      <c r="B43" s="25" t="s">
        <v>1685</v>
      </c>
      <c r="C43" s="25" t="s">
        <v>1833</v>
      </c>
      <c r="D43" s="25" t="s">
        <v>1834</v>
      </c>
      <c r="E43" s="25" t="s">
        <v>466</v>
      </c>
      <c r="F43" s="25" t="s">
        <v>1688</v>
      </c>
      <c r="G43" s="25" t="s">
        <v>1835</v>
      </c>
      <c r="H43" s="25" t="s">
        <v>1690</v>
      </c>
      <c r="I43" s="25" t="s">
        <v>1691</v>
      </c>
      <c r="J43" s="25" t="s">
        <v>1836</v>
      </c>
      <c r="K43" s="25"/>
    </row>
    <row r="44" spans="2:11" x14ac:dyDescent="0.25">
      <c r="B44" s="70" t="s">
        <v>1837</v>
      </c>
      <c r="C44" s="70" t="str">
        <f>"F01  "&amp;IF(LEN(Inputs!$E$711&amp;"")=0,"(blank)",Inputs!$E$711)</f>
        <v>F01  (blank)</v>
      </c>
      <c r="D44" s="44" t="s">
        <v>1838</v>
      </c>
      <c r="E44" s="72" t="s">
        <v>1541</v>
      </c>
      <c r="F44" s="70" t="s">
        <v>468</v>
      </c>
      <c r="G44" s="146" t="str">
        <f>IF(LEN(Inputs!$E$711&amp;"")=0,"(blank)",Inputs!$E$711)</f>
        <v>(blank)</v>
      </c>
      <c r="H44" s="135" t="str">
        <f>IF(LEN(Inputs!$E$711&amp;"")=0,"Blank - optional","Entered")</f>
        <v>Blank - optional</v>
      </c>
      <c r="I44" s="22" t="s">
        <v>1839</v>
      </c>
      <c r="J44" s="22" t="s">
        <v>1840</v>
      </c>
    </row>
    <row r="45" spans="2:11" x14ac:dyDescent="0.25">
      <c r="B45" s="70" t="s">
        <v>1837</v>
      </c>
      <c r="C45" s="70" t="str">
        <f>"F01  "&amp;IF(LEN(Inputs!$E$711&amp;"")=0,"(blank)",Inputs!$E$711)</f>
        <v>F01  (blank)</v>
      </c>
      <c r="D45" s="44" t="s">
        <v>1841</v>
      </c>
      <c r="E45" s="72" t="s">
        <v>806</v>
      </c>
      <c r="F45" s="70" t="s">
        <v>468</v>
      </c>
      <c r="G45" s="146" t="str">
        <f>IF(LEN(Inputs!$E$712&amp;"")=0,"(blank)",Inputs!$E$712)</f>
        <v>(blank)</v>
      </c>
      <c r="H45" s="135" t="str">
        <f>IF(LEN(Inputs!$E$712&amp;"")=0,"Blank - optional","Entered")</f>
        <v>Blank - optional</v>
      </c>
      <c r="I45" s="22" t="s">
        <v>1842</v>
      </c>
      <c r="J45" s="22" t="s">
        <v>1840</v>
      </c>
    </row>
    <row r="46" spans="2:11" x14ac:dyDescent="0.25">
      <c r="B46" s="70" t="s">
        <v>1837</v>
      </c>
      <c r="C46" s="70" t="str">
        <f>"F01  "&amp;IF(LEN(Inputs!$E$711&amp;"")=0,"(blank)",Inputs!$E$711)</f>
        <v>F01  (blank)</v>
      </c>
      <c r="D46" s="44" t="s">
        <v>1843</v>
      </c>
      <c r="E46" s="72" t="s">
        <v>810</v>
      </c>
      <c r="F46" s="70" t="s">
        <v>1707</v>
      </c>
      <c r="G46" s="147">
        <f>SUM(Inputs!$H$713:$T$713)</f>
        <v>0</v>
      </c>
      <c r="H46" s="135" t="str">
        <f>IF(COUNT(Inputs!$H$713:$T$713)=0,"Blank - optional",IF(ABS(SUM(Inputs!$H$713:$T$713)-1)&lt;0.0001,"Entered - adds to 100%","WARNING - does not add to 100%"))</f>
        <v>Blank - optional</v>
      </c>
      <c r="I46" s="22" t="s">
        <v>1844</v>
      </c>
      <c r="J46" s="22" t="s">
        <v>1840</v>
      </c>
    </row>
    <row r="47" spans="2:11" x14ac:dyDescent="0.25">
      <c r="B47" s="70" t="s">
        <v>1845</v>
      </c>
      <c r="C47" s="70" t="str">
        <f>"F02  "&amp;IF(LEN(Inputs!$E$716&amp;"")=0,"(blank)",Inputs!$E$716)</f>
        <v>F02  (blank)</v>
      </c>
      <c r="D47" s="44" t="s">
        <v>1838</v>
      </c>
      <c r="E47" s="72" t="s">
        <v>1541</v>
      </c>
      <c r="F47" s="70" t="s">
        <v>468</v>
      </c>
      <c r="G47" s="146" t="str">
        <f>IF(LEN(Inputs!$E$716&amp;"")=0,"(blank)",Inputs!$E$716)</f>
        <v>(blank)</v>
      </c>
      <c r="H47" s="135" t="str">
        <f>IF(LEN(Inputs!$E$716&amp;"")=0,"Blank - optional","Entered")</f>
        <v>Blank - optional</v>
      </c>
      <c r="I47" s="22" t="s">
        <v>1846</v>
      </c>
      <c r="J47" s="22" t="s">
        <v>1847</v>
      </c>
    </row>
    <row r="48" spans="2:11" x14ac:dyDescent="0.25">
      <c r="B48" s="70" t="s">
        <v>1845</v>
      </c>
      <c r="C48" s="70" t="str">
        <f>"F02  "&amp;IF(LEN(Inputs!$E$716&amp;"")=0,"(blank)",Inputs!$E$716)</f>
        <v>F02  (blank)</v>
      </c>
      <c r="D48" s="44" t="s">
        <v>1841</v>
      </c>
      <c r="E48" s="72" t="s">
        <v>806</v>
      </c>
      <c r="F48" s="70" t="s">
        <v>468</v>
      </c>
      <c r="G48" s="146" t="str">
        <f>IF(LEN(Inputs!$E$717&amp;"")=0,"(blank)",Inputs!$E$717)</f>
        <v>(blank)</v>
      </c>
      <c r="H48" s="135" t="str">
        <f>IF(LEN(Inputs!$E$717&amp;"")=0,"Blank - optional","Entered")</f>
        <v>Blank - optional</v>
      </c>
      <c r="I48" s="22" t="s">
        <v>1848</v>
      </c>
      <c r="J48" s="22" t="s">
        <v>1847</v>
      </c>
    </row>
    <row r="49" spans="2:11" x14ac:dyDescent="0.25">
      <c r="B49" s="70" t="s">
        <v>1845</v>
      </c>
      <c r="C49" s="70" t="str">
        <f>"F02  "&amp;IF(LEN(Inputs!$E$716&amp;"")=0,"(blank)",Inputs!$E$716)</f>
        <v>F02  (blank)</v>
      </c>
      <c r="D49" s="44" t="s">
        <v>1843</v>
      </c>
      <c r="E49" s="72" t="s">
        <v>810</v>
      </c>
      <c r="F49" s="70" t="s">
        <v>1707</v>
      </c>
      <c r="G49" s="147">
        <f>SUM(Inputs!$H$718:$T$718)</f>
        <v>0</v>
      </c>
      <c r="H49" s="135" t="str">
        <f>IF(COUNT(Inputs!$H$718:$T$718)=0,"Blank - optional",IF(ABS(SUM(Inputs!$H$718:$T$718)-1)&lt;0.0001,"Entered - adds to 100%","WARNING - does not add to 100%"))</f>
        <v>Blank - optional</v>
      </c>
      <c r="I49" s="22" t="s">
        <v>1849</v>
      </c>
      <c r="J49" s="22" t="s">
        <v>1847</v>
      </c>
    </row>
    <row r="50" spans="2:11" x14ac:dyDescent="0.25">
      <c r="B50" s="70" t="s">
        <v>1850</v>
      </c>
      <c r="C50" s="70" t="str">
        <f>"F03  "&amp;IF(LEN(Inputs!$E$721&amp;"")=0,"(blank)",Inputs!$E$721)</f>
        <v>F03  (blank)</v>
      </c>
      <c r="D50" s="44" t="s">
        <v>1838</v>
      </c>
      <c r="E50" s="72" t="s">
        <v>1541</v>
      </c>
      <c r="F50" s="70" t="s">
        <v>468</v>
      </c>
      <c r="G50" s="146" t="str">
        <f>IF(LEN(Inputs!$E$721&amp;"")=0,"(blank)",Inputs!$E$721)</f>
        <v>(blank)</v>
      </c>
      <c r="H50" s="135" t="str">
        <f>IF(LEN(Inputs!$E$721&amp;"")=0,"Blank - optional","Entered")</f>
        <v>Blank - optional</v>
      </c>
      <c r="I50" s="22" t="s">
        <v>1851</v>
      </c>
      <c r="J50" s="22" t="s">
        <v>1852</v>
      </c>
    </row>
    <row r="51" spans="2:11" x14ac:dyDescent="0.25">
      <c r="B51" s="70" t="s">
        <v>1850</v>
      </c>
      <c r="C51" s="70" t="str">
        <f>"F03  "&amp;IF(LEN(Inputs!$E$721&amp;"")=0,"(blank)",Inputs!$E$721)</f>
        <v>F03  (blank)</v>
      </c>
      <c r="D51" s="44" t="s">
        <v>1841</v>
      </c>
      <c r="E51" s="72" t="s">
        <v>806</v>
      </c>
      <c r="F51" s="70" t="s">
        <v>468</v>
      </c>
      <c r="G51" s="146" t="str">
        <f>IF(LEN(Inputs!$E$722&amp;"")=0,"(blank)",Inputs!$E$722)</f>
        <v>(blank)</v>
      </c>
      <c r="H51" s="135" t="str">
        <f>IF(LEN(Inputs!$E$722&amp;"")=0,"Blank - optional","Entered")</f>
        <v>Blank - optional</v>
      </c>
      <c r="I51" s="22" t="s">
        <v>1853</v>
      </c>
      <c r="J51" s="22" t="s">
        <v>1852</v>
      </c>
    </row>
    <row r="52" spans="2:11" x14ac:dyDescent="0.25">
      <c r="B52" s="70" t="s">
        <v>1850</v>
      </c>
      <c r="C52" s="70" t="str">
        <f>"F03  "&amp;IF(LEN(Inputs!$E$721&amp;"")=0,"(blank)",Inputs!$E$721)</f>
        <v>F03  (blank)</v>
      </c>
      <c r="D52" s="44" t="s">
        <v>1843</v>
      </c>
      <c r="E52" s="72" t="s">
        <v>810</v>
      </c>
      <c r="F52" s="70" t="s">
        <v>1707</v>
      </c>
      <c r="G52" s="147">
        <f>SUM(Inputs!$H$723:$T$723)</f>
        <v>0</v>
      </c>
      <c r="H52" s="135" t="str">
        <f>IF(COUNT(Inputs!$H$723:$T$723)=0,"Blank - optional",IF(ABS(SUM(Inputs!$H$723:$T$723)-1)&lt;0.0001,"Entered - adds to 100%","WARNING - does not add to 100%"))</f>
        <v>Blank - optional</v>
      </c>
      <c r="I52" s="22" t="s">
        <v>1854</v>
      </c>
      <c r="J52" s="22" t="s">
        <v>1852</v>
      </c>
    </row>
    <row r="53" spans="2:11" x14ac:dyDescent="0.25">
      <c r="B53" s="70" t="s">
        <v>1855</v>
      </c>
      <c r="C53" s="70" t="str">
        <f>"F04  "&amp;IF(LEN(Inputs!$E$726&amp;"")=0,"(blank)",Inputs!$E$726)</f>
        <v>F04  (blank)</v>
      </c>
      <c r="D53" s="44" t="s">
        <v>1838</v>
      </c>
      <c r="E53" s="72" t="s">
        <v>1541</v>
      </c>
      <c r="F53" s="70" t="s">
        <v>468</v>
      </c>
      <c r="G53" s="146" t="str">
        <f>IF(LEN(Inputs!$E$726&amp;"")=0,"(blank)",Inputs!$E$726)</f>
        <v>(blank)</v>
      </c>
      <c r="H53" s="135" t="str">
        <f>IF(LEN(Inputs!$E$726&amp;"")=0,"Blank - optional","Entered")</f>
        <v>Blank - optional</v>
      </c>
      <c r="I53" s="22" t="s">
        <v>1856</v>
      </c>
      <c r="J53" s="22" t="s">
        <v>1857</v>
      </c>
    </row>
    <row r="54" spans="2:11" x14ac:dyDescent="0.25">
      <c r="B54" s="70" t="s">
        <v>1855</v>
      </c>
      <c r="C54" s="70" t="str">
        <f>"F04  "&amp;IF(LEN(Inputs!$E$726&amp;"")=0,"(blank)",Inputs!$E$726)</f>
        <v>F04  (blank)</v>
      </c>
      <c r="D54" s="44" t="s">
        <v>1841</v>
      </c>
      <c r="E54" s="72" t="s">
        <v>806</v>
      </c>
      <c r="F54" s="70" t="s">
        <v>468</v>
      </c>
      <c r="G54" s="146" t="str">
        <f>IF(LEN(Inputs!$E$727&amp;"")=0,"(blank)",Inputs!$E$727)</f>
        <v>(blank)</v>
      </c>
      <c r="H54" s="135" t="str">
        <f>IF(LEN(Inputs!$E$727&amp;"")=0,"Blank - optional","Entered")</f>
        <v>Blank - optional</v>
      </c>
      <c r="I54" s="22" t="s">
        <v>1858</v>
      </c>
      <c r="J54" s="22" t="s">
        <v>1857</v>
      </c>
    </row>
    <row r="55" spans="2:11" x14ac:dyDescent="0.25">
      <c r="B55" s="70" t="s">
        <v>1855</v>
      </c>
      <c r="C55" s="70" t="str">
        <f>"F04  "&amp;IF(LEN(Inputs!$E$726&amp;"")=0,"(blank)",Inputs!$E$726)</f>
        <v>F04  (blank)</v>
      </c>
      <c r="D55" s="44" t="s">
        <v>1843</v>
      </c>
      <c r="E55" s="72" t="s">
        <v>810</v>
      </c>
      <c r="F55" s="70" t="s">
        <v>1707</v>
      </c>
      <c r="G55" s="147">
        <f>SUM(Inputs!$H$728:$T$728)</f>
        <v>0</v>
      </c>
      <c r="H55" s="135" t="str">
        <f>IF(COUNT(Inputs!$H$728:$T$728)=0,"Blank - optional",IF(ABS(SUM(Inputs!$H$728:$T$728)-1)&lt;0.0001,"Entered - adds to 100%","WARNING - does not add to 100%"))</f>
        <v>Blank - optional</v>
      </c>
      <c r="I55" s="22" t="s">
        <v>1859</v>
      </c>
      <c r="J55" s="22" t="s">
        <v>1857</v>
      </c>
    </row>
    <row r="56" spans="2:11" x14ac:dyDescent="0.25">
      <c r="B56" s="70" t="s">
        <v>1860</v>
      </c>
      <c r="C56" s="70" t="str">
        <f>"F05  "&amp;IF(LEN(Inputs!$E$731&amp;"")=0,"(blank)",Inputs!$E$731)</f>
        <v>F05  (blank)</v>
      </c>
      <c r="D56" s="44" t="s">
        <v>1838</v>
      </c>
      <c r="E56" s="72" t="s">
        <v>1541</v>
      </c>
      <c r="F56" s="70" t="s">
        <v>468</v>
      </c>
      <c r="G56" s="146" t="str">
        <f>IF(LEN(Inputs!$E$731&amp;"")=0,"(blank)",Inputs!$E$731)</f>
        <v>(blank)</v>
      </c>
      <c r="H56" s="135" t="str">
        <f>IF(LEN(Inputs!$E$731&amp;"")=0,"Blank - optional","Entered")</f>
        <v>Blank - optional</v>
      </c>
      <c r="I56" s="22" t="s">
        <v>1861</v>
      </c>
      <c r="J56" s="22" t="s">
        <v>1862</v>
      </c>
    </row>
    <row r="57" spans="2:11" x14ac:dyDescent="0.25">
      <c r="B57" s="70" t="s">
        <v>1860</v>
      </c>
      <c r="C57" s="70" t="str">
        <f>"F05  "&amp;IF(LEN(Inputs!$E$731&amp;"")=0,"(blank)",Inputs!$E$731)</f>
        <v>F05  (blank)</v>
      </c>
      <c r="D57" s="44" t="s">
        <v>1841</v>
      </c>
      <c r="E57" s="72" t="s">
        <v>806</v>
      </c>
      <c r="F57" s="70" t="s">
        <v>468</v>
      </c>
      <c r="G57" s="146" t="str">
        <f>IF(LEN(Inputs!$E$732&amp;"")=0,"(blank)",Inputs!$E$732)</f>
        <v>(blank)</v>
      </c>
      <c r="H57" s="135" t="str">
        <f>IF(LEN(Inputs!$E$732&amp;"")=0,"Blank - optional","Entered")</f>
        <v>Blank - optional</v>
      </c>
      <c r="I57" s="22" t="s">
        <v>1863</v>
      </c>
      <c r="J57" s="22" t="s">
        <v>1862</v>
      </c>
    </row>
    <row r="58" spans="2:11" x14ac:dyDescent="0.25">
      <c r="B58" s="70" t="s">
        <v>1860</v>
      </c>
      <c r="C58" s="70" t="str">
        <f>"F05  "&amp;IF(LEN(Inputs!$E$731&amp;"")=0,"(blank)",Inputs!$E$731)</f>
        <v>F05  (blank)</v>
      </c>
      <c r="D58" s="44" t="s">
        <v>1843</v>
      </c>
      <c r="E58" s="72" t="s">
        <v>810</v>
      </c>
      <c r="F58" s="70" t="s">
        <v>1707</v>
      </c>
      <c r="G58" s="147">
        <f>SUM(Inputs!$H$733:$T$733)</f>
        <v>0</v>
      </c>
      <c r="H58" s="135" t="str">
        <f>IF(COUNT(Inputs!$H$733:$T$733)=0,"Blank - optional",IF(ABS(SUM(Inputs!$H$733:$T$733)-1)&lt;0.0001,"Entered - adds to 100%","WARNING - does not add to 100%"))</f>
        <v>Blank - optional</v>
      </c>
      <c r="I58" s="22" t="s">
        <v>1864</v>
      </c>
      <c r="J58" s="22" t="s">
        <v>1862</v>
      </c>
    </row>
    <row r="60" spans="2:11" x14ac:dyDescent="0.25">
      <c r="B60" s="58" t="s">
        <v>1865</v>
      </c>
      <c r="C60" s="19"/>
      <c r="D60" s="19"/>
      <c r="E60" s="19"/>
      <c r="F60" s="19"/>
      <c r="G60" s="19"/>
      <c r="H60" s="19"/>
      <c r="I60" s="19"/>
      <c r="J60" s="19"/>
      <c r="K60" s="19"/>
    </row>
    <row r="61" spans="2:11" ht="27.75" customHeight="1" x14ac:dyDescent="0.25">
      <c r="B61" s="25" t="s">
        <v>1685</v>
      </c>
      <c r="C61" s="25" t="s">
        <v>444</v>
      </c>
      <c r="D61" s="25" t="s">
        <v>1866</v>
      </c>
      <c r="E61" s="25" t="s">
        <v>1867</v>
      </c>
      <c r="F61" s="25" t="s">
        <v>1868</v>
      </c>
      <c r="G61" s="25"/>
      <c r="H61" s="25" t="s">
        <v>1690</v>
      </c>
      <c r="I61" s="25" t="s">
        <v>1691</v>
      </c>
      <c r="J61" s="25"/>
      <c r="K61" s="25"/>
    </row>
    <row r="62" spans="2:11" ht="47.25" customHeight="1" x14ac:dyDescent="0.25">
      <c r="B62" s="70" t="s">
        <v>1869</v>
      </c>
      <c r="C62" s="70" t="str">
        <f>"P16  "&amp;Inputs!$E$605</f>
        <v>P16  Lampung</v>
      </c>
      <c r="D62" s="136" t="str">
        <f>IF(Inputs!$E$634=1,"All required inputs complete","Missing: "&amp;Inputs!$G$633)</f>
        <v xml:space="preserve">Missing: ownership (0-100%); commencement date (2026-2036); capacity; utilisation for every operating year; tariff for every operating year; variable cost for every operating year; fixed cost for every operating year; capex total; capex phasing adding to 100%; building share and useful lives; </v>
      </c>
      <c r="E62" s="148">
        <f>Inputs!$E$634</f>
        <v>0</v>
      </c>
      <c r="F62" s="148">
        <f>Inputs!$E$79</f>
        <v>0</v>
      </c>
      <c r="H62" s="149" t="str">
        <f>Inputs!$I$79</f>
        <v>Placeholder - inputs not yet populated (OFF)</v>
      </c>
      <c r="I62" s="22" t="s">
        <v>1870</v>
      </c>
    </row>
    <row r="63" spans="2:11" ht="47.25" customHeight="1" x14ac:dyDescent="0.25">
      <c r="B63" s="70" t="s">
        <v>1871</v>
      </c>
      <c r="C63" s="70" t="str">
        <f>"P17  "&amp;Inputs!$E$639</f>
        <v>P17  Pipeline Project 2</v>
      </c>
      <c r="D63" s="136" t="str">
        <f>IF(Inputs!$E$668=1,"All required inputs complete","Missing: "&amp;Inputs!$G$667)</f>
        <v xml:space="preserve">Missing: ownership (0-100%); commencement date (2026-2036); capacity; utilisation for every operating year; tariff for every operating year; variable cost for every operating year; fixed cost for every operating year; capex total; capex phasing adding to 100%; building share and useful lives; </v>
      </c>
      <c r="E63" s="148">
        <f>Inputs!$E$668</f>
        <v>0</v>
      </c>
      <c r="F63" s="148">
        <f>Inputs!$E$80</f>
        <v>0</v>
      </c>
      <c r="H63" s="149" t="str">
        <f>Inputs!$I$80</f>
        <v>Placeholder - inputs not yet populated (OFF)</v>
      </c>
      <c r="I63" s="22" t="s">
        <v>1872</v>
      </c>
    </row>
    <row r="64" spans="2:11" ht="47.25" customHeight="1" x14ac:dyDescent="0.25">
      <c r="B64" s="70" t="s">
        <v>1873</v>
      </c>
      <c r="C64" s="70" t="str">
        <f>"P18  "&amp;Inputs!$E$673</f>
        <v>P18  Pipeline Project 3</v>
      </c>
      <c r="D64" s="136" t="str">
        <f>IF(Inputs!$E$702=1,"All required inputs complete","Missing: "&amp;Inputs!$G$701)</f>
        <v xml:space="preserve">Missing: ownership (0-100%); commencement date (2026-2036); capacity; utilisation for every operating year; tariff for every operating year; variable cost for every operating year; fixed cost for every operating year; capex total; capex phasing adding to 100%; building share and useful lives; </v>
      </c>
      <c r="E64" s="148">
        <f>Inputs!$E$702</f>
        <v>0</v>
      </c>
      <c r="F64" s="148">
        <f>Inputs!$E$81</f>
        <v>0</v>
      </c>
      <c r="H64" s="149" t="str">
        <f>Inputs!$I$81</f>
        <v>Placeholder - inputs not yet populated (OFF)</v>
      </c>
      <c r="I64" s="22" t="s">
        <v>1874</v>
      </c>
    </row>
  </sheetData>
  <conditionalFormatting sqref="H9:H38">
    <cfRule type="expression" dxfId="97" priority="2">
      <formula>LEFT(H9,5)="DUMMY"</formula>
    </cfRule>
    <cfRule type="expression" dxfId="96" priority="3">
      <formula>LEFT(H9,7)="Updated"</formula>
    </cfRule>
  </conditionalFormatting>
  <hyperlinks>
    <hyperlink ref="C3" location="'Model Flow'!A1" display="Model Flow" xr:uid="{00000000-0004-0000-0200-000000000000}"/>
    <hyperlink ref="D3" location="Inputs!A1" display="Inputs" xr:uid="{00000000-0004-0000-0200-000001000000}"/>
    <hyperlink ref="F3" location="'Revenue Calculation'!A1" display="Revenue" xr:uid="{00000000-0004-0000-0200-000002000000}"/>
    <hyperlink ref="G3" location="'Cost Calculation'!A1" display="Costs" xr:uid="{00000000-0004-0000-0200-000003000000}"/>
    <hyperlink ref="H3" location="'BUMN Synergy Calculation'!A1" display="BUMN Synergy" xr:uid="{00000000-0004-0000-0200-000004000000}"/>
    <hyperlink ref="I3" location="'Capex &amp; Depreciation'!A1" display="Capex" xr:uid="{00000000-0004-0000-0200-000005000000}"/>
    <hyperlink ref="J3" location="'Working Capital'!A1" display="Work. cap." xr:uid="{00000000-0004-0000-0200-000006000000}"/>
    <hyperlink ref="K3" location="Financing!A1" display="Financing" xr:uid="{00000000-0004-0000-0200-000007000000}"/>
    <hyperlink ref="L3" location="'Funding Requirement'!A1" display="Funding" xr:uid="{00000000-0004-0000-0200-000008000000}"/>
    <hyperlink ref="M3" location="'FSL Output - Without BUMN'!A1" display="Out: w/o BUMN" xr:uid="{00000000-0004-0000-0200-000009000000}"/>
    <hyperlink ref="N3" location="'FSL Output - With BUMN'!A1" display="Out: With BUMN" xr:uid="{00000000-0004-0000-0200-00000A000000}"/>
    <hyperlink ref="O3" location="'Valuation — Without BUMN'!A1" display="Val: w/o BUMN" xr:uid="{00000000-0004-0000-0200-00000B000000}"/>
    <hyperlink ref="P3" location="'Valuation — With BUMN'!A1" display="Val: With BUMN" xr:uid="{00000000-0004-0000-0200-00000C000000}"/>
    <hyperlink ref="Q3" location="'Project Cash Flows'!A1" display="Proj. CF" xr:uid="{00000000-0004-0000-0200-00000D000000}"/>
    <hyperlink ref="R3" location="'Project Summary'!A1" display="Proj. Summary" xr:uid="{00000000-0004-0000-0200-00000E000000}"/>
    <hyperlink ref="S3" location="'Checks &amp; Reconciliation'!A1" display="Checks" xr:uid="{00000000-0004-0000-0200-00000F000000}"/>
    <hyperlink ref="T3" location="'Source Data'!A1" display="Source Data" xr:uid="{00000000-0004-0000-0200-000010000000}"/>
    <hyperlink ref="I9" location="Inputs!E571" display="Inputs E571" xr:uid="{00000000-0004-0000-0200-000011000000}"/>
    <hyperlink ref="J9" location="'Revenue Calculation'!B28" display="Revenue row 28" xr:uid="{00000000-0004-0000-0200-000012000000}"/>
    <hyperlink ref="I10" location="Inputs!E572" display="Inputs E572" xr:uid="{00000000-0004-0000-0200-000013000000}"/>
    <hyperlink ref="J10" location="'Revenue Calculation'!B175" display="Revenue row 175" xr:uid="{00000000-0004-0000-0200-000014000000}"/>
    <hyperlink ref="I11" location="Inputs!H587" display="Inputs H587" xr:uid="{00000000-0004-0000-0200-000015000000}"/>
    <hyperlink ref="J11" location="'Revenue Calculation'!B175" display="Revenue row 175" xr:uid="{00000000-0004-0000-0200-000016000000}"/>
    <hyperlink ref="I12" location="Inputs!H588" display="Inputs H588" xr:uid="{00000000-0004-0000-0200-000017000000}"/>
    <hyperlink ref="J12" location="'Revenue Calculation'!B178" display="Revenue row 178 (+1)" xr:uid="{00000000-0004-0000-0200-000018000000}"/>
    <hyperlink ref="I13" location="Inputs!E573" display="Inputs E573" xr:uid="{00000000-0004-0000-0200-000019000000}"/>
    <hyperlink ref="J13" location="'Revenue Calculation'!B176" display="Revenue row 176" xr:uid="{00000000-0004-0000-0200-00001A000000}"/>
    <hyperlink ref="I14" location="Inputs!E574" display="Inputs E574" xr:uid="{00000000-0004-0000-0200-00001B000000}"/>
    <hyperlink ref="J14" location="'Revenue Calculation'!B182" display="Revenue row 182" xr:uid="{00000000-0004-0000-0200-00001C000000}"/>
    <hyperlink ref="I15" location="Inputs!H589" display="Inputs H589" xr:uid="{00000000-0004-0000-0200-00001D000000}"/>
    <hyperlink ref="J15" location="'Revenue Calculation'!B179" display="Revenue row 179 (+1)" xr:uid="{00000000-0004-0000-0200-00001E000000}"/>
    <hyperlink ref="I16" location="Inputs!E575" display="Inputs E575" xr:uid="{00000000-0004-0000-0200-00001F000000}"/>
    <hyperlink ref="J16" location="'Revenue Calculation'!B177" display="Revenue row 177" xr:uid="{00000000-0004-0000-0200-000020000000}"/>
    <hyperlink ref="I17" location="Inputs!H590" display="Inputs H590" xr:uid="{00000000-0004-0000-0200-000021000000}"/>
    <hyperlink ref="J17" location="'Revenue Calculation'!B180" display="Revenue row 180 (+1)" xr:uid="{00000000-0004-0000-0200-000022000000}"/>
    <hyperlink ref="I18" location="Inputs!E570" display="Inputs E570" xr:uid="{00000000-0004-0000-0200-000023000000}"/>
    <hyperlink ref="J18" location="'Revenue Calculation'!B185" display="Revenue row 185" xr:uid="{00000000-0004-0000-0200-000024000000}"/>
    <hyperlink ref="I19" location="Inputs!H597" display="Inputs H597" xr:uid="{00000000-0004-0000-0200-000025000000}"/>
    <hyperlink ref="J19" location="'Cost Calculation'!B205" display="Costs row 205" xr:uid="{00000000-0004-0000-0200-000026000000}"/>
    <hyperlink ref="I20" location="Inputs!H591" display="Inputs H591" xr:uid="{00000000-0004-0000-0200-000027000000}"/>
    <hyperlink ref="J20" location="'Cost Calculation'!B201" display="Costs row 201" xr:uid="{00000000-0004-0000-0200-000028000000}"/>
    <hyperlink ref="I21" location="Inputs!H592" display="Inputs H592" xr:uid="{00000000-0004-0000-0200-000029000000}"/>
    <hyperlink ref="J21" location="'Cost Calculation'!B202" display="Costs row 202" xr:uid="{00000000-0004-0000-0200-00002A000000}"/>
    <hyperlink ref="I22" location="Inputs!H593" display="Inputs H593" xr:uid="{00000000-0004-0000-0200-00002B000000}"/>
    <hyperlink ref="J22" location="'Cost Calculation'!B202" display="Costs row 202" xr:uid="{00000000-0004-0000-0200-00002C000000}"/>
    <hyperlink ref="I23" location="Inputs!H594" display="Inputs H594" xr:uid="{00000000-0004-0000-0200-00002D000000}"/>
    <hyperlink ref="J23" location="'Cost Calculation'!B207" display="Costs row 207" xr:uid="{00000000-0004-0000-0200-00002E000000}"/>
    <hyperlink ref="I24" location="Inputs!H595" display="Inputs H595" xr:uid="{00000000-0004-0000-0200-00002F000000}"/>
    <hyperlink ref="J24" location="'Cost Calculation'!B203" display="Costs row 203" xr:uid="{00000000-0004-0000-0200-000030000000}"/>
    <hyperlink ref="I25" location="Inputs!H596" display="Inputs H596" xr:uid="{00000000-0004-0000-0200-000031000000}"/>
    <hyperlink ref="J25" location="'Cost Calculation'!B204" display="Costs row 204" xr:uid="{00000000-0004-0000-0200-000032000000}"/>
    <hyperlink ref="I26" location="Inputs!E576" display="Inputs E576" xr:uid="{00000000-0004-0000-0200-000033000000}"/>
    <hyperlink ref="J26" location="'Cost Calculation'!B208" display="Costs row 208" xr:uid="{00000000-0004-0000-0200-000034000000}"/>
    <hyperlink ref="I27" location="Inputs!E577" display="Inputs E577" xr:uid="{00000000-0004-0000-0200-000035000000}"/>
    <hyperlink ref="J27" location="'Capex &amp; Depreciation'!B27" display="Capex row 27 (+1)" xr:uid="{00000000-0004-0000-0200-000036000000}"/>
    <hyperlink ref="I28" location="Inputs!H578" display="Inputs H578" xr:uid="{00000000-0004-0000-0200-000037000000}"/>
    <hyperlink ref="J28" location="'Capex &amp; Depreciation'!B27" display="Capex row 27" xr:uid="{00000000-0004-0000-0200-000038000000}"/>
    <hyperlink ref="I29" location="Inputs!E579" display="Inputs E579" xr:uid="{00000000-0004-0000-0200-000039000000}"/>
    <hyperlink ref="J29" location="'Capex &amp; Depreciation'!B170" display="Capex row 170" xr:uid="{00000000-0004-0000-0200-00003A000000}"/>
    <hyperlink ref="I30" location="Inputs!E580" display="Inputs E580" xr:uid="{00000000-0004-0000-0200-00003B000000}"/>
    <hyperlink ref="J30" location="'Capex &amp; Depreciation'!B170" display="Capex row 170" xr:uid="{00000000-0004-0000-0200-00003C000000}"/>
    <hyperlink ref="I31" location="Inputs!E581" display="Inputs E581" xr:uid="{00000000-0004-0000-0200-00003D000000}"/>
    <hyperlink ref="J31" location="'Capex &amp; Depreciation'!B170" display="Capex row 170" xr:uid="{00000000-0004-0000-0200-00003E000000}"/>
    <hyperlink ref="I32" location="Inputs!E582" display="Inputs E582" xr:uid="{00000000-0004-0000-0200-00003F000000}"/>
    <hyperlink ref="J32" location="'Working Capital'!B106" display="Work. cap. row 106" xr:uid="{00000000-0004-0000-0200-000040000000}"/>
    <hyperlink ref="I33" location="Inputs!E583" display="Inputs E583" xr:uid="{00000000-0004-0000-0200-000041000000}"/>
    <hyperlink ref="J33" location="'Working Capital'!B107" display="Work. cap. row 107" xr:uid="{00000000-0004-0000-0200-000042000000}"/>
    <hyperlink ref="I34" location="Inputs!E584" display="Inputs E584" xr:uid="{00000000-0004-0000-0200-000043000000}"/>
    <hyperlink ref="J34" location="Financing!B48" display="Financing row 48" xr:uid="{00000000-0004-0000-0200-000044000000}"/>
    <hyperlink ref="I35" location="Inputs!H598" display="Inputs H598" xr:uid="{00000000-0004-0000-0200-000045000000}"/>
    <hyperlink ref="J35" location="Financing!B51" display="Financing row 51" xr:uid="{00000000-0004-0000-0200-000046000000}"/>
    <hyperlink ref="I36" location="Inputs!E585" display="Inputs E585" xr:uid="{00000000-0004-0000-0200-000047000000}"/>
    <hyperlink ref="J36" location="Financing!B49" display="Financing row 49" xr:uid="{00000000-0004-0000-0200-000048000000}"/>
    <hyperlink ref="I37" location="Inputs!E586" display="Inputs E586" xr:uid="{00000000-0004-0000-0200-000049000000}"/>
    <hyperlink ref="J37" location="Financing!B49" display="Financing row 49" xr:uid="{00000000-0004-0000-0200-00004A000000}"/>
    <hyperlink ref="I38" location="Inputs!E569" display="Inputs E569" xr:uid="{00000000-0004-0000-0200-00004B000000}"/>
    <hyperlink ref="J38" location="'FSL Output - With BUMN'!B235" display="Out: With BUMN row 235" xr:uid="{00000000-0004-0000-0200-00004C000000}"/>
    <hyperlink ref="I44" location="Inputs!E711" display="Inputs E711" xr:uid="{00000000-0004-0000-0200-00004D000000}"/>
    <hyperlink ref="J44" location="'Capex &amp; Depreciation'!B341" display="Capex row 341" xr:uid="{00000000-0004-0000-0200-00004E000000}"/>
    <hyperlink ref="I45" location="Inputs!E712" display="Inputs E712" xr:uid="{00000000-0004-0000-0200-00004F000000}"/>
    <hyperlink ref="J45" location="'Capex &amp; Depreciation'!B341" display="Capex row 341" xr:uid="{00000000-0004-0000-0200-000050000000}"/>
    <hyperlink ref="I46" location="Inputs!H713" display="Inputs H713:T713" xr:uid="{00000000-0004-0000-0200-000051000000}"/>
    <hyperlink ref="J46" location="'Capex &amp; Depreciation'!B341" display="Capex row 341" xr:uid="{00000000-0004-0000-0200-000052000000}"/>
    <hyperlink ref="I47" location="Inputs!E716" display="Inputs E716" xr:uid="{00000000-0004-0000-0200-000053000000}"/>
    <hyperlink ref="J47" location="'Capex &amp; Depreciation'!B342" display="Capex row 342" xr:uid="{00000000-0004-0000-0200-000054000000}"/>
    <hyperlink ref="I48" location="Inputs!E717" display="Inputs E717" xr:uid="{00000000-0004-0000-0200-000055000000}"/>
    <hyperlink ref="J48" location="'Capex &amp; Depreciation'!B342" display="Capex row 342" xr:uid="{00000000-0004-0000-0200-000056000000}"/>
    <hyperlink ref="I49" location="Inputs!H718" display="Inputs H718:T718" xr:uid="{00000000-0004-0000-0200-000057000000}"/>
    <hyperlink ref="J49" location="'Capex &amp; Depreciation'!B342" display="Capex row 342" xr:uid="{00000000-0004-0000-0200-000058000000}"/>
    <hyperlink ref="I50" location="Inputs!E721" display="Inputs E721" xr:uid="{00000000-0004-0000-0200-000059000000}"/>
    <hyperlink ref="J50" location="'Capex &amp; Depreciation'!B343" display="Capex row 343" xr:uid="{00000000-0004-0000-0200-00005A000000}"/>
    <hyperlink ref="I51" location="Inputs!E722" display="Inputs E722" xr:uid="{00000000-0004-0000-0200-00005B000000}"/>
    <hyperlink ref="J51" location="'Capex &amp; Depreciation'!B343" display="Capex row 343" xr:uid="{00000000-0004-0000-0200-00005C000000}"/>
    <hyperlink ref="I52" location="Inputs!H723" display="Inputs H723:T723" xr:uid="{00000000-0004-0000-0200-00005D000000}"/>
    <hyperlink ref="J52" location="'Capex &amp; Depreciation'!B343" display="Capex row 343" xr:uid="{00000000-0004-0000-0200-00005E000000}"/>
    <hyperlink ref="I53" location="Inputs!E726" display="Inputs E726" xr:uid="{00000000-0004-0000-0200-00005F000000}"/>
    <hyperlink ref="J53" location="'Capex &amp; Depreciation'!B344" display="Capex row 344" xr:uid="{00000000-0004-0000-0200-000060000000}"/>
    <hyperlink ref="I54" location="Inputs!E727" display="Inputs E727" xr:uid="{00000000-0004-0000-0200-000061000000}"/>
    <hyperlink ref="J54" location="'Capex &amp; Depreciation'!B344" display="Capex row 344" xr:uid="{00000000-0004-0000-0200-000062000000}"/>
    <hyperlink ref="I55" location="Inputs!H728" display="Inputs H728:T728" xr:uid="{00000000-0004-0000-0200-000063000000}"/>
    <hyperlink ref="J55" location="'Capex &amp; Depreciation'!B344" display="Capex row 344" xr:uid="{00000000-0004-0000-0200-000064000000}"/>
    <hyperlink ref="I56" location="Inputs!E731" display="Inputs E731" xr:uid="{00000000-0004-0000-0200-000065000000}"/>
    <hyperlink ref="J56" location="'Capex &amp; Depreciation'!B345" display="Capex row 345" xr:uid="{00000000-0004-0000-0200-000066000000}"/>
    <hyperlink ref="I57" location="Inputs!E732" display="Inputs E732" xr:uid="{00000000-0004-0000-0200-000067000000}"/>
    <hyperlink ref="J57" location="'Capex &amp; Depreciation'!B345" display="Capex row 345" xr:uid="{00000000-0004-0000-0200-000068000000}"/>
    <hyperlink ref="I58" location="Inputs!H733" display="Inputs H733:T733" xr:uid="{00000000-0004-0000-0200-000069000000}"/>
    <hyperlink ref="J58" location="'Capex &amp; Depreciation'!B345" display="Capex row 345" xr:uid="{00000000-0004-0000-0200-00006A000000}"/>
    <hyperlink ref="I62" location="Inputs!B605" display="Inputs row 605" xr:uid="{00000000-0004-0000-0200-00006B000000}"/>
    <hyperlink ref="I63" location="Inputs!B639" display="Inputs row 639" xr:uid="{00000000-0004-0000-0200-00006C000000}"/>
    <hyperlink ref="I64" location="Inputs!B673" display="Inputs row 673" xr:uid="{00000000-0004-0000-0200-00006D000000}"/>
  </hyperlinks>
  <pageMargins left="0.4" right="0.4" top="0.5" bottom="0.5" header="0.511811023622047" footer="0.5"/>
  <pageSetup paperSize="9" fitToHeight="0" orientation="landscape" horizontalDpi="300" verticalDpi="300"/>
  <headerFooter>
    <oddFooter>&amp;L&amp;A&amp;RPage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48235"/>
    <pageSetUpPr fitToPage="1"/>
  </sheetPr>
  <dimension ref="B1:U227"/>
  <sheetViews>
    <sheetView showGridLines="0" zoomScale="85" zoomScaleNormal="85" workbookViewId="0">
      <pane xSplit="6" ySplit="6" topLeftCell="G152" activePane="bottomRight" state="frozen"/>
      <selection pane="topRight" activeCell="G1" sqref="G1"/>
      <selection pane="bottomLeft" activeCell="A7" sqref="A7"/>
      <selection pane="bottomRight" activeCell="H178" sqref="H178"/>
    </sheetView>
  </sheetViews>
  <sheetFormatPr defaultColWidth="8.7109375" defaultRowHeight="15" x14ac:dyDescent="0.25"/>
  <cols>
    <col min="1" max="1" width="1.5703125" customWidth="1"/>
    <col min="2" max="2" width="62" customWidth="1"/>
    <col min="3" max="3" width="10" customWidth="1"/>
    <col min="4" max="6" width="13" customWidth="1"/>
    <col min="7" max="20" width="10.5703125" customWidth="1"/>
    <col min="21" max="21" width="55" customWidth="1"/>
  </cols>
  <sheetData>
    <row r="1" spans="2:21" ht="18" x14ac:dyDescent="0.25">
      <c r="B1" s="13" t="s">
        <v>1875</v>
      </c>
    </row>
    <row r="2" spans="2:21" x14ac:dyDescent="0.25">
      <c r="B2" s="14" t="s">
        <v>1876</v>
      </c>
    </row>
    <row r="3" spans="2:21" x14ac:dyDescent="0.25">
      <c r="B3" s="15" t="s">
        <v>2</v>
      </c>
      <c r="C3" s="17" t="s">
        <v>422</v>
      </c>
      <c r="D3" s="17" t="s">
        <v>4</v>
      </c>
      <c r="E3" s="17" t="s">
        <v>5</v>
      </c>
      <c r="F3" s="16" t="s">
        <v>1877</v>
      </c>
      <c r="G3" s="17" t="s">
        <v>7</v>
      </c>
      <c r="H3" s="17" t="s">
        <v>8</v>
      </c>
      <c r="I3" s="17" t="s">
        <v>9</v>
      </c>
      <c r="J3" s="17" t="s">
        <v>10</v>
      </c>
      <c r="K3" s="17" t="s">
        <v>11</v>
      </c>
      <c r="L3" s="17" t="s">
        <v>12</v>
      </c>
      <c r="M3" s="17" t="s">
        <v>13</v>
      </c>
      <c r="N3" s="17" t="s">
        <v>14</v>
      </c>
      <c r="O3" s="17" t="s">
        <v>15</v>
      </c>
      <c r="P3" s="17" t="s">
        <v>16</v>
      </c>
      <c r="Q3" s="17" t="s">
        <v>17</v>
      </c>
      <c r="R3" s="17" t="s">
        <v>18</v>
      </c>
      <c r="S3" s="17" t="s">
        <v>19</v>
      </c>
      <c r="T3" s="17" t="s">
        <v>20</v>
      </c>
    </row>
    <row r="4" spans="2:21" x14ac:dyDescent="0.25">
      <c r="G4" s="77" t="s">
        <v>1878</v>
      </c>
      <c r="H4" s="77" t="s">
        <v>1879</v>
      </c>
      <c r="I4" s="77" t="s">
        <v>1879</v>
      </c>
      <c r="J4" s="77" t="s">
        <v>1879</v>
      </c>
      <c r="K4" s="77" t="s">
        <v>1879</v>
      </c>
      <c r="L4" s="77" t="s">
        <v>1879</v>
      </c>
      <c r="M4" s="77" t="s">
        <v>1879</v>
      </c>
      <c r="N4" s="77" t="s">
        <v>1879</v>
      </c>
      <c r="O4" s="77" t="s">
        <v>1879</v>
      </c>
      <c r="P4" s="77" t="s">
        <v>1879</v>
      </c>
      <c r="Q4" s="77" t="s">
        <v>1879</v>
      </c>
      <c r="R4" s="77" t="s">
        <v>1879</v>
      </c>
      <c r="S4" s="77" t="s">
        <v>1879</v>
      </c>
      <c r="T4" s="77" t="s">
        <v>1879</v>
      </c>
    </row>
    <row r="5" spans="2:21" x14ac:dyDescent="0.25">
      <c r="B5" s="150" t="s">
        <v>1880</v>
      </c>
      <c r="C5" s="150" t="s">
        <v>466</v>
      </c>
      <c r="D5" s="59" t="s">
        <v>1881</v>
      </c>
      <c r="E5" s="59" t="s">
        <v>468</v>
      </c>
      <c r="F5" s="60"/>
      <c r="G5" s="151">
        <v>2023</v>
      </c>
      <c r="H5" s="152">
        <v>2024</v>
      </c>
      <c r="I5" s="152">
        <v>2025</v>
      </c>
      <c r="J5" s="152">
        <v>2026</v>
      </c>
      <c r="K5" s="152">
        <v>2027</v>
      </c>
      <c r="L5" s="152">
        <v>2028</v>
      </c>
      <c r="M5" s="152">
        <v>2029</v>
      </c>
      <c r="N5" s="152">
        <v>2030</v>
      </c>
      <c r="O5" s="152">
        <v>2031</v>
      </c>
      <c r="P5" s="152">
        <v>2032</v>
      </c>
      <c r="Q5" s="152">
        <v>2033</v>
      </c>
      <c r="R5" s="152">
        <v>2034</v>
      </c>
      <c r="S5" s="152">
        <v>2035</v>
      </c>
      <c r="T5" s="152">
        <v>2036</v>
      </c>
      <c r="U5" s="59" t="s">
        <v>1882</v>
      </c>
    </row>
    <row r="6" spans="2:21" x14ac:dyDescent="0.25">
      <c r="B6" s="58" t="s">
        <v>1883</v>
      </c>
      <c r="C6" s="19"/>
      <c r="D6" s="19"/>
      <c r="E6" s="19"/>
      <c r="F6" s="19"/>
      <c r="G6" s="19"/>
      <c r="H6" s="19"/>
      <c r="I6" s="19"/>
      <c r="J6" s="19"/>
      <c r="K6" s="19"/>
      <c r="L6" s="19"/>
      <c r="M6" s="19"/>
      <c r="N6" s="19"/>
      <c r="O6" s="19"/>
      <c r="P6" s="19"/>
      <c r="Q6" s="19"/>
      <c r="R6" s="19"/>
      <c r="S6" s="19"/>
      <c r="T6" s="19"/>
    </row>
    <row r="7" spans="2:21" x14ac:dyDescent="0.25">
      <c r="B7" s="23" t="s">
        <v>1884</v>
      </c>
      <c r="C7" s="28" t="s">
        <v>490</v>
      </c>
      <c r="G7" s="45">
        <v>2023</v>
      </c>
      <c r="H7" s="45">
        <v>2024</v>
      </c>
      <c r="I7" s="45">
        <v>2025</v>
      </c>
      <c r="J7" s="45">
        <v>2026</v>
      </c>
      <c r="K7" s="45">
        <v>2027</v>
      </c>
      <c r="L7" s="45">
        <v>2028</v>
      </c>
      <c r="M7" s="45">
        <v>2029</v>
      </c>
      <c r="N7" s="45">
        <v>2030</v>
      </c>
      <c r="O7" s="45">
        <v>2031</v>
      </c>
      <c r="P7" s="45">
        <v>2032</v>
      </c>
      <c r="Q7" s="45">
        <v>2033</v>
      </c>
      <c r="R7" s="45">
        <v>2034</v>
      </c>
      <c r="S7" s="45">
        <v>2035</v>
      </c>
      <c r="T7" s="45">
        <v>2036</v>
      </c>
    </row>
    <row r="8" spans="2:21" x14ac:dyDescent="0.25">
      <c r="B8" s="23" t="s">
        <v>1885</v>
      </c>
      <c r="C8" s="28" t="s">
        <v>1340</v>
      </c>
      <c r="G8" s="45">
        <f t="shared" ref="G8:T8" si="0">DATE(G7,12,31)-DATE(G7,1,1)+1</f>
        <v>365</v>
      </c>
      <c r="H8" s="45">
        <f t="shared" si="0"/>
        <v>366</v>
      </c>
      <c r="I8" s="45">
        <f t="shared" si="0"/>
        <v>365</v>
      </c>
      <c r="J8" s="45">
        <f t="shared" si="0"/>
        <v>365</v>
      </c>
      <c r="K8" s="45">
        <f t="shared" si="0"/>
        <v>365</v>
      </c>
      <c r="L8" s="45">
        <f t="shared" si="0"/>
        <v>366</v>
      </c>
      <c r="M8" s="45">
        <f t="shared" si="0"/>
        <v>365</v>
      </c>
      <c r="N8" s="45">
        <f t="shared" si="0"/>
        <v>365</v>
      </c>
      <c r="O8" s="45">
        <f t="shared" si="0"/>
        <v>365</v>
      </c>
      <c r="P8" s="45">
        <f t="shared" si="0"/>
        <v>366</v>
      </c>
      <c r="Q8" s="45">
        <f t="shared" si="0"/>
        <v>365</v>
      </c>
      <c r="R8" s="45">
        <f t="shared" si="0"/>
        <v>365</v>
      </c>
      <c r="S8" s="45">
        <f t="shared" si="0"/>
        <v>365</v>
      </c>
      <c r="T8" s="45">
        <f t="shared" si="0"/>
        <v>366</v>
      </c>
    </row>
    <row r="9" spans="2:21" x14ac:dyDescent="0.25">
      <c r="D9" s="63" t="s">
        <v>1886</v>
      </c>
      <c r="E9" s="63" t="s">
        <v>1887</v>
      </c>
      <c r="F9" s="63" t="s">
        <v>1888</v>
      </c>
    </row>
    <row r="10" spans="2:21" x14ac:dyDescent="0.25">
      <c r="B10" s="23" t="s">
        <v>534</v>
      </c>
      <c r="C10" s="28" t="s">
        <v>1889</v>
      </c>
      <c r="D10" s="37">
        <f>Inputs!$G$64</f>
        <v>2025</v>
      </c>
      <c r="E10" s="37">
        <f>Inputs!$H$64</f>
        <v>1</v>
      </c>
      <c r="F10" s="45">
        <f>D10-'Source Data'!$G$64</f>
        <v>0</v>
      </c>
      <c r="G10" s="153">
        <v>0</v>
      </c>
      <c r="H10" s="153">
        <f>IF(H7&gt;=$D$10,1,0)*Inputs!$H$64</f>
        <v>0</v>
      </c>
      <c r="I10" s="153">
        <f>IF(I7&gt;=$D$10,1,0)*Inputs!$H$64</f>
        <v>1</v>
      </c>
      <c r="J10" s="153">
        <f>IF(J7&gt;=$D$10,1,0)*Inputs!$H$64</f>
        <v>1</v>
      </c>
      <c r="K10" s="153">
        <f>IF(K7&gt;=$D$10,1,0)*Inputs!$H$64</f>
        <v>1</v>
      </c>
      <c r="L10" s="153">
        <f>IF(L7&gt;=$D$10,1,0)*Inputs!$H$64</f>
        <v>1</v>
      </c>
      <c r="M10" s="153">
        <f>IF(M7&gt;=$D$10,1,0)*Inputs!$H$64</f>
        <v>1</v>
      </c>
      <c r="N10" s="153">
        <f>IF(N7&gt;=$D$10,1,0)*Inputs!$H$64</f>
        <v>1</v>
      </c>
      <c r="O10" s="153">
        <f>IF(O7&gt;=$D$10,1,0)*Inputs!$H$64</f>
        <v>1</v>
      </c>
      <c r="P10" s="153">
        <f>IF(P7&gt;=$D$10,1,0)*Inputs!$H$64</f>
        <v>1</v>
      </c>
      <c r="Q10" s="153">
        <f>IF(Q7&gt;=$D$10,1,0)*Inputs!$H$64</f>
        <v>1</v>
      </c>
      <c r="R10" s="153">
        <f>IF(R7&gt;=$D$10,1,0)*Inputs!$H$64</f>
        <v>1</v>
      </c>
      <c r="S10" s="153">
        <f>IF(S7&gt;=$D$10,1,0)*Inputs!$H$64</f>
        <v>1</v>
      </c>
      <c r="T10" s="153">
        <f>IF(T7&gt;=$D$10,1,0)*Inputs!$H$64</f>
        <v>1</v>
      </c>
    </row>
    <row r="11" spans="2:21" x14ac:dyDescent="0.25">
      <c r="B11" s="23" t="s">
        <v>539</v>
      </c>
      <c r="C11" s="28" t="s">
        <v>1889</v>
      </c>
      <c r="D11" s="37">
        <f>Inputs!$G$65</f>
        <v>2025</v>
      </c>
      <c r="E11" s="37">
        <f>Inputs!$H$65</f>
        <v>1</v>
      </c>
      <c r="F11" s="45">
        <f>D11-'Source Data'!$G$65</f>
        <v>0</v>
      </c>
      <c r="G11" s="153">
        <v>0</v>
      </c>
      <c r="H11" s="153">
        <f>IF(H7&gt;=$D$11,1,0)*Inputs!$H$65</f>
        <v>0</v>
      </c>
      <c r="I11" s="153">
        <f>IF(I7&gt;=$D$11,1,0)*Inputs!$H$65</f>
        <v>1</v>
      </c>
      <c r="J11" s="153">
        <f>IF(J7&gt;=$D$11,1,0)*Inputs!$H$65</f>
        <v>1</v>
      </c>
      <c r="K11" s="153">
        <f>IF(K7&gt;=$D$11,1,0)*Inputs!$H$65</f>
        <v>1</v>
      </c>
      <c r="L11" s="153">
        <f>IF(L7&gt;=$D$11,1,0)*Inputs!$H$65</f>
        <v>1</v>
      </c>
      <c r="M11" s="153">
        <f>IF(M7&gt;=$D$11,1,0)*Inputs!$H$65</f>
        <v>1</v>
      </c>
      <c r="N11" s="153">
        <f>IF(N7&gt;=$D$11,1,0)*Inputs!$H$65</f>
        <v>1</v>
      </c>
      <c r="O11" s="153">
        <f>IF(O7&gt;=$D$11,1,0)*Inputs!$H$65</f>
        <v>1</v>
      </c>
      <c r="P11" s="153">
        <f>IF(P7&gt;=$D$11,1,0)*Inputs!$H$65</f>
        <v>1</v>
      </c>
      <c r="Q11" s="153">
        <f>IF(Q7&gt;=$D$11,1,0)*Inputs!$H$65</f>
        <v>1</v>
      </c>
      <c r="R11" s="153">
        <f>IF(R7&gt;=$D$11,1,0)*Inputs!$H$65</f>
        <v>1</v>
      </c>
      <c r="S11" s="153">
        <f>IF(S7&gt;=$D$11,1,0)*Inputs!$H$65</f>
        <v>1</v>
      </c>
      <c r="T11" s="153">
        <f>IF(T7&gt;=$D$11,1,0)*Inputs!$H$65</f>
        <v>1</v>
      </c>
    </row>
    <row r="12" spans="2:21" x14ac:dyDescent="0.25">
      <c r="B12" s="23" t="s">
        <v>542</v>
      </c>
      <c r="C12" s="28" t="s">
        <v>1889</v>
      </c>
      <c r="D12" s="37">
        <f>Inputs!$G$66</f>
        <v>2027</v>
      </c>
      <c r="E12" s="37">
        <f>Inputs!$H$66</f>
        <v>1</v>
      </c>
      <c r="F12" s="45">
        <f>D12-'Source Data'!$G$66</f>
        <v>0</v>
      </c>
      <c r="G12" s="153">
        <v>0</v>
      </c>
      <c r="H12" s="153">
        <f>IF(H7&gt;=$D$12,1,0)*Inputs!$H$66</f>
        <v>0</v>
      </c>
      <c r="I12" s="153">
        <f>IF(I7&gt;=$D$12,1,0)*Inputs!$H$66</f>
        <v>0</v>
      </c>
      <c r="J12" s="153">
        <f>IF(J7&gt;=$D$12,1,0)*Inputs!$H$66</f>
        <v>0</v>
      </c>
      <c r="K12" s="153">
        <f>IF(K7&gt;=$D$12,1,0)*Inputs!$H$66</f>
        <v>1</v>
      </c>
      <c r="L12" s="153">
        <f>IF(L7&gt;=$D$12,1,0)*Inputs!$H$66</f>
        <v>1</v>
      </c>
      <c r="M12" s="153">
        <f>IF(M7&gt;=$D$12,1,0)*Inputs!$H$66</f>
        <v>1</v>
      </c>
      <c r="N12" s="153">
        <f>IF(N7&gt;=$D$12,1,0)*Inputs!$H$66</f>
        <v>1</v>
      </c>
      <c r="O12" s="153">
        <f>IF(O7&gt;=$D$12,1,0)*Inputs!$H$66</f>
        <v>1</v>
      </c>
      <c r="P12" s="153">
        <f>IF(P7&gt;=$D$12,1,0)*Inputs!$H$66</f>
        <v>1</v>
      </c>
      <c r="Q12" s="153">
        <f>IF(Q7&gt;=$D$12,1,0)*Inputs!$H$66</f>
        <v>1</v>
      </c>
      <c r="R12" s="153">
        <f>IF(R7&gt;=$D$12,1,0)*Inputs!$H$66</f>
        <v>1</v>
      </c>
      <c r="S12" s="153">
        <f>IF(S7&gt;=$D$12,1,0)*Inputs!$H$66</f>
        <v>1</v>
      </c>
      <c r="T12" s="153">
        <f>IF(T7&gt;=$D$12,1,0)*Inputs!$H$66</f>
        <v>1</v>
      </c>
    </row>
    <row r="13" spans="2:21" x14ac:dyDescent="0.25">
      <c r="B13" s="23" t="s">
        <v>547</v>
      </c>
      <c r="C13" s="28" t="s">
        <v>1889</v>
      </c>
      <c r="D13" s="37">
        <f>Inputs!$G$67</f>
        <v>2027</v>
      </c>
      <c r="E13" s="37">
        <f>Inputs!$H$67</f>
        <v>1</v>
      </c>
      <c r="F13" s="45">
        <f>D13-'Source Data'!$G$67</f>
        <v>0</v>
      </c>
      <c r="G13" s="153">
        <v>0</v>
      </c>
      <c r="H13" s="153">
        <f>IF(H7&gt;=$D$13,1,0)*Inputs!$H$67</f>
        <v>0</v>
      </c>
      <c r="I13" s="153">
        <f>IF(I7&gt;=$D$13,1,0)*Inputs!$H$67</f>
        <v>0</v>
      </c>
      <c r="J13" s="153">
        <f>IF(J7&gt;=$D$13,1,0)*Inputs!$H$67</f>
        <v>0</v>
      </c>
      <c r="K13" s="153">
        <f>IF(K7&gt;=$D$13,1,0)*Inputs!$H$67</f>
        <v>1</v>
      </c>
      <c r="L13" s="153">
        <f>IF(L7&gt;=$D$13,1,0)*Inputs!$H$67</f>
        <v>1</v>
      </c>
      <c r="M13" s="153">
        <f>IF(M7&gt;=$D$13,1,0)*Inputs!$H$67</f>
        <v>1</v>
      </c>
      <c r="N13" s="153">
        <f>IF(N7&gt;=$D$13,1,0)*Inputs!$H$67</f>
        <v>1</v>
      </c>
      <c r="O13" s="153">
        <f>IF(O7&gt;=$D$13,1,0)*Inputs!$H$67</f>
        <v>1</v>
      </c>
      <c r="P13" s="153">
        <f>IF(P7&gt;=$D$13,1,0)*Inputs!$H$67</f>
        <v>1</v>
      </c>
      <c r="Q13" s="153">
        <f>IF(Q7&gt;=$D$13,1,0)*Inputs!$H$67</f>
        <v>1</v>
      </c>
      <c r="R13" s="153">
        <f>IF(R7&gt;=$D$13,1,0)*Inputs!$H$67</f>
        <v>1</v>
      </c>
      <c r="S13" s="153">
        <f>IF(S7&gt;=$D$13,1,0)*Inputs!$H$67</f>
        <v>1</v>
      </c>
      <c r="T13" s="153">
        <f>IF(T7&gt;=$D$13,1,0)*Inputs!$H$67</f>
        <v>1</v>
      </c>
    </row>
    <row r="14" spans="2:21" x14ac:dyDescent="0.25">
      <c r="B14" s="23" t="s">
        <v>550</v>
      </c>
      <c r="C14" s="28" t="s">
        <v>1889</v>
      </c>
      <c r="D14" s="37">
        <f>Inputs!$G$68</f>
        <v>2026</v>
      </c>
      <c r="E14" s="37">
        <f>Inputs!$H$68</f>
        <v>1</v>
      </c>
      <c r="F14" s="45">
        <f>D14-'Source Data'!$G$68</f>
        <v>0</v>
      </c>
      <c r="G14" s="153">
        <v>0</v>
      </c>
      <c r="H14" s="153">
        <f>IF(H7&gt;=$D$14,1,0)*Inputs!$H$68</f>
        <v>0</v>
      </c>
      <c r="I14" s="153">
        <f>IF(I7&gt;=$D$14,1,0)*Inputs!$H$68</f>
        <v>0</v>
      </c>
      <c r="J14" s="153">
        <f>IF(J7&gt;=$D$14,1,0)*Inputs!$H$68</f>
        <v>1</v>
      </c>
      <c r="K14" s="153">
        <f>IF(K7&gt;=$D$14,1,0)*Inputs!$H$68</f>
        <v>1</v>
      </c>
      <c r="L14" s="153">
        <f>IF(L7&gt;=$D$14,1,0)*Inputs!$H$68</f>
        <v>1</v>
      </c>
      <c r="M14" s="153">
        <f>IF(M7&gt;=$D$14,1,0)*Inputs!$H$68</f>
        <v>1</v>
      </c>
      <c r="N14" s="153">
        <f>IF(N7&gt;=$D$14,1,0)*Inputs!$H$68</f>
        <v>1</v>
      </c>
      <c r="O14" s="153">
        <f>IF(O7&gt;=$D$14,1,0)*Inputs!$H$68</f>
        <v>1</v>
      </c>
      <c r="P14" s="153">
        <f>IF(P7&gt;=$D$14,1,0)*Inputs!$H$68</f>
        <v>1</v>
      </c>
      <c r="Q14" s="153">
        <f>IF(Q7&gt;=$D$14,1,0)*Inputs!$H$68</f>
        <v>1</v>
      </c>
      <c r="R14" s="153">
        <f>IF(R7&gt;=$D$14,1,0)*Inputs!$H$68</f>
        <v>1</v>
      </c>
      <c r="S14" s="153">
        <f>IF(S7&gt;=$D$14,1,0)*Inputs!$H$68</f>
        <v>1</v>
      </c>
      <c r="T14" s="153">
        <f>IF(T7&gt;=$D$14,1,0)*Inputs!$H$68</f>
        <v>1</v>
      </c>
    </row>
    <row r="15" spans="2:21" x14ac:dyDescent="0.25">
      <c r="B15" s="23" t="s">
        <v>555</v>
      </c>
      <c r="C15" s="28" t="s">
        <v>1889</v>
      </c>
      <c r="D15" s="37">
        <f>Inputs!$G$69</f>
        <v>2028</v>
      </c>
      <c r="E15" s="37">
        <f>Inputs!$H$69</f>
        <v>1</v>
      </c>
      <c r="F15" s="45">
        <f>D15-'Source Data'!$G$69</f>
        <v>0</v>
      </c>
      <c r="G15" s="153">
        <v>0</v>
      </c>
      <c r="H15" s="153">
        <f>IF(H7&gt;=$D$15,1,0)*Inputs!$H$69</f>
        <v>0</v>
      </c>
      <c r="I15" s="153">
        <f>IF(I7&gt;=$D$15,1,0)*Inputs!$H$69</f>
        <v>0</v>
      </c>
      <c r="J15" s="153">
        <f>IF(J7&gt;=$D$15,1,0)*Inputs!$H$69</f>
        <v>0</v>
      </c>
      <c r="K15" s="153">
        <f>IF(K7&gt;=$D$15,1,0)*Inputs!$H$69</f>
        <v>0</v>
      </c>
      <c r="L15" s="153">
        <f>IF(L7&gt;=$D$15,1,0)*Inputs!$H$69</f>
        <v>1</v>
      </c>
      <c r="M15" s="153">
        <f>IF(M7&gt;=$D$15,1,0)*Inputs!$H$69</f>
        <v>1</v>
      </c>
      <c r="N15" s="153">
        <f>IF(N7&gt;=$D$15,1,0)*Inputs!$H$69</f>
        <v>1</v>
      </c>
      <c r="O15" s="153">
        <f>IF(O7&gt;=$D$15,1,0)*Inputs!$H$69</f>
        <v>1</v>
      </c>
      <c r="P15" s="153">
        <f>IF(P7&gt;=$D$15,1,0)*Inputs!$H$69</f>
        <v>1</v>
      </c>
      <c r="Q15" s="153">
        <f>IF(Q7&gt;=$D$15,1,0)*Inputs!$H$69</f>
        <v>1</v>
      </c>
      <c r="R15" s="153">
        <f>IF(R7&gt;=$D$15,1,0)*Inputs!$H$69</f>
        <v>1</v>
      </c>
      <c r="S15" s="153">
        <f>IF(S7&gt;=$D$15,1,0)*Inputs!$H$69</f>
        <v>1</v>
      </c>
      <c r="T15" s="153">
        <f>IF(T7&gt;=$D$15,1,0)*Inputs!$H$69</f>
        <v>1</v>
      </c>
    </row>
    <row r="16" spans="2:21" x14ac:dyDescent="0.25">
      <c r="B16" s="23" t="s">
        <v>559</v>
      </c>
      <c r="C16" s="28" t="s">
        <v>1889</v>
      </c>
      <c r="D16" s="37">
        <f>Inputs!$G$70</f>
        <v>2026</v>
      </c>
      <c r="E16" s="37">
        <f>Inputs!$H$70</f>
        <v>1</v>
      </c>
      <c r="F16" s="45">
        <f>D16-'Source Data'!$G$70</f>
        <v>0</v>
      </c>
      <c r="G16" s="153">
        <v>0</v>
      </c>
      <c r="H16" s="153">
        <f>IF(H7&gt;=$D$16,1,0)*Inputs!$H$70</f>
        <v>0</v>
      </c>
      <c r="I16" s="153">
        <f>IF(I7&gt;=$D$16,1,0)*Inputs!$H$70</f>
        <v>0</v>
      </c>
      <c r="J16" s="153">
        <f>IF(J7&gt;=$D$16,1,0)*Inputs!$H$70</f>
        <v>1</v>
      </c>
      <c r="K16" s="153">
        <f>IF(K7&gt;=$D$16,1,0)*Inputs!$H$70</f>
        <v>1</v>
      </c>
      <c r="L16" s="153">
        <f>IF(L7&gt;=$D$16,1,0)*Inputs!$H$70</f>
        <v>1</v>
      </c>
      <c r="M16" s="153">
        <f>IF(M7&gt;=$D$16,1,0)*Inputs!$H$70</f>
        <v>1</v>
      </c>
      <c r="N16" s="153">
        <f>IF(N7&gt;=$D$16,1,0)*Inputs!$H$70</f>
        <v>1</v>
      </c>
      <c r="O16" s="153">
        <f>IF(O7&gt;=$D$16,1,0)*Inputs!$H$70</f>
        <v>1</v>
      </c>
      <c r="P16" s="153">
        <f>IF(P7&gt;=$D$16,1,0)*Inputs!$H$70</f>
        <v>1</v>
      </c>
      <c r="Q16" s="153">
        <f>IF(Q7&gt;=$D$16,1,0)*Inputs!$H$70</f>
        <v>1</v>
      </c>
      <c r="R16" s="153">
        <f>IF(R7&gt;=$D$16,1,0)*Inputs!$H$70</f>
        <v>1</v>
      </c>
      <c r="S16" s="153">
        <f>IF(S7&gt;=$D$16,1,0)*Inputs!$H$70</f>
        <v>1</v>
      </c>
      <c r="T16" s="153">
        <f>IF(T7&gt;=$D$16,1,0)*Inputs!$H$70</f>
        <v>1</v>
      </c>
    </row>
    <row r="17" spans="2:20" x14ac:dyDescent="0.25">
      <c r="B17" s="23" t="s">
        <v>562</v>
      </c>
      <c r="C17" s="28" t="s">
        <v>1889</v>
      </c>
      <c r="D17" s="37">
        <f>Inputs!$G$71</f>
        <v>2027</v>
      </c>
      <c r="E17" s="37">
        <f>Inputs!$H$71</f>
        <v>1</v>
      </c>
      <c r="F17" s="45">
        <f>D17-'Source Data'!$G$71</f>
        <v>0</v>
      </c>
      <c r="G17" s="153">
        <v>0</v>
      </c>
      <c r="H17" s="153">
        <f>IF(H7&gt;=$D$17,1,0)*Inputs!$H$71</f>
        <v>0</v>
      </c>
      <c r="I17" s="153">
        <f>IF(I7&gt;=$D$17,1,0)*Inputs!$H$71</f>
        <v>0</v>
      </c>
      <c r="J17" s="153">
        <f>IF(J7&gt;=$D$17,1,0)*Inputs!$H$71</f>
        <v>0</v>
      </c>
      <c r="K17" s="153">
        <f>IF(K7&gt;=$D$17,1,0)*Inputs!$H$71</f>
        <v>1</v>
      </c>
      <c r="L17" s="153">
        <f>IF(L7&gt;=$D$17,1,0)*Inputs!$H$71</f>
        <v>1</v>
      </c>
      <c r="M17" s="153">
        <f>IF(M7&gt;=$D$17,1,0)*Inputs!$H$71</f>
        <v>1</v>
      </c>
      <c r="N17" s="153">
        <f>IF(N7&gt;=$D$17,1,0)*Inputs!$H$71</f>
        <v>1</v>
      </c>
      <c r="O17" s="153">
        <f>IF(O7&gt;=$D$17,1,0)*Inputs!$H$71</f>
        <v>1</v>
      </c>
      <c r="P17" s="153">
        <f>IF(P7&gt;=$D$17,1,0)*Inputs!$H$71</f>
        <v>1</v>
      </c>
      <c r="Q17" s="153">
        <f>IF(Q7&gt;=$D$17,1,0)*Inputs!$H$71</f>
        <v>1</v>
      </c>
      <c r="R17" s="153">
        <f>IF(R7&gt;=$D$17,1,0)*Inputs!$H$71</f>
        <v>1</v>
      </c>
      <c r="S17" s="153">
        <f>IF(S7&gt;=$D$17,1,0)*Inputs!$H$71</f>
        <v>1</v>
      </c>
      <c r="T17" s="153">
        <f>IF(T7&gt;=$D$17,1,0)*Inputs!$H$71</f>
        <v>1</v>
      </c>
    </row>
    <row r="18" spans="2:20" x14ac:dyDescent="0.25">
      <c r="B18" s="23" t="s">
        <v>565</v>
      </c>
      <c r="C18" s="28" t="s">
        <v>1889</v>
      </c>
      <c r="D18" s="37">
        <f>Inputs!$G$72</f>
        <v>2027</v>
      </c>
      <c r="E18" s="37">
        <f>Inputs!$H$72</f>
        <v>1</v>
      </c>
      <c r="F18" s="45">
        <f>D18-'Source Data'!$G$72</f>
        <v>0</v>
      </c>
      <c r="G18" s="153">
        <v>0</v>
      </c>
      <c r="H18" s="153">
        <f>IF(H7&gt;=$D$18,1,0)*Inputs!$H$72</f>
        <v>0</v>
      </c>
      <c r="I18" s="153">
        <f>IF(I7&gt;=$D$18,1,0)*Inputs!$H$72</f>
        <v>0</v>
      </c>
      <c r="J18" s="153">
        <f>IF(J7&gt;=$D$18,1,0)*Inputs!$H$72</f>
        <v>0</v>
      </c>
      <c r="K18" s="153">
        <f>IF(K7&gt;=$D$18,1,0)*Inputs!$H$72</f>
        <v>1</v>
      </c>
      <c r="L18" s="153">
        <f>IF(L7&gt;=$D$18,1,0)*Inputs!$H$72</f>
        <v>1</v>
      </c>
      <c r="M18" s="153">
        <f>IF(M7&gt;=$D$18,1,0)*Inputs!$H$72</f>
        <v>1</v>
      </c>
      <c r="N18" s="153">
        <f>IF(N7&gt;=$D$18,1,0)*Inputs!$H$72</f>
        <v>1</v>
      </c>
      <c r="O18" s="153">
        <f>IF(O7&gt;=$D$18,1,0)*Inputs!$H$72</f>
        <v>1</v>
      </c>
      <c r="P18" s="153">
        <f>IF(P7&gt;=$D$18,1,0)*Inputs!$H$72</f>
        <v>1</v>
      </c>
      <c r="Q18" s="153">
        <f>IF(Q7&gt;=$D$18,1,0)*Inputs!$H$72</f>
        <v>1</v>
      </c>
      <c r="R18" s="153">
        <f>IF(R7&gt;=$D$18,1,0)*Inputs!$H$72</f>
        <v>1</v>
      </c>
      <c r="S18" s="153">
        <f>IF(S7&gt;=$D$18,1,0)*Inputs!$H$72</f>
        <v>1</v>
      </c>
      <c r="T18" s="153">
        <f>IF(T7&gt;=$D$18,1,0)*Inputs!$H$72</f>
        <v>1</v>
      </c>
    </row>
    <row r="19" spans="2:20" x14ac:dyDescent="0.25">
      <c r="B19" s="23" t="s">
        <v>568</v>
      </c>
      <c r="C19" s="28" t="s">
        <v>1889</v>
      </c>
      <c r="D19" s="37">
        <f>Inputs!$G$73</f>
        <v>2028</v>
      </c>
      <c r="E19" s="37">
        <f>Inputs!$H$73</f>
        <v>1</v>
      </c>
      <c r="F19" s="45">
        <f>D19-'Source Data'!$G$73</f>
        <v>0</v>
      </c>
      <c r="G19" s="153">
        <v>0</v>
      </c>
      <c r="H19" s="153">
        <f>IF(H7&gt;=$D$19,1,0)*Inputs!$H$73</f>
        <v>0</v>
      </c>
      <c r="I19" s="153">
        <f>IF(I7&gt;=$D$19,1,0)*Inputs!$H$73</f>
        <v>0</v>
      </c>
      <c r="J19" s="153">
        <f>IF(J7&gt;=$D$19,1,0)*Inputs!$H$73</f>
        <v>0</v>
      </c>
      <c r="K19" s="153">
        <f>IF(K7&gt;=$D$19,1,0)*Inputs!$H$73</f>
        <v>0</v>
      </c>
      <c r="L19" s="153">
        <f>IF(L7&gt;=$D$19,1,0)*Inputs!$H$73</f>
        <v>1</v>
      </c>
      <c r="M19" s="153">
        <f>IF(M7&gt;=$D$19,1,0)*Inputs!$H$73</f>
        <v>1</v>
      </c>
      <c r="N19" s="153">
        <f>IF(N7&gt;=$D$19,1,0)*Inputs!$H$73</f>
        <v>1</v>
      </c>
      <c r="O19" s="153">
        <f>IF(O7&gt;=$D$19,1,0)*Inputs!$H$73</f>
        <v>1</v>
      </c>
      <c r="P19" s="153">
        <f>IF(P7&gt;=$D$19,1,0)*Inputs!$H$73</f>
        <v>1</v>
      </c>
      <c r="Q19" s="153">
        <f>IF(Q7&gt;=$D$19,1,0)*Inputs!$H$73</f>
        <v>1</v>
      </c>
      <c r="R19" s="153">
        <f>IF(R7&gt;=$D$19,1,0)*Inputs!$H$73</f>
        <v>1</v>
      </c>
      <c r="S19" s="153">
        <f>IF(S7&gt;=$D$19,1,0)*Inputs!$H$73</f>
        <v>1</v>
      </c>
      <c r="T19" s="153">
        <f>IF(T7&gt;=$D$19,1,0)*Inputs!$H$73</f>
        <v>1</v>
      </c>
    </row>
    <row r="20" spans="2:20" x14ac:dyDescent="0.25">
      <c r="B20" s="23" t="s">
        <v>570</v>
      </c>
      <c r="C20" s="28" t="s">
        <v>1889</v>
      </c>
      <c r="D20" s="37">
        <f>Inputs!$G$74</f>
        <v>2027</v>
      </c>
      <c r="E20" s="37">
        <f>Inputs!$H$74</f>
        <v>1</v>
      </c>
      <c r="F20" s="45">
        <f>D20-'Source Data'!$G$74</f>
        <v>0</v>
      </c>
      <c r="G20" s="153">
        <v>0</v>
      </c>
      <c r="H20" s="153">
        <f>IF(H7&gt;=$D$20,1,0)*Inputs!$H$74</f>
        <v>0</v>
      </c>
      <c r="I20" s="153">
        <f>IF(I7&gt;=$D$20,1,0)*Inputs!$H$74</f>
        <v>0</v>
      </c>
      <c r="J20" s="153">
        <f>IF(J7&gt;=$D$20,1,0)*Inputs!$H$74</f>
        <v>0</v>
      </c>
      <c r="K20" s="153">
        <f>IF(K7&gt;=$D$20,1,0)*Inputs!$H$74</f>
        <v>1</v>
      </c>
      <c r="L20" s="153">
        <f>IF(L7&gt;=$D$20,1,0)*Inputs!$H$74</f>
        <v>1</v>
      </c>
      <c r="M20" s="153">
        <f>IF(M7&gt;=$D$20,1,0)*Inputs!$H$74</f>
        <v>1</v>
      </c>
      <c r="N20" s="153">
        <f>IF(N7&gt;=$D$20,1,0)*Inputs!$H$74</f>
        <v>1</v>
      </c>
      <c r="O20" s="153">
        <f>IF(O7&gt;=$D$20,1,0)*Inputs!$H$74</f>
        <v>1</v>
      </c>
      <c r="P20" s="153">
        <f>IF(P7&gt;=$D$20,1,0)*Inputs!$H$74</f>
        <v>1</v>
      </c>
      <c r="Q20" s="153">
        <f>IF(Q7&gt;=$D$20,1,0)*Inputs!$H$74</f>
        <v>1</v>
      </c>
      <c r="R20" s="153">
        <f>IF(R7&gt;=$D$20,1,0)*Inputs!$H$74</f>
        <v>1</v>
      </c>
      <c r="S20" s="153">
        <f>IF(S7&gt;=$D$20,1,0)*Inputs!$H$74</f>
        <v>1</v>
      </c>
      <c r="T20" s="153">
        <f>IF(T7&gt;=$D$20,1,0)*Inputs!$H$74</f>
        <v>1</v>
      </c>
    </row>
    <row r="21" spans="2:20" x14ac:dyDescent="0.25">
      <c r="B21" s="23" t="s">
        <v>572</v>
      </c>
      <c r="C21" s="28" t="s">
        <v>1889</v>
      </c>
      <c r="D21" s="37">
        <f>Inputs!$G$75</f>
        <v>2026</v>
      </c>
      <c r="E21" s="37">
        <f>Inputs!$H$75</f>
        <v>1</v>
      </c>
      <c r="F21" s="45">
        <f>D21-'Source Data'!$G$75</f>
        <v>0</v>
      </c>
      <c r="G21" s="153">
        <v>0</v>
      </c>
      <c r="H21" s="153">
        <f>IF(H7&gt;=$D$21,1,0)*Inputs!$H$75</f>
        <v>0</v>
      </c>
      <c r="I21" s="153">
        <f>IF(I7&gt;=$D$21,1,0)*Inputs!$H$75</f>
        <v>0</v>
      </c>
      <c r="J21" s="153">
        <f>IF(J7&gt;=$D$21,1,0)*Inputs!$H$75</f>
        <v>1</v>
      </c>
      <c r="K21" s="153">
        <f>IF(K7&gt;=$D$21,1,0)*Inputs!$H$75</f>
        <v>1</v>
      </c>
      <c r="L21" s="153">
        <f>IF(L7&gt;=$D$21,1,0)*Inputs!$H$75</f>
        <v>1</v>
      </c>
      <c r="M21" s="153">
        <f>IF(M7&gt;=$D$21,1,0)*Inputs!$H$75</f>
        <v>1</v>
      </c>
      <c r="N21" s="153">
        <f>IF(N7&gt;=$D$21,1,0)*Inputs!$H$75</f>
        <v>1</v>
      </c>
      <c r="O21" s="153">
        <f>IF(O7&gt;=$D$21,1,0)*Inputs!$H$75</f>
        <v>1</v>
      </c>
      <c r="P21" s="153">
        <f>IF(P7&gt;=$D$21,1,0)*Inputs!$H$75</f>
        <v>1</v>
      </c>
      <c r="Q21" s="153">
        <f>IF(Q7&gt;=$D$21,1,0)*Inputs!$H$75</f>
        <v>1</v>
      </c>
      <c r="R21" s="153">
        <f>IF(R7&gt;=$D$21,1,0)*Inputs!$H$75</f>
        <v>1</v>
      </c>
      <c r="S21" s="153">
        <f>IF(S7&gt;=$D$21,1,0)*Inputs!$H$75</f>
        <v>1</v>
      </c>
      <c r="T21" s="153">
        <f>IF(T7&gt;=$D$21,1,0)*Inputs!$H$75</f>
        <v>1</v>
      </c>
    </row>
    <row r="22" spans="2:20" x14ac:dyDescent="0.25">
      <c r="B22" s="23" t="s">
        <v>576</v>
      </c>
      <c r="C22" s="28" t="s">
        <v>1889</v>
      </c>
      <c r="D22" s="37">
        <f>Inputs!$G$76</f>
        <v>2026</v>
      </c>
      <c r="E22" s="37">
        <f>Inputs!$H$76</f>
        <v>1</v>
      </c>
      <c r="F22" s="45">
        <f>D22-'Source Data'!$G$76</f>
        <v>0</v>
      </c>
      <c r="G22" s="153">
        <v>0</v>
      </c>
      <c r="H22" s="153">
        <f>IF(H7&gt;=$D$22,1,0)*Inputs!$H$76</f>
        <v>0</v>
      </c>
      <c r="I22" s="153">
        <f>IF(I7&gt;=$D$22,1,0)*Inputs!$H$76</f>
        <v>0</v>
      </c>
      <c r="J22" s="153">
        <f>IF(J7&gt;=$D$22,1,0)*Inputs!$H$76</f>
        <v>1</v>
      </c>
      <c r="K22" s="153">
        <f>IF(K7&gt;=$D$22,1,0)*Inputs!$H$76</f>
        <v>1</v>
      </c>
      <c r="L22" s="153">
        <f>IF(L7&gt;=$D$22,1,0)*Inputs!$H$76</f>
        <v>1</v>
      </c>
      <c r="M22" s="153">
        <f>IF(M7&gt;=$D$22,1,0)*Inputs!$H$76</f>
        <v>1</v>
      </c>
      <c r="N22" s="153">
        <f>IF(N7&gt;=$D$22,1,0)*Inputs!$H$76</f>
        <v>1</v>
      </c>
      <c r="O22" s="153">
        <f>IF(O7&gt;=$D$22,1,0)*Inputs!$H$76</f>
        <v>1</v>
      </c>
      <c r="P22" s="153">
        <f>IF(P7&gt;=$D$22,1,0)*Inputs!$H$76</f>
        <v>1</v>
      </c>
      <c r="Q22" s="153">
        <f>IF(Q7&gt;=$D$22,1,0)*Inputs!$H$76</f>
        <v>1</v>
      </c>
      <c r="R22" s="153">
        <f>IF(R7&gt;=$D$22,1,0)*Inputs!$H$76</f>
        <v>1</v>
      </c>
      <c r="S22" s="153">
        <f>IF(S7&gt;=$D$22,1,0)*Inputs!$H$76</f>
        <v>1</v>
      </c>
      <c r="T22" s="153">
        <f>IF(T7&gt;=$D$22,1,0)*Inputs!$H$76</f>
        <v>1</v>
      </c>
    </row>
    <row r="23" spans="2:20" x14ac:dyDescent="0.25">
      <c r="B23" s="23" t="s">
        <v>579</v>
      </c>
      <c r="C23" s="28" t="s">
        <v>1889</v>
      </c>
      <c r="D23" s="37">
        <f>Inputs!$G$77</f>
        <v>2026</v>
      </c>
      <c r="E23" s="37">
        <f>Inputs!$H$77</f>
        <v>1</v>
      </c>
      <c r="F23" s="45">
        <f>D23-'Source Data'!$G$77</f>
        <v>0</v>
      </c>
      <c r="G23" s="153">
        <v>0</v>
      </c>
      <c r="H23" s="153">
        <f>IF(H7&gt;=$D$23,1,0)*Inputs!$H$77</f>
        <v>0</v>
      </c>
      <c r="I23" s="153">
        <f>IF(I7&gt;=$D$23,1,0)*Inputs!$H$77</f>
        <v>0</v>
      </c>
      <c r="J23" s="153">
        <f>IF(J7&gt;=$D$23,1,0)*Inputs!$H$77</f>
        <v>1</v>
      </c>
      <c r="K23" s="153">
        <f>IF(K7&gt;=$D$23,1,0)*Inputs!$H$77</f>
        <v>1</v>
      </c>
      <c r="L23" s="153">
        <f>IF(L7&gt;=$D$23,1,0)*Inputs!$H$77</f>
        <v>1</v>
      </c>
      <c r="M23" s="153">
        <f>IF(M7&gt;=$D$23,1,0)*Inputs!$H$77</f>
        <v>1</v>
      </c>
      <c r="N23" s="153">
        <f>IF(N7&gt;=$D$23,1,0)*Inputs!$H$77</f>
        <v>1</v>
      </c>
      <c r="O23" s="153">
        <f>IF(O7&gt;=$D$23,1,0)*Inputs!$H$77</f>
        <v>1</v>
      </c>
      <c r="P23" s="153">
        <f>IF(P7&gt;=$D$23,1,0)*Inputs!$H$77</f>
        <v>1</v>
      </c>
      <c r="Q23" s="153">
        <f>IF(Q7&gt;=$D$23,1,0)*Inputs!$H$77</f>
        <v>1</v>
      </c>
      <c r="R23" s="153">
        <f>IF(R7&gt;=$D$23,1,0)*Inputs!$H$77</f>
        <v>1</v>
      </c>
      <c r="S23" s="153">
        <f>IF(S7&gt;=$D$23,1,0)*Inputs!$H$77</f>
        <v>1</v>
      </c>
      <c r="T23" s="153">
        <f>IF(T7&gt;=$D$23,1,0)*Inputs!$H$77</f>
        <v>1</v>
      </c>
    </row>
    <row r="24" spans="2:20" x14ac:dyDescent="0.25">
      <c r="B24" s="23" t="s">
        <v>581</v>
      </c>
      <c r="C24" s="28" t="s">
        <v>1889</v>
      </c>
      <c r="D24" s="37">
        <f>Inputs!$G$78</f>
        <v>2029</v>
      </c>
      <c r="E24" s="37">
        <f>Inputs!$H$78</f>
        <v>0</v>
      </c>
      <c r="F24" s="45">
        <f>D24-'Source Data'!$G$78</f>
        <v>0</v>
      </c>
      <c r="G24" s="153">
        <v>0</v>
      </c>
      <c r="H24" s="153">
        <f>IF(H7&gt;=$D$24,1,0)*Inputs!$H$78</f>
        <v>0</v>
      </c>
      <c r="I24" s="153">
        <f>IF(I7&gt;=$D$24,1,0)*Inputs!$H$78</f>
        <v>0</v>
      </c>
      <c r="J24" s="153">
        <f>IF(J7&gt;=$D$24,1,0)*Inputs!$H$78</f>
        <v>0</v>
      </c>
      <c r="K24" s="153">
        <f>IF(K7&gt;=$D$24,1,0)*Inputs!$H$78</f>
        <v>0</v>
      </c>
      <c r="L24" s="153">
        <f>IF(L7&gt;=$D$24,1,0)*Inputs!$H$78</f>
        <v>0</v>
      </c>
      <c r="M24" s="153">
        <f>IF(M7&gt;=$D$24,1,0)*Inputs!$H$78</f>
        <v>0</v>
      </c>
      <c r="N24" s="153">
        <f>IF(N7&gt;=$D$24,1,0)*Inputs!$H$78</f>
        <v>0</v>
      </c>
      <c r="O24" s="153">
        <f>IF(O7&gt;=$D$24,1,0)*Inputs!$H$78</f>
        <v>0</v>
      </c>
      <c r="P24" s="153">
        <f>IF(P7&gt;=$D$24,1,0)*Inputs!$H$78</f>
        <v>0</v>
      </c>
      <c r="Q24" s="153">
        <f>IF(Q7&gt;=$D$24,1,0)*Inputs!$H$78</f>
        <v>0</v>
      </c>
      <c r="R24" s="153">
        <f>IF(R7&gt;=$D$24,1,0)*Inputs!$H$78</f>
        <v>0</v>
      </c>
      <c r="S24" s="153">
        <f>IF(S7&gt;=$D$24,1,0)*Inputs!$H$78</f>
        <v>0</v>
      </c>
      <c r="T24" s="153">
        <f>IF(T7&gt;=$D$24,1,0)*Inputs!$H$78</f>
        <v>0</v>
      </c>
    </row>
    <row r="25" spans="2:20" ht="26.25" customHeight="1" x14ac:dyDescent="0.25">
      <c r="B25" s="64" t="str">
        <f>"P16  "&amp;Inputs!$E$605&amp;" - operating fraction of the year (part year from the commencement date)"</f>
        <v>P16  Lampung - operating fraction of the year (part year from the commencement date)</v>
      </c>
      <c r="C25" s="28" t="s">
        <v>1890</v>
      </c>
      <c r="E25" s="37">
        <f>Inputs!$H$79</f>
        <v>0</v>
      </c>
      <c r="G25" s="105">
        <v>0</v>
      </c>
      <c r="H25" s="105">
        <f>IF(Inputs!$H$79=1,MAX(0,MIN(1,(DATE(H7,12,31)-MAX(DATE(H7,1,1),N(Inputs!$E$607))+1)/H8)),0)</f>
        <v>0</v>
      </c>
      <c r="I25" s="105">
        <f>IF(Inputs!$H$79=1,MAX(0,MIN(1,(DATE(I7,12,31)-MAX(DATE(I7,1,1),N(Inputs!$E$607))+1)/I8)),0)</f>
        <v>0</v>
      </c>
      <c r="J25" s="105">
        <f>IF(Inputs!$H$79=1,MAX(0,MIN(1,(DATE(J7,12,31)-MAX(DATE(J7,1,1),N(Inputs!$E$607))+1)/J8)),0)</f>
        <v>0</v>
      </c>
      <c r="K25" s="105">
        <f>IF(Inputs!$H$79=1,MAX(0,MIN(1,(DATE(K7,12,31)-MAX(DATE(K7,1,1),N(Inputs!$E$607))+1)/K8)),0)</f>
        <v>0</v>
      </c>
      <c r="L25" s="105">
        <f>IF(Inputs!$H$79=1,MAX(0,MIN(1,(DATE(L7,12,31)-MAX(DATE(L7,1,1),N(Inputs!$E$607))+1)/L8)),0)</f>
        <v>0</v>
      </c>
      <c r="M25" s="105">
        <f>IF(Inputs!$H$79=1,MAX(0,MIN(1,(DATE(M7,12,31)-MAX(DATE(M7,1,1),N(Inputs!$E$607))+1)/M8)),0)</f>
        <v>0</v>
      </c>
      <c r="N25" s="105">
        <f>IF(Inputs!$H$79=1,MAX(0,MIN(1,(DATE(N7,12,31)-MAX(DATE(N7,1,1),N(Inputs!$E$607))+1)/N8)),0)</f>
        <v>0</v>
      </c>
      <c r="O25" s="105">
        <f>IF(Inputs!$H$79=1,MAX(0,MIN(1,(DATE(O7,12,31)-MAX(DATE(O7,1,1),N(Inputs!$E$607))+1)/O8)),0)</f>
        <v>0</v>
      </c>
      <c r="P25" s="105">
        <f>IF(Inputs!$H$79=1,MAX(0,MIN(1,(DATE(P7,12,31)-MAX(DATE(P7,1,1),N(Inputs!$E$607))+1)/P8)),0)</f>
        <v>0</v>
      </c>
      <c r="Q25" s="105">
        <f>IF(Inputs!$H$79=1,MAX(0,MIN(1,(DATE(Q7,12,31)-MAX(DATE(Q7,1,1),N(Inputs!$E$607))+1)/Q8)),0)</f>
        <v>0</v>
      </c>
      <c r="R25" s="105">
        <f>IF(Inputs!$H$79=1,MAX(0,MIN(1,(DATE(R7,12,31)-MAX(DATE(R7,1,1),N(Inputs!$E$607))+1)/R8)),0)</f>
        <v>0</v>
      </c>
      <c r="S25" s="105">
        <f>IF(Inputs!$H$79=1,MAX(0,MIN(1,(DATE(S7,12,31)-MAX(DATE(S7,1,1),N(Inputs!$E$607))+1)/S8)),0)</f>
        <v>0</v>
      </c>
      <c r="T25" s="105">
        <f>IF(Inputs!$H$79=1,MAX(0,MIN(1,(DATE(T7,12,31)-MAX(DATE(T7,1,1),N(Inputs!$E$607))+1)/T8)),0)</f>
        <v>0</v>
      </c>
    </row>
    <row r="26" spans="2:20" ht="26.25" customHeight="1" x14ac:dyDescent="0.25">
      <c r="B26" s="64" t="str">
        <f>"P17  "&amp;Inputs!$E$639&amp;" - operating fraction of the year (part year from the commencement date)"</f>
        <v>P17  Pipeline Project 2 - operating fraction of the year (part year from the commencement date)</v>
      </c>
      <c r="C26" s="28" t="s">
        <v>1890</v>
      </c>
      <c r="E26" s="37">
        <f>Inputs!$H$80</f>
        <v>0</v>
      </c>
      <c r="G26" s="105">
        <v>0</v>
      </c>
      <c r="H26" s="105">
        <f>IF(Inputs!$H$80=1,MAX(0,MIN(1,(DATE(H7,12,31)-MAX(DATE(H7,1,1),N(Inputs!$E$641))+1)/H8)),0)</f>
        <v>0</v>
      </c>
      <c r="I26" s="105">
        <f>IF(Inputs!$H$80=1,MAX(0,MIN(1,(DATE(I7,12,31)-MAX(DATE(I7,1,1),N(Inputs!$E$641))+1)/I8)),0)</f>
        <v>0</v>
      </c>
      <c r="J26" s="105">
        <f>IF(Inputs!$H$80=1,MAX(0,MIN(1,(DATE(J7,12,31)-MAX(DATE(J7,1,1),N(Inputs!$E$641))+1)/J8)),0)</f>
        <v>0</v>
      </c>
      <c r="K26" s="105">
        <f>IF(Inputs!$H$80=1,MAX(0,MIN(1,(DATE(K7,12,31)-MAX(DATE(K7,1,1),N(Inputs!$E$641))+1)/K8)),0)</f>
        <v>0</v>
      </c>
      <c r="L26" s="105">
        <f>IF(Inputs!$H$80=1,MAX(0,MIN(1,(DATE(L7,12,31)-MAX(DATE(L7,1,1),N(Inputs!$E$641))+1)/L8)),0)</f>
        <v>0</v>
      </c>
      <c r="M26" s="105">
        <f>IF(Inputs!$H$80=1,MAX(0,MIN(1,(DATE(M7,12,31)-MAX(DATE(M7,1,1),N(Inputs!$E$641))+1)/M8)),0)</f>
        <v>0</v>
      </c>
      <c r="N26" s="105">
        <f>IF(Inputs!$H$80=1,MAX(0,MIN(1,(DATE(N7,12,31)-MAX(DATE(N7,1,1),N(Inputs!$E$641))+1)/N8)),0)</f>
        <v>0</v>
      </c>
      <c r="O26" s="105">
        <f>IF(Inputs!$H$80=1,MAX(0,MIN(1,(DATE(O7,12,31)-MAX(DATE(O7,1,1),N(Inputs!$E$641))+1)/O8)),0)</f>
        <v>0</v>
      </c>
      <c r="P26" s="105">
        <f>IF(Inputs!$H$80=1,MAX(0,MIN(1,(DATE(P7,12,31)-MAX(DATE(P7,1,1),N(Inputs!$E$641))+1)/P8)),0)</f>
        <v>0</v>
      </c>
      <c r="Q26" s="105">
        <f>IF(Inputs!$H$80=1,MAX(0,MIN(1,(DATE(Q7,12,31)-MAX(DATE(Q7,1,1),N(Inputs!$E$641))+1)/Q8)),0)</f>
        <v>0</v>
      </c>
      <c r="R26" s="105">
        <f>IF(Inputs!$H$80=1,MAX(0,MIN(1,(DATE(R7,12,31)-MAX(DATE(R7,1,1),N(Inputs!$E$641))+1)/R8)),0)</f>
        <v>0</v>
      </c>
      <c r="S26" s="105">
        <f>IF(Inputs!$H$80=1,MAX(0,MIN(1,(DATE(S7,12,31)-MAX(DATE(S7,1,1),N(Inputs!$E$641))+1)/S8)),0)</f>
        <v>0</v>
      </c>
      <c r="T26" s="105">
        <f>IF(Inputs!$H$80=1,MAX(0,MIN(1,(DATE(T7,12,31)-MAX(DATE(T7,1,1),N(Inputs!$E$641))+1)/T8)),0)</f>
        <v>0</v>
      </c>
    </row>
    <row r="27" spans="2:20" ht="26.25" customHeight="1" x14ac:dyDescent="0.25">
      <c r="B27" s="64" t="str">
        <f>"P18  "&amp;Inputs!$E$673&amp;" - operating fraction of the year (part year from the commencement date)"</f>
        <v>P18  Pipeline Project 3 - operating fraction of the year (part year from the commencement date)</v>
      </c>
      <c r="C27" s="28" t="s">
        <v>1890</v>
      </c>
      <c r="E27" s="37">
        <f>Inputs!$H$81</f>
        <v>0</v>
      </c>
      <c r="G27" s="105">
        <v>0</v>
      </c>
      <c r="H27" s="105">
        <f>IF(Inputs!$H$81=1,MAX(0,MIN(1,(DATE(H7,12,31)-MAX(DATE(H7,1,1),N(Inputs!$E$675))+1)/H8)),0)</f>
        <v>0</v>
      </c>
      <c r="I27" s="105">
        <f>IF(Inputs!$H$81=1,MAX(0,MIN(1,(DATE(I7,12,31)-MAX(DATE(I7,1,1),N(Inputs!$E$675))+1)/I8)),0)</f>
        <v>0</v>
      </c>
      <c r="J27" s="105">
        <f>IF(Inputs!$H$81=1,MAX(0,MIN(1,(DATE(J7,12,31)-MAX(DATE(J7,1,1),N(Inputs!$E$675))+1)/J8)),0)</f>
        <v>0</v>
      </c>
      <c r="K27" s="105">
        <f>IF(Inputs!$H$81=1,MAX(0,MIN(1,(DATE(K7,12,31)-MAX(DATE(K7,1,1),N(Inputs!$E$675))+1)/K8)),0)</f>
        <v>0</v>
      </c>
      <c r="L27" s="105">
        <f>IF(Inputs!$H$81=1,MAX(0,MIN(1,(DATE(L7,12,31)-MAX(DATE(L7,1,1),N(Inputs!$E$675))+1)/L8)),0)</f>
        <v>0</v>
      </c>
      <c r="M27" s="105">
        <f>IF(Inputs!$H$81=1,MAX(0,MIN(1,(DATE(M7,12,31)-MAX(DATE(M7,1,1),N(Inputs!$E$675))+1)/M8)),0)</f>
        <v>0</v>
      </c>
      <c r="N27" s="105">
        <f>IF(Inputs!$H$81=1,MAX(0,MIN(1,(DATE(N7,12,31)-MAX(DATE(N7,1,1),N(Inputs!$E$675))+1)/N8)),0)</f>
        <v>0</v>
      </c>
      <c r="O27" s="105">
        <f>IF(Inputs!$H$81=1,MAX(0,MIN(1,(DATE(O7,12,31)-MAX(DATE(O7,1,1),N(Inputs!$E$675))+1)/O8)),0)</f>
        <v>0</v>
      </c>
      <c r="P27" s="105">
        <f>IF(Inputs!$H$81=1,MAX(0,MIN(1,(DATE(P7,12,31)-MAX(DATE(P7,1,1),N(Inputs!$E$675))+1)/P8)),0)</f>
        <v>0</v>
      </c>
      <c r="Q27" s="105">
        <f>IF(Inputs!$H$81=1,MAX(0,MIN(1,(DATE(Q7,12,31)-MAX(DATE(Q7,1,1),N(Inputs!$E$675))+1)/Q8)),0)</f>
        <v>0</v>
      </c>
      <c r="R27" s="105">
        <f>IF(Inputs!$H$81=1,MAX(0,MIN(1,(DATE(R7,12,31)-MAX(DATE(R7,1,1),N(Inputs!$E$675))+1)/R8)),0)</f>
        <v>0</v>
      </c>
      <c r="S27" s="105">
        <f>IF(Inputs!$H$81=1,MAX(0,MIN(1,(DATE(S7,12,31)-MAX(DATE(S7,1,1),N(Inputs!$E$675))+1)/S8)),0)</f>
        <v>0</v>
      </c>
      <c r="T27" s="105">
        <f>IF(Inputs!$H$81=1,MAX(0,MIN(1,(DATE(T7,12,31)-MAX(DATE(T7,1,1),N(Inputs!$E$675))+1)/T8)),0)</f>
        <v>0</v>
      </c>
    </row>
    <row r="28" spans="2:20" ht="26.25" customHeight="1" x14ac:dyDescent="0.25">
      <c r="B28" s="64" t="s">
        <v>1891</v>
      </c>
      <c r="C28" s="28" t="s">
        <v>1890</v>
      </c>
      <c r="D28" s="37">
        <f>YEAR(Inputs!$E$571)</f>
        <v>2029</v>
      </c>
      <c r="G28" s="105">
        <v>0</v>
      </c>
      <c r="H28" s="105">
        <f>MAX(0,MIN(1,(DATE(H7,12,31)-MAX(DATE(H7,1,1),Inputs!$E$571)+1)/H8))</f>
        <v>0</v>
      </c>
      <c r="I28" s="105">
        <f>MAX(0,MIN(1,(DATE(I7,12,31)-MAX(DATE(I7,1,1),Inputs!$E$571)+1)/I8))</f>
        <v>0</v>
      </c>
      <c r="J28" s="105">
        <f>MAX(0,MIN(1,(DATE(J7,12,31)-MAX(DATE(J7,1,1),Inputs!$E$571)+1)/J8))</f>
        <v>0</v>
      </c>
      <c r="K28" s="105">
        <f>MAX(0,MIN(1,(DATE(K7,12,31)-MAX(DATE(K7,1,1),Inputs!$E$571)+1)/K8))</f>
        <v>0</v>
      </c>
      <c r="L28" s="105">
        <f>MAX(0,MIN(1,(DATE(L7,12,31)-MAX(DATE(L7,1,1),Inputs!$E$571)+1)/L8))</f>
        <v>0</v>
      </c>
      <c r="M28" s="105">
        <f>MAX(0,MIN(1,(DATE(M7,12,31)-MAX(DATE(M7,1,1),Inputs!$E$571)+1)/M8))</f>
        <v>1</v>
      </c>
      <c r="N28" s="105">
        <f>MAX(0,MIN(1,(DATE(N7,12,31)-MAX(DATE(N7,1,1),Inputs!$E$571)+1)/N8))</f>
        <v>1</v>
      </c>
      <c r="O28" s="105">
        <f>MAX(0,MIN(1,(DATE(O7,12,31)-MAX(DATE(O7,1,1),Inputs!$E$571)+1)/O8))</f>
        <v>1</v>
      </c>
      <c r="P28" s="105">
        <f>MAX(0,MIN(1,(DATE(P7,12,31)-MAX(DATE(P7,1,1),Inputs!$E$571)+1)/P8))</f>
        <v>1</v>
      </c>
      <c r="Q28" s="105">
        <f>MAX(0,MIN(1,(DATE(Q7,12,31)-MAX(DATE(Q7,1,1),Inputs!$E$571)+1)/Q8))</f>
        <v>1</v>
      </c>
      <c r="R28" s="105">
        <f>MAX(0,MIN(1,(DATE(R7,12,31)-MAX(DATE(R7,1,1),Inputs!$E$571)+1)/R8))</f>
        <v>1</v>
      </c>
      <c r="S28" s="105">
        <f>MAX(0,MIN(1,(DATE(S7,12,31)-MAX(DATE(S7,1,1),Inputs!$E$571)+1)/S8))</f>
        <v>1</v>
      </c>
      <c r="T28" s="105">
        <f>MAX(0,MIN(1,(DATE(T7,12,31)-MAX(DATE(T7,1,1),Inputs!$E$571)+1)/T8))</f>
        <v>1</v>
      </c>
    </row>
    <row r="29" spans="2:20" ht="26.25" customHeight="1" x14ac:dyDescent="0.25">
      <c r="B29" s="64" t="s">
        <v>1892</v>
      </c>
      <c r="C29" s="28" t="s">
        <v>1890</v>
      </c>
      <c r="E29" s="37">
        <f>Inputs!$H$82</f>
        <v>1</v>
      </c>
      <c r="G29" s="105">
        <v>0</v>
      </c>
      <c r="H29" s="105">
        <f>H28*Inputs!$H$82</f>
        <v>0</v>
      </c>
      <c r="I29" s="105">
        <f>I28*Inputs!$H$82</f>
        <v>0</v>
      </c>
      <c r="J29" s="105">
        <f>J28*Inputs!$H$82</f>
        <v>0</v>
      </c>
      <c r="K29" s="105">
        <f>K28*Inputs!$H$82</f>
        <v>0</v>
      </c>
      <c r="L29" s="105">
        <f>L28*Inputs!$H$82</f>
        <v>0</v>
      </c>
      <c r="M29" s="105">
        <f>M28*Inputs!$H$82</f>
        <v>1</v>
      </c>
      <c r="N29" s="105">
        <f>N28*Inputs!$H$82</f>
        <v>1</v>
      </c>
      <c r="O29" s="105">
        <f>O28*Inputs!$H$82</f>
        <v>1</v>
      </c>
      <c r="P29" s="105">
        <f>P28*Inputs!$H$82</f>
        <v>1</v>
      </c>
      <c r="Q29" s="105">
        <f>Q28*Inputs!$H$82</f>
        <v>1</v>
      </c>
      <c r="R29" s="105">
        <f>R28*Inputs!$H$82</f>
        <v>1</v>
      </c>
      <c r="S29" s="105">
        <f>S28*Inputs!$H$82</f>
        <v>1</v>
      </c>
      <c r="T29" s="105">
        <f>T28*Inputs!$H$82</f>
        <v>1</v>
      </c>
    </row>
    <row r="30" spans="2:20" x14ac:dyDescent="0.25">
      <c r="B30" s="145" t="s">
        <v>1893</v>
      </c>
    </row>
    <row r="32" spans="2:20" x14ac:dyDescent="0.25">
      <c r="B32" s="58" t="s">
        <v>1894</v>
      </c>
      <c r="C32" s="19"/>
      <c r="D32" s="19"/>
      <c r="E32" s="19"/>
      <c r="F32" s="19"/>
      <c r="G32" s="19"/>
      <c r="H32" s="19"/>
      <c r="I32" s="19"/>
      <c r="J32" s="19"/>
      <c r="K32" s="19"/>
      <c r="L32" s="19"/>
      <c r="M32" s="19"/>
      <c r="N32" s="19"/>
      <c r="O32" s="19"/>
      <c r="P32" s="19"/>
      <c r="Q32" s="19"/>
      <c r="R32" s="19"/>
      <c r="S32" s="19"/>
      <c r="T32" s="19"/>
    </row>
    <row r="33" spans="2:20" x14ac:dyDescent="0.25">
      <c r="B33" s="154" t="s">
        <v>626</v>
      </c>
    </row>
    <row r="34" spans="2:20" x14ac:dyDescent="0.25">
      <c r="B34" s="23" t="s">
        <v>1895</v>
      </c>
      <c r="C34" s="28" t="s">
        <v>1896</v>
      </c>
      <c r="D34" s="155" t="s">
        <v>1897</v>
      </c>
      <c r="G34" s="69">
        <v>1</v>
      </c>
      <c r="H34" s="69">
        <f>G34*(1+Inputs!H108)</f>
        <v>1</v>
      </c>
      <c r="I34" s="69">
        <f>H34*(1+Inputs!I108)</f>
        <v>1.03</v>
      </c>
      <c r="J34" s="69">
        <f>I34*(1+Inputs!J108)</f>
        <v>1.0609</v>
      </c>
      <c r="K34" s="69">
        <f>J34*(1+Inputs!K108)</f>
        <v>1.092727</v>
      </c>
      <c r="L34" s="69">
        <f>K34*(1+Inputs!L108)</f>
        <v>1.1255088100000001</v>
      </c>
      <c r="M34" s="69">
        <f>L34*(1+Inputs!M108)</f>
        <v>1.1592740743000001</v>
      </c>
      <c r="N34" s="69">
        <f>M34*(1+Inputs!N108)</f>
        <v>1.1940522965290001</v>
      </c>
      <c r="O34" s="69">
        <f>N34*(1+Inputs!O108)</f>
        <v>1.2298738654248702</v>
      </c>
      <c r="P34" s="69">
        <f>O34*(1+Inputs!P108)</f>
        <v>1.2667700813876164</v>
      </c>
      <c r="Q34" s="69">
        <f>P34*(1+Inputs!Q108)</f>
        <v>1.3047731838292449</v>
      </c>
      <c r="R34" s="69">
        <f>Q34*(1+Inputs!R108)</f>
        <v>1.3439163793441222</v>
      </c>
      <c r="S34" s="69">
        <f>R34*(1+Inputs!S108)</f>
        <v>1.3842338707244459</v>
      </c>
      <c r="T34" s="69">
        <f>S34*(1+Inputs!T108)</f>
        <v>1.4257608868461793</v>
      </c>
    </row>
    <row r="35" spans="2:20" x14ac:dyDescent="0.25">
      <c r="B35" s="23" t="s">
        <v>1898</v>
      </c>
      <c r="C35" s="28" t="s">
        <v>1896</v>
      </c>
      <c r="D35" s="155" t="s">
        <v>1897</v>
      </c>
      <c r="G35" s="69">
        <v>1</v>
      </c>
      <c r="H35" s="69">
        <f>G35*(1+Inputs!H109)</f>
        <v>1</v>
      </c>
      <c r="I35" s="69">
        <f>H35*(1+Inputs!I109)</f>
        <v>1.03</v>
      </c>
      <c r="J35" s="69">
        <f>I35*(1+Inputs!J109)</f>
        <v>1.0609</v>
      </c>
      <c r="K35" s="69">
        <f>J35*(1+Inputs!K109)</f>
        <v>1.092727</v>
      </c>
      <c r="L35" s="69">
        <f>K35*(1+Inputs!L109)</f>
        <v>1.1255088100000001</v>
      </c>
      <c r="M35" s="69">
        <f>L35*(1+Inputs!M109)</f>
        <v>1.1592740743000001</v>
      </c>
      <c r="N35" s="69">
        <f>M35*(1+Inputs!N109)</f>
        <v>1.1940522965290001</v>
      </c>
      <c r="O35" s="69">
        <f>N35*(1+Inputs!O109)</f>
        <v>1.2298738654248702</v>
      </c>
      <c r="P35" s="69">
        <f>O35*(1+Inputs!P109)</f>
        <v>1.2667700813876164</v>
      </c>
      <c r="Q35" s="69">
        <f>P35*(1+Inputs!Q109)</f>
        <v>1.3047731838292449</v>
      </c>
      <c r="R35" s="69">
        <f>Q35*(1+Inputs!R109)</f>
        <v>1.3439163793441222</v>
      </c>
      <c r="S35" s="69">
        <f>R35*(1+Inputs!S109)</f>
        <v>1.3842338707244459</v>
      </c>
      <c r="T35" s="69">
        <f>S35*(1+Inputs!T109)</f>
        <v>1.4257608868461793</v>
      </c>
    </row>
    <row r="36" spans="2:20" x14ac:dyDescent="0.25">
      <c r="B36" s="23" t="s">
        <v>1899</v>
      </c>
      <c r="C36" s="28" t="s">
        <v>630</v>
      </c>
      <c r="H36" s="108">
        <f>Inputs!$E$103*Inputs!$E$104*H34*Inputs!$E$52</f>
        <v>2063651.067</v>
      </c>
      <c r="I36" s="108">
        <f>Inputs!$E$103*Inputs!$E$104*I34*Inputs!$E$52</f>
        <v>2125560.59901</v>
      </c>
      <c r="J36" s="108">
        <f>Inputs!$E$103*Inputs!$E$104*J34*Inputs!$E$52</f>
        <v>2189327.4169803001</v>
      </c>
      <c r="K36" s="108">
        <f>Inputs!$E$103*Inputs!$E$104*K34*Inputs!$E$52</f>
        <v>2255007.239489709</v>
      </c>
      <c r="L36" s="108">
        <f>Inputs!$E$103*Inputs!$E$104*L34*Inputs!$E$52</f>
        <v>2322657.4566744007</v>
      </c>
      <c r="M36" s="108">
        <f>Inputs!$E$103*Inputs!$E$104*M34*Inputs!$E$52</f>
        <v>2392337.1803746326</v>
      </c>
      <c r="N36" s="108">
        <f>Inputs!$E$103*Inputs!$E$104*N34*Inputs!$E$52</f>
        <v>2464107.2957858718</v>
      </c>
      <c r="O36" s="108">
        <f>Inputs!$E$103*Inputs!$E$104*O34*Inputs!$E$52</f>
        <v>2538030.5146594481</v>
      </c>
      <c r="P36" s="108">
        <f>Inputs!$E$103*Inputs!$E$104*P34*Inputs!$E$52</f>
        <v>2614171.4300992312</v>
      </c>
      <c r="Q36" s="108">
        <f>Inputs!$E$103*Inputs!$E$104*Q34*Inputs!$E$52</f>
        <v>2692596.5730022085</v>
      </c>
      <c r="R36" s="108">
        <f>Inputs!$E$103*Inputs!$E$104*R34*Inputs!$E$52</f>
        <v>2773374.4701922745</v>
      </c>
      <c r="S36" s="108">
        <f>Inputs!$E$103*Inputs!$E$104*S34*Inputs!$E$52</f>
        <v>2856575.7042980432</v>
      </c>
      <c r="T36" s="108">
        <f>Inputs!$E$103*Inputs!$E$104*T34*Inputs!$E$52</f>
        <v>2942272.975426984</v>
      </c>
    </row>
    <row r="37" spans="2:20" x14ac:dyDescent="0.25">
      <c r="B37" s="23" t="s">
        <v>1900</v>
      </c>
      <c r="C37" s="28" t="s">
        <v>630</v>
      </c>
      <c r="H37" s="108">
        <f>Inputs!$E$105*Inputs!$E$106*H35*Inputs!$E$52</f>
        <v>1602574.2089999998</v>
      </c>
      <c r="I37" s="108">
        <f>Inputs!$E$105*Inputs!$E$106*I35*Inputs!$E$52</f>
        <v>1650651.4352699998</v>
      </c>
      <c r="J37" s="108">
        <f>Inputs!$E$105*Inputs!$E$106*J35*Inputs!$E$52</f>
        <v>1700170.9783280997</v>
      </c>
      <c r="K37" s="108">
        <f>Inputs!$E$105*Inputs!$E$106*K35*Inputs!$E$52</f>
        <v>1751176.1076779428</v>
      </c>
      <c r="L37" s="108">
        <f>Inputs!$E$105*Inputs!$E$106*L35*Inputs!$E$52</f>
        <v>1803711.3909082813</v>
      </c>
      <c r="M37" s="108">
        <f>Inputs!$E$105*Inputs!$E$106*M35*Inputs!$E$52</f>
        <v>1857822.7326355297</v>
      </c>
      <c r="N37" s="108">
        <f>Inputs!$E$105*Inputs!$E$106*N35*Inputs!$E$52</f>
        <v>1913557.4146145957</v>
      </c>
      <c r="O37" s="108">
        <f>Inputs!$E$105*Inputs!$E$106*O35*Inputs!$E$52</f>
        <v>1970964.1370530336</v>
      </c>
      <c r="P37" s="108">
        <f>Inputs!$E$105*Inputs!$E$106*P35*Inputs!$E$52</f>
        <v>2030093.0611646248</v>
      </c>
      <c r="Q37" s="108">
        <f>Inputs!$E$105*Inputs!$E$106*Q35*Inputs!$E$52</f>
        <v>2090995.8529995636</v>
      </c>
      <c r="R37" s="108">
        <f>Inputs!$E$105*Inputs!$E$106*R35*Inputs!$E$52</f>
        <v>2153725.7285895501</v>
      </c>
      <c r="S37" s="108">
        <f>Inputs!$E$105*Inputs!$E$106*S35*Inputs!$E$52</f>
        <v>2218337.5004472369</v>
      </c>
      <c r="T37" s="108">
        <f>Inputs!$E$105*Inputs!$E$106*T35*Inputs!$E$52</f>
        <v>2284887.625460654</v>
      </c>
    </row>
    <row r="38" spans="2:20" x14ac:dyDescent="0.25">
      <c r="B38" s="21" t="s">
        <v>1901</v>
      </c>
      <c r="C38" s="28" t="s">
        <v>630</v>
      </c>
      <c r="H38" s="156">
        <f t="shared" ref="H38:T38" si="1">H36+H37</f>
        <v>3666225.2759999996</v>
      </c>
      <c r="I38" s="156">
        <f t="shared" si="1"/>
        <v>3776212.0342799998</v>
      </c>
      <c r="J38" s="156">
        <f t="shared" si="1"/>
        <v>3889498.3953083996</v>
      </c>
      <c r="K38" s="156">
        <f t="shared" si="1"/>
        <v>4006183.3471676521</v>
      </c>
      <c r="L38" s="156">
        <f t="shared" si="1"/>
        <v>4126368.847582682</v>
      </c>
      <c r="M38" s="156">
        <f t="shared" si="1"/>
        <v>4250159.9130101623</v>
      </c>
      <c r="N38" s="156">
        <f t="shared" si="1"/>
        <v>4377664.7104004677</v>
      </c>
      <c r="O38" s="156">
        <f t="shared" si="1"/>
        <v>4508994.6517124819</v>
      </c>
      <c r="P38" s="156">
        <f t="shared" si="1"/>
        <v>4644264.4912638562</v>
      </c>
      <c r="Q38" s="156">
        <f t="shared" si="1"/>
        <v>4783592.4260017723</v>
      </c>
      <c r="R38" s="156">
        <f t="shared" si="1"/>
        <v>4927100.1987818247</v>
      </c>
      <c r="S38" s="156">
        <f t="shared" si="1"/>
        <v>5074913.2047452796</v>
      </c>
      <c r="T38" s="156">
        <f t="shared" si="1"/>
        <v>5227160.6008876376</v>
      </c>
    </row>
    <row r="39" spans="2:20" x14ac:dyDescent="0.25">
      <c r="B39" s="23" t="s">
        <v>1902</v>
      </c>
      <c r="C39" s="28" t="s">
        <v>647</v>
      </c>
      <c r="H39" s="108">
        <f>Inputs!H110*Inputs!$E$53</f>
        <v>42880</v>
      </c>
      <c r="I39" s="108">
        <f>Inputs!I110*Inputs!$E$53</f>
        <v>42880</v>
      </c>
      <c r="J39" s="108">
        <f>Inputs!J110*Inputs!$E$53</f>
        <v>42880</v>
      </c>
      <c r="K39" s="108">
        <f>Inputs!K110*Inputs!$E$53</f>
        <v>42880</v>
      </c>
      <c r="L39" s="108">
        <f>Inputs!L110*Inputs!$E$53</f>
        <v>42880</v>
      </c>
      <c r="M39" s="108">
        <f>Inputs!M110*Inputs!$E$53</f>
        <v>44166.400000000001</v>
      </c>
      <c r="N39" s="108">
        <f>Inputs!N110*Inputs!$E$53</f>
        <v>44166.400000000001</v>
      </c>
      <c r="O39" s="108">
        <f>Inputs!O110*Inputs!$E$53</f>
        <v>44166.400000000001</v>
      </c>
      <c r="P39" s="108">
        <f>Inputs!P110*Inputs!$E$53</f>
        <v>45491.392</v>
      </c>
      <c r="Q39" s="108">
        <f>Inputs!Q110*Inputs!$E$53</f>
        <v>45491.392</v>
      </c>
      <c r="R39" s="108">
        <f>Inputs!R110*Inputs!$E$53</f>
        <v>45491.392</v>
      </c>
      <c r="S39" s="108">
        <f>Inputs!S110*Inputs!$E$53</f>
        <v>45491.392</v>
      </c>
      <c r="T39" s="108">
        <f>Inputs!T110*Inputs!$E$53</f>
        <v>45491.392</v>
      </c>
    </row>
    <row r="40" spans="2:20" x14ac:dyDescent="0.25">
      <c r="B40" s="23" t="s">
        <v>1903</v>
      </c>
      <c r="C40" s="28" t="s">
        <v>647</v>
      </c>
      <c r="H40" s="108">
        <f>Inputs!H111*Inputs!$E$53</f>
        <v>42400</v>
      </c>
      <c r="I40" s="108">
        <f>Inputs!I111*Inputs!$E$53</f>
        <v>42400</v>
      </c>
      <c r="J40" s="108">
        <f>Inputs!J111*Inputs!$E$53</f>
        <v>42400</v>
      </c>
      <c r="K40" s="108">
        <f>Inputs!K111*Inputs!$E$53</f>
        <v>42400</v>
      </c>
      <c r="L40" s="108">
        <f>Inputs!L111*Inputs!$E$53</f>
        <v>42400</v>
      </c>
      <c r="M40" s="108">
        <f>Inputs!M111*Inputs!$E$53</f>
        <v>43672</v>
      </c>
      <c r="N40" s="108">
        <f>Inputs!N111*Inputs!$E$53</f>
        <v>43672</v>
      </c>
      <c r="O40" s="108">
        <f>Inputs!O111*Inputs!$E$53</f>
        <v>43672</v>
      </c>
      <c r="P40" s="108">
        <f>Inputs!P111*Inputs!$E$53</f>
        <v>44982.16</v>
      </c>
      <c r="Q40" s="108">
        <f>Inputs!Q111*Inputs!$E$53</f>
        <v>44982.16</v>
      </c>
      <c r="R40" s="108">
        <f>Inputs!R111*Inputs!$E$53</f>
        <v>44982.16</v>
      </c>
      <c r="S40" s="108">
        <f>Inputs!S111*Inputs!$E$53</f>
        <v>44982.16</v>
      </c>
      <c r="T40" s="108">
        <f>Inputs!T111*Inputs!$E$53</f>
        <v>44982.16</v>
      </c>
    </row>
    <row r="41" spans="2:20" ht="26.25" customHeight="1" x14ac:dyDescent="0.25">
      <c r="B41" s="133" t="s">
        <v>1904</v>
      </c>
      <c r="C41" s="28" t="s">
        <v>493</v>
      </c>
      <c r="G41" s="157"/>
      <c r="H41" s="158">
        <f t="shared" ref="H41:T41" si="2">(H36*H39+H37*H40)/1000000000</f>
        <v>156.43850421456</v>
      </c>
      <c r="I41" s="158">
        <f t="shared" si="2"/>
        <v>161.1316593409968</v>
      </c>
      <c r="J41" s="158">
        <f t="shared" si="2"/>
        <v>165.96560912122669</v>
      </c>
      <c r="K41" s="158">
        <f t="shared" si="2"/>
        <v>170.9445773948635</v>
      </c>
      <c r="L41" s="158">
        <f t="shared" si="2"/>
        <v>176.07291471670942</v>
      </c>
      <c r="M41" s="158">
        <f t="shared" si="2"/>
        <v>186.79575522295704</v>
      </c>
      <c r="N41" s="158">
        <f t="shared" si="2"/>
        <v>192.39962787964575</v>
      </c>
      <c r="O41" s="158">
        <f t="shared" si="2"/>
        <v>198.17161671603512</v>
      </c>
      <c r="P41" s="158">
        <f t="shared" si="2"/>
        <v>210.24026817404169</v>
      </c>
      <c r="Q41" s="158">
        <f t="shared" si="2"/>
        <v>216.54747621926293</v>
      </c>
      <c r="R41" s="158">
        <f t="shared" si="2"/>
        <v>223.04390050584081</v>
      </c>
      <c r="S41" s="158">
        <f t="shared" si="2"/>
        <v>229.73521752101604</v>
      </c>
      <c r="T41" s="158">
        <f t="shared" si="2"/>
        <v>236.62727404664653</v>
      </c>
    </row>
    <row r="43" spans="2:20" x14ac:dyDescent="0.25">
      <c r="B43" s="154" t="s">
        <v>525</v>
      </c>
    </row>
    <row r="44" spans="2:20" x14ac:dyDescent="0.25">
      <c r="B44" s="23" t="s">
        <v>1905</v>
      </c>
      <c r="C44" s="28" t="s">
        <v>1896</v>
      </c>
      <c r="G44" s="69">
        <v>1</v>
      </c>
      <c r="H44" s="69">
        <f>G44*(1+Inputs!H117)</f>
        <v>1</v>
      </c>
      <c r="I44" s="69">
        <f>H44*(1+Inputs!I117)</f>
        <v>1.03</v>
      </c>
      <c r="J44" s="69">
        <f>I44*(1+Inputs!J117)</f>
        <v>1.0609</v>
      </c>
      <c r="K44" s="69">
        <f>J44*(1+Inputs!K117)</f>
        <v>1.092727</v>
      </c>
      <c r="L44" s="69">
        <f>K44*(1+Inputs!L117)</f>
        <v>1.1255088100000001</v>
      </c>
      <c r="M44" s="69">
        <f>L44*(1+Inputs!M117)</f>
        <v>1.1592740743000001</v>
      </c>
      <c r="N44" s="69">
        <f>M44*(1+Inputs!N117)</f>
        <v>1.1940522965290001</v>
      </c>
      <c r="O44" s="69">
        <f>N44*(1+Inputs!O117)</f>
        <v>1.2298738654248702</v>
      </c>
      <c r="P44" s="69">
        <f>O44*(1+Inputs!P117)</f>
        <v>1.2667700813876164</v>
      </c>
      <c r="Q44" s="69">
        <f>P44*(1+Inputs!Q117)</f>
        <v>1.3047731838292449</v>
      </c>
      <c r="R44" s="69">
        <f>Q44*(1+Inputs!R117)</f>
        <v>1.3439163793441222</v>
      </c>
      <c r="S44" s="69">
        <f>R44*(1+Inputs!S117)</f>
        <v>1.3842338707244459</v>
      </c>
      <c r="T44" s="69">
        <f>S44*(1+Inputs!T117)</f>
        <v>1.4257608868461793</v>
      </c>
    </row>
    <row r="45" spans="2:20" x14ac:dyDescent="0.25">
      <c r="B45" s="21" t="s">
        <v>1906</v>
      </c>
      <c r="C45" s="28" t="s">
        <v>630</v>
      </c>
      <c r="H45" s="156">
        <f>Inputs!$E$115*H44*Inputs!$E$52</f>
        <v>1100000</v>
      </c>
      <c r="I45" s="156">
        <f>Inputs!$E$115*I44*Inputs!$E$52</f>
        <v>1133000</v>
      </c>
      <c r="J45" s="156">
        <f>Inputs!$E$115*J44*Inputs!$E$52</f>
        <v>1166990</v>
      </c>
      <c r="K45" s="156">
        <f>Inputs!$E$115*K44*Inputs!$E$52</f>
        <v>1201999.7</v>
      </c>
      <c r="L45" s="156">
        <f>Inputs!$E$115*L44*Inputs!$E$52</f>
        <v>1238059.6910000001</v>
      </c>
      <c r="M45" s="156">
        <f>Inputs!$E$115*M44*Inputs!$E$52</f>
        <v>1275201.4817300001</v>
      </c>
      <c r="N45" s="156">
        <f>Inputs!$E$115*N44*Inputs!$E$52</f>
        <v>1313457.5261819002</v>
      </c>
      <c r="O45" s="156">
        <f>Inputs!$E$115*O44*Inputs!$E$52</f>
        <v>1352861.2519673572</v>
      </c>
      <c r="P45" s="156">
        <f>Inputs!$E$115*P44*Inputs!$E$52</f>
        <v>1393447.0895263781</v>
      </c>
      <c r="Q45" s="156">
        <f>Inputs!$E$115*Q44*Inputs!$E$52</f>
        <v>1435250.5022121693</v>
      </c>
      <c r="R45" s="156">
        <f>Inputs!$E$115*R44*Inputs!$E$52</f>
        <v>1478308.0172785344</v>
      </c>
      <c r="S45" s="156">
        <f>Inputs!$E$115*S44*Inputs!$E$52</f>
        <v>1522657.2577968906</v>
      </c>
      <c r="T45" s="156">
        <f>Inputs!$E$115*T44*Inputs!$E$52</f>
        <v>1568336.9755307971</v>
      </c>
    </row>
    <row r="46" spans="2:20" x14ac:dyDescent="0.25">
      <c r="B46" s="23" t="s">
        <v>1907</v>
      </c>
      <c r="C46" s="28" t="s">
        <v>647</v>
      </c>
      <c r="H46" s="108">
        <f>Inputs!H118*Inputs!$E$53</f>
        <v>35143.599999999999</v>
      </c>
      <c r="I46" s="108">
        <f>Inputs!I118*Inputs!$E$53</f>
        <v>40944</v>
      </c>
      <c r="J46" s="108">
        <f>Inputs!J118*Inputs!$E$53</f>
        <v>40944</v>
      </c>
      <c r="K46" s="108">
        <f>Inputs!K118*Inputs!$E$53</f>
        <v>49132.800000000003</v>
      </c>
      <c r="L46" s="108">
        <f>Inputs!L118*Inputs!$E$53</f>
        <v>49132.800000000003</v>
      </c>
      <c r="M46" s="108">
        <f>Inputs!M118*Inputs!$E$53</f>
        <v>54046.080000000002</v>
      </c>
      <c r="N46" s="108">
        <f>Inputs!N118*Inputs!$E$53</f>
        <v>54046.080000000002</v>
      </c>
      <c r="O46" s="108">
        <f>Inputs!O118*Inputs!$E$53</f>
        <v>57288.844799999999</v>
      </c>
      <c r="P46" s="108">
        <f>Inputs!P118*Inputs!$E$53</f>
        <v>57288.844799999999</v>
      </c>
      <c r="Q46" s="108">
        <f>Inputs!Q118*Inputs!$E$53</f>
        <v>60726.175488000001</v>
      </c>
      <c r="R46" s="108">
        <f>Inputs!R118*Inputs!$E$53</f>
        <v>60726.175488000001</v>
      </c>
      <c r="S46" s="108">
        <f>Inputs!S118*Inputs!$E$53</f>
        <v>60726.175488000001</v>
      </c>
      <c r="T46" s="108">
        <f>Inputs!T118*Inputs!$E$53</f>
        <v>60726.175488000001</v>
      </c>
    </row>
    <row r="47" spans="2:20" x14ac:dyDescent="0.25">
      <c r="B47" s="21" t="s">
        <v>1908</v>
      </c>
      <c r="C47" s="28" t="s">
        <v>493</v>
      </c>
      <c r="G47" s="157"/>
      <c r="H47" s="158">
        <f t="shared" ref="H47:T47" si="3">H45*H46/1000000000</f>
        <v>38.657960000000003</v>
      </c>
      <c r="I47" s="158">
        <f t="shared" si="3"/>
        <v>46.389552000000002</v>
      </c>
      <c r="J47" s="158">
        <f t="shared" si="3"/>
        <v>47.781238559999998</v>
      </c>
      <c r="K47" s="158">
        <f t="shared" si="3"/>
        <v>59.057610860160004</v>
      </c>
      <c r="L47" s="158">
        <f t="shared" si="3"/>
        <v>60.829339185964805</v>
      </c>
      <c r="M47" s="158">
        <f t="shared" si="3"/>
        <v>68.919641297698121</v>
      </c>
      <c r="N47" s="158">
        <f t="shared" si="3"/>
        <v>70.98723053662907</v>
      </c>
      <c r="O47" s="158">
        <f t="shared" si="3"/>
        <v>77.503858299891618</v>
      </c>
      <c r="P47" s="158">
        <f t="shared" si="3"/>
        <v>79.828974048888384</v>
      </c>
      <c r="Q47" s="158">
        <f t="shared" si="3"/>
        <v>87.157273866576318</v>
      </c>
      <c r="R47" s="158">
        <f t="shared" si="3"/>
        <v>89.771992082573604</v>
      </c>
      <c r="S47" s="158">
        <f t="shared" si="3"/>
        <v>92.465151845050826</v>
      </c>
      <c r="T47" s="158">
        <f t="shared" si="3"/>
        <v>95.239106400402349</v>
      </c>
    </row>
    <row r="49" spans="2:20" x14ac:dyDescent="0.25">
      <c r="B49" s="154" t="s">
        <v>528</v>
      </c>
    </row>
    <row r="50" spans="2:20" x14ac:dyDescent="0.25">
      <c r="B50" s="23" t="s">
        <v>1909</v>
      </c>
      <c r="C50" s="28" t="s">
        <v>1896</v>
      </c>
      <c r="G50" s="69">
        <v>1</v>
      </c>
      <c r="H50" s="69">
        <f>G50*(1+Inputs!H124)</f>
        <v>1</v>
      </c>
      <c r="I50" s="69">
        <f>H50*(1+Inputs!I124)</f>
        <v>1.03</v>
      </c>
      <c r="J50" s="69">
        <f>I50*(1+Inputs!J124)</f>
        <v>1.0609</v>
      </c>
      <c r="K50" s="69">
        <f>J50*(1+Inputs!K124)</f>
        <v>1.092727</v>
      </c>
      <c r="L50" s="69">
        <f>K50*(1+Inputs!L124)</f>
        <v>1.1255088100000001</v>
      </c>
      <c r="M50" s="69">
        <f>L50*(1+Inputs!M124)</f>
        <v>1.1592740743000001</v>
      </c>
      <c r="N50" s="69">
        <f>M50*(1+Inputs!N124)</f>
        <v>1.1940522965290001</v>
      </c>
      <c r="O50" s="69">
        <f>N50*(1+Inputs!O124)</f>
        <v>1.2298738654248702</v>
      </c>
      <c r="P50" s="69">
        <f>O50*(1+Inputs!P124)</f>
        <v>1.2667700813876164</v>
      </c>
      <c r="Q50" s="69">
        <f>P50*(1+Inputs!Q124)</f>
        <v>1.3047731838292449</v>
      </c>
      <c r="R50" s="69">
        <f>Q50*(1+Inputs!R124)</f>
        <v>1.3439163793441222</v>
      </c>
      <c r="S50" s="69">
        <f>R50*(1+Inputs!S124)</f>
        <v>1.3842338707244459</v>
      </c>
      <c r="T50" s="69">
        <f>S50*(1+Inputs!T124)</f>
        <v>1.4257608868461793</v>
      </c>
    </row>
    <row r="51" spans="2:20" x14ac:dyDescent="0.25">
      <c r="B51" s="21" t="s">
        <v>1910</v>
      </c>
      <c r="C51" s="28" t="s">
        <v>630</v>
      </c>
      <c r="H51" s="156">
        <f>Inputs!$E$122*H50*Inputs!$E$52</f>
        <v>750000</v>
      </c>
      <c r="I51" s="156">
        <f>Inputs!$E$122*I50*Inputs!$E$52</f>
        <v>772500</v>
      </c>
      <c r="J51" s="156">
        <f>Inputs!$E$122*J50*Inputs!$E$52</f>
        <v>795675</v>
      </c>
      <c r="K51" s="156">
        <f>Inputs!$E$122*K50*Inputs!$E$52</f>
        <v>819545.25</v>
      </c>
      <c r="L51" s="156">
        <f>Inputs!$E$122*L50*Inputs!$E$52</f>
        <v>844131.60750000016</v>
      </c>
      <c r="M51" s="156">
        <f>Inputs!$E$122*M50*Inputs!$E$52</f>
        <v>869455.5557250001</v>
      </c>
      <c r="N51" s="156">
        <f>Inputs!$E$122*N50*Inputs!$E$52</f>
        <v>895539.22239675012</v>
      </c>
      <c r="O51" s="156">
        <f>Inputs!$E$122*O50*Inputs!$E$52</f>
        <v>922405.39906865265</v>
      </c>
      <c r="P51" s="156">
        <f>Inputs!$E$122*P50*Inputs!$E$52</f>
        <v>950077.56104071229</v>
      </c>
      <c r="Q51" s="156">
        <f>Inputs!$E$122*Q50*Inputs!$E$52</f>
        <v>978579.88787193364</v>
      </c>
      <c r="R51" s="156">
        <f>Inputs!$E$122*R50*Inputs!$E$52</f>
        <v>1007937.2845080916</v>
      </c>
      <c r="S51" s="156">
        <f>Inputs!$E$122*S50*Inputs!$E$52</f>
        <v>1038175.4030433345</v>
      </c>
      <c r="T51" s="156">
        <f>Inputs!$E$122*T50*Inputs!$E$52</f>
        <v>1069320.6651346346</v>
      </c>
    </row>
    <row r="52" spans="2:20" x14ac:dyDescent="0.25">
      <c r="B52" s="23" t="s">
        <v>1911</v>
      </c>
      <c r="C52" s="28" t="s">
        <v>647</v>
      </c>
      <c r="H52" s="108">
        <f>Inputs!H125*Inputs!$E$53</f>
        <v>29658</v>
      </c>
      <c r="I52" s="108">
        <f>Inputs!I125*Inputs!$E$53</f>
        <v>29658</v>
      </c>
      <c r="J52" s="108">
        <f>Inputs!J125*Inputs!$E$53</f>
        <v>43947.5</v>
      </c>
      <c r="K52" s="108">
        <f>Inputs!K125*Inputs!$E$53</f>
        <v>43947.5</v>
      </c>
      <c r="L52" s="108">
        <f>Inputs!L125*Inputs!$E$53</f>
        <v>45265.925000000003</v>
      </c>
      <c r="M52" s="108">
        <f>Inputs!M125*Inputs!$E$53</f>
        <v>46623.902750000001</v>
      </c>
      <c r="N52" s="108">
        <f>Inputs!N125*Inputs!$E$53</f>
        <v>48022.6198325</v>
      </c>
      <c r="O52" s="108">
        <f>Inputs!O125*Inputs!$E$53</f>
        <v>49463.298427474998</v>
      </c>
      <c r="P52" s="108">
        <f>Inputs!P125*Inputs!$E$53</f>
        <v>50947.197380299302</v>
      </c>
      <c r="Q52" s="108">
        <f>Inputs!Q125*Inputs!$E$53</f>
        <v>52475.613301708203</v>
      </c>
      <c r="R52" s="108">
        <f>Inputs!R125*Inputs!$E$53</f>
        <v>54049.881700759499</v>
      </c>
      <c r="S52" s="108">
        <f>Inputs!S125*Inputs!$E$53</f>
        <v>55671.378151782301</v>
      </c>
      <c r="T52" s="108">
        <f>Inputs!T125*Inputs!$E$53</f>
        <v>57341.519496335699</v>
      </c>
    </row>
    <row r="53" spans="2:20" x14ac:dyDescent="0.25">
      <c r="B53" s="21" t="s">
        <v>1912</v>
      </c>
      <c r="C53" s="28" t="s">
        <v>493</v>
      </c>
      <c r="G53" s="157"/>
      <c r="H53" s="158">
        <f t="shared" ref="H53:T53" si="4">H51*H52/1000000000</f>
        <v>22.243500000000001</v>
      </c>
      <c r="I53" s="158">
        <f t="shared" si="4"/>
        <v>22.910805</v>
      </c>
      <c r="J53" s="158">
        <f t="shared" si="4"/>
        <v>34.967927062500003</v>
      </c>
      <c r="K53" s="158">
        <f t="shared" si="4"/>
        <v>36.016964874374999</v>
      </c>
      <c r="L53" s="158">
        <f t="shared" si="4"/>
        <v>38.210398035224451</v>
      </c>
      <c r="M53" s="158">
        <f t="shared" si="4"/>
        <v>40.53741127556961</v>
      </c>
      <c r="N53" s="158">
        <f t="shared" si="4"/>
        <v>43.006139622251801</v>
      </c>
      <c r="O53" s="158">
        <f t="shared" si="4"/>
        <v>45.625213525246934</v>
      </c>
      <c r="P53" s="158">
        <f t="shared" si="4"/>
        <v>48.403789028934526</v>
      </c>
      <c r="Q53" s="158">
        <f t="shared" si="4"/>
        <v>51.351579780796563</v>
      </c>
      <c r="R53" s="158">
        <f t="shared" si="4"/>
        <v>54.478890989447123</v>
      </c>
      <c r="S53" s="158">
        <f t="shared" si="4"/>
        <v>57.796655450704478</v>
      </c>
      <c r="T53" s="158">
        <f t="shared" si="4"/>
        <v>61.316471767652303</v>
      </c>
    </row>
    <row r="55" spans="2:20" x14ac:dyDescent="0.25">
      <c r="B55" s="154" t="s">
        <v>1913</v>
      </c>
    </row>
    <row r="56" spans="2:20" x14ac:dyDescent="0.25">
      <c r="B56" s="23" t="s">
        <v>1914</v>
      </c>
      <c r="C56" s="28" t="s">
        <v>1896</v>
      </c>
      <c r="G56" s="69">
        <f>IF(2023&lt;Inputs!$E$131,0,1)</f>
        <v>1</v>
      </c>
      <c r="H56" s="69">
        <f>IF(H7&lt;Inputs!$E$131,0,IF(H7=Inputs!$E$131,1,G56*(1+Inputs!H156)))</f>
        <v>1.05</v>
      </c>
      <c r="I56" s="69">
        <f>IF(I7&lt;Inputs!$E$131,0,IF(I7=Inputs!$E$131,1,H56*(1+Inputs!I156)))</f>
        <v>1.1025</v>
      </c>
      <c r="J56" s="69">
        <f>IF(J7&lt;Inputs!$E$131,0,IF(J7=Inputs!$E$131,1,I56*(1+Inputs!J156)))</f>
        <v>1.1576250000000001</v>
      </c>
      <c r="K56" s="69">
        <f>IF(K7&lt;Inputs!$E$131,0,IF(K7=Inputs!$E$131,1,J56*(1+Inputs!K156)))</f>
        <v>1.2155062500000002</v>
      </c>
      <c r="L56" s="69">
        <f>IF(L7&lt;Inputs!$E$131,0,IF(L7=Inputs!$E$131,1,K56*(1+Inputs!L156)))</f>
        <v>1.2762815625000004</v>
      </c>
      <c r="M56" s="69">
        <f>IF(M7&lt;Inputs!$E$131,0,IF(M7=Inputs!$E$131,1,L56*(1+Inputs!M156)))</f>
        <v>1.3400956406250004</v>
      </c>
      <c r="N56" s="69">
        <f>IF(N7&lt;Inputs!$E$131,0,IF(N7=Inputs!$E$131,1,M56*(1+Inputs!N156)))</f>
        <v>1.4071004226562505</v>
      </c>
      <c r="O56" s="69">
        <f>IF(O7&lt;Inputs!$E$131,0,IF(O7=Inputs!$E$131,1,N56*(1+Inputs!O156)))</f>
        <v>1.477455443789063</v>
      </c>
      <c r="P56" s="69">
        <f>IF(P7&lt;Inputs!$E$131,0,IF(P7=Inputs!$E$131,1,O56*(1+Inputs!P156)))</f>
        <v>1.5513282159785162</v>
      </c>
      <c r="Q56" s="69">
        <f>IF(Q7&lt;Inputs!$E$131,0,IF(Q7=Inputs!$E$131,1,P56*(1+Inputs!Q156)))</f>
        <v>1.628894626777442</v>
      </c>
      <c r="R56" s="69">
        <f>IF(R7&lt;Inputs!$E$131,0,IF(R7=Inputs!$E$131,1,Q56*(1+Inputs!R156)))</f>
        <v>1.7103393581163142</v>
      </c>
      <c r="S56" s="69">
        <f>IF(S7&lt;Inputs!$E$131,0,IF(S7=Inputs!$E$131,1,R56*(1+Inputs!S156)))</f>
        <v>1.7958563260221301</v>
      </c>
      <c r="T56" s="69">
        <f>IF(T7&lt;Inputs!$E$131,0,IF(T7=Inputs!$E$131,1,S56*(1+Inputs!T156)))</f>
        <v>1.8856491423232367</v>
      </c>
    </row>
    <row r="57" spans="2:20" x14ac:dyDescent="0.25">
      <c r="B57" s="23" t="s">
        <v>1915</v>
      </c>
      <c r="C57" s="28" t="s">
        <v>1896</v>
      </c>
      <c r="G57" s="69">
        <f>IF(2023&lt;Inputs!$E$133,0,1)</f>
        <v>1</v>
      </c>
      <c r="H57" s="69">
        <f>IF(H7&lt;Inputs!$E$133,0,IF(H7=Inputs!$E$133,1,G57*(1+Inputs!H158)))</f>
        <v>1.05</v>
      </c>
      <c r="I57" s="69">
        <f>IF(I7&lt;Inputs!$E$133,0,IF(I7=Inputs!$E$133,1,H57*(1+Inputs!I158)))</f>
        <v>1.1025</v>
      </c>
      <c r="J57" s="69">
        <f>IF(J7&lt;Inputs!$E$133,0,IF(J7=Inputs!$E$133,1,I57*(1+Inputs!J158)))</f>
        <v>1.1576250000000001</v>
      </c>
      <c r="K57" s="69">
        <f>IF(K7&lt;Inputs!$E$133,0,IF(K7=Inputs!$E$133,1,J57*(1+Inputs!K158)))</f>
        <v>1.2155062500000002</v>
      </c>
      <c r="L57" s="69">
        <f>IF(L7&lt;Inputs!$E$133,0,IF(L7=Inputs!$E$133,1,K57*(1+Inputs!L158)))</f>
        <v>1.2762815625000004</v>
      </c>
      <c r="M57" s="69">
        <f>IF(M7&lt;Inputs!$E$133,0,IF(M7=Inputs!$E$133,1,L57*(1+Inputs!M158)))</f>
        <v>1.3400956406250004</v>
      </c>
      <c r="N57" s="69">
        <f>IF(N7&lt;Inputs!$E$133,0,IF(N7=Inputs!$E$133,1,M57*(1+Inputs!N158)))</f>
        <v>1.4071004226562505</v>
      </c>
      <c r="O57" s="69">
        <f>IF(O7&lt;Inputs!$E$133,0,IF(O7=Inputs!$E$133,1,N57*(1+Inputs!O158)))</f>
        <v>1.477455443789063</v>
      </c>
      <c r="P57" s="69">
        <f>IF(P7&lt;Inputs!$E$133,0,IF(P7=Inputs!$E$133,1,O57*(1+Inputs!P158)))</f>
        <v>1.5513282159785162</v>
      </c>
      <c r="Q57" s="69">
        <f>IF(Q7&lt;Inputs!$E$133,0,IF(Q7=Inputs!$E$133,1,P57*(1+Inputs!Q158)))</f>
        <v>1.628894626777442</v>
      </c>
      <c r="R57" s="69">
        <f>IF(R7&lt;Inputs!$E$133,0,IF(R7=Inputs!$E$133,1,Q57*(1+Inputs!R158)))</f>
        <v>1.7103393581163142</v>
      </c>
      <c r="S57" s="69">
        <f>IF(S7&lt;Inputs!$E$133,0,IF(S7=Inputs!$E$133,1,R57*(1+Inputs!S158)))</f>
        <v>1.7958563260221301</v>
      </c>
      <c r="T57" s="69">
        <f>IF(T7&lt;Inputs!$E$133,0,IF(T7=Inputs!$E$133,1,S57*(1+Inputs!T158)))</f>
        <v>1.8856491423232367</v>
      </c>
    </row>
    <row r="58" spans="2:20" x14ac:dyDescent="0.25">
      <c r="B58" s="23" t="s">
        <v>1916</v>
      </c>
      <c r="C58" s="28" t="s">
        <v>1896</v>
      </c>
      <c r="G58" s="69">
        <f>IF(2023&lt;Inputs!$E$135,0,1)</f>
        <v>1</v>
      </c>
      <c r="H58" s="69">
        <f>IF(H7&lt;Inputs!$E$135,0,IF(H7=Inputs!$E$135,1,G58*(1+Inputs!H160)))</f>
        <v>1.05</v>
      </c>
      <c r="I58" s="69">
        <f>IF(I7&lt;Inputs!$E$135,0,IF(I7=Inputs!$E$135,1,H58*(1+Inputs!I160)))</f>
        <v>1.1025</v>
      </c>
      <c r="J58" s="69">
        <f>IF(J7&lt;Inputs!$E$135,0,IF(J7=Inputs!$E$135,1,I58*(1+Inputs!J160)))</f>
        <v>1.1576250000000001</v>
      </c>
      <c r="K58" s="69">
        <f>IF(K7&lt;Inputs!$E$135,0,IF(K7=Inputs!$E$135,1,J58*(1+Inputs!K160)))</f>
        <v>1.2155062500000002</v>
      </c>
      <c r="L58" s="69">
        <f>IF(L7&lt;Inputs!$E$135,0,IF(L7=Inputs!$E$135,1,K58*(1+Inputs!L160)))</f>
        <v>1.2762815625000004</v>
      </c>
      <c r="M58" s="69">
        <f>IF(M7&lt;Inputs!$E$135,0,IF(M7=Inputs!$E$135,1,L58*(1+Inputs!M160)))</f>
        <v>1.3400956406250004</v>
      </c>
      <c r="N58" s="69">
        <f>IF(N7&lt;Inputs!$E$135,0,IF(N7=Inputs!$E$135,1,M58*(1+Inputs!N160)))</f>
        <v>1.4071004226562505</v>
      </c>
      <c r="O58" s="69">
        <f>IF(O7&lt;Inputs!$E$135,0,IF(O7=Inputs!$E$135,1,N58*(1+Inputs!O160)))</f>
        <v>1.477455443789063</v>
      </c>
      <c r="P58" s="69">
        <f>IF(P7&lt;Inputs!$E$135,0,IF(P7=Inputs!$E$135,1,O58*(1+Inputs!P160)))</f>
        <v>1.5513282159785162</v>
      </c>
      <c r="Q58" s="69">
        <f>IF(Q7&lt;Inputs!$E$135,0,IF(Q7=Inputs!$E$135,1,P58*(1+Inputs!Q160)))</f>
        <v>1.628894626777442</v>
      </c>
      <c r="R58" s="69">
        <f>IF(R7&lt;Inputs!$E$135,0,IF(R7=Inputs!$E$135,1,Q58*(1+Inputs!R160)))</f>
        <v>1.7103393581163142</v>
      </c>
      <c r="S58" s="69">
        <f>IF(S7&lt;Inputs!$E$135,0,IF(S7=Inputs!$E$135,1,R58*(1+Inputs!S160)))</f>
        <v>1.7958563260221301</v>
      </c>
      <c r="T58" s="69">
        <f>IF(T7&lt;Inputs!$E$135,0,IF(T7=Inputs!$E$135,1,S58*(1+Inputs!T160)))</f>
        <v>1.8856491423232367</v>
      </c>
    </row>
    <row r="59" spans="2:20" x14ac:dyDescent="0.25">
      <c r="B59" s="23" t="s">
        <v>1917</v>
      </c>
      <c r="C59" s="28" t="s">
        <v>1896</v>
      </c>
      <c r="G59" s="69">
        <f>IF(2023&lt;Inputs!$E$137,0,1)</f>
        <v>1</v>
      </c>
      <c r="H59" s="69">
        <f>IF(H7&lt;Inputs!$E$137,0,IF(H7=Inputs!$E$137,1,G59*(1+Inputs!H162)))</f>
        <v>1.05</v>
      </c>
      <c r="I59" s="69">
        <f>IF(I7&lt;Inputs!$E$137,0,IF(I7=Inputs!$E$137,1,H59*(1+Inputs!I162)))</f>
        <v>1.1025</v>
      </c>
      <c r="J59" s="69">
        <f>IF(J7&lt;Inputs!$E$137,0,IF(J7=Inputs!$E$137,1,I59*(1+Inputs!J162)))</f>
        <v>1.1576250000000001</v>
      </c>
      <c r="K59" s="69">
        <f>IF(K7&lt;Inputs!$E$137,0,IF(K7=Inputs!$E$137,1,J59*(1+Inputs!K162)))</f>
        <v>1.2155062500000002</v>
      </c>
      <c r="L59" s="69">
        <f>IF(L7&lt;Inputs!$E$137,0,IF(L7=Inputs!$E$137,1,K59*(1+Inputs!L162)))</f>
        <v>1.2762815625000004</v>
      </c>
      <c r="M59" s="69">
        <f>IF(M7&lt;Inputs!$E$137,0,IF(M7=Inputs!$E$137,1,L59*(1+Inputs!M162)))</f>
        <v>1.3400956406250004</v>
      </c>
      <c r="N59" s="69">
        <f>IF(N7&lt;Inputs!$E$137,0,IF(N7=Inputs!$E$137,1,M59*(1+Inputs!N162)))</f>
        <v>1.4071004226562505</v>
      </c>
      <c r="O59" s="69">
        <f>IF(O7&lt;Inputs!$E$137,0,IF(O7=Inputs!$E$137,1,N59*(1+Inputs!O162)))</f>
        <v>1.477455443789063</v>
      </c>
      <c r="P59" s="69">
        <f>IF(P7&lt;Inputs!$E$137,0,IF(P7=Inputs!$E$137,1,O59*(1+Inputs!P162)))</f>
        <v>1.5513282159785162</v>
      </c>
      <c r="Q59" s="69">
        <f>IF(Q7&lt;Inputs!$E$137,0,IF(Q7=Inputs!$E$137,1,P59*(1+Inputs!Q162)))</f>
        <v>1.628894626777442</v>
      </c>
      <c r="R59" s="69">
        <f>IF(R7&lt;Inputs!$E$137,0,IF(R7=Inputs!$E$137,1,Q59*(1+Inputs!R162)))</f>
        <v>1.7103393581163142</v>
      </c>
      <c r="S59" s="69">
        <f>IF(S7&lt;Inputs!$E$137,0,IF(S7=Inputs!$E$137,1,R59*(1+Inputs!S162)))</f>
        <v>1.7958563260221301</v>
      </c>
      <c r="T59" s="69">
        <f>IF(T7&lt;Inputs!$E$137,0,IF(T7=Inputs!$E$137,1,S59*(1+Inputs!T162)))</f>
        <v>1.8856491423232367</v>
      </c>
    </row>
    <row r="60" spans="2:20" x14ac:dyDescent="0.25">
      <c r="B60" s="23" t="s">
        <v>1918</v>
      </c>
      <c r="C60" s="28" t="s">
        <v>1896</v>
      </c>
      <c r="G60" s="69">
        <f>IF(2023&lt;Inputs!$E$139,0,1)</f>
        <v>1</v>
      </c>
      <c r="H60" s="69">
        <f>IF(H7&lt;Inputs!$E$139,0,IF(H7=Inputs!$E$139,1,G60*(1+Inputs!H164)))</f>
        <v>1.05</v>
      </c>
      <c r="I60" s="69">
        <f>IF(I7&lt;Inputs!$E$139,0,IF(I7=Inputs!$E$139,1,H60*(1+Inputs!I164)))</f>
        <v>1.1025</v>
      </c>
      <c r="J60" s="69">
        <f>IF(J7&lt;Inputs!$E$139,0,IF(J7=Inputs!$E$139,1,I60*(1+Inputs!J164)))</f>
        <v>1.1576250000000001</v>
      </c>
      <c r="K60" s="69">
        <f>IF(K7&lt;Inputs!$E$139,0,IF(K7=Inputs!$E$139,1,J60*(1+Inputs!K164)))</f>
        <v>1.2155062500000002</v>
      </c>
      <c r="L60" s="69">
        <f>IF(L7&lt;Inputs!$E$139,0,IF(L7=Inputs!$E$139,1,K60*(1+Inputs!L164)))</f>
        <v>1.2762815625000004</v>
      </c>
      <c r="M60" s="69">
        <f>IF(M7&lt;Inputs!$E$139,0,IF(M7=Inputs!$E$139,1,L60*(1+Inputs!M164)))</f>
        <v>1.3400956406250004</v>
      </c>
      <c r="N60" s="69">
        <f>IF(N7&lt;Inputs!$E$139,0,IF(N7=Inputs!$E$139,1,M60*(1+Inputs!N164)))</f>
        <v>1.4071004226562505</v>
      </c>
      <c r="O60" s="69">
        <f>IF(O7&lt;Inputs!$E$139,0,IF(O7=Inputs!$E$139,1,N60*(1+Inputs!O164)))</f>
        <v>1.477455443789063</v>
      </c>
      <c r="P60" s="69">
        <f>IF(P7&lt;Inputs!$E$139,0,IF(P7=Inputs!$E$139,1,O60*(1+Inputs!P164)))</f>
        <v>1.5513282159785162</v>
      </c>
      <c r="Q60" s="69">
        <f>IF(Q7&lt;Inputs!$E$139,0,IF(Q7=Inputs!$E$139,1,P60*(1+Inputs!Q164)))</f>
        <v>1.628894626777442</v>
      </c>
      <c r="R60" s="69">
        <f>IF(R7&lt;Inputs!$E$139,0,IF(R7=Inputs!$E$139,1,Q60*(1+Inputs!R164)))</f>
        <v>1.7103393581163142</v>
      </c>
      <c r="S60" s="69">
        <f>IF(S7&lt;Inputs!$E$139,0,IF(S7=Inputs!$E$139,1,R60*(1+Inputs!S164)))</f>
        <v>1.7958563260221301</v>
      </c>
      <c r="T60" s="69">
        <f>IF(T7&lt;Inputs!$E$139,0,IF(T7=Inputs!$E$139,1,S60*(1+Inputs!T164)))</f>
        <v>1.8856491423232367</v>
      </c>
    </row>
    <row r="61" spans="2:20" x14ac:dyDescent="0.25">
      <c r="B61" s="23" t="s">
        <v>1919</v>
      </c>
      <c r="C61" s="28" t="s">
        <v>1896</v>
      </c>
      <c r="G61" s="69">
        <f>IF(2023&lt;Inputs!$E$141,0,1)</f>
        <v>1</v>
      </c>
      <c r="H61" s="69">
        <f>IF(H7&lt;Inputs!$E$141,0,IF(H7=Inputs!$E$141,1,G61*(1+Inputs!H166)))</f>
        <v>1</v>
      </c>
      <c r="I61" s="69">
        <f>IF(I7&lt;Inputs!$E$141,0,IF(I7=Inputs!$E$141,1,H61*(1+Inputs!I166)))</f>
        <v>1.04</v>
      </c>
      <c r="J61" s="69">
        <f>IF(J7&lt;Inputs!$E$141,0,IF(J7=Inputs!$E$141,1,I61*(1+Inputs!J166)))</f>
        <v>1.0816000000000001</v>
      </c>
      <c r="K61" s="69">
        <f>IF(K7&lt;Inputs!$E$141,0,IF(K7=Inputs!$E$141,1,J61*(1+Inputs!K166)))</f>
        <v>1.1248640000000001</v>
      </c>
      <c r="L61" s="69">
        <f>IF(L7&lt;Inputs!$E$141,0,IF(L7=Inputs!$E$141,1,K61*(1+Inputs!L166)))</f>
        <v>1.1698585600000002</v>
      </c>
      <c r="M61" s="69">
        <f>IF(M7&lt;Inputs!$E$141,0,IF(M7=Inputs!$E$141,1,L61*(1+Inputs!M166)))</f>
        <v>1.2166529024000003</v>
      </c>
      <c r="N61" s="69">
        <f>IF(N7&lt;Inputs!$E$141,0,IF(N7=Inputs!$E$141,1,M61*(1+Inputs!N166)))</f>
        <v>1.2653190184960004</v>
      </c>
      <c r="O61" s="69">
        <f>IF(O7&lt;Inputs!$E$141,0,IF(O7=Inputs!$E$141,1,N61*(1+Inputs!O166)))</f>
        <v>1.3159317792358405</v>
      </c>
      <c r="P61" s="69">
        <f>IF(P7&lt;Inputs!$E$141,0,IF(P7=Inputs!$E$141,1,O61*(1+Inputs!P166)))</f>
        <v>1.3685690504052741</v>
      </c>
      <c r="Q61" s="69">
        <f>IF(Q7&lt;Inputs!$E$141,0,IF(Q7=Inputs!$E$141,1,P61*(1+Inputs!Q166)))</f>
        <v>1.4233118124214852</v>
      </c>
      <c r="R61" s="69">
        <f>IF(R7&lt;Inputs!$E$141,0,IF(R7=Inputs!$E$141,1,Q61*(1+Inputs!R166)))</f>
        <v>1.4802442849183446</v>
      </c>
      <c r="S61" s="69">
        <f>IF(S7&lt;Inputs!$E$141,0,IF(S7=Inputs!$E$141,1,R61*(1+Inputs!S166)))</f>
        <v>1.5394540563150785</v>
      </c>
      <c r="T61" s="69">
        <f>IF(T7&lt;Inputs!$E$141,0,IF(T7=Inputs!$E$141,1,S61*(1+Inputs!T166)))</f>
        <v>1.6010322185676817</v>
      </c>
    </row>
    <row r="62" spans="2:20" x14ac:dyDescent="0.25">
      <c r="B62" s="23" t="s">
        <v>1920</v>
      </c>
      <c r="C62" s="28" t="s">
        <v>1896</v>
      </c>
      <c r="G62" s="69">
        <f>IF(2023&lt;Inputs!$E$143,0,1)</f>
        <v>1</v>
      </c>
      <c r="H62" s="69">
        <f>IF(H7&lt;Inputs!$E$143,0,IF(H7=Inputs!$E$143,1,G62*(1+Inputs!H168)))</f>
        <v>1</v>
      </c>
      <c r="I62" s="69">
        <f>IF(I7&lt;Inputs!$E$143,0,IF(I7=Inputs!$E$143,1,H62*(1+Inputs!I168)))</f>
        <v>1.04</v>
      </c>
      <c r="J62" s="69">
        <f>IF(J7&lt;Inputs!$E$143,0,IF(J7=Inputs!$E$143,1,I62*(1+Inputs!J168)))</f>
        <v>1.0816000000000001</v>
      </c>
      <c r="K62" s="69">
        <f>IF(K7&lt;Inputs!$E$143,0,IF(K7=Inputs!$E$143,1,J62*(1+Inputs!K168)))</f>
        <v>1.1248640000000001</v>
      </c>
      <c r="L62" s="69">
        <f>IF(L7&lt;Inputs!$E$143,0,IF(L7=Inputs!$E$143,1,K62*(1+Inputs!L168)))</f>
        <v>1.1698585600000002</v>
      </c>
      <c r="M62" s="69">
        <f>IF(M7&lt;Inputs!$E$143,0,IF(M7=Inputs!$E$143,1,L62*(1+Inputs!M168)))</f>
        <v>1.2166529024000003</v>
      </c>
      <c r="N62" s="69">
        <f>IF(N7&lt;Inputs!$E$143,0,IF(N7=Inputs!$E$143,1,M62*(1+Inputs!N168)))</f>
        <v>1.2653190184960004</v>
      </c>
      <c r="O62" s="69">
        <f>IF(O7&lt;Inputs!$E$143,0,IF(O7=Inputs!$E$143,1,N62*(1+Inputs!O168)))</f>
        <v>1.3159317792358405</v>
      </c>
      <c r="P62" s="69">
        <f>IF(P7&lt;Inputs!$E$143,0,IF(P7=Inputs!$E$143,1,O62*(1+Inputs!P168)))</f>
        <v>1.3685690504052741</v>
      </c>
      <c r="Q62" s="69">
        <f>IF(Q7&lt;Inputs!$E$143,0,IF(Q7=Inputs!$E$143,1,P62*(1+Inputs!Q168)))</f>
        <v>1.4233118124214852</v>
      </c>
      <c r="R62" s="69">
        <f>IF(R7&lt;Inputs!$E$143,0,IF(R7=Inputs!$E$143,1,Q62*(1+Inputs!R168)))</f>
        <v>1.4802442849183446</v>
      </c>
      <c r="S62" s="69">
        <f>IF(S7&lt;Inputs!$E$143,0,IF(S7=Inputs!$E$143,1,R62*(1+Inputs!S168)))</f>
        <v>1.5394540563150785</v>
      </c>
      <c r="T62" s="69">
        <f>IF(T7&lt;Inputs!$E$143,0,IF(T7=Inputs!$E$143,1,S62*(1+Inputs!T168)))</f>
        <v>1.6010322185676817</v>
      </c>
    </row>
    <row r="63" spans="2:20" x14ac:dyDescent="0.25">
      <c r="B63" s="23" t="s">
        <v>1921</v>
      </c>
      <c r="C63" s="28" t="s">
        <v>1896</v>
      </c>
      <c r="G63" s="69">
        <f>IF(2023&lt;Inputs!$E$145,0,1)</f>
        <v>1</v>
      </c>
      <c r="H63" s="69">
        <f>IF(H7&lt;Inputs!$E$145,0,IF(H7=Inputs!$E$145,1,G63*(1+Inputs!H170)))</f>
        <v>1</v>
      </c>
      <c r="I63" s="69">
        <f>IF(I7&lt;Inputs!$E$145,0,IF(I7=Inputs!$E$145,1,H63*(1+Inputs!I170)))</f>
        <v>1.05</v>
      </c>
      <c r="J63" s="69">
        <f>IF(J7&lt;Inputs!$E$145,0,IF(J7=Inputs!$E$145,1,I63*(1+Inputs!J170)))</f>
        <v>1.1025</v>
      </c>
      <c r="K63" s="69">
        <f>IF(K7&lt;Inputs!$E$145,0,IF(K7=Inputs!$E$145,1,J63*(1+Inputs!K170)))</f>
        <v>1.1576250000000001</v>
      </c>
      <c r="L63" s="69">
        <f>IF(L7&lt;Inputs!$E$145,0,IF(L7=Inputs!$E$145,1,K63*(1+Inputs!L170)))</f>
        <v>1.2155062500000002</v>
      </c>
      <c r="M63" s="69">
        <f>IF(M7&lt;Inputs!$E$145,0,IF(M7=Inputs!$E$145,1,L63*(1+Inputs!M170)))</f>
        <v>1.2762815625000004</v>
      </c>
      <c r="N63" s="69">
        <f>IF(N7&lt;Inputs!$E$145,0,IF(N7=Inputs!$E$145,1,M63*(1+Inputs!N170)))</f>
        <v>1.3400956406250004</v>
      </c>
      <c r="O63" s="69">
        <f>IF(O7&lt;Inputs!$E$145,0,IF(O7=Inputs!$E$145,1,N63*(1+Inputs!O170)))</f>
        <v>1.4071004226562505</v>
      </c>
      <c r="P63" s="69">
        <f>IF(P7&lt;Inputs!$E$145,0,IF(P7=Inputs!$E$145,1,O63*(1+Inputs!P170)))</f>
        <v>1.477455443789063</v>
      </c>
      <c r="Q63" s="69">
        <f>IF(Q7&lt;Inputs!$E$145,0,IF(Q7=Inputs!$E$145,1,P63*(1+Inputs!Q170)))</f>
        <v>1.5513282159785162</v>
      </c>
      <c r="R63" s="69">
        <f>IF(R7&lt;Inputs!$E$145,0,IF(R7=Inputs!$E$145,1,Q63*(1+Inputs!R170)))</f>
        <v>1.628894626777442</v>
      </c>
      <c r="S63" s="69">
        <f>IF(S7&lt;Inputs!$E$145,0,IF(S7=Inputs!$E$145,1,R63*(1+Inputs!S170)))</f>
        <v>1.7103393581163142</v>
      </c>
      <c r="T63" s="69">
        <f>IF(T7&lt;Inputs!$E$145,0,IF(T7=Inputs!$E$145,1,S63*(1+Inputs!T170)))</f>
        <v>1.7958563260221301</v>
      </c>
    </row>
    <row r="64" spans="2:20" x14ac:dyDescent="0.25">
      <c r="B64" s="23" t="s">
        <v>1922</v>
      </c>
      <c r="C64" s="28" t="s">
        <v>1896</v>
      </c>
      <c r="G64" s="69">
        <f>IF(2023&lt;Inputs!$E$147,0,1)</f>
        <v>1</v>
      </c>
      <c r="H64" s="69">
        <f>IF(H7&lt;Inputs!$E$147,0,IF(H7=Inputs!$E$147,1,G64*(1+Inputs!H172)))</f>
        <v>1</v>
      </c>
      <c r="I64" s="69">
        <f>IF(I7&lt;Inputs!$E$147,0,IF(I7=Inputs!$E$147,1,H64*(1+Inputs!I172)))</f>
        <v>1.05</v>
      </c>
      <c r="J64" s="69">
        <f>IF(J7&lt;Inputs!$E$147,0,IF(J7=Inputs!$E$147,1,I64*(1+Inputs!J172)))</f>
        <v>1.1025</v>
      </c>
      <c r="K64" s="69">
        <f>IF(K7&lt;Inputs!$E$147,0,IF(K7=Inputs!$E$147,1,J64*(1+Inputs!K172)))</f>
        <v>1.1576250000000001</v>
      </c>
      <c r="L64" s="69">
        <f>IF(L7&lt;Inputs!$E$147,0,IF(L7=Inputs!$E$147,1,K64*(1+Inputs!L172)))</f>
        <v>1.2155062500000002</v>
      </c>
      <c r="M64" s="69">
        <f>IF(M7&lt;Inputs!$E$147,0,IF(M7=Inputs!$E$147,1,L64*(1+Inputs!M172)))</f>
        <v>1.2762815625000004</v>
      </c>
      <c r="N64" s="69">
        <f>IF(N7&lt;Inputs!$E$147,0,IF(N7=Inputs!$E$147,1,M64*(1+Inputs!N172)))</f>
        <v>1.3400956406250004</v>
      </c>
      <c r="O64" s="69">
        <f>IF(O7&lt;Inputs!$E$147,0,IF(O7=Inputs!$E$147,1,N64*(1+Inputs!O172)))</f>
        <v>1.4071004226562505</v>
      </c>
      <c r="P64" s="69">
        <f>IF(P7&lt;Inputs!$E$147,0,IF(P7=Inputs!$E$147,1,O64*(1+Inputs!P172)))</f>
        <v>1.477455443789063</v>
      </c>
      <c r="Q64" s="69">
        <f>IF(Q7&lt;Inputs!$E$147,0,IF(Q7=Inputs!$E$147,1,P64*(1+Inputs!Q172)))</f>
        <v>1.5513282159785162</v>
      </c>
      <c r="R64" s="69">
        <f>IF(R7&lt;Inputs!$E$147,0,IF(R7=Inputs!$E$147,1,Q64*(1+Inputs!R172)))</f>
        <v>1.628894626777442</v>
      </c>
      <c r="S64" s="69">
        <f>IF(S7&lt;Inputs!$E$147,0,IF(S7=Inputs!$E$147,1,R64*(1+Inputs!S172)))</f>
        <v>1.7103393581163142</v>
      </c>
      <c r="T64" s="69">
        <f>IF(T7&lt;Inputs!$E$147,0,IF(T7=Inputs!$E$147,1,S64*(1+Inputs!T172)))</f>
        <v>1.7958563260221301</v>
      </c>
    </row>
    <row r="65" spans="2:20" x14ac:dyDescent="0.25">
      <c r="B65" s="23" t="s">
        <v>1923</v>
      </c>
      <c r="C65" s="28" t="s">
        <v>1896</v>
      </c>
      <c r="G65" s="69">
        <f>IF(2023&lt;Inputs!$E$149,0,1)</f>
        <v>0</v>
      </c>
      <c r="H65" s="69">
        <f>IF(H7&lt;Inputs!$E$149,0,IF(H7=Inputs!$E$149,1,G65*(1+Inputs!H174)))</f>
        <v>0</v>
      </c>
      <c r="I65" s="69">
        <f>IF(I7&lt;Inputs!$E$149,0,IF(I7=Inputs!$E$149,1,H65*(1+Inputs!I174)))</f>
        <v>0</v>
      </c>
      <c r="J65" s="69">
        <f>IF(J7&lt;Inputs!$E$149,0,IF(J7=Inputs!$E$149,1,I65*(1+Inputs!J174)))</f>
        <v>1</v>
      </c>
      <c r="K65" s="69">
        <f>IF(K7&lt;Inputs!$E$149,0,IF(K7=Inputs!$E$149,1,J65*(1+Inputs!K174)))</f>
        <v>1.05</v>
      </c>
      <c r="L65" s="69">
        <f>IF(L7&lt;Inputs!$E$149,0,IF(L7=Inputs!$E$149,1,K65*(1+Inputs!L174)))</f>
        <v>1.1025</v>
      </c>
      <c r="M65" s="69">
        <f>IF(M7&lt;Inputs!$E$149,0,IF(M7=Inputs!$E$149,1,L65*(1+Inputs!M174)))</f>
        <v>1.1576250000000001</v>
      </c>
      <c r="N65" s="69">
        <f>IF(N7&lt;Inputs!$E$149,0,IF(N7=Inputs!$E$149,1,M65*(1+Inputs!N174)))</f>
        <v>1.2155062500000002</v>
      </c>
      <c r="O65" s="69">
        <f>IF(O7&lt;Inputs!$E$149,0,IF(O7=Inputs!$E$149,1,N65*(1+Inputs!O174)))</f>
        <v>1.2762815625000004</v>
      </c>
      <c r="P65" s="69">
        <f>IF(P7&lt;Inputs!$E$149,0,IF(P7=Inputs!$E$149,1,O65*(1+Inputs!P174)))</f>
        <v>1.3400956406250004</v>
      </c>
      <c r="Q65" s="69">
        <f>IF(Q7&lt;Inputs!$E$149,0,IF(Q7=Inputs!$E$149,1,P65*(1+Inputs!Q174)))</f>
        <v>1.4071004226562505</v>
      </c>
      <c r="R65" s="69">
        <f>IF(R7&lt;Inputs!$E$149,0,IF(R7=Inputs!$E$149,1,Q65*(1+Inputs!R174)))</f>
        <v>1.477455443789063</v>
      </c>
      <c r="S65" s="69">
        <f>IF(S7&lt;Inputs!$E$149,0,IF(S7=Inputs!$E$149,1,R65*(1+Inputs!S174)))</f>
        <v>1.5513282159785162</v>
      </c>
      <c r="T65" s="69">
        <f>IF(T7&lt;Inputs!$E$149,0,IF(T7=Inputs!$E$149,1,S65*(1+Inputs!T174)))</f>
        <v>1.628894626777442</v>
      </c>
    </row>
    <row r="66" spans="2:20" x14ac:dyDescent="0.25">
      <c r="B66" s="23" t="s">
        <v>1924</v>
      </c>
      <c r="C66" s="28" t="s">
        <v>1896</v>
      </c>
      <c r="G66" s="69">
        <f>IF(2023&lt;Inputs!$E$151,0,1)</f>
        <v>1</v>
      </c>
      <c r="H66" s="69">
        <f>IF(H7&lt;Inputs!$E$151,0,IF(H7=Inputs!$E$151,1,G66*(1+Inputs!H176)))</f>
        <v>1</v>
      </c>
      <c r="I66" s="69">
        <f>IF(I7&lt;Inputs!$E$151,0,IF(I7=Inputs!$E$151,1,H66*(1+Inputs!I176)))</f>
        <v>1.05</v>
      </c>
      <c r="J66" s="69">
        <f>IF(J7&lt;Inputs!$E$151,0,IF(J7=Inputs!$E$151,1,I66*(1+Inputs!J176)))</f>
        <v>1.1025</v>
      </c>
      <c r="K66" s="69">
        <f>IF(K7&lt;Inputs!$E$151,0,IF(K7=Inputs!$E$151,1,J66*(1+Inputs!K176)))</f>
        <v>1.1576250000000001</v>
      </c>
      <c r="L66" s="69">
        <f>IF(L7&lt;Inputs!$E$151,0,IF(L7=Inputs!$E$151,1,K66*(1+Inputs!L176)))</f>
        <v>1.2155062500000002</v>
      </c>
      <c r="M66" s="69">
        <f>IF(M7&lt;Inputs!$E$151,0,IF(M7=Inputs!$E$151,1,L66*(1+Inputs!M176)))</f>
        <v>1.2762815625000004</v>
      </c>
      <c r="N66" s="69">
        <f>IF(N7&lt;Inputs!$E$151,0,IF(N7=Inputs!$E$151,1,M66*(1+Inputs!N176)))</f>
        <v>1.3400956406250004</v>
      </c>
      <c r="O66" s="69">
        <f>IF(O7&lt;Inputs!$E$151,0,IF(O7=Inputs!$E$151,1,N66*(1+Inputs!O176)))</f>
        <v>1.4071004226562505</v>
      </c>
      <c r="P66" s="69">
        <f>IF(P7&lt;Inputs!$E$151,0,IF(P7=Inputs!$E$151,1,O66*(1+Inputs!P176)))</f>
        <v>1.477455443789063</v>
      </c>
      <c r="Q66" s="69">
        <f>IF(Q7&lt;Inputs!$E$151,0,IF(Q7=Inputs!$E$151,1,P66*(1+Inputs!Q176)))</f>
        <v>1.5513282159785162</v>
      </c>
      <c r="R66" s="69">
        <f>IF(R7&lt;Inputs!$E$151,0,IF(R7=Inputs!$E$151,1,Q66*(1+Inputs!R176)))</f>
        <v>1.628894626777442</v>
      </c>
      <c r="S66" s="69">
        <f>IF(S7&lt;Inputs!$E$151,0,IF(S7=Inputs!$E$151,1,R66*(1+Inputs!S176)))</f>
        <v>1.7103393581163142</v>
      </c>
      <c r="T66" s="69">
        <f>IF(T7&lt;Inputs!$E$151,0,IF(T7=Inputs!$E$151,1,S66*(1+Inputs!T176)))</f>
        <v>1.7958563260221301</v>
      </c>
    </row>
    <row r="67" spans="2:20" x14ac:dyDescent="0.25">
      <c r="B67" s="23" t="s">
        <v>1925</v>
      </c>
      <c r="C67" s="28" t="s">
        <v>1896</v>
      </c>
      <c r="G67" s="69">
        <f>IF(2023&lt;Inputs!$E$153,0,1)</f>
        <v>0</v>
      </c>
      <c r="H67" s="69">
        <f>IF(H7&lt;Inputs!$E$153,0,IF(H7=Inputs!$E$153,1,G67*(1+Inputs!H178)))</f>
        <v>0</v>
      </c>
      <c r="I67" s="69">
        <f>IF(I7&lt;Inputs!$E$153,0,IF(I7=Inputs!$E$153,1,H67*(1+Inputs!I178)))</f>
        <v>0</v>
      </c>
      <c r="J67" s="69">
        <f>IF(J7&lt;Inputs!$E$153,0,IF(J7=Inputs!$E$153,1,I67*(1+Inputs!J178)))</f>
        <v>1</v>
      </c>
      <c r="K67" s="69">
        <f>IF(K7&lt;Inputs!$E$153,0,IF(K7=Inputs!$E$153,1,J67*(1+Inputs!K178)))</f>
        <v>1.05</v>
      </c>
      <c r="L67" s="69">
        <f>IF(L7&lt;Inputs!$E$153,0,IF(L7=Inputs!$E$153,1,K67*(1+Inputs!L178)))</f>
        <v>1.1025</v>
      </c>
      <c r="M67" s="69">
        <f>IF(M7&lt;Inputs!$E$153,0,IF(M7=Inputs!$E$153,1,L67*(1+Inputs!M178)))</f>
        <v>1.1576250000000001</v>
      </c>
      <c r="N67" s="69">
        <f>IF(N7&lt;Inputs!$E$153,0,IF(N7=Inputs!$E$153,1,M67*(1+Inputs!N178)))</f>
        <v>1.2155062500000002</v>
      </c>
      <c r="O67" s="69">
        <f>IF(O7&lt;Inputs!$E$153,0,IF(O7=Inputs!$E$153,1,N67*(1+Inputs!O178)))</f>
        <v>1.2762815625000004</v>
      </c>
      <c r="P67" s="69">
        <f>IF(P7&lt;Inputs!$E$153,0,IF(P7=Inputs!$E$153,1,O67*(1+Inputs!P178)))</f>
        <v>1.3400956406250004</v>
      </c>
      <c r="Q67" s="69">
        <f>IF(Q7&lt;Inputs!$E$153,0,IF(Q7=Inputs!$E$153,1,P67*(1+Inputs!Q178)))</f>
        <v>1.4071004226562505</v>
      </c>
      <c r="R67" s="69">
        <f>IF(R7&lt;Inputs!$E$153,0,IF(R7=Inputs!$E$153,1,Q67*(1+Inputs!R178)))</f>
        <v>1.477455443789063</v>
      </c>
      <c r="S67" s="69">
        <f>IF(S7&lt;Inputs!$E$153,0,IF(S7=Inputs!$E$153,1,R67*(1+Inputs!S178)))</f>
        <v>1.5513282159785162</v>
      </c>
      <c r="T67" s="69">
        <f>IF(T7&lt;Inputs!$E$153,0,IF(T7=Inputs!$E$153,1,S67*(1+Inputs!T178)))</f>
        <v>1.628894626777442</v>
      </c>
    </row>
    <row r="68" spans="2:20" x14ac:dyDescent="0.25">
      <c r="B68" s="23" t="s">
        <v>1926</v>
      </c>
      <c r="C68" s="28" t="s">
        <v>1896</v>
      </c>
      <c r="G68" s="69">
        <f>IF(2023&lt;Inputs!$E$155,0,1)</f>
        <v>1</v>
      </c>
      <c r="H68" s="69">
        <f>IF(H7&lt;Inputs!$E$155,0,IF(H7=Inputs!$E$155,1,G68*(1+Inputs!H180)))</f>
        <v>1</v>
      </c>
      <c r="I68" s="69">
        <f>IF(I7&lt;Inputs!$E$155,0,IF(I7=Inputs!$E$155,1,H68*(1+Inputs!I180)))</f>
        <v>1.05</v>
      </c>
      <c r="J68" s="69">
        <f>IF(J7&lt;Inputs!$E$155,0,IF(J7=Inputs!$E$155,1,I68*(1+Inputs!J180)))</f>
        <v>1.1025</v>
      </c>
      <c r="K68" s="69">
        <f>IF(K7&lt;Inputs!$E$155,0,IF(K7=Inputs!$E$155,1,J68*(1+Inputs!K180)))</f>
        <v>1.1576250000000001</v>
      </c>
      <c r="L68" s="69">
        <f>IF(L7&lt;Inputs!$E$155,0,IF(L7=Inputs!$E$155,1,K68*(1+Inputs!L180)))</f>
        <v>1.2155062500000002</v>
      </c>
      <c r="M68" s="69">
        <f>IF(M7&lt;Inputs!$E$155,0,IF(M7=Inputs!$E$155,1,L68*(1+Inputs!M180)))</f>
        <v>1.2762815625000004</v>
      </c>
      <c r="N68" s="69">
        <f>IF(N7&lt;Inputs!$E$155,0,IF(N7=Inputs!$E$155,1,M68*(1+Inputs!N180)))</f>
        <v>1.3400956406250004</v>
      </c>
      <c r="O68" s="69">
        <f>IF(O7&lt;Inputs!$E$155,0,IF(O7=Inputs!$E$155,1,N68*(1+Inputs!O180)))</f>
        <v>1.4071004226562505</v>
      </c>
      <c r="P68" s="69">
        <f>IF(P7&lt;Inputs!$E$155,0,IF(P7=Inputs!$E$155,1,O68*(1+Inputs!P180)))</f>
        <v>1.477455443789063</v>
      </c>
      <c r="Q68" s="69">
        <f>IF(Q7&lt;Inputs!$E$155,0,IF(Q7=Inputs!$E$155,1,P68*(1+Inputs!Q180)))</f>
        <v>1.5513282159785162</v>
      </c>
      <c r="R68" s="69">
        <f>IF(R7&lt;Inputs!$E$155,0,IF(R7=Inputs!$E$155,1,Q68*(1+Inputs!R180)))</f>
        <v>1.628894626777442</v>
      </c>
      <c r="S68" s="69">
        <f>IF(S7&lt;Inputs!$E$155,0,IF(S7=Inputs!$E$155,1,R68*(1+Inputs!S180)))</f>
        <v>1.7103393581163142</v>
      </c>
      <c r="T68" s="69">
        <f>IF(T7&lt;Inputs!$E$155,0,IF(T7=Inputs!$E$155,1,S68*(1+Inputs!T180)))</f>
        <v>1.7958563260221301</v>
      </c>
    </row>
    <row r="69" spans="2:20" ht="26.25" customHeight="1" x14ac:dyDescent="0.25">
      <c r="B69" s="64" t="s">
        <v>1927</v>
      </c>
      <c r="C69" s="28" t="s">
        <v>647</v>
      </c>
      <c r="H69" s="108">
        <f>Inputs!H167+Inputs!$E$740*'Source Data'!H958</f>
        <v>32000</v>
      </c>
      <c r="I69" s="108">
        <f>Inputs!I167+Inputs!$E$740*'Source Data'!I958</f>
        <v>32960</v>
      </c>
      <c r="J69" s="108">
        <f>Inputs!J167+Inputs!$E$740*'Source Data'!J958</f>
        <v>33948.800000000003</v>
      </c>
      <c r="K69" s="108">
        <f>Inputs!K167+Inputs!$E$740*'Source Data'!K958</f>
        <v>34967.264000000003</v>
      </c>
      <c r="L69" s="108">
        <f>Inputs!L167+Inputs!$E$740*'Source Data'!L958</f>
        <v>36016.281920000001</v>
      </c>
      <c r="M69" s="108">
        <f>Inputs!M167+Inputs!$E$740*'Source Data'!M958</f>
        <v>37096.770377599998</v>
      </c>
      <c r="N69" s="108">
        <f>Inputs!N167+Inputs!$E$740*'Source Data'!N958</f>
        <v>38209.673488927998</v>
      </c>
      <c r="O69" s="108">
        <f>Inputs!O167+Inputs!$E$740*'Source Data'!O958</f>
        <v>39355.963693595899</v>
      </c>
      <c r="P69" s="108">
        <f>Inputs!P167+Inputs!$E$740*'Source Data'!P958</f>
        <v>40536.6426044037</v>
      </c>
      <c r="Q69" s="108">
        <f>Inputs!Q167+Inputs!$E$740*'Source Data'!Q958</f>
        <v>41752.741882535804</v>
      </c>
      <c r="R69" s="108">
        <f>Inputs!R167+Inputs!$E$740*'Source Data'!R958</f>
        <v>0</v>
      </c>
      <c r="S69" s="108">
        <f>Inputs!S167+Inputs!$E$740*'Source Data'!S958</f>
        <v>0</v>
      </c>
      <c r="T69" s="108">
        <f>Inputs!T167+Inputs!$E$740*'Source Data'!T958</f>
        <v>0</v>
      </c>
    </row>
    <row r="70" spans="2:20" ht="26.25" customHeight="1" x14ac:dyDescent="0.25">
      <c r="B70" s="64" t="s">
        <v>1928</v>
      </c>
      <c r="C70" s="28" t="s">
        <v>493</v>
      </c>
      <c r="H70" s="159">
        <f>Inputs!$E$130*H56*Inputs!$E$52*Inputs!H157*Inputs!$E$53/1000000000</f>
        <v>4.4828202331603357</v>
      </c>
      <c r="I70" s="159">
        <f>Inputs!$E$130*I56*Inputs!$E$52*Inputs!I157*Inputs!$E$53/1000000000</f>
        <v>0.98311280270175005</v>
      </c>
      <c r="J70" s="159">
        <f>Inputs!$E$130*J56*Inputs!$E$52*Inputs!J157*Inputs!$E$53/1000000000</f>
        <v>1.0632364961219427</v>
      </c>
      <c r="K70" s="159">
        <f>Inputs!$E$130*K56*Inputs!$E$52*Inputs!K157*Inputs!$E$53/1000000000</f>
        <v>1.1498902705558813</v>
      </c>
      <c r="L70" s="159">
        <f>Inputs!$E$130*L56*Inputs!$E$52*Inputs!L157*Inputs!$E$53/1000000000</f>
        <v>1.2436063276061857</v>
      </c>
      <c r="M70" s="159">
        <f>Inputs!$E$130*M56*Inputs!$E$52*Inputs!M157*Inputs!$E$53/1000000000</f>
        <v>1.3449602433060899</v>
      </c>
      <c r="N70" s="159">
        <f>Inputs!$E$130*N56*Inputs!$E$52*Inputs!N157*Inputs!$E$53/1000000000</f>
        <v>1.4545745031355362</v>
      </c>
      <c r="O70" s="159">
        <f>Inputs!$E$130*O56*Inputs!$E$52*Inputs!O157*Inputs!$E$53/1000000000</f>
        <v>1.5731223251410851</v>
      </c>
      <c r="P70" s="159">
        <f>Inputs!$E$130*P56*Inputs!$E$52*Inputs!P157*Inputs!$E$53/1000000000</f>
        <v>1.7013317946400806</v>
      </c>
      <c r="Q70" s="159">
        <f>Inputs!$E$130*Q56*Inputs!$E$52*Inputs!Q157*Inputs!$E$53/1000000000</f>
        <v>1.8399903359032463</v>
      </c>
      <c r="R70" s="159">
        <f>Inputs!$E$130*R56*Inputs!$E$52*Inputs!R157*Inputs!$E$53/1000000000</f>
        <v>1.9319898526984089</v>
      </c>
      <c r="S70" s="159">
        <f>Inputs!$E$130*S56*Inputs!$E$52*Inputs!S157*Inputs!$E$53/1000000000</f>
        <v>2.0285893453333297</v>
      </c>
      <c r="T70" s="159">
        <f>Inputs!$E$130*T56*Inputs!$E$52*Inputs!T157*Inputs!$E$53/1000000000</f>
        <v>2.1300188125999959</v>
      </c>
    </row>
    <row r="71" spans="2:20" ht="26.25" customHeight="1" x14ac:dyDescent="0.25">
      <c r="B71" s="64" t="s">
        <v>1929</v>
      </c>
      <c r="C71" s="28" t="s">
        <v>493</v>
      </c>
      <c r="H71" s="159">
        <f>Inputs!$E$132*H57*Inputs!$E$52*Inputs!H159*Inputs!$E$53/1000000000</f>
        <v>13.510695101447473</v>
      </c>
      <c r="I71" s="159">
        <f>Inputs!$E$132*I57*Inputs!$E$52*Inputs!I159*Inputs!$E$53/1000000000</f>
        <v>0.89505973805850003</v>
      </c>
      <c r="J71" s="159">
        <f>Inputs!$E$132*J57*Inputs!$E$52*Inputs!J159*Inputs!$E$53/1000000000</f>
        <v>0.96800710671026791</v>
      </c>
      <c r="K71" s="159">
        <f>Inputs!$E$132*K57*Inputs!$E$52*Inputs!K159*Inputs!$E$53/1000000000</f>
        <v>1.0468996859071549</v>
      </c>
      <c r="L71" s="159">
        <f>Inputs!$E$132*L57*Inputs!$E$52*Inputs!L159*Inputs!$E$53/1000000000</f>
        <v>1.132222010308588</v>
      </c>
      <c r="M71" s="159">
        <f>Inputs!$E$132*M57*Inputs!$E$52*Inputs!M159*Inputs!$E$53/1000000000</f>
        <v>1.2244981041487382</v>
      </c>
      <c r="N71" s="159">
        <f>Inputs!$E$132*N57*Inputs!$E$52*Inputs!N159*Inputs!$E$53/1000000000</f>
        <v>1.3242946996368599</v>
      </c>
      <c r="O71" s="159">
        <f>Inputs!$E$132*O57*Inputs!$E$52*Inputs!O159*Inputs!$E$53/1000000000</f>
        <v>1.432224717657266</v>
      </c>
      <c r="P71" s="159">
        <f>Inputs!$E$132*P57*Inputs!$E$52*Inputs!P159*Inputs!$E$53/1000000000</f>
        <v>1.5489510321463325</v>
      </c>
      <c r="Q71" s="159">
        <f>Inputs!$E$132*Q57*Inputs!$E$52*Inputs!Q159*Inputs!$E$53/1000000000</f>
        <v>1.6751905412662589</v>
      </c>
      <c r="R71" s="159">
        <f>Inputs!$E$132*R57*Inputs!$E$52*Inputs!R159*Inputs!$E$53/1000000000</f>
        <v>1.758950068329572</v>
      </c>
      <c r="S71" s="159">
        <f>Inputs!$E$132*S57*Inputs!$E$52*Inputs!S159*Inputs!$E$53/1000000000</f>
        <v>1.8468975717460505</v>
      </c>
      <c r="T71" s="159">
        <f>Inputs!$E$132*T57*Inputs!$E$52*Inputs!T159*Inputs!$E$53/1000000000</f>
        <v>1.9392424503333532</v>
      </c>
    </row>
    <row r="72" spans="2:20" ht="26.25" customHeight="1" x14ac:dyDescent="0.25">
      <c r="B72" s="64" t="s">
        <v>1930</v>
      </c>
      <c r="C72" s="28" t="s">
        <v>493</v>
      </c>
      <c r="H72" s="159">
        <f>Inputs!$E$134*H58*Inputs!$E$52*Inputs!H161*Inputs!$E$53/1000000000</f>
        <v>1.3965736712217713</v>
      </c>
      <c r="I72" s="159">
        <f>Inputs!$E$134*I58*Inputs!$E$52*Inputs!I161*Inputs!$E$53/1000000000</f>
        <v>0.83989117379081257</v>
      </c>
      <c r="J72" s="159">
        <f>Inputs!$E$134*J58*Inputs!$E$52*Inputs!J161*Inputs!$E$53/1000000000</f>
        <v>0.90834230445476394</v>
      </c>
      <c r="K72" s="159">
        <f>Inputs!$E$134*K58*Inputs!$E$52*Inputs!K161*Inputs!$E$53/1000000000</f>
        <v>0.98237220226782718</v>
      </c>
      <c r="L72" s="159">
        <f>Inputs!$E$134*L58*Inputs!$E$52*Inputs!L161*Inputs!$E$53/1000000000</f>
        <v>1.0624355367526552</v>
      </c>
      <c r="M72" s="159">
        <f>Inputs!$E$134*M58*Inputs!$E$52*Inputs!M161*Inputs!$E$53/1000000000</f>
        <v>1.1490240329979966</v>
      </c>
      <c r="N72" s="159">
        <f>Inputs!$E$134*N58*Inputs!$E$52*Inputs!N161*Inputs!$E$53/1000000000</f>
        <v>1.2426694916873333</v>
      </c>
      <c r="O72" s="159">
        <f>Inputs!$E$134*O58*Inputs!$E$52*Inputs!O161*Inputs!$E$53/1000000000</f>
        <v>1.3439470552598534</v>
      </c>
      <c r="P72" s="159">
        <f>Inputs!$E$134*P58*Inputs!$E$52*Inputs!P161*Inputs!$E$53/1000000000</f>
        <v>1.4534787402635285</v>
      </c>
      <c r="Q72" s="159">
        <f>Inputs!$E$134*Q58*Inputs!$E$52*Inputs!Q161*Inputs!$E$53/1000000000</f>
        <v>1.5719372575950059</v>
      </c>
      <c r="R72" s="159">
        <f>Inputs!$E$134*R58*Inputs!$E$52*Inputs!R161*Inputs!$E$53/1000000000</f>
        <v>1.6505341204747563</v>
      </c>
      <c r="S72" s="159">
        <f>Inputs!$E$134*S58*Inputs!$E$52*Inputs!S161*Inputs!$E$53/1000000000</f>
        <v>1.7330608264984941</v>
      </c>
      <c r="T72" s="159">
        <f>Inputs!$E$134*T58*Inputs!$E$52*Inputs!T161*Inputs!$E$53/1000000000</f>
        <v>1.819713867823419</v>
      </c>
    </row>
    <row r="73" spans="2:20" ht="26.25" customHeight="1" x14ac:dyDescent="0.25">
      <c r="B73" s="64" t="s">
        <v>1931</v>
      </c>
      <c r="C73" s="28" t="s">
        <v>493</v>
      </c>
      <c r="H73" s="159">
        <f>Inputs!$E$136*H59*Inputs!$E$52*Inputs!H163*Inputs!$E$53/1000000000</f>
        <v>12.32302524096</v>
      </c>
      <c r="I73" s="159">
        <f>Inputs!$E$136*I59*Inputs!$E$52*Inputs!I163*Inputs!$E$53/1000000000</f>
        <v>13.32735179809824</v>
      </c>
      <c r="J73" s="159">
        <f>Inputs!$E$136*J59*Inputs!$E$52*Inputs!J163*Inputs!$E$53/1000000000</f>
        <v>1.0330799146819989</v>
      </c>
      <c r="K73" s="159">
        <f>Inputs!$E$136*K59*Inputs!$E$52*Inputs!K163*Inputs!$E$53/1000000000</f>
        <v>1.117275927728582</v>
      </c>
      <c r="L73" s="159">
        <f>Inputs!$E$136*L59*Inputs!$E$52*Inputs!L163*Inputs!$E$53/1000000000</f>
        <v>1.2083339158384614</v>
      </c>
      <c r="M73" s="159">
        <f>Inputs!$E$136*M59*Inputs!$E$52*Inputs!M163*Inputs!$E$53/1000000000</f>
        <v>1.306813129979296</v>
      </c>
      <c r="N73" s="159">
        <f>Inputs!$E$136*N59*Inputs!$E$52*Inputs!N163*Inputs!$E$53/1000000000</f>
        <v>1.4133184000726087</v>
      </c>
      <c r="O73" s="159">
        <f>Inputs!$E$136*O59*Inputs!$E$52*Inputs!O163*Inputs!$E$53/1000000000</f>
        <v>1.5285038496785288</v>
      </c>
      <c r="P73" s="159">
        <f>Inputs!$E$136*P59*Inputs!$E$52*Inputs!P163*Inputs!$E$53/1000000000</f>
        <v>1.653076913427326</v>
      </c>
      <c r="Q73" s="159">
        <f>Inputs!$E$136*Q59*Inputs!$E$52*Inputs!Q163*Inputs!$E$53/1000000000</f>
        <v>1.7878026818716526</v>
      </c>
      <c r="R73" s="159">
        <f>Inputs!$E$136*R59*Inputs!$E$52*Inputs!R163*Inputs!$E$53/1000000000</f>
        <v>1.8771928159652351</v>
      </c>
      <c r="S73" s="159">
        <f>Inputs!$E$136*S59*Inputs!$E$52*Inputs!S163*Inputs!$E$53/1000000000</f>
        <v>1.9710524567634973</v>
      </c>
      <c r="T73" s="159">
        <f>Inputs!$E$136*T59*Inputs!$E$52*Inputs!T163*Inputs!$E$53/1000000000</f>
        <v>2.0696050796016721</v>
      </c>
    </row>
    <row r="74" spans="2:20" ht="26.25" customHeight="1" x14ac:dyDescent="0.25">
      <c r="B74" s="64" t="s">
        <v>1932</v>
      </c>
      <c r="C74" s="28" t="s">
        <v>493</v>
      </c>
      <c r="H74" s="159">
        <f>Inputs!$E$138*H60*Inputs!$E$52*Inputs!H165*Inputs!$E$53/1000000000</f>
        <v>12.944925170794072</v>
      </c>
      <c r="I74" s="159">
        <f>Inputs!$E$138*I60*Inputs!$E$52*Inputs!I165*Inputs!$E$53/1000000000</f>
        <v>2.6549211924396943</v>
      </c>
      <c r="J74" s="159">
        <f>Inputs!$E$138*J60*Inputs!$E$52*Inputs!J165*Inputs!$E$53/1000000000</f>
        <v>2.8712972696235304</v>
      </c>
      <c r="K74" s="159">
        <f>Inputs!$E$138*K60*Inputs!$E$52*Inputs!K165*Inputs!$E$53/1000000000</f>
        <v>3.1053079970978481</v>
      </c>
      <c r="L74" s="159">
        <f>Inputs!$E$138*L60*Inputs!$E$52*Inputs!L165*Inputs!$E$53/1000000000</f>
        <v>3.3583905988613232</v>
      </c>
      <c r="M74" s="159">
        <f>Inputs!$E$138*M60*Inputs!$E$52*Inputs!M165*Inputs!$E$53/1000000000</f>
        <v>3.6320994326685212</v>
      </c>
      <c r="N74" s="159">
        <f>Inputs!$E$138*N60*Inputs!$E$52*Inputs!N165*Inputs!$E$53/1000000000</f>
        <v>3.9281155364310063</v>
      </c>
      <c r="O74" s="159">
        <f>Inputs!$E$138*O60*Inputs!$E$52*Inputs!O165*Inputs!$E$53/1000000000</f>
        <v>4.2482569526501379</v>
      </c>
      <c r="P74" s="159">
        <f>Inputs!$E$138*P60*Inputs!$E$52*Inputs!P165*Inputs!$E$53/1000000000</f>
        <v>4.5944898942911232</v>
      </c>
      <c r="Q74" s="159">
        <f>Inputs!$E$138*Q60*Inputs!$E$52*Inputs!Q165*Inputs!$E$53/1000000000</f>
        <v>4.9689408206758472</v>
      </c>
      <c r="R74" s="159">
        <f>Inputs!$E$138*R60*Inputs!$E$52*Inputs!R165*Inputs!$E$53/1000000000</f>
        <v>5.2173878617096401</v>
      </c>
      <c r="S74" s="159">
        <f>Inputs!$E$138*S60*Inputs!$E$52*Inputs!S165*Inputs!$E$53/1000000000</f>
        <v>5.478257254795122</v>
      </c>
      <c r="T74" s="159">
        <f>Inputs!$E$138*T60*Inputs!$E$52*Inputs!T165*Inputs!$E$53/1000000000</f>
        <v>5.7521701175348792</v>
      </c>
    </row>
    <row r="75" spans="2:20" ht="26.25" customHeight="1" x14ac:dyDescent="0.25">
      <c r="B75" s="64" t="s">
        <v>1933</v>
      </c>
      <c r="C75" s="28" t="s">
        <v>493</v>
      </c>
      <c r="H75" s="159">
        <f>Inputs!$E$140*H61*Inputs!$E$52*H69*Inputs!$E$53/1000000000</f>
        <v>8.8320000000000007</v>
      </c>
      <c r="I75" s="159">
        <f>Inputs!$E$140*I61*Inputs!$E$52*I69*Inputs!$E$53/1000000000</f>
        <v>9.4608384000000001</v>
      </c>
      <c r="J75" s="159">
        <f>Inputs!$E$140*J61*Inputs!$E$52*J69*Inputs!$E$53/1000000000</f>
        <v>10.134450094080002</v>
      </c>
      <c r="K75" s="159">
        <f>Inputs!$E$140*K61*Inputs!$E$52*K69*Inputs!$E$53/1000000000</f>
        <v>10.856022940778498</v>
      </c>
      <c r="L75" s="159">
        <f>Inputs!$E$140*L61*Inputs!$E$52*L69*Inputs!$E$53/1000000000</f>
        <v>11.628971774161927</v>
      </c>
      <c r="M75" s="159">
        <f>Inputs!$E$140*M61*Inputs!$E$52*M69*Inputs!$E$53/1000000000</f>
        <v>12.456954564482256</v>
      </c>
      <c r="N75" s="159">
        <f>Inputs!$E$140*N61*Inputs!$E$52*N69*Inputs!$E$53/1000000000</f>
        <v>13.343889729473393</v>
      </c>
      <c r="O75" s="159">
        <f>Inputs!$E$140*O61*Inputs!$E$52*O69*Inputs!$E$53/1000000000</f>
        <v>14.293974678211924</v>
      </c>
      <c r="P75" s="159">
        <f>Inputs!$E$140*P61*Inputs!$E$52*P69*Inputs!$E$53/1000000000</f>
        <v>15.311705675300582</v>
      </c>
      <c r="Q75" s="159">
        <f>Inputs!$E$140*Q61*Inputs!$E$52*Q69*Inputs!$E$53/1000000000</f>
        <v>16.401899119381984</v>
      </c>
      <c r="R75" s="159">
        <f>Inputs!$E$140*R61*Inputs!$E$52*R69*Inputs!$E$53/1000000000</f>
        <v>0</v>
      </c>
      <c r="S75" s="159">
        <f>Inputs!$E$140*S61*Inputs!$E$52*S69*Inputs!$E$53/1000000000</f>
        <v>0</v>
      </c>
      <c r="T75" s="159">
        <f>Inputs!$E$140*T61*Inputs!$E$52*T69*Inputs!$E$53/1000000000</f>
        <v>0</v>
      </c>
    </row>
    <row r="76" spans="2:20" ht="26.25" customHeight="1" x14ac:dyDescent="0.25">
      <c r="B76" s="64" t="s">
        <v>1934</v>
      </c>
      <c r="C76" s="28" t="s">
        <v>493</v>
      </c>
      <c r="H76" s="159">
        <f>Inputs!$E$142*H62*Inputs!$E$52*Inputs!H169*Inputs!$E$53/1000000000</f>
        <v>6.7519999999999998</v>
      </c>
      <c r="I76" s="159">
        <f>Inputs!$E$142*I62*Inputs!$E$52*Inputs!I169*Inputs!$E$53/1000000000</f>
        <v>7.2327424000000002</v>
      </c>
      <c r="J76" s="159">
        <f>Inputs!$E$142*J62*Inputs!$E$52*Inputs!J169*Inputs!$E$53/1000000000</f>
        <v>7.7477136588800022</v>
      </c>
      <c r="K76" s="159">
        <f>Inputs!$E$142*K62*Inputs!$E$52*Inputs!K169*Inputs!$E$53/1000000000</f>
        <v>8.2993508713922584</v>
      </c>
      <c r="L76" s="159">
        <f>Inputs!$E$142*L62*Inputs!$E$52*Inputs!L169*Inputs!$E$53/1000000000</f>
        <v>8.890264653435386</v>
      </c>
      <c r="M76" s="159">
        <f>Inputs!$E$142*M62*Inputs!$E$52*Inputs!M169*Inputs!$E$53/1000000000</f>
        <v>9.5232514967599862</v>
      </c>
      <c r="N76" s="159">
        <f>Inputs!$E$142*N62*Inputs!$E$52*Inputs!N169*Inputs!$E$53/1000000000</f>
        <v>10.201307003329338</v>
      </c>
      <c r="O76" s="159">
        <f>Inputs!$E$142*O62*Inputs!$E$52*Inputs!O169*Inputs!$E$53/1000000000</f>
        <v>10.927640061966342</v>
      </c>
      <c r="P76" s="159">
        <f>Inputs!$E$142*P62*Inputs!$E$52*Inputs!P169*Inputs!$E$53/1000000000</f>
        <v>11.705688034378371</v>
      </c>
      <c r="Q76" s="159">
        <f>Inputs!$E$142*Q62*Inputs!$E$52*Inputs!Q169*Inputs!$E$53/1000000000</f>
        <v>12.539133022426059</v>
      </c>
      <c r="R76" s="159">
        <f>Inputs!$E$142*R62*Inputs!$E$52*Inputs!R169*Inputs!$E$53/1000000000</f>
        <v>13.040698343323102</v>
      </c>
      <c r="S76" s="159">
        <f>Inputs!$E$142*S62*Inputs!$E$52*Inputs!S169*Inputs!$E$53/1000000000</f>
        <v>13.562326277056028</v>
      </c>
      <c r="T76" s="159">
        <f>Inputs!$E$142*T62*Inputs!$E$52*Inputs!T169*Inputs!$E$53/1000000000</f>
        <v>14.104819328138269</v>
      </c>
    </row>
    <row r="77" spans="2:20" ht="26.25" customHeight="1" x14ac:dyDescent="0.25">
      <c r="B77" s="64" t="s">
        <v>1935</v>
      </c>
      <c r="C77" s="28" t="s">
        <v>493</v>
      </c>
      <c r="H77" s="159">
        <f>Inputs!$E$144*H63*Inputs!$E$52*Inputs!H171*Inputs!$E$53/1000000000</f>
        <v>7.8006093189207046</v>
      </c>
      <c r="I77" s="159">
        <f>Inputs!$E$144*I63*Inputs!$E$52*Inputs!I171*Inputs!$E$53/1000000000</f>
        <v>8.4363589784127502</v>
      </c>
      <c r="J77" s="159">
        <f>Inputs!$E$144*J63*Inputs!$E$52*Inputs!J171*Inputs!$E$53/1000000000</f>
        <v>9.1239222351533531</v>
      </c>
      <c r="K77" s="159">
        <f>Inputs!$E$144*K63*Inputs!$E$52*Inputs!K171*Inputs!$E$53/1000000000</f>
        <v>9.8675218973183529</v>
      </c>
      <c r="L77" s="159">
        <f>Inputs!$E$144*L63*Inputs!$E$52*Inputs!L171*Inputs!$E$53/1000000000</f>
        <v>10.671724931949814</v>
      </c>
      <c r="M77" s="159">
        <f>Inputs!$E$144*M63*Inputs!$E$52*Inputs!M171*Inputs!$E$53/1000000000</f>
        <v>11.54147051390375</v>
      </c>
      <c r="N77" s="159">
        <f>Inputs!$E$144*N63*Inputs!$E$52*Inputs!N171*Inputs!$E$53/1000000000</f>
        <v>12.482100360786879</v>
      </c>
      <c r="O77" s="159">
        <f>Inputs!$E$144*O63*Inputs!$E$52*Inputs!O171*Inputs!$E$53/1000000000</f>
        <v>13.499391540191025</v>
      </c>
      <c r="P77" s="159">
        <f>Inputs!$E$144*P63*Inputs!$E$52*Inputs!P171*Inputs!$E$53/1000000000</f>
        <v>14.599591950716583</v>
      </c>
      <c r="Q77" s="159">
        <f>Inputs!$E$144*Q63*Inputs!$E$52*Inputs!Q171*Inputs!$E$53/1000000000</f>
        <v>15.789458694699935</v>
      </c>
      <c r="R77" s="159">
        <f>Inputs!$E$144*R63*Inputs!$E$52*Inputs!R171*Inputs!$E$53/1000000000</f>
        <v>16.57893162943493</v>
      </c>
      <c r="S77" s="159">
        <f>Inputs!$E$144*S63*Inputs!$E$52*Inputs!S171*Inputs!$E$53/1000000000</f>
        <v>17.407878210906677</v>
      </c>
      <c r="T77" s="159">
        <f>Inputs!$E$144*T63*Inputs!$E$52*Inputs!T171*Inputs!$E$53/1000000000</f>
        <v>18.278272121452012</v>
      </c>
    </row>
    <row r="78" spans="2:20" ht="26.25" customHeight="1" x14ac:dyDescent="0.25">
      <c r="B78" s="64" t="s">
        <v>1936</v>
      </c>
      <c r="C78" s="28" t="s">
        <v>493</v>
      </c>
      <c r="H78" s="159">
        <f>Inputs!$E$146*H64*Inputs!$E$52*Inputs!H173*Inputs!$E$53/1000000000</f>
        <v>1.39425</v>
      </c>
      <c r="I78" s="159">
        <f>Inputs!$E$146*I64*Inputs!$E$52*Inputs!I173*Inputs!$E$53/1000000000</f>
        <v>1.507881375</v>
      </c>
      <c r="J78" s="159">
        <f>Inputs!$E$146*J64*Inputs!$E$52*Inputs!J173*Inputs!$E$53/1000000000</f>
        <v>1.6307737070624999</v>
      </c>
      <c r="K78" s="159">
        <f>Inputs!$E$146*K64*Inputs!$E$52*Inputs!K173*Inputs!$E$53/1000000000</f>
        <v>1.763681764188094</v>
      </c>
      <c r="L78" s="159">
        <f>Inputs!$E$146*L64*Inputs!$E$52*Inputs!L173*Inputs!$E$53/1000000000</f>
        <v>1.9074218279694237</v>
      </c>
      <c r="M78" s="159">
        <f>Inputs!$E$146*M64*Inputs!$E$52*Inputs!M173*Inputs!$E$53/1000000000</f>
        <v>2.062876706948932</v>
      </c>
      <c r="N78" s="159">
        <f>Inputs!$E$146*N64*Inputs!$E$52*Inputs!N173*Inputs!$E$53/1000000000</f>
        <v>2.2310011585652698</v>
      </c>
      <c r="O78" s="159">
        <f>Inputs!$E$146*O64*Inputs!$E$52*Inputs!O173*Inputs!$E$53/1000000000</f>
        <v>2.4128277529883411</v>
      </c>
      <c r="P78" s="159">
        <f>Inputs!$E$146*P64*Inputs!$E$52*Inputs!P173*Inputs!$E$53/1000000000</f>
        <v>2.6094732148568913</v>
      </c>
      <c r="Q78" s="159">
        <f>Inputs!$E$146*Q64*Inputs!$E$52*Inputs!Q173*Inputs!$E$53/1000000000</f>
        <v>2.822145281867726</v>
      </c>
      <c r="R78" s="159">
        <f>Inputs!$E$146*R64*Inputs!$E$52*Inputs!R173*Inputs!$E$53/1000000000</f>
        <v>2.9632525459611121</v>
      </c>
      <c r="S78" s="159">
        <f>Inputs!$E$146*S64*Inputs!$E$52*Inputs!S173*Inputs!$E$53/1000000000</f>
        <v>3.1114151732591675</v>
      </c>
      <c r="T78" s="159">
        <f>Inputs!$E$146*T64*Inputs!$E$52*Inputs!T173*Inputs!$E$53/1000000000</f>
        <v>3.2669859319221262</v>
      </c>
    </row>
    <row r="79" spans="2:20" ht="26.25" customHeight="1" x14ac:dyDescent="0.25">
      <c r="B79" s="64" t="s">
        <v>1937</v>
      </c>
      <c r="C79" s="28" t="s">
        <v>493</v>
      </c>
      <c r="H79" s="159">
        <f>Inputs!$E$148*H65*Inputs!$E$52*Inputs!H175*Inputs!$E$53/1000000000</f>
        <v>0</v>
      </c>
      <c r="I79" s="159">
        <f>Inputs!$E$148*I65*Inputs!$E$52*Inputs!I175*Inputs!$E$53/1000000000</f>
        <v>0</v>
      </c>
      <c r="J79" s="159">
        <f>Inputs!$E$148*J65*Inputs!$E$52*Inputs!J175*Inputs!$E$53/1000000000</f>
        <v>1.61891782846961</v>
      </c>
      <c r="K79" s="159">
        <f>Inputs!$E$148*K65*Inputs!$E$52*Inputs!K175*Inputs!$E$53/1000000000</f>
        <v>1.7508596314898848</v>
      </c>
      <c r="L79" s="159">
        <f>Inputs!$E$148*L65*Inputs!$E$52*Inputs!L175*Inputs!$E$53/1000000000</f>
        <v>1.8935546914563095</v>
      </c>
      <c r="M79" s="159">
        <f>Inputs!$E$148*M65*Inputs!$E$52*Inputs!M175*Inputs!$E$53/1000000000</f>
        <v>2.0478793988099966</v>
      </c>
      <c r="N79" s="159">
        <f>Inputs!$E$148*N65*Inputs!$E$52*Inputs!N175*Inputs!$E$53/1000000000</f>
        <v>2.2147815698130073</v>
      </c>
      <c r="O79" s="159">
        <f>Inputs!$E$148*O65*Inputs!$E$52*Inputs!O175*Inputs!$E$53/1000000000</f>
        <v>2.3952862677527693</v>
      </c>
      <c r="P79" s="159">
        <f>Inputs!$E$148*P65*Inputs!$E$52*Inputs!P175*Inputs!$E$53/1000000000</f>
        <v>2.5905020985746257</v>
      </c>
      <c r="Q79" s="159">
        <f>Inputs!$E$148*Q65*Inputs!$E$52*Inputs!Q175*Inputs!$E$53/1000000000</f>
        <v>2.8016280196084633</v>
      </c>
      <c r="R79" s="159">
        <f>Inputs!$E$148*R65*Inputs!$E$52*Inputs!R175*Inputs!$E$53/1000000000</f>
        <v>2.9417094205888863</v>
      </c>
      <c r="S79" s="159">
        <f>Inputs!$E$148*S65*Inputs!$E$52*Inputs!S175*Inputs!$E$53/1000000000</f>
        <v>3.0887948916183299</v>
      </c>
      <c r="T79" s="159">
        <f>Inputs!$E$148*T65*Inputs!$E$52*Inputs!T175*Inputs!$E$53/1000000000</f>
        <v>3.2432346361992468</v>
      </c>
    </row>
    <row r="80" spans="2:20" ht="26.25" customHeight="1" x14ac:dyDescent="0.25">
      <c r="B80" s="64" t="s">
        <v>1938</v>
      </c>
      <c r="C80" s="28" t="s">
        <v>493</v>
      </c>
      <c r="H80" s="159">
        <f>Inputs!$E$150*H66*Inputs!$E$52*Inputs!H177*Inputs!$E$53/1000000000</f>
        <v>11.034445544787655</v>
      </c>
      <c r="I80" s="159">
        <f>Inputs!$E$150*I66*Inputs!$E$52*Inputs!I177*Inputs!$E$53/1000000000</f>
        <v>11.933752856687859</v>
      </c>
      <c r="J80" s="159">
        <f>Inputs!$E$150*J66*Inputs!$E$52*Inputs!J177*Inputs!$E$53/1000000000</f>
        <v>12.906353714507967</v>
      </c>
      <c r="K80" s="159">
        <f>Inputs!$E$150*K66*Inputs!$E$52*Inputs!K177*Inputs!$E$53/1000000000</f>
        <v>13.958221542240372</v>
      </c>
      <c r="L80" s="159">
        <f>Inputs!$E$150*L66*Inputs!$E$52*Inputs!L177*Inputs!$E$53/1000000000</f>
        <v>15.09581659793292</v>
      </c>
      <c r="M80" s="159">
        <f>Inputs!$E$150*M66*Inputs!$E$52*Inputs!M177*Inputs!$E$53/1000000000</f>
        <v>16.326125650664455</v>
      </c>
      <c r="N80" s="159">
        <f>Inputs!$E$150*N66*Inputs!$E$52*Inputs!N177*Inputs!$E$53/1000000000</f>
        <v>17.656704891193638</v>
      </c>
      <c r="O80" s="159">
        <f>Inputs!$E$150*O66*Inputs!$E$52*Inputs!O177*Inputs!$E$53/1000000000</f>
        <v>19.095726339825855</v>
      </c>
      <c r="P80" s="159">
        <f>Inputs!$E$150*P66*Inputs!$E$52*Inputs!P177*Inputs!$E$53/1000000000</f>
        <v>20.652028036521671</v>
      </c>
      <c r="Q80" s="159">
        <f>Inputs!$E$150*Q66*Inputs!$E$52*Inputs!Q177*Inputs!$E$53/1000000000</f>
        <v>22.335168321498234</v>
      </c>
      <c r="R80" s="159">
        <f>Inputs!$E$150*R66*Inputs!$E$52*Inputs!R177*Inputs!$E$53/1000000000</f>
        <v>23.451926737573146</v>
      </c>
      <c r="S80" s="159">
        <f>Inputs!$E$150*S66*Inputs!$E$52*Inputs!S177*Inputs!$E$53/1000000000</f>
        <v>24.624523074451805</v>
      </c>
      <c r="T80" s="159">
        <f>Inputs!$E$150*T66*Inputs!$E$52*Inputs!T177*Inputs!$E$53/1000000000</f>
        <v>25.8557492281744</v>
      </c>
    </row>
    <row r="81" spans="2:20" ht="26.25" customHeight="1" x14ac:dyDescent="0.25">
      <c r="B81" s="64" t="s">
        <v>1939</v>
      </c>
      <c r="C81" s="28" t="s">
        <v>493</v>
      </c>
      <c r="H81" s="159">
        <f>Inputs!$E$152*H67*Inputs!$E$52*Inputs!H179*Inputs!$E$53/1000000000</f>
        <v>0</v>
      </c>
      <c r="I81" s="159">
        <f>Inputs!$E$152*I67*Inputs!$E$52*Inputs!I179*Inputs!$E$53/1000000000</f>
        <v>0</v>
      </c>
      <c r="J81" s="159">
        <f>Inputs!$E$152*J67*Inputs!$E$52*Inputs!J179*Inputs!$E$53/1000000000</f>
        <v>3.2378356569392199</v>
      </c>
      <c r="K81" s="159">
        <f>Inputs!$E$152*K67*Inputs!$E$52*Inputs!K179*Inputs!$E$53/1000000000</f>
        <v>3.5017192629797695</v>
      </c>
      <c r="L81" s="159">
        <f>Inputs!$E$152*L67*Inputs!$E$52*Inputs!L179*Inputs!$E$53/1000000000</f>
        <v>3.787109382912619</v>
      </c>
      <c r="M81" s="159">
        <f>Inputs!$E$152*M67*Inputs!$E$52*Inputs!M179*Inputs!$E$53/1000000000</f>
        <v>4.0957587976199932</v>
      </c>
      <c r="N81" s="159">
        <f>Inputs!$E$152*N67*Inputs!$E$52*Inputs!N179*Inputs!$E$53/1000000000</f>
        <v>4.4295631396260147</v>
      </c>
      <c r="O81" s="159">
        <f>Inputs!$E$152*O67*Inputs!$E$52*Inputs!O179*Inputs!$E$53/1000000000</f>
        <v>4.7905725355055386</v>
      </c>
      <c r="P81" s="159">
        <f>Inputs!$E$152*P67*Inputs!$E$52*Inputs!P179*Inputs!$E$53/1000000000</f>
        <v>5.1810041971492513</v>
      </c>
      <c r="Q81" s="159">
        <f>Inputs!$E$152*Q67*Inputs!$E$52*Inputs!Q179*Inputs!$E$53/1000000000</f>
        <v>5.6032560392169266</v>
      </c>
      <c r="R81" s="159">
        <f>Inputs!$E$152*R67*Inputs!$E$52*Inputs!R179*Inputs!$E$53/1000000000</f>
        <v>5.8834188411777726</v>
      </c>
      <c r="S81" s="159">
        <f>Inputs!$E$152*S67*Inputs!$E$52*Inputs!S179*Inputs!$E$53/1000000000</f>
        <v>6.1775897832366597</v>
      </c>
      <c r="T81" s="159">
        <f>Inputs!$E$152*T67*Inputs!$E$52*Inputs!T179*Inputs!$E$53/1000000000</f>
        <v>6.4864692723984936</v>
      </c>
    </row>
    <row r="82" spans="2:20" ht="26.25" customHeight="1" x14ac:dyDescent="0.25">
      <c r="B82" s="64" t="s">
        <v>1940</v>
      </c>
      <c r="C82" s="28" t="s">
        <v>493</v>
      </c>
      <c r="H82" s="159">
        <f>Inputs!$E$154*H68*Inputs!$E$52*Inputs!H181*Inputs!$E$53/1000000000</f>
        <v>7.4773280794618833</v>
      </c>
      <c r="I82" s="159">
        <f>Inputs!$E$154*I68*Inputs!$E$52*Inputs!I181*Inputs!$E$53/1000000000</f>
        <v>8.0867303179380023</v>
      </c>
      <c r="J82" s="159">
        <f>Inputs!$E$154*J68*Inputs!$E$52*Inputs!J181*Inputs!$E$53/1000000000</f>
        <v>8.7457988388499501</v>
      </c>
      <c r="K82" s="159">
        <f>Inputs!$E$154*K68*Inputs!$E$52*Inputs!K181*Inputs!$E$53/1000000000</f>
        <v>9.4585814442162324</v>
      </c>
      <c r="L82" s="159">
        <f>Inputs!$E$154*L68*Inputs!$E$52*Inputs!L181*Inputs!$E$53/1000000000</f>
        <v>10.229455831919852</v>
      </c>
      <c r="M82" s="159">
        <f>Inputs!$E$154*M68*Inputs!$E$52*Inputs!M181*Inputs!$E$53/1000000000</f>
        <v>11.063156482221304</v>
      </c>
      <c r="N82" s="159">
        <f>Inputs!$E$154*N68*Inputs!$E$52*Inputs!N181*Inputs!$E$53/1000000000</f>
        <v>11.96480373552232</v>
      </c>
      <c r="O82" s="159">
        <f>Inputs!$E$154*O68*Inputs!$E$52*Inputs!O181*Inputs!$E$53/1000000000</f>
        <v>12.939935239967401</v>
      </c>
      <c r="P82" s="159">
        <f>Inputs!$E$154*P68*Inputs!$E$52*Inputs!P181*Inputs!$E$53/1000000000</f>
        <v>13.994539962024771</v>
      </c>
      <c r="Q82" s="159">
        <f>Inputs!$E$154*Q68*Inputs!$E$52*Inputs!Q181*Inputs!$E$53/1000000000</f>
        <v>15.135094968929819</v>
      </c>
      <c r="R82" s="159">
        <f>Inputs!$E$154*R68*Inputs!$E$52*Inputs!R181*Inputs!$E$53/1000000000</f>
        <v>15.89184971737631</v>
      </c>
      <c r="S82" s="159">
        <f>Inputs!$E$154*S68*Inputs!$E$52*Inputs!S181*Inputs!$E$53/1000000000</f>
        <v>16.686442203245125</v>
      </c>
      <c r="T82" s="159">
        <f>Inputs!$E$154*T68*Inputs!$E$52*Inputs!T181*Inputs!$E$53/1000000000</f>
        <v>17.520764313407383</v>
      </c>
    </row>
    <row r="83" spans="2:20" x14ac:dyDescent="0.25">
      <c r="B83" s="23" t="s">
        <v>1941</v>
      </c>
      <c r="C83" s="28" t="s">
        <v>630</v>
      </c>
      <c r="H83" s="108">
        <f>(Inputs!$E$130*H56+Inputs!$E$132*H57+Inputs!$E$134*H58+Inputs!$E$136*H59+Inputs!$E$138*H60)*Inputs!$E$52</f>
        <v>2233921.22835</v>
      </c>
      <c r="I83" s="108">
        <f>(Inputs!$E$130*I56+Inputs!$E$132*I57+Inputs!$E$134*I58+Inputs!$E$136*I59+Inputs!$E$138*I60)*Inputs!$E$52</f>
        <v>2345617.2897675</v>
      </c>
      <c r="J83" s="108">
        <f>(Inputs!$E$130*J56+Inputs!$E$132*J57+Inputs!$E$134*J58+Inputs!$E$136*J59+Inputs!$E$138*J60)*Inputs!$E$52</f>
        <v>2462898.1542558754</v>
      </c>
      <c r="K83" s="108">
        <f>(Inputs!$E$130*K56+Inputs!$E$132*K57+Inputs!$E$134*K58+Inputs!$E$136*K59+Inputs!$E$138*K60)*Inputs!$E$52</f>
        <v>2586043.0619686693</v>
      </c>
      <c r="L83" s="108">
        <f>(Inputs!$E$130*L56+Inputs!$E$132*L57+Inputs!$E$134*L58+Inputs!$E$136*L59+Inputs!$E$138*L60)*Inputs!$E$52</f>
        <v>2715345.2150671035</v>
      </c>
      <c r="M83" s="108">
        <f>(Inputs!$E$130*M56+Inputs!$E$132*M57+Inputs!$E$134*M58+Inputs!$E$136*M59+Inputs!$E$138*M60)*Inputs!$E$52</f>
        <v>2851112.4758204585</v>
      </c>
      <c r="N83" s="108">
        <f>(Inputs!$E$130*N56+Inputs!$E$132*N57+Inputs!$E$134*N58+Inputs!$E$136*N59+Inputs!$E$138*N60)*Inputs!$E$52</f>
        <v>2993668.0996114812</v>
      </c>
      <c r="O83" s="108">
        <f>(Inputs!$E$130*O56+Inputs!$E$132*O57+Inputs!$E$134*O58+Inputs!$E$136*O59+Inputs!$E$138*O60)*Inputs!$E$52</f>
        <v>3143351.5045920555</v>
      </c>
      <c r="P83" s="108">
        <f>(Inputs!$E$130*P56+Inputs!$E$132*P57+Inputs!$E$134*P58+Inputs!$E$136*P59+Inputs!$E$138*P60)*Inputs!$E$52</f>
        <v>3300519.0798216583</v>
      </c>
      <c r="Q83" s="108">
        <f>(Inputs!$E$130*Q56+Inputs!$E$132*Q57+Inputs!$E$134*Q58+Inputs!$E$136*Q59+Inputs!$E$138*Q60)*Inputs!$E$52</f>
        <v>3465545.0338127413</v>
      </c>
      <c r="R83" s="108">
        <f>(Inputs!$E$130*R56+Inputs!$E$132*R57+Inputs!$E$134*R58+Inputs!$E$136*R59+Inputs!$E$138*R60)*Inputs!$E$52</f>
        <v>3638822.2855033781</v>
      </c>
      <c r="S83" s="108">
        <f>(Inputs!$E$130*S56+Inputs!$E$132*S57+Inputs!$E$134*S58+Inputs!$E$136*S59+Inputs!$E$138*S60)*Inputs!$E$52</f>
        <v>3820763.3997785477</v>
      </c>
      <c r="T83" s="108">
        <f>(Inputs!$E$130*T56+Inputs!$E$132*T57+Inputs!$E$134*T58+Inputs!$E$136*T59+Inputs!$E$138*T60)*Inputs!$E$52</f>
        <v>4011801.5697674751</v>
      </c>
    </row>
    <row r="84" spans="2:20" x14ac:dyDescent="0.25">
      <c r="B84" s="23" t="s">
        <v>1942</v>
      </c>
      <c r="C84" s="28" t="s">
        <v>630</v>
      </c>
      <c r="H84" s="108">
        <f>(Inputs!$E$140*H61+Inputs!$E$142*H62)*Inputs!$E$52</f>
        <v>356000</v>
      </c>
      <c r="I84" s="108">
        <f>(Inputs!$E$140*I61+Inputs!$E$142*I62)*Inputs!$E$52</f>
        <v>370240</v>
      </c>
      <c r="J84" s="108">
        <f>(Inputs!$E$140*J61+Inputs!$E$142*J62)*Inputs!$E$52</f>
        <v>385049.60000000003</v>
      </c>
      <c r="K84" s="108">
        <f>(Inputs!$E$140*K61+Inputs!$E$142*K62)*Inputs!$E$52</f>
        <v>400451.58400000003</v>
      </c>
      <c r="L84" s="108">
        <f>(Inputs!$E$140*L61+Inputs!$E$142*L62)*Inputs!$E$52</f>
        <v>416469.64736000006</v>
      </c>
      <c r="M84" s="108">
        <f>(Inputs!$E$140*M61+Inputs!$E$142*M62)*Inputs!$E$52</f>
        <v>433128.43325440009</v>
      </c>
      <c r="N84" s="108">
        <f>(Inputs!$E$140*N61+Inputs!$E$142*N62)*Inputs!$E$52</f>
        <v>450453.57058457611</v>
      </c>
      <c r="O84" s="108">
        <f>(Inputs!$E$140*O61+Inputs!$E$142*O62)*Inputs!$E$52</f>
        <v>468471.71340795921</v>
      </c>
      <c r="P84" s="108">
        <f>(Inputs!$E$140*P61+Inputs!$E$142*P62)*Inputs!$E$52</f>
        <v>487210.58194427757</v>
      </c>
      <c r="Q84" s="108">
        <f>(Inputs!$E$140*Q61+Inputs!$E$142*Q62)*Inputs!$E$52</f>
        <v>506699.00522204873</v>
      </c>
      <c r="R84" s="108">
        <f>(Inputs!$E$140*R61+Inputs!$E$142*R62)*Inputs!$E$52</f>
        <v>526966.96543093061</v>
      </c>
      <c r="S84" s="108">
        <f>(Inputs!$E$140*S61+Inputs!$E$142*S62)*Inputs!$E$52</f>
        <v>548045.64404816797</v>
      </c>
      <c r="T84" s="108">
        <f>(Inputs!$E$140*T61+Inputs!$E$142*T62)*Inputs!$E$52</f>
        <v>569967.46981009468</v>
      </c>
    </row>
    <row r="85" spans="2:20" x14ac:dyDescent="0.25">
      <c r="B85" s="23" t="s">
        <v>1943</v>
      </c>
      <c r="C85" s="28" t="s">
        <v>630</v>
      </c>
      <c r="H85" s="108">
        <f>(Inputs!$E$144*H63+Inputs!$E$146*H64)*Inputs!$E$52</f>
        <v>747860</v>
      </c>
      <c r="I85" s="108">
        <f>(Inputs!$E$144*I63+Inputs!$E$146*I64)*Inputs!$E$52</f>
        <v>785253</v>
      </c>
      <c r="J85" s="108">
        <f>(Inputs!$E$144*J63+Inputs!$E$146*J64)*Inputs!$E$52</f>
        <v>824515.65</v>
      </c>
      <c r="K85" s="108">
        <f>(Inputs!$E$144*K63+Inputs!$E$146*K64)*Inputs!$E$52</f>
        <v>865741.43250000011</v>
      </c>
      <c r="L85" s="108">
        <f>(Inputs!$E$144*L63+Inputs!$E$146*L64)*Inputs!$E$52</f>
        <v>909028.50412500021</v>
      </c>
      <c r="M85" s="108">
        <f>(Inputs!$E$144*M63+Inputs!$E$146*M64)*Inputs!$E$52</f>
        <v>954479.92933125026</v>
      </c>
      <c r="N85" s="108">
        <f>(Inputs!$E$144*N63+Inputs!$E$146*N64)*Inputs!$E$52</f>
        <v>1002203.9257978128</v>
      </c>
      <c r="O85" s="108">
        <f>(Inputs!$E$144*O63+Inputs!$E$146*O64)*Inputs!$E$52</f>
        <v>1052314.1220877036</v>
      </c>
      <c r="P85" s="108">
        <f>(Inputs!$E$144*P63+Inputs!$E$146*P64)*Inputs!$E$52</f>
        <v>1104929.8281920888</v>
      </c>
      <c r="Q85" s="108">
        <f>(Inputs!$E$144*Q63+Inputs!$E$146*Q64)*Inputs!$E$52</f>
        <v>1160176.3196016932</v>
      </c>
      <c r="R85" s="108">
        <f>(Inputs!$E$144*R63+Inputs!$E$146*R64)*Inputs!$E$52</f>
        <v>1218185.1355817777</v>
      </c>
      <c r="S85" s="108">
        <f>(Inputs!$E$144*S63+Inputs!$E$146*S64)*Inputs!$E$52</f>
        <v>1279094.3923608668</v>
      </c>
      <c r="T85" s="108">
        <f>(Inputs!$E$144*T63+Inputs!$E$146*T64)*Inputs!$E$52</f>
        <v>1343049.1119789102</v>
      </c>
    </row>
    <row r="86" spans="2:20" x14ac:dyDescent="0.25">
      <c r="B86" s="23" t="s">
        <v>1944</v>
      </c>
      <c r="C86" s="28" t="s">
        <v>630</v>
      </c>
      <c r="H86" s="108">
        <f>(Inputs!$E$148*H65+Inputs!$E$150*H66+Inputs!$E$152*H67+Inputs!$E$154*H68)*Inputs!$E$52</f>
        <v>1261624</v>
      </c>
      <c r="I86" s="108">
        <f>(Inputs!$E$148*I65+Inputs!$E$150*I66+Inputs!$E$152*I67+Inputs!$E$154*I68)*Inputs!$E$52</f>
        <v>1324705.2000000002</v>
      </c>
      <c r="J86" s="108">
        <f>(Inputs!$E$148*J65+Inputs!$E$150*J66+Inputs!$E$152*J67+Inputs!$E$154*J68)*Inputs!$E$52</f>
        <v>1690940.46</v>
      </c>
      <c r="K86" s="108">
        <f>(Inputs!$E$148*K65+Inputs!$E$150*K66+Inputs!$E$152*K67+Inputs!$E$154*K68)*Inputs!$E$52</f>
        <v>1775487.483</v>
      </c>
      <c r="L86" s="108">
        <f>(Inputs!$E$148*L65+Inputs!$E$150*L66+Inputs!$E$152*L67+Inputs!$E$154*L68)*Inputs!$E$52</f>
        <v>1864261.8571500001</v>
      </c>
      <c r="M86" s="108">
        <f>(Inputs!$E$148*M65+Inputs!$E$150*M66+Inputs!$E$152*M67+Inputs!$E$154*M68)*Inputs!$E$52</f>
        <v>1957474.9500075006</v>
      </c>
      <c r="N86" s="108">
        <f>(Inputs!$E$148*N65+Inputs!$E$150*N66+Inputs!$E$152*N67+Inputs!$E$154*N68)*Inputs!$E$52</f>
        <v>2055348.6975078755</v>
      </c>
      <c r="O86" s="108">
        <f>(Inputs!$E$148*O65+Inputs!$E$150*O66+Inputs!$E$152*O67+Inputs!$E$154*O68)*Inputs!$E$52</f>
        <v>2158116.1323832693</v>
      </c>
      <c r="P86" s="108">
        <f>(Inputs!$E$148*P65+Inputs!$E$150*P66+Inputs!$E$152*P67+Inputs!$E$154*P68)*Inputs!$E$52</f>
        <v>2266021.9390024329</v>
      </c>
      <c r="Q86" s="108">
        <f>(Inputs!$E$148*Q65+Inputs!$E$150*Q66+Inputs!$E$152*Q67+Inputs!$E$154*Q68)*Inputs!$E$52</f>
        <v>2379323.0359525546</v>
      </c>
      <c r="R86" s="108">
        <f>(Inputs!$E$148*R65+Inputs!$E$150*R66+Inputs!$E$152*R67+Inputs!$E$154*R68)*Inputs!$E$52</f>
        <v>2498289.1877501826</v>
      </c>
      <c r="S86" s="108">
        <f>(Inputs!$E$148*S65+Inputs!$E$150*S66+Inputs!$E$152*S67+Inputs!$E$154*S68)*Inputs!$E$52</f>
        <v>2623203.6471376913</v>
      </c>
      <c r="T86" s="108">
        <f>(Inputs!$E$148*T65+Inputs!$E$150*T66+Inputs!$E$152*T67+Inputs!$E$154*T68)*Inputs!$E$52</f>
        <v>2754363.8294945764</v>
      </c>
    </row>
    <row r="87" spans="2:20" x14ac:dyDescent="0.25">
      <c r="B87" s="21" t="s">
        <v>1945</v>
      </c>
      <c r="C87" s="28" t="s">
        <v>630</v>
      </c>
      <c r="H87" s="156">
        <f t="shared" ref="H87:T87" si="5">H83+H84+H85+H86</f>
        <v>4599405.2283500005</v>
      </c>
      <c r="I87" s="156">
        <f t="shared" si="5"/>
        <v>4825815.4897675002</v>
      </c>
      <c r="J87" s="156">
        <f t="shared" si="5"/>
        <v>5363403.8642558753</v>
      </c>
      <c r="K87" s="156">
        <f t="shared" si="5"/>
        <v>5627723.5614686692</v>
      </c>
      <c r="L87" s="156">
        <f t="shared" si="5"/>
        <v>5905105.2237021029</v>
      </c>
      <c r="M87" s="156">
        <f t="shared" si="5"/>
        <v>6196195.7884136103</v>
      </c>
      <c r="N87" s="156">
        <f t="shared" si="5"/>
        <v>6501674.2935017459</v>
      </c>
      <c r="O87" s="156">
        <f t="shared" si="5"/>
        <v>6822253.4724709876</v>
      </c>
      <c r="P87" s="156">
        <f t="shared" si="5"/>
        <v>7158681.4289604574</v>
      </c>
      <c r="Q87" s="156">
        <f t="shared" si="5"/>
        <v>7511743.3945890386</v>
      </c>
      <c r="R87" s="156">
        <f t="shared" si="5"/>
        <v>7882263.5742662698</v>
      </c>
      <c r="S87" s="156">
        <f t="shared" si="5"/>
        <v>8271107.0833252743</v>
      </c>
      <c r="T87" s="156">
        <f t="shared" si="5"/>
        <v>8679181.9810510557</v>
      </c>
    </row>
    <row r="88" spans="2:20" x14ac:dyDescent="0.25">
      <c r="B88" s="23" t="s">
        <v>1946</v>
      </c>
      <c r="C88" s="28" t="s">
        <v>493</v>
      </c>
      <c r="H88" s="159">
        <f t="shared" ref="H88:T88" si="6">H70+H71+H72+H73+H74</f>
        <v>44.658039417583652</v>
      </c>
      <c r="I88" s="159">
        <f t="shared" si="6"/>
        <v>18.700336705088997</v>
      </c>
      <c r="J88" s="159">
        <f t="shared" si="6"/>
        <v>6.8439630915925038</v>
      </c>
      <c r="K88" s="159">
        <f t="shared" si="6"/>
        <v>7.4017460835572937</v>
      </c>
      <c r="L88" s="159">
        <f t="shared" si="6"/>
        <v>8.0049883893672131</v>
      </c>
      <c r="M88" s="159">
        <f t="shared" si="6"/>
        <v>8.6573949431006412</v>
      </c>
      <c r="N88" s="159">
        <f t="shared" si="6"/>
        <v>9.3629726309633448</v>
      </c>
      <c r="O88" s="159">
        <f t="shared" si="6"/>
        <v>10.126054900386873</v>
      </c>
      <c r="P88" s="159">
        <f t="shared" si="6"/>
        <v>10.951328374768391</v>
      </c>
      <c r="Q88" s="159">
        <f t="shared" si="6"/>
        <v>11.84386163731201</v>
      </c>
      <c r="R88" s="159">
        <f t="shared" si="6"/>
        <v>12.436054719177612</v>
      </c>
      <c r="S88" s="159">
        <f t="shared" si="6"/>
        <v>13.057857455136494</v>
      </c>
      <c r="T88" s="159">
        <f t="shared" si="6"/>
        <v>13.710750327893319</v>
      </c>
    </row>
    <row r="89" spans="2:20" x14ac:dyDescent="0.25">
      <c r="B89" s="23" t="s">
        <v>1947</v>
      </c>
      <c r="C89" s="28" t="s">
        <v>493</v>
      </c>
      <c r="H89" s="159">
        <f t="shared" ref="H89:T89" si="7">H75+H76</f>
        <v>15.584</v>
      </c>
      <c r="I89" s="159">
        <f t="shared" si="7"/>
        <v>16.693580799999999</v>
      </c>
      <c r="J89" s="159">
        <f t="shared" si="7"/>
        <v>17.882163752960004</v>
      </c>
      <c r="K89" s="159">
        <f t="shared" si="7"/>
        <v>19.155373812170758</v>
      </c>
      <c r="L89" s="159">
        <f t="shared" si="7"/>
        <v>20.519236427597313</v>
      </c>
      <c r="M89" s="159">
        <f t="shared" si="7"/>
        <v>21.980206061242242</v>
      </c>
      <c r="N89" s="159">
        <f t="shared" si="7"/>
        <v>23.545196732802729</v>
      </c>
      <c r="O89" s="159">
        <f t="shared" si="7"/>
        <v>25.221614740178268</v>
      </c>
      <c r="P89" s="159">
        <f t="shared" si="7"/>
        <v>27.017393709678952</v>
      </c>
      <c r="Q89" s="159">
        <f t="shared" si="7"/>
        <v>28.941032141808044</v>
      </c>
      <c r="R89" s="159">
        <f t="shared" si="7"/>
        <v>13.040698343323102</v>
      </c>
      <c r="S89" s="159">
        <f t="shared" si="7"/>
        <v>13.562326277056028</v>
      </c>
      <c r="T89" s="159">
        <f t="shared" si="7"/>
        <v>14.104819328138269</v>
      </c>
    </row>
    <row r="90" spans="2:20" x14ac:dyDescent="0.25">
      <c r="B90" s="23" t="s">
        <v>1948</v>
      </c>
      <c r="C90" s="28" t="s">
        <v>493</v>
      </c>
      <c r="H90" s="159">
        <f t="shared" ref="H90:T90" si="8">H77+H78</f>
        <v>9.1948593189207042</v>
      </c>
      <c r="I90" s="159">
        <f t="shared" si="8"/>
        <v>9.9442403534127504</v>
      </c>
      <c r="J90" s="159">
        <f t="shared" si="8"/>
        <v>10.754695942215854</v>
      </c>
      <c r="K90" s="159">
        <f t="shared" si="8"/>
        <v>11.631203661506447</v>
      </c>
      <c r="L90" s="159">
        <f t="shared" si="8"/>
        <v>12.579146759919238</v>
      </c>
      <c r="M90" s="159">
        <f t="shared" si="8"/>
        <v>13.604347220852683</v>
      </c>
      <c r="N90" s="159">
        <f t="shared" si="8"/>
        <v>14.713101519352149</v>
      </c>
      <c r="O90" s="159">
        <f t="shared" si="8"/>
        <v>15.912219293179366</v>
      </c>
      <c r="P90" s="159">
        <f t="shared" si="8"/>
        <v>17.209065165573474</v>
      </c>
      <c r="Q90" s="159">
        <f t="shared" si="8"/>
        <v>18.611603976567661</v>
      </c>
      <c r="R90" s="159">
        <f t="shared" si="8"/>
        <v>19.542184175396041</v>
      </c>
      <c r="S90" s="159">
        <f t="shared" si="8"/>
        <v>20.519293384165845</v>
      </c>
      <c r="T90" s="159">
        <f t="shared" si="8"/>
        <v>21.545258053374138</v>
      </c>
    </row>
    <row r="91" spans="2:20" x14ac:dyDescent="0.25">
      <c r="B91" s="23" t="s">
        <v>1949</v>
      </c>
      <c r="C91" s="28" t="s">
        <v>493</v>
      </c>
      <c r="H91" s="159">
        <f t="shared" ref="H91:T91" si="9">H79+H80+H81+H82</f>
        <v>18.511773624249539</v>
      </c>
      <c r="I91" s="159">
        <f t="shared" si="9"/>
        <v>20.020483174625859</v>
      </c>
      <c r="J91" s="159">
        <f t="shared" si="9"/>
        <v>26.508906038766746</v>
      </c>
      <c r="K91" s="159">
        <f t="shared" si="9"/>
        <v>28.669381880926259</v>
      </c>
      <c r="L91" s="159">
        <f t="shared" si="9"/>
        <v>31.005936504221701</v>
      </c>
      <c r="M91" s="159">
        <f t="shared" si="9"/>
        <v>33.532920329315751</v>
      </c>
      <c r="N91" s="159">
        <f t="shared" si="9"/>
        <v>36.265853336154976</v>
      </c>
      <c r="O91" s="159">
        <f t="shared" si="9"/>
        <v>39.221520383051569</v>
      </c>
      <c r="P91" s="159">
        <f t="shared" si="9"/>
        <v>42.418074294270312</v>
      </c>
      <c r="Q91" s="159">
        <f t="shared" si="9"/>
        <v>45.875147349253439</v>
      </c>
      <c r="R91" s="159">
        <f t="shared" si="9"/>
        <v>48.168904716716114</v>
      </c>
      <c r="S91" s="159">
        <f t="shared" si="9"/>
        <v>50.577349952551927</v>
      </c>
      <c r="T91" s="159">
        <f t="shared" si="9"/>
        <v>53.106217450179521</v>
      </c>
    </row>
    <row r="92" spans="2:20" x14ac:dyDescent="0.25">
      <c r="B92" s="21" t="s">
        <v>1950</v>
      </c>
      <c r="C92" s="28" t="s">
        <v>493</v>
      </c>
      <c r="G92" s="157"/>
      <c r="H92" s="158">
        <f t="shared" ref="H92:T92" si="10">H88+H89+H90+H91</f>
        <v>87.948672360753903</v>
      </c>
      <c r="I92" s="158">
        <f t="shared" si="10"/>
        <v>65.358641033127611</v>
      </c>
      <c r="J92" s="158">
        <f t="shared" si="10"/>
        <v>61.989728825535103</v>
      </c>
      <c r="K92" s="158">
        <f t="shared" si="10"/>
        <v>66.857705438160764</v>
      </c>
      <c r="L92" s="158">
        <f t="shared" si="10"/>
        <v>72.109308081105468</v>
      </c>
      <c r="M92" s="158">
        <f t="shared" si="10"/>
        <v>77.774868554511315</v>
      </c>
      <c r="N92" s="158">
        <f t="shared" si="10"/>
        <v>83.887124219273204</v>
      </c>
      <c r="O92" s="158">
        <f t="shared" si="10"/>
        <v>90.481409316796075</v>
      </c>
      <c r="P92" s="158">
        <f t="shared" si="10"/>
        <v>97.595861544291125</v>
      </c>
      <c r="Q92" s="158">
        <f t="shared" si="10"/>
        <v>105.27164510494116</v>
      </c>
      <c r="R92" s="158">
        <f t="shared" si="10"/>
        <v>93.187841954612864</v>
      </c>
      <c r="S92" s="158">
        <f t="shared" si="10"/>
        <v>97.716827068910291</v>
      </c>
      <c r="T92" s="158">
        <f t="shared" si="10"/>
        <v>102.46704515958524</v>
      </c>
    </row>
    <row r="94" spans="2:20" x14ac:dyDescent="0.25">
      <c r="B94" s="58" t="s">
        <v>1951</v>
      </c>
      <c r="C94" s="19"/>
      <c r="D94" s="19"/>
      <c r="E94" s="19"/>
      <c r="F94" s="19"/>
      <c r="G94" s="19"/>
      <c r="H94" s="19"/>
      <c r="I94" s="19"/>
      <c r="J94" s="19"/>
      <c r="K94" s="19"/>
      <c r="L94" s="19"/>
      <c r="M94" s="19"/>
      <c r="N94" s="19"/>
      <c r="O94" s="19"/>
      <c r="P94" s="19"/>
      <c r="Q94" s="19"/>
      <c r="R94" s="19"/>
      <c r="S94" s="19"/>
      <c r="T94" s="19"/>
    </row>
    <row r="95" spans="2:20" x14ac:dyDescent="0.25">
      <c r="B95" s="154" t="s">
        <v>1952</v>
      </c>
    </row>
    <row r="96" spans="2:20" x14ac:dyDescent="0.25">
      <c r="B96" s="23" t="s">
        <v>1953</v>
      </c>
      <c r="C96" s="28" t="s">
        <v>1896</v>
      </c>
      <c r="G96" s="69">
        <v>0</v>
      </c>
      <c r="H96" s="69">
        <f>IF(H10=0,0,IF((H10*(1-G10))=1,1,G96*(1+Inputs!H192)))</f>
        <v>0</v>
      </c>
      <c r="I96" s="69">
        <f>IF(I10=0,0,IF((I10*(1-H10))=1,1,H96*(1+Inputs!I192)))</f>
        <v>1</v>
      </c>
      <c r="J96" s="69">
        <f>IF(J10=0,0,IF((J10*(1-I10))=1,1,I96*(1+Inputs!J192)))</f>
        <v>1.03</v>
      </c>
      <c r="K96" s="69">
        <f>IF(K10=0,0,IF((K10*(1-J10))=1,1,J96*(1+Inputs!K192)))</f>
        <v>1.0609</v>
      </c>
      <c r="L96" s="69">
        <f>IF(L10=0,0,IF((L10*(1-K10))=1,1,K96*(1+Inputs!L192)))</f>
        <v>1.092727</v>
      </c>
      <c r="M96" s="69">
        <f>IF(M10=0,0,IF((M10*(1-L10))=1,1,L96*(1+Inputs!M192)))</f>
        <v>1.1255088100000001</v>
      </c>
      <c r="N96" s="69">
        <f>IF(N10=0,0,IF((N10*(1-M10))=1,1,M96*(1+Inputs!N192)))</f>
        <v>1.1592740743000001</v>
      </c>
      <c r="O96" s="69">
        <f>IF(O10=0,0,IF((O10*(1-N10))=1,1,N96*(1+Inputs!O192)))</f>
        <v>1.1940522965290001</v>
      </c>
      <c r="P96" s="69">
        <f>IF(P10=0,0,IF((P10*(1-O10))=1,1,O96*(1+Inputs!P192)))</f>
        <v>1.2298738654248702</v>
      </c>
      <c r="Q96" s="69">
        <f>IF(Q10=0,0,IF((Q10*(1-P10))=1,1,P96*(1+Inputs!Q192)))</f>
        <v>1.2667700813876164</v>
      </c>
      <c r="R96" s="69">
        <f>IF(R10=0,0,IF((R10*(1-Q10))=1,1,Q96*(1+Inputs!R192)))</f>
        <v>1.3047731838292449</v>
      </c>
      <c r="S96" s="69">
        <f>IF(S10=0,0,IF((S10*(1-R10))=1,1,R96*(1+Inputs!S192)))</f>
        <v>1.3439163793441222</v>
      </c>
      <c r="T96" s="69">
        <f>IF(T10=0,0,IF((T10*(1-S10))=1,1,S96*(1+Inputs!T192)))</f>
        <v>1.3842338707244459</v>
      </c>
    </row>
    <row r="97" spans="2:20" x14ac:dyDescent="0.25">
      <c r="B97" s="21" t="s">
        <v>1954</v>
      </c>
      <c r="C97" s="28" t="s">
        <v>630</v>
      </c>
      <c r="H97" s="156">
        <f>Inputs!$E$191*H96*Inputs!$E$52</f>
        <v>0</v>
      </c>
      <c r="I97" s="156">
        <f>Inputs!$E$191*I96*Inputs!$E$52</f>
        <v>2449985.568</v>
      </c>
      <c r="J97" s="156">
        <f>Inputs!$E$191*J96*Inputs!$E$52</f>
        <v>2523485.1350400001</v>
      </c>
      <c r="K97" s="156">
        <f>Inputs!$E$191*K96*Inputs!$E$52</f>
        <v>2599189.6890912</v>
      </c>
      <c r="L97" s="156">
        <f>Inputs!$E$191*L96*Inputs!$E$52</f>
        <v>2677165.3797639362</v>
      </c>
      <c r="M97" s="156">
        <f>Inputs!$E$191*M96*Inputs!$E$52</f>
        <v>2757480.3411568543</v>
      </c>
      <c r="N97" s="156">
        <f>Inputs!$E$191*N96*Inputs!$E$52</f>
        <v>2840204.7513915598</v>
      </c>
      <c r="O97" s="156">
        <f>Inputs!$E$191*O96*Inputs!$E$52</f>
        <v>2925410.8939333069</v>
      </c>
      <c r="P97" s="156">
        <f>Inputs!$E$191*P96*Inputs!$E$52</f>
        <v>3013173.220751306</v>
      </c>
      <c r="Q97" s="156">
        <f>Inputs!$E$191*Q96*Inputs!$E$52</f>
        <v>3103568.4173738454</v>
      </c>
      <c r="R97" s="156">
        <f>Inputs!$E$191*R96*Inputs!$E$52</f>
        <v>3196675.4698950611</v>
      </c>
      <c r="S97" s="156">
        <f>Inputs!$E$191*S96*Inputs!$E$52</f>
        <v>3292575.7339919126</v>
      </c>
      <c r="T97" s="156">
        <f>Inputs!$E$191*T96*Inputs!$E$52</f>
        <v>3391353.00601167</v>
      </c>
    </row>
    <row r="98" spans="2:20" x14ac:dyDescent="0.25">
      <c r="B98" s="23" t="s">
        <v>1907</v>
      </c>
      <c r="C98" s="28" t="s">
        <v>647</v>
      </c>
      <c r="H98" s="108">
        <f>Inputs!H193*Inputs!$E$53</f>
        <v>0</v>
      </c>
      <c r="I98" s="108">
        <f>Inputs!I193*Inputs!$E$53</f>
        <v>40944</v>
      </c>
      <c r="J98" s="108">
        <f>Inputs!J193*Inputs!$E$53</f>
        <v>40944</v>
      </c>
      <c r="K98" s="108">
        <f>Inputs!K193*Inputs!$E$53</f>
        <v>49132.800000000003</v>
      </c>
      <c r="L98" s="108">
        <f>Inputs!L193*Inputs!$E$53</f>
        <v>49132.800000000003</v>
      </c>
      <c r="M98" s="108">
        <f>Inputs!M193*Inputs!$E$53</f>
        <v>54046.080000000002</v>
      </c>
      <c r="N98" s="108">
        <f>Inputs!N193*Inputs!$E$53</f>
        <v>54046.080000000002</v>
      </c>
      <c r="O98" s="108">
        <f>Inputs!O193*Inputs!$E$53</f>
        <v>57288.844799999999</v>
      </c>
      <c r="P98" s="108">
        <f>Inputs!P193*Inputs!$E$53</f>
        <v>57288.844799999999</v>
      </c>
      <c r="Q98" s="108">
        <f>Inputs!Q193*Inputs!$E$53</f>
        <v>60726.175488000001</v>
      </c>
      <c r="R98" s="108">
        <f>Inputs!R193*Inputs!$E$53</f>
        <v>60726.175488000001</v>
      </c>
      <c r="S98" s="108">
        <f>Inputs!S193*Inputs!$E$53</f>
        <v>60726.175488000001</v>
      </c>
      <c r="T98" s="108">
        <f>Inputs!T193*Inputs!$E$53</f>
        <v>60726.175488000001</v>
      </c>
    </row>
    <row r="99" spans="2:20" x14ac:dyDescent="0.25">
      <c r="B99" s="21" t="s">
        <v>1955</v>
      </c>
      <c r="C99" s="28" t="s">
        <v>493</v>
      </c>
      <c r="G99" s="157"/>
      <c r="H99" s="158">
        <f t="shared" ref="H99:T99" si="11">H97*H98/1000000000</f>
        <v>0</v>
      </c>
      <c r="I99" s="158">
        <f t="shared" si="11"/>
        <v>100.31220909619201</v>
      </c>
      <c r="J99" s="158">
        <f t="shared" si="11"/>
        <v>103.32157536907776</v>
      </c>
      <c r="K99" s="158">
        <f t="shared" si="11"/>
        <v>127.70546715618012</v>
      </c>
      <c r="L99" s="158">
        <f t="shared" si="11"/>
        <v>131.53663117086552</v>
      </c>
      <c r="M99" s="158">
        <f t="shared" si="11"/>
        <v>149.03100311659063</v>
      </c>
      <c r="N99" s="158">
        <f t="shared" si="11"/>
        <v>153.50193321008834</v>
      </c>
      <c r="O99" s="158">
        <f t="shared" si="11"/>
        <v>167.59341067877446</v>
      </c>
      <c r="P99" s="158">
        <f t="shared" si="11"/>
        <v>172.6212129991377</v>
      </c>
      <c r="Q99" s="158">
        <f t="shared" si="11"/>
        <v>188.46784035245855</v>
      </c>
      <c r="R99" s="158">
        <f t="shared" si="11"/>
        <v>194.12187556303235</v>
      </c>
      <c r="S99" s="158">
        <f t="shared" si="11"/>
        <v>199.94553182992328</v>
      </c>
      <c r="T99" s="158">
        <f t="shared" si="11"/>
        <v>205.94389778482099</v>
      </c>
    </row>
    <row r="100" spans="2:20" x14ac:dyDescent="0.25">
      <c r="B100" s="154" t="s">
        <v>1956</v>
      </c>
    </row>
    <row r="101" spans="2:20" x14ac:dyDescent="0.25">
      <c r="B101" s="23" t="s">
        <v>1957</v>
      </c>
      <c r="C101" s="28" t="s">
        <v>1896</v>
      </c>
      <c r="G101" s="69">
        <v>0</v>
      </c>
      <c r="H101" s="69">
        <f>IF(H11=0,0,IF((H11*(1-G11))=1,1,G101*(1+Inputs!H205)))</f>
        <v>0</v>
      </c>
      <c r="I101" s="69">
        <f>IF(I11=0,0,IF((I11*(1-H11))=1,1,H101*(1+Inputs!I205)))</f>
        <v>1</v>
      </c>
      <c r="J101" s="69">
        <f>IF(J11=0,0,IF((J11*(1-I11))=1,1,I101*(1+Inputs!J205)))</f>
        <v>1.03</v>
      </c>
      <c r="K101" s="69">
        <f>IF(K11=0,0,IF((K11*(1-J11))=1,1,J101*(1+Inputs!K205)))</f>
        <v>1.0609</v>
      </c>
      <c r="L101" s="69">
        <f>IF(L11=0,0,IF((L11*(1-K11))=1,1,K101*(1+Inputs!L205)))</f>
        <v>1.092727</v>
      </c>
      <c r="M101" s="69">
        <f>IF(M11=0,0,IF((M11*(1-L11))=1,1,L101*(1+Inputs!M205)))</f>
        <v>1.1255088100000001</v>
      </c>
      <c r="N101" s="69">
        <f>IF(N11=0,0,IF((N11*(1-M11))=1,1,M101*(1+Inputs!N205)))</f>
        <v>1.1592740743000001</v>
      </c>
      <c r="O101" s="69">
        <f>IF(O11=0,0,IF((O11*(1-N11))=1,1,N101*(1+Inputs!O205)))</f>
        <v>1.1940522965290001</v>
      </c>
      <c r="P101" s="69">
        <f>IF(P11=0,0,IF((P11*(1-O11))=1,1,O101*(1+Inputs!P205)))</f>
        <v>1.2298738654248702</v>
      </c>
      <c r="Q101" s="69">
        <f>IF(Q11=0,0,IF((Q11*(1-P11))=1,1,P101*(1+Inputs!Q205)))</f>
        <v>1.2667700813876164</v>
      </c>
      <c r="R101" s="69">
        <f>IF(R11=0,0,IF((R11*(1-Q11))=1,1,Q101*(1+Inputs!R205)))</f>
        <v>1.3047731838292449</v>
      </c>
      <c r="S101" s="69">
        <f>IF(S11=0,0,IF((S11*(1-R11))=1,1,R101*(1+Inputs!S205)))</f>
        <v>1.3439163793441222</v>
      </c>
      <c r="T101" s="69">
        <f>IF(T11=0,0,IF((T11*(1-S11))=1,1,S101*(1+Inputs!T205)))</f>
        <v>1.3842338707244459</v>
      </c>
    </row>
    <row r="102" spans="2:20" ht="26.25" customHeight="1" x14ac:dyDescent="0.25">
      <c r="B102" s="133" t="s">
        <v>1958</v>
      </c>
      <c r="C102" s="28" t="s">
        <v>630</v>
      </c>
      <c r="H102" s="156">
        <f>Inputs!$E$204*H101*Inputs!$E$52</f>
        <v>0</v>
      </c>
      <c r="I102" s="156">
        <f>Inputs!$E$204*I101*Inputs!$E$52</f>
        <v>2100000</v>
      </c>
      <c r="J102" s="156">
        <f>Inputs!$E$204*J101*Inputs!$E$52</f>
        <v>2163000</v>
      </c>
      <c r="K102" s="156">
        <f>Inputs!$E$204*K101*Inputs!$E$52</f>
        <v>2227890</v>
      </c>
      <c r="L102" s="156">
        <f>Inputs!$E$204*L101*Inputs!$E$52</f>
        <v>2294726.7000000002</v>
      </c>
      <c r="M102" s="156">
        <f>Inputs!$E$204*M101*Inputs!$E$52</f>
        <v>2363568.5010000002</v>
      </c>
      <c r="N102" s="156">
        <f>Inputs!$E$204*N101*Inputs!$E$52</f>
        <v>2434475.5560300001</v>
      </c>
      <c r="O102" s="156">
        <f>Inputs!$E$204*O101*Inputs!$E$52</f>
        <v>2507509.8227109001</v>
      </c>
      <c r="P102" s="156">
        <f>Inputs!$E$204*P101*Inputs!$E$52</f>
        <v>2582735.1173922275</v>
      </c>
      <c r="Q102" s="156">
        <f>Inputs!$E$204*Q101*Inputs!$E$52</f>
        <v>2660217.1709139943</v>
      </c>
      <c r="R102" s="156">
        <f>Inputs!$E$204*R101*Inputs!$E$52</f>
        <v>2740023.6860414143</v>
      </c>
      <c r="S102" s="156">
        <f>Inputs!$E$204*S101*Inputs!$E$52</f>
        <v>2822224.3966226568</v>
      </c>
      <c r="T102" s="156">
        <f>Inputs!$E$204*T101*Inputs!$E$52</f>
        <v>2906891.1285213362</v>
      </c>
    </row>
    <row r="103" spans="2:20" x14ac:dyDescent="0.25">
      <c r="B103" s="23" t="s">
        <v>1907</v>
      </c>
      <c r="C103" s="28" t="s">
        <v>647</v>
      </c>
      <c r="H103" s="108">
        <f>Inputs!H206*Inputs!$E$53</f>
        <v>0</v>
      </c>
      <c r="I103" s="108">
        <f>Inputs!I206*Inputs!$E$53</f>
        <v>15000</v>
      </c>
      <c r="J103" s="108">
        <f>Inputs!J206*Inputs!$E$53</f>
        <v>15000</v>
      </c>
      <c r="K103" s="108">
        <f>Inputs!K206*Inputs!$E$53</f>
        <v>15000</v>
      </c>
      <c r="L103" s="108">
        <f>Inputs!L206*Inputs!$E$53</f>
        <v>15000</v>
      </c>
      <c r="M103" s="108">
        <f>Inputs!M206*Inputs!$E$53</f>
        <v>15000</v>
      </c>
      <c r="N103" s="108">
        <f>Inputs!N206*Inputs!$E$53</f>
        <v>15000</v>
      </c>
      <c r="O103" s="108">
        <f>Inputs!O206*Inputs!$E$53</f>
        <v>15000</v>
      </c>
      <c r="P103" s="108">
        <f>Inputs!P206*Inputs!$E$53</f>
        <v>15000</v>
      </c>
      <c r="Q103" s="108">
        <f>Inputs!Q206*Inputs!$E$53</f>
        <v>15000</v>
      </c>
      <c r="R103" s="108">
        <f>Inputs!R206*Inputs!$E$53</f>
        <v>15000</v>
      </c>
      <c r="S103" s="108">
        <f>Inputs!S206*Inputs!$E$53</f>
        <v>15000</v>
      </c>
      <c r="T103" s="108">
        <f>Inputs!T206*Inputs!$E$53</f>
        <v>15000</v>
      </c>
    </row>
    <row r="104" spans="2:20" x14ac:dyDescent="0.25">
      <c r="B104" s="21" t="s">
        <v>1959</v>
      </c>
      <c r="C104" s="28" t="s">
        <v>493</v>
      </c>
      <c r="G104" s="157"/>
      <c r="H104" s="158">
        <f t="shared" ref="H104:T104" si="12">H102*H103/1000000000</f>
        <v>0</v>
      </c>
      <c r="I104" s="158">
        <f t="shared" si="12"/>
        <v>31.5</v>
      </c>
      <c r="J104" s="158">
        <f t="shared" si="12"/>
        <v>32.445</v>
      </c>
      <c r="K104" s="158">
        <f t="shared" si="12"/>
        <v>33.418349999999997</v>
      </c>
      <c r="L104" s="158">
        <f t="shared" si="12"/>
        <v>34.420900500000002</v>
      </c>
      <c r="M104" s="158">
        <f t="shared" si="12"/>
        <v>35.453527514999998</v>
      </c>
      <c r="N104" s="158">
        <f t="shared" si="12"/>
        <v>36.517133340450002</v>
      </c>
      <c r="O104" s="158">
        <f t="shared" si="12"/>
        <v>37.6126473406635</v>
      </c>
      <c r="P104" s="158">
        <f t="shared" si="12"/>
        <v>38.741026760883415</v>
      </c>
      <c r="Q104" s="158">
        <f t="shared" si="12"/>
        <v>39.903257563709914</v>
      </c>
      <c r="R104" s="158">
        <f t="shared" si="12"/>
        <v>41.100355290621216</v>
      </c>
      <c r="S104" s="158">
        <f t="shared" si="12"/>
        <v>42.33336594933985</v>
      </c>
      <c r="T104" s="158">
        <f t="shared" si="12"/>
        <v>43.603366927820048</v>
      </c>
    </row>
    <row r="105" spans="2:20" x14ac:dyDescent="0.25">
      <c r="B105" s="154" t="s">
        <v>1960</v>
      </c>
    </row>
    <row r="106" spans="2:20" x14ac:dyDescent="0.25">
      <c r="B106" s="23" t="s">
        <v>1961</v>
      </c>
      <c r="C106" s="28" t="s">
        <v>1896</v>
      </c>
      <c r="G106" s="69">
        <v>1</v>
      </c>
      <c r="H106" s="69">
        <f>G106*(1+Inputs!H219)</f>
        <v>1</v>
      </c>
      <c r="I106" s="69">
        <f>H106*(1+Inputs!I219)</f>
        <v>1</v>
      </c>
      <c r="J106" s="69">
        <f>I106*(1+Inputs!J219)</f>
        <v>1.03</v>
      </c>
      <c r="K106" s="69">
        <f>J106*(1+Inputs!K219)</f>
        <v>1.0609</v>
      </c>
      <c r="L106" s="69">
        <f>K106*(1+Inputs!L219)</f>
        <v>1.092727</v>
      </c>
      <c r="M106" s="69">
        <f>L106*(1+Inputs!M219)</f>
        <v>1.1255088100000001</v>
      </c>
      <c r="N106" s="69">
        <f>M106*(1+Inputs!N219)</f>
        <v>1.1592740743000001</v>
      </c>
      <c r="O106" s="69">
        <f>N106*(1+Inputs!O219)</f>
        <v>1.1940522965290001</v>
      </c>
      <c r="P106" s="69">
        <f>O106*(1+Inputs!P219)</f>
        <v>1.2298738654248702</v>
      </c>
      <c r="Q106" s="69">
        <f>P106*(1+Inputs!Q219)</f>
        <v>1.2667700813876164</v>
      </c>
      <c r="R106" s="69">
        <f>Q106*(1+Inputs!R219)</f>
        <v>1.3047731838292449</v>
      </c>
      <c r="S106" s="69">
        <f>R106*(1+Inputs!S219)</f>
        <v>1.3439163793441222</v>
      </c>
      <c r="T106" s="69">
        <f>S106*(1+Inputs!T219)</f>
        <v>1.3842338707244459</v>
      </c>
    </row>
    <row r="107" spans="2:20" x14ac:dyDescent="0.25">
      <c r="B107" s="21" t="s">
        <v>1962</v>
      </c>
      <c r="C107" s="28" t="s">
        <v>630</v>
      </c>
      <c r="H107" s="156">
        <f>Inputs!$E$217*H106*H12*Inputs!$E$52</f>
        <v>0</v>
      </c>
      <c r="I107" s="156">
        <f>Inputs!$E$217*I106*I12*Inputs!$E$52</f>
        <v>0</v>
      </c>
      <c r="J107" s="156">
        <f>Inputs!$E$217*J106*J12*Inputs!$E$52</f>
        <v>0</v>
      </c>
      <c r="K107" s="156">
        <f>Inputs!$E$217*K106*K12*Inputs!$E$52</f>
        <v>1803530</v>
      </c>
      <c r="L107" s="156">
        <f>Inputs!$E$217*L106*L12*Inputs!$E$52</f>
        <v>1857635.9</v>
      </c>
      <c r="M107" s="156">
        <f>Inputs!$E$217*M106*M12*Inputs!$E$52</f>
        <v>1913364.9770000002</v>
      </c>
      <c r="N107" s="156">
        <f>Inputs!$E$217*N106*N12*Inputs!$E$52</f>
        <v>1970765.92631</v>
      </c>
      <c r="O107" s="156">
        <f>Inputs!$E$217*O106*O12*Inputs!$E$52</f>
        <v>2029888.9040993003</v>
      </c>
      <c r="P107" s="156">
        <f>Inputs!$E$217*P106*P12*Inputs!$E$52</f>
        <v>2090785.5712222795</v>
      </c>
      <c r="Q107" s="156">
        <f>Inputs!$E$217*Q106*Q12*Inputs!$E$52</f>
        <v>2153509.1383589478</v>
      </c>
      <c r="R107" s="156">
        <f>Inputs!$E$217*R106*R12*Inputs!$E$52</f>
        <v>2218114.4125097161</v>
      </c>
      <c r="S107" s="156">
        <f>Inputs!$E$217*S106*S12*Inputs!$E$52</f>
        <v>2284657.8448850079</v>
      </c>
      <c r="T107" s="156">
        <f>Inputs!$E$217*T106*T12*Inputs!$E$52</f>
        <v>2353197.5802315581</v>
      </c>
    </row>
    <row r="108" spans="2:20" x14ac:dyDescent="0.25">
      <c r="B108" s="23" t="s">
        <v>1963</v>
      </c>
      <c r="C108" s="28" t="s">
        <v>647</v>
      </c>
      <c r="H108" s="108">
        <f>(Inputs!H220+Inputs!H221+Inputs!H222)*Inputs!$E$53</f>
        <v>60000</v>
      </c>
      <c r="I108" s="108">
        <f>(Inputs!I220+Inputs!I221+Inputs!I222)*Inputs!$E$53</f>
        <v>60000</v>
      </c>
      <c r="J108" s="108">
        <f>(Inputs!J220+Inputs!J221+Inputs!J222)*Inputs!$E$53</f>
        <v>60000</v>
      </c>
      <c r="K108" s="108">
        <f>(Inputs!K220+Inputs!K221+Inputs!K222)*Inputs!$E$53</f>
        <v>60000</v>
      </c>
      <c r="L108" s="108">
        <f>(Inputs!L220+Inputs!L221+Inputs!L222)*Inputs!$E$53</f>
        <v>60000</v>
      </c>
      <c r="M108" s="108">
        <f>(Inputs!M220+Inputs!M221+Inputs!M222)*Inputs!$E$53</f>
        <v>60000</v>
      </c>
      <c r="N108" s="108">
        <f>(Inputs!N220+Inputs!N221+Inputs!N222)*Inputs!$E$53</f>
        <v>60000</v>
      </c>
      <c r="O108" s="108">
        <f>(Inputs!O220+Inputs!O221+Inputs!O222)*Inputs!$E$53</f>
        <v>60000</v>
      </c>
      <c r="P108" s="108">
        <f>(Inputs!P220+Inputs!P221+Inputs!P222)*Inputs!$E$53</f>
        <v>60000</v>
      </c>
      <c r="Q108" s="108">
        <f>(Inputs!Q220+Inputs!Q221+Inputs!Q222)*Inputs!$E$53</f>
        <v>60000</v>
      </c>
      <c r="R108" s="108">
        <f>(Inputs!R220+Inputs!R221+Inputs!R222)*Inputs!$E$53</f>
        <v>60000</v>
      </c>
      <c r="S108" s="108">
        <f>(Inputs!S220+Inputs!S221+Inputs!S222)*Inputs!$E$53</f>
        <v>60000</v>
      </c>
      <c r="T108" s="108">
        <f>(Inputs!T220+Inputs!T221+Inputs!T222)*Inputs!$E$53</f>
        <v>60000</v>
      </c>
    </row>
    <row r="109" spans="2:20" x14ac:dyDescent="0.25">
      <c r="B109" s="23" t="s">
        <v>1964</v>
      </c>
      <c r="C109" s="28" t="s">
        <v>493</v>
      </c>
      <c r="H109" s="159">
        <f t="shared" ref="H109:T109" si="13">H107*H108/1000000000</f>
        <v>0</v>
      </c>
      <c r="I109" s="159">
        <f t="shared" si="13"/>
        <v>0</v>
      </c>
      <c r="J109" s="159">
        <f t="shared" si="13"/>
        <v>0</v>
      </c>
      <c r="K109" s="159">
        <f t="shared" si="13"/>
        <v>108.2118</v>
      </c>
      <c r="L109" s="159">
        <f t="shared" si="13"/>
        <v>111.45815399999999</v>
      </c>
      <c r="M109" s="159">
        <f t="shared" si="13"/>
        <v>114.80189862000002</v>
      </c>
      <c r="N109" s="159">
        <f t="shared" si="13"/>
        <v>118.2459555786</v>
      </c>
      <c r="O109" s="159">
        <f t="shared" si="13"/>
        <v>121.79333424595802</v>
      </c>
      <c r="P109" s="159">
        <f t="shared" si="13"/>
        <v>125.44713427333676</v>
      </c>
      <c r="Q109" s="159">
        <f t="shared" si="13"/>
        <v>129.21054830153687</v>
      </c>
      <c r="R109" s="159">
        <f t="shared" si="13"/>
        <v>133.08686475058298</v>
      </c>
      <c r="S109" s="159">
        <f t="shared" si="13"/>
        <v>137.07947069310049</v>
      </c>
      <c r="T109" s="159">
        <f t="shared" si="13"/>
        <v>141.19185481389349</v>
      </c>
    </row>
    <row r="110" spans="2:20" x14ac:dyDescent="0.25">
      <c r="B110" s="23" t="s">
        <v>1965</v>
      </c>
      <c r="C110" s="28" t="s">
        <v>493</v>
      </c>
      <c r="H110" s="159">
        <f>H109*(1-Inputs!$E$218)</f>
        <v>0</v>
      </c>
      <c r="I110" s="159">
        <f>I109*(1-Inputs!$E$218)</f>
        <v>0</v>
      </c>
      <c r="J110" s="159">
        <f>J109*(1-Inputs!$E$218)</f>
        <v>0</v>
      </c>
      <c r="K110" s="159">
        <f>K109*(1-Inputs!$E$218)</f>
        <v>55.188018</v>
      </c>
      <c r="L110" s="159">
        <f>L109*(1-Inputs!$E$218)</f>
        <v>56.84365854</v>
      </c>
      <c r="M110" s="159">
        <f>M109*(1-Inputs!$E$218)</f>
        <v>58.548968296200009</v>
      </c>
      <c r="N110" s="159">
        <f>N109*(1-Inputs!$E$218)</f>
        <v>60.305437345086006</v>
      </c>
      <c r="O110" s="159">
        <f>O109*(1-Inputs!$E$218)</f>
        <v>62.114600465438592</v>
      </c>
      <c r="P110" s="159">
        <f>P109*(1-Inputs!$E$218)</f>
        <v>63.978038479401746</v>
      </c>
      <c r="Q110" s="159">
        <f>Q109*(1-Inputs!$E$218)</f>
        <v>65.897379633783814</v>
      </c>
      <c r="R110" s="159">
        <f>R109*(1-Inputs!$E$218)</f>
        <v>67.874301022797326</v>
      </c>
      <c r="S110" s="159">
        <f>S109*(1-Inputs!$E$218)</f>
        <v>69.910530053481253</v>
      </c>
      <c r="T110" s="159">
        <f>T109*(1-Inputs!$E$218)</f>
        <v>72.007845955085685</v>
      </c>
    </row>
    <row r="111" spans="2:20" x14ac:dyDescent="0.25">
      <c r="B111" s="21" t="s">
        <v>1966</v>
      </c>
      <c r="C111" s="28" t="s">
        <v>493</v>
      </c>
      <c r="G111" s="157"/>
      <c r="H111" s="158">
        <f>H109*Inputs!$E$218</f>
        <v>0</v>
      </c>
      <c r="I111" s="158">
        <f>I109*Inputs!$E$218</f>
        <v>0</v>
      </c>
      <c r="J111" s="158">
        <f>J109*Inputs!$E$218</f>
        <v>0</v>
      </c>
      <c r="K111" s="158">
        <f>K109*Inputs!$E$218</f>
        <v>53.023781999999997</v>
      </c>
      <c r="L111" s="158">
        <f>L109*Inputs!$E$218</f>
        <v>54.614495459999993</v>
      </c>
      <c r="M111" s="158">
        <f>M109*Inputs!$E$218</f>
        <v>56.252930323800008</v>
      </c>
      <c r="N111" s="158">
        <f>N109*Inputs!$E$218</f>
        <v>57.940518233513998</v>
      </c>
      <c r="O111" s="158">
        <f>O109*Inputs!$E$218</f>
        <v>59.67873378051943</v>
      </c>
      <c r="P111" s="158">
        <f>P109*Inputs!$E$218</f>
        <v>61.469095793935011</v>
      </c>
      <c r="Q111" s="158">
        <f>Q109*Inputs!$E$218</f>
        <v>63.313168667753068</v>
      </c>
      <c r="R111" s="158">
        <f>R109*Inputs!$E$218</f>
        <v>65.21256372778565</v>
      </c>
      <c r="S111" s="158">
        <f>S109*Inputs!$E$218</f>
        <v>67.168940639619237</v>
      </c>
      <c r="T111" s="158">
        <f>T109*Inputs!$E$218</f>
        <v>69.1840088588078</v>
      </c>
    </row>
    <row r="112" spans="2:20" x14ac:dyDescent="0.25">
      <c r="B112" s="154" t="s">
        <v>877</v>
      </c>
    </row>
    <row r="113" spans="2:20" x14ac:dyDescent="0.25">
      <c r="B113" s="21" t="s">
        <v>1967</v>
      </c>
      <c r="C113" s="28" t="s">
        <v>1968</v>
      </c>
      <c r="H113" s="156">
        <f>Inputs!H233*Inputs!H234*H13*Inputs!$E$52</f>
        <v>0</v>
      </c>
      <c r="I113" s="156">
        <f>Inputs!I233*Inputs!I234*I13*Inputs!$E$52</f>
        <v>0</v>
      </c>
      <c r="J113" s="156">
        <f>Inputs!J233*Inputs!J234*J13*Inputs!$E$52</f>
        <v>0</v>
      </c>
      <c r="K113" s="156">
        <f>Inputs!K233*Inputs!K234*K13*Inputs!$E$52</f>
        <v>17000</v>
      </c>
      <c r="L113" s="156">
        <f>Inputs!L233*Inputs!L234*L13*Inputs!$E$52</f>
        <v>17000</v>
      </c>
      <c r="M113" s="156">
        <f>Inputs!M233*Inputs!M234*M13*Inputs!$E$52</f>
        <v>17000</v>
      </c>
      <c r="N113" s="156">
        <f>Inputs!N233*Inputs!N234*N13*Inputs!$E$52</f>
        <v>17000</v>
      </c>
      <c r="O113" s="156">
        <f>Inputs!O233*Inputs!O234*O13*Inputs!$E$52</f>
        <v>17000</v>
      </c>
      <c r="P113" s="156">
        <f>Inputs!P233*Inputs!P234*P13*Inputs!$E$52</f>
        <v>17000</v>
      </c>
      <c r="Q113" s="156">
        <f>Inputs!Q233*Inputs!Q234*Q13*Inputs!$E$52</f>
        <v>17000</v>
      </c>
      <c r="R113" s="156">
        <f>Inputs!R233*Inputs!R234*R13*Inputs!$E$52</f>
        <v>17000</v>
      </c>
      <c r="S113" s="156">
        <f>Inputs!S233*Inputs!S234*S13*Inputs!$E$52</f>
        <v>17000</v>
      </c>
      <c r="T113" s="156">
        <f>Inputs!T233*Inputs!T234*T13*Inputs!$E$52</f>
        <v>17000</v>
      </c>
    </row>
    <row r="114" spans="2:20" x14ac:dyDescent="0.25">
      <c r="B114" s="23" t="s">
        <v>1907</v>
      </c>
      <c r="C114" s="28" t="s">
        <v>1969</v>
      </c>
      <c r="H114" s="108">
        <f>Inputs!H235*Inputs!$E$53</f>
        <v>65000</v>
      </c>
      <c r="I114" s="108">
        <f>Inputs!I235*Inputs!$E$53</f>
        <v>65000</v>
      </c>
      <c r="J114" s="108">
        <f>Inputs!J235*Inputs!$E$53</f>
        <v>65000</v>
      </c>
      <c r="K114" s="108">
        <f>Inputs!K235*Inputs!$E$53</f>
        <v>65000</v>
      </c>
      <c r="L114" s="108">
        <f>Inputs!L235*Inputs!$E$53</f>
        <v>65000</v>
      </c>
      <c r="M114" s="108">
        <f>Inputs!M235*Inputs!$E$53</f>
        <v>65000</v>
      </c>
      <c r="N114" s="108">
        <f>Inputs!N235*Inputs!$E$53</f>
        <v>65000</v>
      </c>
      <c r="O114" s="108">
        <f>Inputs!O235*Inputs!$E$53</f>
        <v>65000</v>
      </c>
      <c r="P114" s="108">
        <f>Inputs!P235*Inputs!$E$53</f>
        <v>65000</v>
      </c>
      <c r="Q114" s="108">
        <f>Inputs!Q235*Inputs!$E$53</f>
        <v>65000</v>
      </c>
      <c r="R114" s="108">
        <f>Inputs!R235*Inputs!$E$53</f>
        <v>65000</v>
      </c>
      <c r="S114" s="108">
        <f>Inputs!S235*Inputs!$E$53</f>
        <v>65000</v>
      </c>
      <c r="T114" s="108">
        <f>Inputs!T235*Inputs!$E$53</f>
        <v>65000</v>
      </c>
    </row>
    <row r="115" spans="2:20" x14ac:dyDescent="0.25">
      <c r="B115" s="21" t="s">
        <v>1970</v>
      </c>
      <c r="C115" s="28" t="s">
        <v>493</v>
      </c>
      <c r="G115" s="157"/>
      <c r="H115" s="158">
        <f t="shared" ref="H115:T115" si="14">H113*H114*12/1000000000</f>
        <v>0</v>
      </c>
      <c r="I115" s="158">
        <f t="shared" si="14"/>
        <v>0</v>
      </c>
      <c r="J115" s="158">
        <f t="shared" si="14"/>
        <v>0</v>
      </c>
      <c r="K115" s="158">
        <f t="shared" si="14"/>
        <v>13.26</v>
      </c>
      <c r="L115" s="158">
        <f t="shared" si="14"/>
        <v>13.26</v>
      </c>
      <c r="M115" s="158">
        <f t="shared" si="14"/>
        <v>13.26</v>
      </c>
      <c r="N115" s="158">
        <f t="shared" si="14"/>
        <v>13.26</v>
      </c>
      <c r="O115" s="158">
        <f t="shared" si="14"/>
        <v>13.26</v>
      </c>
      <c r="P115" s="158">
        <f t="shared" si="14"/>
        <v>13.26</v>
      </c>
      <c r="Q115" s="158">
        <f t="shared" si="14"/>
        <v>13.26</v>
      </c>
      <c r="R115" s="158">
        <f t="shared" si="14"/>
        <v>13.26</v>
      </c>
      <c r="S115" s="158">
        <f t="shared" si="14"/>
        <v>13.26</v>
      </c>
      <c r="T115" s="158">
        <f t="shared" si="14"/>
        <v>13.26</v>
      </c>
    </row>
    <row r="116" spans="2:20" x14ac:dyDescent="0.25">
      <c r="B116" s="154" t="s">
        <v>1971</v>
      </c>
    </row>
    <row r="117" spans="2:20" x14ac:dyDescent="0.25">
      <c r="B117" s="21" t="s">
        <v>1972</v>
      </c>
      <c r="C117" s="28" t="s">
        <v>630</v>
      </c>
      <c r="H117" s="156">
        <f>IF(H7-$F$14&lt;2024,0,INDEX(Inputs!$H$244:$T$244,1,H7-$F$14-2023))*H14*Inputs!$E$52</f>
        <v>0</v>
      </c>
      <c r="I117" s="156">
        <f>IF(I7-$F$14&lt;2024,0,INDEX(Inputs!$H$244:$T$244,1,I7-$F$14-2023))*I14*Inputs!$E$52</f>
        <v>0</v>
      </c>
      <c r="J117" s="156">
        <f>IF(J7-$F$14&lt;2024,0,INDEX(Inputs!$H$244:$T$244,1,J7-$F$14-2023))*J14*Inputs!$E$52</f>
        <v>1300000</v>
      </c>
      <c r="K117" s="156">
        <f>IF(K7-$F$14&lt;2024,0,INDEX(Inputs!$H$244:$T$244,1,K7-$F$14-2023))*K14*Inputs!$E$52</f>
        <v>1300000</v>
      </c>
      <c r="L117" s="156">
        <f>IF(L7-$F$14&lt;2024,0,INDEX(Inputs!$H$244:$T$244,1,L7-$F$14-2023))*L14*Inputs!$E$52</f>
        <v>1300000</v>
      </c>
      <c r="M117" s="156">
        <f>IF(M7-$F$14&lt;2024,0,INDEX(Inputs!$H$244:$T$244,1,M7-$F$14-2023))*M14*Inputs!$E$52</f>
        <v>1339000</v>
      </c>
      <c r="N117" s="156">
        <f>IF(N7-$F$14&lt;2024,0,INDEX(Inputs!$H$244:$T$244,1,N7-$F$14-2023))*N14*Inputs!$E$52</f>
        <v>1339000</v>
      </c>
      <c r="O117" s="156">
        <f>IF(O7-$F$14&lt;2024,0,INDEX(Inputs!$H$244:$T$244,1,O7-$F$14-2023))*O14*Inputs!$E$52</f>
        <v>1339000</v>
      </c>
      <c r="P117" s="156">
        <f>IF(P7-$F$14&lt;2024,0,INDEX(Inputs!$H$244:$T$244,1,P7-$F$14-2023))*P14*Inputs!$E$52</f>
        <v>1339000</v>
      </c>
      <c r="Q117" s="156">
        <f>IF(Q7-$F$14&lt;2024,0,INDEX(Inputs!$H$244:$T$244,1,Q7-$F$14-2023))*Q14*Inputs!$E$52</f>
        <v>1379170</v>
      </c>
      <c r="R117" s="156">
        <f>IF(R7-$F$14&lt;2024,0,INDEX(Inputs!$H$244:$T$244,1,R7-$F$14-2023))*R14*Inputs!$E$52</f>
        <v>1379170</v>
      </c>
      <c r="S117" s="156">
        <f>IF(S7-$F$14&lt;2024,0,INDEX(Inputs!$H$244:$T$244,1,S7-$F$14-2023))*S14*Inputs!$E$52</f>
        <v>1379170</v>
      </c>
      <c r="T117" s="156">
        <f>IF(T7-$F$14&lt;2024,0,INDEX(Inputs!$H$244:$T$244,1,T7-$F$14-2023))*T14*Inputs!$E$52</f>
        <v>1379170</v>
      </c>
    </row>
    <row r="118" spans="2:20" x14ac:dyDescent="0.25">
      <c r="B118" s="23" t="s">
        <v>1973</v>
      </c>
      <c r="C118" s="28" t="s">
        <v>647</v>
      </c>
      <c r="H118" s="108">
        <f>IF(H7-$F$14&lt;2024,0,INDEX(Inputs!$H$245:$T$245,1,H7-$F$14-2023))*Inputs!$E$53</f>
        <v>0</v>
      </c>
      <c r="I118" s="108">
        <f>IF(I7-$F$14&lt;2024,0,INDEX(Inputs!$H$245:$T$245,1,I7-$F$14-2023))*Inputs!$E$53</f>
        <v>0</v>
      </c>
      <c r="J118" s="108">
        <f>IF(J7-$F$14&lt;2024,0,INDEX(Inputs!$H$245:$T$245,1,J7-$F$14-2023))*Inputs!$E$53</f>
        <v>35000</v>
      </c>
      <c r="K118" s="108">
        <f>IF(K7-$F$14&lt;2024,0,INDEX(Inputs!$H$245:$T$245,1,K7-$F$14-2023))*Inputs!$E$53</f>
        <v>35000</v>
      </c>
      <c r="L118" s="108">
        <f>IF(L7-$F$14&lt;2024,0,INDEX(Inputs!$H$245:$T$245,1,L7-$F$14-2023))*Inputs!$E$53</f>
        <v>35000</v>
      </c>
      <c r="M118" s="108">
        <f>IF(M7-$F$14&lt;2024,0,INDEX(Inputs!$H$245:$T$245,1,M7-$F$14-2023))*Inputs!$E$53</f>
        <v>36400</v>
      </c>
      <c r="N118" s="108">
        <f>IF(N7-$F$14&lt;2024,0,INDEX(Inputs!$H$245:$T$245,1,N7-$F$14-2023))*Inputs!$E$53</f>
        <v>36400</v>
      </c>
      <c r="O118" s="108">
        <f>IF(O7-$F$14&lt;2024,0,INDEX(Inputs!$H$245:$T$245,1,O7-$F$14-2023))*Inputs!$E$53</f>
        <v>36400</v>
      </c>
      <c r="P118" s="108">
        <f>IF(P7-$F$14&lt;2024,0,INDEX(Inputs!$H$245:$T$245,1,P7-$F$14-2023))*Inputs!$E$53</f>
        <v>36400</v>
      </c>
      <c r="Q118" s="108">
        <f>IF(Q7-$F$14&lt;2024,0,INDEX(Inputs!$H$245:$T$245,1,Q7-$F$14-2023))*Inputs!$E$53</f>
        <v>37856</v>
      </c>
      <c r="R118" s="108">
        <f>IF(R7-$F$14&lt;2024,0,INDEX(Inputs!$H$245:$T$245,1,R7-$F$14-2023))*Inputs!$E$53</f>
        <v>37856</v>
      </c>
      <c r="S118" s="108">
        <f>IF(S7-$F$14&lt;2024,0,INDEX(Inputs!$H$245:$T$245,1,S7-$F$14-2023))*Inputs!$E$53</f>
        <v>37856</v>
      </c>
      <c r="T118" s="108">
        <f>IF(T7-$F$14&lt;2024,0,INDEX(Inputs!$H$245:$T$245,1,T7-$F$14-2023))*Inputs!$E$53</f>
        <v>37856</v>
      </c>
    </row>
    <row r="119" spans="2:20" x14ac:dyDescent="0.25">
      <c r="B119" s="23" t="s">
        <v>1974</v>
      </c>
      <c r="C119" s="28" t="s">
        <v>647</v>
      </c>
      <c r="H119" s="108">
        <f>IF(H7-$F$14&lt;2024,0,INDEX(Inputs!$H$246:$T$246,1,H7-$F$14-2023))*Inputs!$E$53</f>
        <v>0</v>
      </c>
      <c r="I119" s="108">
        <f>IF(I7-$F$14&lt;2024,0,INDEX(Inputs!$H$246:$T$246,1,I7-$F$14-2023))*Inputs!$E$53</f>
        <v>0</v>
      </c>
      <c r="J119" s="108">
        <f>IF(J7-$F$14&lt;2024,0,INDEX(Inputs!$H$246:$T$246,1,J7-$F$14-2023))*Inputs!$E$53</f>
        <v>2000</v>
      </c>
      <c r="K119" s="108">
        <f>IF(K7-$F$14&lt;2024,0,INDEX(Inputs!$H$246:$T$246,1,K7-$F$14-2023))*Inputs!$E$53</f>
        <v>2000</v>
      </c>
      <c r="L119" s="108">
        <f>IF(L7-$F$14&lt;2024,0,INDEX(Inputs!$H$246:$T$246,1,L7-$F$14-2023))*Inputs!$E$53</f>
        <v>2000</v>
      </c>
      <c r="M119" s="108">
        <f>IF(M7-$F$14&lt;2024,0,INDEX(Inputs!$H$246:$T$246,1,M7-$F$14-2023))*Inputs!$E$53</f>
        <v>2000</v>
      </c>
      <c r="N119" s="108">
        <f>IF(N7-$F$14&lt;2024,0,INDEX(Inputs!$H$246:$T$246,1,N7-$F$14-2023))*Inputs!$E$53</f>
        <v>2000</v>
      </c>
      <c r="O119" s="108">
        <f>IF(O7-$F$14&lt;2024,0,INDEX(Inputs!$H$246:$T$246,1,O7-$F$14-2023))*Inputs!$E$53</f>
        <v>2000</v>
      </c>
      <c r="P119" s="108">
        <f>IF(P7-$F$14&lt;2024,0,INDEX(Inputs!$H$246:$T$246,1,P7-$F$14-2023))*Inputs!$E$53</f>
        <v>2000</v>
      </c>
      <c r="Q119" s="108">
        <f>IF(Q7-$F$14&lt;2024,0,INDEX(Inputs!$H$246:$T$246,1,Q7-$F$14-2023))*Inputs!$E$53</f>
        <v>2000</v>
      </c>
      <c r="R119" s="108">
        <f>IF(R7-$F$14&lt;2024,0,INDEX(Inputs!$H$246:$T$246,1,R7-$F$14-2023))*Inputs!$E$53</f>
        <v>2000</v>
      </c>
      <c r="S119" s="108">
        <f>IF(S7-$F$14&lt;2024,0,INDEX(Inputs!$H$246:$T$246,1,S7-$F$14-2023))*Inputs!$E$53</f>
        <v>2000</v>
      </c>
      <c r="T119" s="108">
        <f>IF(T7-$F$14&lt;2024,0,INDEX(Inputs!$H$246:$T$246,1,T7-$F$14-2023))*Inputs!$E$53</f>
        <v>2000</v>
      </c>
    </row>
    <row r="120" spans="2:20" x14ac:dyDescent="0.25">
      <c r="B120" s="23" t="s">
        <v>1975</v>
      </c>
      <c r="C120" s="28" t="s">
        <v>493</v>
      </c>
      <c r="H120" s="159">
        <f t="shared" ref="H120:T120" si="15">H117*H118/1000000000</f>
        <v>0</v>
      </c>
      <c r="I120" s="159">
        <f t="shared" si="15"/>
        <v>0</v>
      </c>
      <c r="J120" s="159">
        <f t="shared" si="15"/>
        <v>45.5</v>
      </c>
      <c r="K120" s="159">
        <f t="shared" si="15"/>
        <v>45.5</v>
      </c>
      <c r="L120" s="159">
        <f t="shared" si="15"/>
        <v>45.5</v>
      </c>
      <c r="M120" s="159">
        <f t="shared" si="15"/>
        <v>48.739600000000003</v>
      </c>
      <c r="N120" s="159">
        <f t="shared" si="15"/>
        <v>48.739600000000003</v>
      </c>
      <c r="O120" s="159">
        <f t="shared" si="15"/>
        <v>48.739600000000003</v>
      </c>
      <c r="P120" s="159">
        <f t="shared" si="15"/>
        <v>48.739600000000003</v>
      </c>
      <c r="Q120" s="159">
        <f t="shared" si="15"/>
        <v>52.209859520000002</v>
      </c>
      <c r="R120" s="159">
        <f t="shared" si="15"/>
        <v>52.209859520000002</v>
      </c>
      <c r="S120" s="159">
        <f t="shared" si="15"/>
        <v>52.209859520000002</v>
      </c>
      <c r="T120" s="159">
        <f t="shared" si="15"/>
        <v>52.209859520000002</v>
      </c>
    </row>
    <row r="121" spans="2:20" x14ac:dyDescent="0.25">
      <c r="B121" s="23" t="s">
        <v>1976</v>
      </c>
      <c r="C121" s="28" t="s">
        <v>493</v>
      </c>
      <c r="H121" s="159">
        <f t="shared" ref="H121:T121" si="16">H117*H119/1000000000</f>
        <v>0</v>
      </c>
      <c r="I121" s="159">
        <f t="shared" si="16"/>
        <v>0</v>
      </c>
      <c r="J121" s="159">
        <f t="shared" si="16"/>
        <v>2.6</v>
      </c>
      <c r="K121" s="159">
        <f t="shared" si="16"/>
        <v>2.6</v>
      </c>
      <c r="L121" s="159">
        <f t="shared" si="16"/>
        <v>2.6</v>
      </c>
      <c r="M121" s="159">
        <f t="shared" si="16"/>
        <v>2.6779999999999999</v>
      </c>
      <c r="N121" s="159">
        <f t="shared" si="16"/>
        <v>2.6779999999999999</v>
      </c>
      <c r="O121" s="159">
        <f t="shared" si="16"/>
        <v>2.6779999999999999</v>
      </c>
      <c r="P121" s="159">
        <f t="shared" si="16"/>
        <v>2.6779999999999999</v>
      </c>
      <c r="Q121" s="159">
        <f t="shared" si="16"/>
        <v>2.75834</v>
      </c>
      <c r="R121" s="159">
        <f t="shared" si="16"/>
        <v>2.75834</v>
      </c>
      <c r="S121" s="159">
        <f t="shared" si="16"/>
        <v>2.75834</v>
      </c>
      <c r="T121" s="159">
        <f t="shared" si="16"/>
        <v>2.75834</v>
      </c>
    </row>
    <row r="122" spans="2:20" x14ac:dyDescent="0.25">
      <c r="B122" s="21" t="s">
        <v>1977</v>
      </c>
      <c r="C122" s="28" t="s">
        <v>493</v>
      </c>
      <c r="G122" s="157"/>
      <c r="H122" s="158">
        <f t="shared" ref="H122:T122" si="17">H120+H121</f>
        <v>0</v>
      </c>
      <c r="I122" s="158">
        <f t="shared" si="17"/>
        <v>0</v>
      </c>
      <c r="J122" s="158">
        <f t="shared" si="17"/>
        <v>48.1</v>
      </c>
      <c r="K122" s="158">
        <f t="shared" si="17"/>
        <v>48.1</v>
      </c>
      <c r="L122" s="158">
        <f t="shared" si="17"/>
        <v>48.1</v>
      </c>
      <c r="M122" s="158">
        <f t="shared" si="17"/>
        <v>51.4176</v>
      </c>
      <c r="N122" s="158">
        <f t="shared" si="17"/>
        <v>51.4176</v>
      </c>
      <c r="O122" s="158">
        <f t="shared" si="17"/>
        <v>51.4176</v>
      </c>
      <c r="P122" s="158">
        <f t="shared" si="17"/>
        <v>51.4176</v>
      </c>
      <c r="Q122" s="158">
        <f t="shared" si="17"/>
        <v>54.968199519999999</v>
      </c>
      <c r="R122" s="158">
        <f t="shared" si="17"/>
        <v>54.968199519999999</v>
      </c>
      <c r="S122" s="158">
        <f t="shared" si="17"/>
        <v>54.968199519999999</v>
      </c>
      <c r="T122" s="158">
        <f t="shared" si="17"/>
        <v>54.968199519999999</v>
      </c>
    </row>
    <row r="123" spans="2:20" x14ac:dyDescent="0.25">
      <c r="B123" s="154" t="s">
        <v>1978</v>
      </c>
    </row>
    <row r="124" spans="2:20" x14ac:dyDescent="0.25">
      <c r="B124" s="23" t="s">
        <v>1979</v>
      </c>
      <c r="C124" s="28" t="s">
        <v>292</v>
      </c>
      <c r="H124" s="105">
        <f>IF(H7-$F$15&lt;2024,0,INDEX(Inputs!$H$259:$T$259,1,H7-$F$15-2023))</f>
        <v>0</v>
      </c>
      <c r="I124" s="105">
        <f>IF(I7-$F$15&lt;2024,0,INDEX(Inputs!$H$259:$T$259,1,I7-$F$15-2023))</f>
        <v>0</v>
      </c>
      <c r="J124" s="105">
        <f>IF(J7-$F$15&lt;2024,0,INDEX(Inputs!$H$259:$T$259,1,J7-$F$15-2023))</f>
        <v>0</v>
      </c>
      <c r="K124" s="105">
        <f>IF(K7-$F$15&lt;2024,0,INDEX(Inputs!$H$259:$T$259,1,K7-$F$15-2023))</f>
        <v>0.1</v>
      </c>
      <c r="L124" s="105">
        <f>IF(L7-$F$15&lt;2024,0,INDEX(Inputs!$H$259:$T$259,1,L7-$F$15-2023))</f>
        <v>0.1</v>
      </c>
      <c r="M124" s="105">
        <f>IF(M7-$F$15&lt;2024,0,INDEX(Inputs!$H$259:$T$259,1,M7-$F$15-2023))</f>
        <v>0.1</v>
      </c>
      <c r="N124" s="105">
        <f>IF(N7-$F$15&lt;2024,0,INDEX(Inputs!$H$259:$T$259,1,N7-$F$15-2023))</f>
        <v>0.1</v>
      </c>
      <c r="O124" s="105">
        <f>IF(O7-$F$15&lt;2024,0,INDEX(Inputs!$H$259:$T$259,1,O7-$F$15-2023))</f>
        <v>0.1</v>
      </c>
      <c r="P124" s="105">
        <f>IF(P7-$F$15&lt;2024,0,INDEX(Inputs!$H$259:$T$259,1,P7-$F$15-2023))</f>
        <v>0.06</v>
      </c>
      <c r="Q124" s="105">
        <f>IF(Q7-$F$15&lt;2024,0,INDEX(Inputs!$H$259:$T$259,1,Q7-$F$15-2023))</f>
        <v>0.06</v>
      </c>
      <c r="R124" s="105">
        <f>IF(R7-$F$15&lt;2024,0,INDEX(Inputs!$H$259:$T$259,1,R7-$F$15-2023))</f>
        <v>0.06</v>
      </c>
      <c r="S124" s="105">
        <f>IF(S7-$F$15&lt;2024,0,INDEX(Inputs!$H$259:$T$259,1,S7-$F$15-2023))</f>
        <v>0.06</v>
      </c>
      <c r="T124" s="105">
        <f>IF(T7-$F$15&lt;2024,0,INDEX(Inputs!$H$259:$T$259,1,T7-$F$15-2023))</f>
        <v>0.06</v>
      </c>
    </row>
    <row r="125" spans="2:20" x14ac:dyDescent="0.25">
      <c r="B125" s="23" t="s">
        <v>1957</v>
      </c>
      <c r="C125" s="28" t="s">
        <v>1896</v>
      </c>
      <c r="G125" s="69">
        <v>0</v>
      </c>
      <c r="H125" s="69">
        <f t="shared" ref="H125:T125" si="18">IF(H15=0,0,IF((H15*(1-G15))=1,1,G125*(1+H124)))</f>
        <v>0</v>
      </c>
      <c r="I125" s="69">
        <f t="shared" si="18"/>
        <v>0</v>
      </c>
      <c r="J125" s="69">
        <f t="shared" si="18"/>
        <v>0</v>
      </c>
      <c r="K125" s="69">
        <f t="shared" si="18"/>
        <v>0</v>
      </c>
      <c r="L125" s="69">
        <f t="shared" si="18"/>
        <v>1</v>
      </c>
      <c r="M125" s="69">
        <f t="shared" si="18"/>
        <v>1.1000000000000001</v>
      </c>
      <c r="N125" s="69">
        <f t="shared" si="18"/>
        <v>1.2100000000000002</v>
      </c>
      <c r="O125" s="69">
        <f t="shared" si="18"/>
        <v>1.3310000000000004</v>
      </c>
      <c r="P125" s="69">
        <f t="shared" si="18"/>
        <v>1.4108600000000004</v>
      </c>
      <c r="Q125" s="69">
        <f t="shared" si="18"/>
        <v>1.4955116000000006</v>
      </c>
      <c r="R125" s="69">
        <f t="shared" si="18"/>
        <v>1.5852422960000008</v>
      </c>
      <c r="S125" s="69">
        <f t="shared" si="18"/>
        <v>1.680356833760001</v>
      </c>
      <c r="T125" s="69">
        <f t="shared" si="18"/>
        <v>1.7811782437856012</v>
      </c>
    </row>
    <row r="126" spans="2:20" x14ac:dyDescent="0.25">
      <c r="B126" s="21" t="s">
        <v>1954</v>
      </c>
      <c r="C126" s="28" t="s">
        <v>630</v>
      </c>
      <c r="H126" s="156">
        <f>Inputs!$E$257*H125*Inputs!$E$52</f>
        <v>0</v>
      </c>
      <c r="I126" s="156">
        <f>Inputs!$E$257*I125*Inputs!$E$52</f>
        <v>0</v>
      </c>
      <c r="J126" s="156">
        <f>Inputs!$E$257*J125*Inputs!$E$52</f>
        <v>0</v>
      </c>
      <c r="K126" s="156">
        <f>Inputs!$E$257*K125*Inputs!$E$52</f>
        <v>0</v>
      </c>
      <c r="L126" s="156">
        <f>Inputs!$E$257*L125*Inputs!$E$52</f>
        <v>1600000</v>
      </c>
      <c r="M126" s="156">
        <f>Inputs!$E$257*M125*Inputs!$E$52</f>
        <v>1760000.0000000002</v>
      </c>
      <c r="N126" s="156">
        <f>Inputs!$E$257*N125*Inputs!$E$52</f>
        <v>1936000.0000000002</v>
      </c>
      <c r="O126" s="156">
        <f>Inputs!$E$257*O125*Inputs!$E$52</f>
        <v>2129600.0000000005</v>
      </c>
      <c r="P126" s="156">
        <f>Inputs!$E$257*P125*Inputs!$E$52</f>
        <v>2257376.0000000009</v>
      </c>
      <c r="Q126" s="156">
        <f>Inputs!$E$257*Q125*Inputs!$E$52</f>
        <v>2392818.560000001</v>
      </c>
      <c r="R126" s="156">
        <f>Inputs!$E$257*R125*Inputs!$E$52</f>
        <v>2536387.6736000013</v>
      </c>
      <c r="S126" s="156">
        <f>Inputs!$E$257*S125*Inputs!$E$52</f>
        <v>2688570.9340160014</v>
      </c>
      <c r="T126" s="156">
        <f>Inputs!$E$257*T125*Inputs!$E$52</f>
        <v>2849885.190056962</v>
      </c>
    </row>
    <row r="127" spans="2:20" x14ac:dyDescent="0.25">
      <c r="B127" s="23" t="s">
        <v>1980</v>
      </c>
      <c r="C127" s="28" t="s">
        <v>647</v>
      </c>
      <c r="H127" s="108">
        <f>IF(H7-$F$15&lt;2024,0,INDEX(Inputs!$H$260:$T$260,1,H7-$F$15-2023))*Inputs!$E$53</f>
        <v>0</v>
      </c>
      <c r="I127" s="108">
        <f>IF(I7-$F$15&lt;2024,0,INDEX(Inputs!$H$260:$T$260,1,I7-$F$15-2023))*Inputs!$E$53</f>
        <v>0</v>
      </c>
      <c r="J127" s="108">
        <f>IF(J7-$F$15&lt;2024,0,INDEX(Inputs!$H$260:$T$260,1,J7-$F$15-2023))*Inputs!$E$53</f>
        <v>0</v>
      </c>
      <c r="K127" s="108">
        <f>IF(K7-$F$15&lt;2024,0,INDEX(Inputs!$H$260:$T$260,1,K7-$F$15-2023))*Inputs!$E$53</f>
        <v>0</v>
      </c>
      <c r="L127" s="108">
        <f>IF(L7-$F$15&lt;2024,0,INDEX(Inputs!$H$260:$T$260,1,L7-$F$15-2023))*Inputs!$E$53</f>
        <v>36411.149742396497</v>
      </c>
      <c r="M127" s="108">
        <f>IF(M7-$F$15&lt;2024,0,INDEX(Inputs!$H$260:$T$260,1,M7-$F$15-2023))*Inputs!$E$53</f>
        <v>43693.379690875903</v>
      </c>
      <c r="N127" s="108">
        <f>IF(N7-$F$15&lt;2024,0,INDEX(Inputs!$H$260:$T$260,1,N7-$F$15-2023))*Inputs!$E$53</f>
        <v>43693.379690875903</v>
      </c>
      <c r="O127" s="108">
        <f>IF(O7-$F$15&lt;2024,0,INDEX(Inputs!$H$260:$T$260,1,O7-$F$15-2023))*Inputs!$E$53</f>
        <v>48062.717659963397</v>
      </c>
      <c r="P127" s="108">
        <f>IF(P7-$F$15&lt;2024,0,INDEX(Inputs!$H$260:$T$260,1,P7-$F$15-2023))*Inputs!$E$53</f>
        <v>48062.717659963397</v>
      </c>
      <c r="Q127" s="108">
        <f>IF(Q7-$F$15&lt;2024,0,INDEX(Inputs!$H$260:$T$260,1,Q7-$F$15-2023))*Inputs!$E$53</f>
        <v>50946.480719561201</v>
      </c>
      <c r="R127" s="108">
        <f>IF(R7-$F$15&lt;2024,0,INDEX(Inputs!$H$260:$T$260,1,R7-$F$15-2023))*Inputs!$E$53</f>
        <v>50946.480719561201</v>
      </c>
      <c r="S127" s="108">
        <f>IF(S7-$F$15&lt;2024,0,INDEX(Inputs!$H$260:$T$260,1,S7-$F$15-2023))*Inputs!$E$53</f>
        <v>54003.269562734902</v>
      </c>
      <c r="T127" s="108">
        <f>IF(T7-$F$15&lt;2024,0,INDEX(Inputs!$H$260:$T$260,1,T7-$F$15-2023))*Inputs!$E$53</f>
        <v>54003.269562734902</v>
      </c>
    </row>
    <row r="128" spans="2:20" x14ac:dyDescent="0.25">
      <c r="B128" s="23" t="s">
        <v>1981</v>
      </c>
      <c r="C128" s="28" t="s">
        <v>647</v>
      </c>
      <c r="H128" s="108">
        <f>IF(Inputs!$E$258=0,0,H127/Inputs!$E$258)</f>
        <v>0</v>
      </c>
      <c r="I128" s="108">
        <f>IF(Inputs!$E$258=0,0,I127/Inputs!$E$258)</f>
        <v>0</v>
      </c>
      <c r="J128" s="108">
        <f>IF(Inputs!$E$258=0,0,J127/Inputs!$E$258)</f>
        <v>0</v>
      </c>
      <c r="K128" s="108">
        <f>IF(Inputs!$E$258=0,0,K127/Inputs!$E$258)</f>
        <v>0</v>
      </c>
      <c r="L128" s="108">
        <f>IF(Inputs!$E$258=0,0,L127/Inputs!$E$258)</f>
        <v>69999.999999999956</v>
      </c>
      <c r="M128" s="108">
        <f>IF(Inputs!$E$258=0,0,M127/Inputs!$E$258)</f>
        <v>84000.000000000146</v>
      </c>
      <c r="N128" s="108">
        <f>IF(Inputs!$E$258=0,0,N127/Inputs!$E$258)</f>
        <v>84000.000000000146</v>
      </c>
      <c r="O128" s="108">
        <f>IF(Inputs!$E$258=0,0,O127/Inputs!$E$258)</f>
        <v>92399.999999999985</v>
      </c>
      <c r="P128" s="108">
        <f>IF(Inputs!$E$258=0,0,P127/Inputs!$E$258)</f>
        <v>92399.999999999985</v>
      </c>
      <c r="Q128" s="108">
        <f>IF(Inputs!$E$258=0,0,Q127/Inputs!$E$258)</f>
        <v>97943.999999999985</v>
      </c>
      <c r="R128" s="108">
        <f>IF(Inputs!$E$258=0,0,R127/Inputs!$E$258)</f>
        <v>97943.999999999985</v>
      </c>
      <c r="S128" s="108">
        <f>IF(Inputs!$E$258=0,0,S127/Inputs!$E$258)</f>
        <v>103820.64000000003</v>
      </c>
      <c r="T128" s="108">
        <f>IF(Inputs!$E$258=0,0,T127/Inputs!$E$258)</f>
        <v>103820.64000000003</v>
      </c>
    </row>
    <row r="129" spans="2:20" x14ac:dyDescent="0.25">
      <c r="B129" s="21" t="s">
        <v>1982</v>
      </c>
      <c r="C129" s="28" t="s">
        <v>493</v>
      </c>
      <c r="G129" s="157"/>
      <c r="H129" s="158">
        <f t="shared" ref="H129:T129" si="19">H126*H127/1000000000</f>
        <v>0</v>
      </c>
      <c r="I129" s="158">
        <f t="shared" si="19"/>
        <v>0</v>
      </c>
      <c r="J129" s="158">
        <f t="shared" si="19"/>
        <v>0</v>
      </c>
      <c r="K129" s="158">
        <f t="shared" si="19"/>
        <v>0</v>
      </c>
      <c r="L129" s="158">
        <f t="shared" si="19"/>
        <v>58.257839587834397</v>
      </c>
      <c r="M129" s="158">
        <f t="shared" si="19"/>
        <v>76.900348255941608</v>
      </c>
      <c r="N129" s="158">
        <f t="shared" si="19"/>
        <v>84.590383081535748</v>
      </c>
      <c r="O129" s="158">
        <f t="shared" si="19"/>
        <v>102.35436352865807</v>
      </c>
      <c r="P129" s="158">
        <f t="shared" si="19"/>
        <v>108.49562534037757</v>
      </c>
      <c r="Q129" s="158">
        <f t="shared" si="19"/>
        <v>121.90568463244824</v>
      </c>
      <c r="R129" s="158">
        <f t="shared" si="19"/>
        <v>129.22002571039516</v>
      </c>
      <c r="S129" s="158">
        <f t="shared" si="19"/>
        <v>145.19162088820008</v>
      </c>
      <c r="T129" s="158">
        <f t="shared" si="19"/>
        <v>153.90311814149209</v>
      </c>
    </row>
    <row r="130" spans="2:20" x14ac:dyDescent="0.25">
      <c r="B130" s="154" t="s">
        <v>1983</v>
      </c>
    </row>
    <row r="131" spans="2:20" ht="26.25" customHeight="1" x14ac:dyDescent="0.25">
      <c r="B131" s="64" t="s">
        <v>1984</v>
      </c>
      <c r="C131" s="28" t="s">
        <v>630</v>
      </c>
      <c r="H131" s="108">
        <f>Inputs!H269+Inputs!$E$747*'Source Data'!H961</f>
        <v>0</v>
      </c>
      <c r="I131" s="108">
        <f>Inputs!I269+Inputs!$E$747*'Source Data'!I961</f>
        <v>0</v>
      </c>
      <c r="J131" s="108">
        <f>Inputs!J269+Inputs!$E$747*'Source Data'!J961</f>
        <v>0</v>
      </c>
      <c r="K131" s="108">
        <f>Inputs!K269+Inputs!$E$747*'Source Data'!K961</f>
        <v>200000</v>
      </c>
      <c r="L131" s="108">
        <f>Inputs!L269+Inputs!$E$747*'Source Data'!L961</f>
        <v>250000</v>
      </c>
      <c r="M131" s="108">
        <f>Inputs!M269+Inputs!$E$747*'Source Data'!M961</f>
        <v>300000</v>
      </c>
      <c r="N131" s="108">
        <f>Inputs!N269+Inputs!$E$747*'Source Data'!N961</f>
        <v>350000</v>
      </c>
      <c r="O131" s="108">
        <f>Inputs!O269+Inputs!$E$747*'Source Data'!O961</f>
        <v>400000</v>
      </c>
      <c r="P131" s="108">
        <f>Inputs!P269+Inputs!$E$747*'Source Data'!P961</f>
        <v>450000</v>
      </c>
      <c r="Q131" s="108">
        <f>Inputs!Q269+Inputs!$E$747*'Source Data'!Q961</f>
        <v>500000</v>
      </c>
      <c r="R131" s="108">
        <f>Inputs!R269+Inputs!$E$747*'Source Data'!R961</f>
        <v>550000</v>
      </c>
      <c r="S131" s="108">
        <f>Inputs!S269+Inputs!$E$747*'Source Data'!S961</f>
        <v>0</v>
      </c>
      <c r="T131" s="108">
        <f>Inputs!T269+Inputs!$E$747*'Source Data'!T961</f>
        <v>0</v>
      </c>
    </row>
    <row r="132" spans="2:20" ht="26.25" customHeight="1" x14ac:dyDescent="0.25">
      <c r="B132" s="133" t="s">
        <v>1985</v>
      </c>
      <c r="C132" s="28" t="s">
        <v>630</v>
      </c>
      <c r="H132" s="156">
        <f>IF(H7-$F$16&lt;2024,0,INDEX($H$131:$T$131,1,H7-$F$16-2023))*H16*Inputs!$E$52</f>
        <v>0</v>
      </c>
      <c r="I132" s="156">
        <f>IF(I7-$F$16&lt;2024,0,INDEX($H$131:$T$131,1,I7-$F$16-2023))*I16*Inputs!$E$52</f>
        <v>0</v>
      </c>
      <c r="J132" s="156">
        <f>IF(J7-$F$16&lt;2024,0,INDEX($H$131:$T$131,1,J7-$F$16-2023))*J16*Inputs!$E$52</f>
        <v>0</v>
      </c>
      <c r="K132" s="156">
        <f>IF(K7-$F$16&lt;2024,0,INDEX($H$131:$T$131,1,K7-$F$16-2023))*K16*Inputs!$E$52</f>
        <v>200000</v>
      </c>
      <c r="L132" s="156">
        <f>IF(L7-$F$16&lt;2024,0,INDEX($H$131:$T$131,1,L7-$F$16-2023))*L16*Inputs!$E$52</f>
        <v>250000</v>
      </c>
      <c r="M132" s="156">
        <f>IF(M7-$F$16&lt;2024,0,INDEX($H$131:$T$131,1,M7-$F$16-2023))*M16*Inputs!$E$52</f>
        <v>300000</v>
      </c>
      <c r="N132" s="156">
        <f>IF(N7-$F$16&lt;2024,0,INDEX($H$131:$T$131,1,N7-$F$16-2023))*N16*Inputs!$E$52</f>
        <v>350000</v>
      </c>
      <c r="O132" s="156">
        <f>IF(O7-$F$16&lt;2024,0,INDEX($H$131:$T$131,1,O7-$F$16-2023))*O16*Inputs!$E$52</f>
        <v>400000</v>
      </c>
      <c r="P132" s="156">
        <f>IF(P7-$F$16&lt;2024,0,INDEX($H$131:$T$131,1,P7-$F$16-2023))*P16*Inputs!$E$52</f>
        <v>450000</v>
      </c>
      <c r="Q132" s="156">
        <f>IF(Q7-$F$16&lt;2024,0,INDEX($H$131:$T$131,1,Q7-$F$16-2023))*Q16*Inputs!$E$52</f>
        <v>500000</v>
      </c>
      <c r="R132" s="156">
        <f>IF(R7-$F$16&lt;2024,0,INDEX($H$131:$T$131,1,R7-$F$16-2023))*R16*Inputs!$E$52</f>
        <v>550000</v>
      </c>
      <c r="S132" s="156">
        <f>IF(S7-$F$16&lt;2024,0,INDEX($H$131:$T$131,1,S7-$F$16-2023))*S16*Inputs!$E$52</f>
        <v>0</v>
      </c>
      <c r="T132" s="156">
        <f>IF(T7-$F$16&lt;2024,0,INDEX($H$131:$T$131,1,T7-$F$16-2023))*T16*Inputs!$E$52</f>
        <v>0</v>
      </c>
    </row>
    <row r="133" spans="2:20" x14ac:dyDescent="0.25">
      <c r="B133" s="21" t="s">
        <v>1986</v>
      </c>
      <c r="C133" s="28" t="s">
        <v>493</v>
      </c>
      <c r="G133" s="157"/>
      <c r="H133" s="158">
        <f t="shared" ref="H133:T133" si="20">H132*H52/1000000000</f>
        <v>0</v>
      </c>
      <c r="I133" s="158">
        <f t="shared" si="20"/>
        <v>0</v>
      </c>
      <c r="J133" s="158">
        <f t="shared" si="20"/>
        <v>0</v>
      </c>
      <c r="K133" s="158">
        <f t="shared" si="20"/>
        <v>8.7895000000000003</v>
      </c>
      <c r="L133" s="158">
        <f t="shared" si="20"/>
        <v>11.316481250000001</v>
      </c>
      <c r="M133" s="158">
        <f t="shared" si="20"/>
        <v>13.987170825</v>
      </c>
      <c r="N133" s="158">
        <f t="shared" si="20"/>
        <v>16.807916941375002</v>
      </c>
      <c r="O133" s="158">
        <f t="shared" si="20"/>
        <v>19.785319370989999</v>
      </c>
      <c r="P133" s="158">
        <f t="shared" si="20"/>
        <v>22.926238821134685</v>
      </c>
      <c r="Q133" s="158">
        <f t="shared" si="20"/>
        <v>26.237806650854104</v>
      </c>
      <c r="R133" s="158">
        <f t="shared" si="20"/>
        <v>29.727434935417726</v>
      </c>
      <c r="S133" s="158">
        <f t="shared" si="20"/>
        <v>0</v>
      </c>
      <c r="T133" s="158">
        <f t="shared" si="20"/>
        <v>0</v>
      </c>
    </row>
    <row r="134" spans="2:20" x14ac:dyDescent="0.25">
      <c r="B134" s="154" t="s">
        <v>1987</v>
      </c>
    </row>
    <row r="135" spans="2:20" x14ac:dyDescent="0.25">
      <c r="B135" s="23" t="s">
        <v>1988</v>
      </c>
      <c r="C135" s="28" t="s">
        <v>630</v>
      </c>
      <c r="H135" s="108">
        <f>MAX(0,H38-Inputs!H294*Inputs!$E$52)*H17</f>
        <v>0</v>
      </c>
      <c r="I135" s="108">
        <f>MAX(0,I38-Inputs!I294*Inputs!$E$52)*I17</f>
        <v>0</v>
      </c>
      <c r="J135" s="108">
        <f>MAX(0,J38-Inputs!J294*Inputs!$E$52)*J17</f>
        <v>0</v>
      </c>
      <c r="K135" s="108">
        <f>MAX(0,K38-Inputs!K294*Inputs!$E$52)*K17</f>
        <v>3706183.3471676521</v>
      </c>
      <c r="L135" s="108">
        <f>MAX(0,L38-Inputs!L294*Inputs!$E$52)*L17</f>
        <v>3826368.847582682</v>
      </c>
      <c r="M135" s="108">
        <f>MAX(0,M38-Inputs!M294*Inputs!$E$52)*M17</f>
        <v>3950159.9130101623</v>
      </c>
      <c r="N135" s="108">
        <f>MAX(0,N38-Inputs!N294*Inputs!$E$52)*N17</f>
        <v>4077664.7104004677</v>
      </c>
      <c r="O135" s="108">
        <f>MAX(0,O38-Inputs!O294*Inputs!$E$52)*O17</f>
        <v>4208994.6517124819</v>
      </c>
      <c r="P135" s="108">
        <f>MAX(0,P38-Inputs!P294*Inputs!$E$52)*P17</f>
        <v>4344264.4912638562</v>
      </c>
      <c r="Q135" s="108">
        <f>MAX(0,Q38-Inputs!Q294*Inputs!$E$52)*Q17</f>
        <v>4483592.4260017723</v>
      </c>
      <c r="R135" s="108">
        <f>MAX(0,R38-Inputs!R294*Inputs!$E$52)*R17</f>
        <v>4627100.1987818247</v>
      </c>
      <c r="S135" s="108">
        <f>MAX(0,S38-Inputs!S294*Inputs!$E$52)*S17</f>
        <v>4774913.2047452796</v>
      </c>
      <c r="T135" s="108">
        <f>MAX(0,T38-Inputs!T294*Inputs!$E$52)*T17</f>
        <v>4927160.6008876376</v>
      </c>
    </row>
    <row r="136" spans="2:20" ht="26.25" customHeight="1" x14ac:dyDescent="0.25">
      <c r="B136" s="64" t="s">
        <v>1989</v>
      </c>
      <c r="C136" s="28" t="s">
        <v>493</v>
      </c>
      <c r="H136" s="159">
        <f>H135*Inputs!$E$278*Inputs!H290*Inputs!$E$53/1000000000</f>
        <v>0</v>
      </c>
      <c r="I136" s="159">
        <f>I135*Inputs!$E$278*Inputs!I290*Inputs!$E$53/1000000000</f>
        <v>0</v>
      </c>
      <c r="J136" s="159">
        <f>J135*Inputs!$E$278*Inputs!J290*Inputs!$E$53/1000000000</f>
        <v>0</v>
      </c>
      <c r="K136" s="159">
        <f>K135*Inputs!$E$278*Inputs!K290*Inputs!$E$53/1000000000</f>
        <v>1.482473338867061</v>
      </c>
      <c r="L136" s="159">
        <f>L135*Inputs!$E$278*Inputs!L290*Inputs!$E$53/1000000000</f>
        <v>1.5305475390330727</v>
      </c>
      <c r="M136" s="159">
        <f>M135*Inputs!$E$278*Inputs!M290*Inputs!$E$53/1000000000</f>
        <v>1.5800639652040651</v>
      </c>
      <c r="N136" s="159">
        <f>N135*Inputs!$E$278*Inputs!N290*Inputs!$E$53/1000000000</f>
        <v>1.6310658841601873</v>
      </c>
      <c r="O136" s="159">
        <f>O135*Inputs!$E$278*Inputs!O290*Inputs!$E$53/1000000000</f>
        <v>1.6835978606849931</v>
      </c>
      <c r="P136" s="159">
        <f>P135*Inputs!$E$278*Inputs!P290*Inputs!$E$53/1000000000</f>
        <v>1.7377057965055425</v>
      </c>
      <c r="Q136" s="159">
        <f>Q135*Inputs!$E$278*Inputs!Q290*Inputs!$E$53/1000000000</f>
        <v>1.7934369704007089</v>
      </c>
      <c r="R136" s="159">
        <f>R135*Inputs!$E$278*Inputs!R290*Inputs!$E$53/1000000000</f>
        <v>1.8508400795127302</v>
      </c>
      <c r="S136" s="159">
        <f>S135*Inputs!$E$278*Inputs!S290*Inputs!$E$53/1000000000</f>
        <v>1.9099652818981119</v>
      </c>
      <c r="T136" s="159">
        <f>T135*Inputs!$E$278*Inputs!T290*Inputs!$E$53/1000000000</f>
        <v>1.9708642403550551</v>
      </c>
    </row>
    <row r="137" spans="2:20" x14ac:dyDescent="0.25">
      <c r="B137" s="21" t="s">
        <v>1990</v>
      </c>
      <c r="C137" s="28" t="s">
        <v>493</v>
      </c>
      <c r="H137" s="160">
        <f>H136*Inputs!$E$279</f>
        <v>0</v>
      </c>
      <c r="I137" s="160">
        <f>I136*Inputs!$E$279</f>
        <v>0</v>
      </c>
      <c r="J137" s="160">
        <f>J136*Inputs!$E$279</f>
        <v>0</v>
      </c>
      <c r="K137" s="160">
        <f>K136*Inputs!$E$279</f>
        <v>0.7412366694335305</v>
      </c>
      <c r="L137" s="160">
        <f>L136*Inputs!$E$279</f>
        <v>0.76527376951653636</v>
      </c>
      <c r="M137" s="160">
        <f>M136*Inputs!$E$279</f>
        <v>0.79003198260203256</v>
      </c>
      <c r="N137" s="160">
        <f>N136*Inputs!$E$279</f>
        <v>0.81553294208009364</v>
      </c>
      <c r="O137" s="160">
        <f>O136*Inputs!$E$279</f>
        <v>0.84179893034249653</v>
      </c>
      <c r="P137" s="160">
        <f>P136*Inputs!$E$279</f>
        <v>0.86885289825277123</v>
      </c>
      <c r="Q137" s="160">
        <f>Q136*Inputs!$E$279</f>
        <v>0.89671848520035446</v>
      </c>
      <c r="R137" s="160">
        <f>R136*Inputs!$E$279</f>
        <v>0.92542003975636511</v>
      </c>
      <c r="S137" s="160">
        <f>S136*Inputs!$E$279</f>
        <v>0.95498264094905594</v>
      </c>
      <c r="T137" s="160">
        <f>T136*Inputs!$E$279</f>
        <v>0.98543212017752757</v>
      </c>
    </row>
    <row r="138" spans="2:20" x14ac:dyDescent="0.25">
      <c r="B138" s="23" t="s">
        <v>1991</v>
      </c>
      <c r="C138" s="28" t="s">
        <v>630</v>
      </c>
      <c r="H138" s="108">
        <f>Inputs!$E$283*H44*H18*Inputs!$E$52</f>
        <v>0</v>
      </c>
      <c r="I138" s="108">
        <f>Inputs!$E$283*I44*I18*Inputs!$E$52</f>
        <v>0</v>
      </c>
      <c r="J138" s="108">
        <f>Inputs!$E$283*J44*J18*Inputs!$E$52</f>
        <v>0</v>
      </c>
      <c r="K138" s="108">
        <f>Inputs!$E$283*K44*K18*Inputs!$E$52</f>
        <v>1857635.9</v>
      </c>
      <c r="L138" s="108">
        <f>Inputs!$E$283*L44*L18*Inputs!$E$52</f>
        <v>1913364.9770000002</v>
      </c>
      <c r="M138" s="108">
        <f>Inputs!$E$283*M44*M18*Inputs!$E$52</f>
        <v>1970765.92631</v>
      </c>
      <c r="N138" s="108">
        <f>Inputs!$E$283*N44*N18*Inputs!$E$52</f>
        <v>2029888.9040993003</v>
      </c>
      <c r="O138" s="108">
        <f>Inputs!$E$283*O44*O18*Inputs!$E$52</f>
        <v>2090785.5712222795</v>
      </c>
      <c r="P138" s="108">
        <f>Inputs!$E$283*P44*P18*Inputs!$E$52</f>
        <v>2153509.1383589478</v>
      </c>
      <c r="Q138" s="108">
        <f>Inputs!$E$283*Q44*Q18*Inputs!$E$52</f>
        <v>2218114.4125097161</v>
      </c>
      <c r="R138" s="108">
        <f>Inputs!$E$283*R44*R18*Inputs!$E$52</f>
        <v>2284657.8448850079</v>
      </c>
      <c r="S138" s="108">
        <f>Inputs!$E$283*S44*S18*Inputs!$E$52</f>
        <v>2353197.5802315581</v>
      </c>
      <c r="T138" s="108">
        <f>Inputs!$E$283*T44*T18*Inputs!$E$52</f>
        <v>2423793.5076385047</v>
      </c>
    </row>
    <row r="139" spans="2:20" ht="26.25" customHeight="1" x14ac:dyDescent="0.25">
      <c r="B139" s="64" t="s">
        <v>1992</v>
      </c>
      <c r="C139" s="28" t="s">
        <v>493</v>
      </c>
      <c r="H139" s="159">
        <f>H138*Inputs!$E$278*Inputs!H291*Inputs!$E$53/1000000000</f>
        <v>0</v>
      </c>
      <c r="I139" s="159">
        <f>I138*Inputs!$E$278*Inputs!I291*Inputs!$E$53/1000000000</f>
        <v>0</v>
      </c>
      <c r="J139" s="159">
        <f>J138*Inputs!$E$278*Inputs!J291*Inputs!$E$53/1000000000</f>
        <v>0</v>
      </c>
      <c r="K139" s="159">
        <f>K138*Inputs!$E$278*Inputs!K291*Inputs!$E$53/1000000000</f>
        <v>3.120828312</v>
      </c>
      <c r="L139" s="159">
        <f>L138*Inputs!$E$278*Inputs!L291*Inputs!$E$53/1000000000</f>
        <v>3.2144531613600007</v>
      </c>
      <c r="M139" s="159">
        <f>M138*Inputs!$E$278*Inputs!M291*Inputs!$E$53/1000000000</f>
        <v>3.3108867562008006</v>
      </c>
      <c r="N139" s="159">
        <f>N138*Inputs!$E$278*Inputs!N291*Inputs!$E$53/1000000000</f>
        <v>3.4102133588868244</v>
      </c>
      <c r="O139" s="159">
        <f>O138*Inputs!$E$278*Inputs!O291*Inputs!$E$53/1000000000</f>
        <v>3.5125197596534297</v>
      </c>
      <c r="P139" s="159">
        <f>P138*Inputs!$E$278*Inputs!P291*Inputs!$E$53/1000000000</f>
        <v>3.6178953524430324</v>
      </c>
      <c r="Q139" s="159">
        <f>Q138*Inputs!$E$278*Inputs!Q291*Inputs!$E$53/1000000000</f>
        <v>3.7264322130163232</v>
      </c>
      <c r="R139" s="159">
        <f>R138*Inputs!$E$278*Inputs!R291*Inputs!$E$53/1000000000</f>
        <v>3.838225179406813</v>
      </c>
      <c r="S139" s="159">
        <f>S138*Inputs!$E$278*Inputs!S291*Inputs!$E$53/1000000000</f>
        <v>3.9533719347890175</v>
      </c>
      <c r="T139" s="159">
        <f>T138*Inputs!$E$278*Inputs!T291*Inputs!$E$53/1000000000</f>
        <v>4.071973092832688</v>
      </c>
    </row>
    <row r="140" spans="2:20" x14ac:dyDescent="0.25">
      <c r="B140" s="21" t="s">
        <v>1993</v>
      </c>
      <c r="C140" s="28" t="s">
        <v>493</v>
      </c>
      <c r="H140" s="160">
        <f>H139*Inputs!$E$280</f>
        <v>0</v>
      </c>
      <c r="I140" s="160">
        <f>I139*Inputs!$E$280</f>
        <v>0</v>
      </c>
      <c r="J140" s="160">
        <f>J139*Inputs!$E$280</f>
        <v>0</v>
      </c>
      <c r="K140" s="160">
        <f>K139*Inputs!$E$280</f>
        <v>1.560414156</v>
      </c>
      <c r="L140" s="160">
        <f>L139*Inputs!$E$280</f>
        <v>1.6072265806800003</v>
      </c>
      <c r="M140" s="160">
        <f>M139*Inputs!$E$280</f>
        <v>1.6554433781004003</v>
      </c>
      <c r="N140" s="160">
        <f>N139*Inputs!$E$280</f>
        <v>1.7051066794434122</v>
      </c>
      <c r="O140" s="160">
        <f>O139*Inputs!$E$280</f>
        <v>1.7562598798267148</v>
      </c>
      <c r="P140" s="160">
        <f>P139*Inputs!$E$280</f>
        <v>1.8089476762215162</v>
      </c>
      <c r="Q140" s="160">
        <f>Q139*Inputs!$E$280</f>
        <v>1.8632161065081616</v>
      </c>
      <c r="R140" s="160">
        <f>R139*Inputs!$E$280</f>
        <v>1.9191125897034065</v>
      </c>
      <c r="S140" s="160">
        <f>S139*Inputs!$E$280</f>
        <v>1.9766859673945087</v>
      </c>
      <c r="T140" s="160">
        <f>T139*Inputs!$E$280</f>
        <v>2.035986546416344</v>
      </c>
    </row>
    <row r="141" spans="2:20" x14ac:dyDescent="0.25">
      <c r="B141" s="23" t="s">
        <v>1994</v>
      </c>
      <c r="C141" s="28" t="s">
        <v>630</v>
      </c>
      <c r="H141" s="108">
        <f t="shared" ref="H141:T141" si="21">H126*H19</f>
        <v>0</v>
      </c>
      <c r="I141" s="108">
        <f t="shared" si="21"/>
        <v>0</v>
      </c>
      <c r="J141" s="108">
        <f t="shared" si="21"/>
        <v>0</v>
      </c>
      <c r="K141" s="108">
        <f t="shared" si="21"/>
        <v>0</v>
      </c>
      <c r="L141" s="108">
        <f t="shared" si="21"/>
        <v>1600000</v>
      </c>
      <c r="M141" s="108">
        <f t="shared" si="21"/>
        <v>1760000.0000000002</v>
      </c>
      <c r="N141" s="108">
        <f t="shared" si="21"/>
        <v>1936000.0000000002</v>
      </c>
      <c r="O141" s="108">
        <f t="shared" si="21"/>
        <v>2129600.0000000005</v>
      </c>
      <c r="P141" s="108">
        <f t="shared" si="21"/>
        <v>2257376.0000000009</v>
      </c>
      <c r="Q141" s="108">
        <f t="shared" si="21"/>
        <v>2392818.560000001</v>
      </c>
      <c r="R141" s="108">
        <f t="shared" si="21"/>
        <v>2536387.6736000013</v>
      </c>
      <c r="S141" s="108">
        <f t="shared" si="21"/>
        <v>2688570.9340160014</v>
      </c>
      <c r="T141" s="108">
        <f t="shared" si="21"/>
        <v>2849885.190056962</v>
      </c>
    </row>
    <row r="142" spans="2:20" ht="26.25" customHeight="1" x14ac:dyDescent="0.25">
      <c r="B142" s="64" t="s">
        <v>1995</v>
      </c>
      <c r="C142" s="28" t="s">
        <v>493</v>
      </c>
      <c r="H142" s="159">
        <f>H141*Inputs!$E$278*Inputs!H292*Inputs!$E$53/1000000000</f>
        <v>0</v>
      </c>
      <c r="I142" s="159">
        <f>I141*Inputs!$E$278*Inputs!I292*Inputs!$E$53/1000000000</f>
        <v>0</v>
      </c>
      <c r="J142" s="159">
        <f>J141*Inputs!$E$278*Inputs!J292*Inputs!$E$53/1000000000</f>
        <v>0</v>
      </c>
      <c r="K142" s="159">
        <f>K141*Inputs!$E$278*Inputs!K292*Inputs!$E$53/1000000000</f>
        <v>0</v>
      </c>
      <c r="L142" s="159">
        <f>L141*Inputs!$E$278*Inputs!L292*Inputs!$E$53/1000000000</f>
        <v>0.92800000000000005</v>
      </c>
      <c r="M142" s="159">
        <f>M141*Inputs!$E$278*Inputs!M292*Inputs!$E$53/1000000000</f>
        <v>1.0208000000000002</v>
      </c>
      <c r="N142" s="159">
        <f>N141*Inputs!$E$278*Inputs!N292*Inputs!$E$53/1000000000</f>
        <v>1.1228800000000003</v>
      </c>
      <c r="O142" s="159">
        <f>O141*Inputs!$E$278*Inputs!O292*Inputs!$E$53/1000000000</f>
        <v>1.2351680000000003</v>
      </c>
      <c r="P142" s="159">
        <f>P141*Inputs!$E$278*Inputs!P292*Inputs!$E$53/1000000000</f>
        <v>1.3092780800000006</v>
      </c>
      <c r="Q142" s="159">
        <f>Q141*Inputs!$E$278*Inputs!Q292*Inputs!$E$53/1000000000</f>
        <v>1.3878347648000007</v>
      </c>
      <c r="R142" s="159">
        <f>R141*Inputs!$E$278*Inputs!R292*Inputs!$E$53/1000000000</f>
        <v>1.4711048506880007</v>
      </c>
      <c r="S142" s="159">
        <f>S141*Inputs!$E$278*Inputs!S292*Inputs!$E$53/1000000000</f>
        <v>1.5593711417292808</v>
      </c>
      <c r="T142" s="159">
        <f>T141*Inputs!$E$278*Inputs!T292*Inputs!$E$53/1000000000</f>
        <v>1.652933410233038</v>
      </c>
    </row>
    <row r="143" spans="2:20" x14ac:dyDescent="0.25">
      <c r="B143" s="21" t="s">
        <v>1996</v>
      </c>
      <c r="C143" s="28" t="s">
        <v>493</v>
      </c>
      <c r="H143" s="160">
        <f>H142*Inputs!$E$281</f>
        <v>0</v>
      </c>
      <c r="I143" s="160">
        <f>I142*Inputs!$E$281</f>
        <v>0</v>
      </c>
      <c r="J143" s="160">
        <f>J142*Inputs!$E$281</f>
        <v>0</v>
      </c>
      <c r="K143" s="160">
        <f>K142*Inputs!$E$281</f>
        <v>0</v>
      </c>
      <c r="L143" s="160">
        <f>L142*Inputs!$E$281</f>
        <v>0.46400000000000002</v>
      </c>
      <c r="M143" s="160">
        <f>M142*Inputs!$E$281</f>
        <v>0.51040000000000008</v>
      </c>
      <c r="N143" s="160">
        <f>N142*Inputs!$E$281</f>
        <v>0.56144000000000016</v>
      </c>
      <c r="O143" s="160">
        <f>O142*Inputs!$E$281</f>
        <v>0.61758400000000013</v>
      </c>
      <c r="P143" s="160">
        <f>P142*Inputs!$E$281</f>
        <v>0.65463904000000028</v>
      </c>
      <c r="Q143" s="160">
        <f>Q142*Inputs!$E$281</f>
        <v>0.69391738240000034</v>
      </c>
      <c r="R143" s="160">
        <f>R142*Inputs!$E$281</f>
        <v>0.73555242534400034</v>
      </c>
      <c r="S143" s="160">
        <f>S142*Inputs!$E$281</f>
        <v>0.77968557086464041</v>
      </c>
      <c r="T143" s="160">
        <f>T142*Inputs!$E$281</f>
        <v>0.82646670511651898</v>
      </c>
    </row>
    <row r="144" spans="2:20" x14ac:dyDescent="0.25">
      <c r="B144" s="23" t="s">
        <v>1997</v>
      </c>
      <c r="C144" s="28" t="s">
        <v>630</v>
      </c>
      <c r="H144" s="108">
        <f t="shared" ref="H144:T144" si="22">H51*H20</f>
        <v>0</v>
      </c>
      <c r="I144" s="108">
        <f t="shared" si="22"/>
        <v>0</v>
      </c>
      <c r="J144" s="108">
        <f t="shared" si="22"/>
        <v>0</v>
      </c>
      <c r="K144" s="108">
        <f t="shared" si="22"/>
        <v>819545.25</v>
      </c>
      <c r="L144" s="108">
        <f t="shared" si="22"/>
        <v>844131.60750000016</v>
      </c>
      <c r="M144" s="108">
        <f t="shared" si="22"/>
        <v>869455.5557250001</v>
      </c>
      <c r="N144" s="108">
        <f t="shared" si="22"/>
        <v>895539.22239675012</v>
      </c>
      <c r="O144" s="108">
        <f t="shared" si="22"/>
        <v>922405.39906865265</v>
      </c>
      <c r="P144" s="108">
        <f t="shared" si="22"/>
        <v>950077.56104071229</v>
      </c>
      <c r="Q144" s="108">
        <f t="shared" si="22"/>
        <v>978579.88787193364</v>
      </c>
      <c r="R144" s="108">
        <f t="shared" si="22"/>
        <v>1007937.2845080916</v>
      </c>
      <c r="S144" s="108">
        <f t="shared" si="22"/>
        <v>1038175.4030433345</v>
      </c>
      <c r="T144" s="108">
        <f t="shared" si="22"/>
        <v>1069320.6651346346</v>
      </c>
    </row>
    <row r="145" spans="2:20" ht="26.25" customHeight="1" x14ac:dyDescent="0.25">
      <c r="B145" s="64" t="s">
        <v>1998</v>
      </c>
      <c r="C145" s="28" t="s">
        <v>493</v>
      </c>
      <c r="H145" s="159">
        <f>H144*Inputs!$E$278*Inputs!H293*Inputs!$E$53/1000000000</f>
        <v>0</v>
      </c>
      <c r="I145" s="159">
        <f>I144*Inputs!$E$278*Inputs!I293*Inputs!$E$53/1000000000</f>
        <v>0</v>
      </c>
      <c r="J145" s="159">
        <f>J144*Inputs!$E$278*Inputs!J293*Inputs!$E$53/1000000000</f>
        <v>0</v>
      </c>
      <c r="K145" s="159">
        <f>K144*Inputs!$E$278*Inputs!K293*Inputs!$E$53/1000000000</f>
        <v>0.90149977499999989</v>
      </c>
      <c r="L145" s="159">
        <f>L144*Inputs!$E$278*Inputs!L293*Inputs!$E$53/1000000000</f>
        <v>0.92854476825000021</v>
      </c>
      <c r="M145" s="159">
        <f>M144*Inputs!$E$278*Inputs!M293*Inputs!$E$53/1000000000</f>
        <v>0.95640111129750016</v>
      </c>
      <c r="N145" s="159">
        <f>N144*Inputs!$E$278*Inputs!N293*Inputs!$E$53/1000000000</f>
        <v>0.98509314463642517</v>
      </c>
      <c r="O145" s="159">
        <f>O144*Inputs!$E$278*Inputs!O293*Inputs!$E$53/1000000000</f>
        <v>1.014645938975518</v>
      </c>
      <c r="P145" s="159">
        <f>P144*Inputs!$E$278*Inputs!P293*Inputs!$E$53/1000000000</f>
        <v>1.0450853171447836</v>
      </c>
      <c r="Q145" s="159">
        <f>Q144*Inputs!$E$278*Inputs!Q293*Inputs!$E$53/1000000000</f>
        <v>1.0764378766591269</v>
      </c>
      <c r="R145" s="159">
        <f>R144*Inputs!$E$278*Inputs!R293*Inputs!$E$53/1000000000</f>
        <v>1.1087310129589008</v>
      </c>
      <c r="S145" s="159">
        <f>S144*Inputs!$E$278*Inputs!S293*Inputs!$E$53/1000000000</f>
        <v>1.1419929433476679</v>
      </c>
      <c r="T145" s="159">
        <f>T144*Inputs!$E$278*Inputs!T293*Inputs!$E$53/1000000000</f>
        <v>1.1762527316480982</v>
      </c>
    </row>
    <row r="146" spans="2:20" x14ac:dyDescent="0.25">
      <c r="B146" s="21" t="s">
        <v>1999</v>
      </c>
      <c r="C146" s="28" t="s">
        <v>493</v>
      </c>
      <c r="H146" s="160">
        <f>H145*Inputs!$E$282</f>
        <v>0</v>
      </c>
      <c r="I146" s="160">
        <f>I145*Inputs!$E$282</f>
        <v>0</v>
      </c>
      <c r="J146" s="160">
        <f>J145*Inputs!$E$282</f>
        <v>0</v>
      </c>
      <c r="K146" s="160">
        <f>K145*Inputs!$E$282</f>
        <v>0.45074988749999995</v>
      </c>
      <c r="L146" s="160">
        <f>L145*Inputs!$E$282</f>
        <v>0.4642723841250001</v>
      </c>
      <c r="M146" s="160">
        <f>M145*Inputs!$E$282</f>
        <v>0.47820055564875008</v>
      </c>
      <c r="N146" s="160">
        <f>N145*Inputs!$E$282</f>
        <v>0.49254657231821258</v>
      </c>
      <c r="O146" s="160">
        <f>O145*Inputs!$E$282</f>
        <v>0.50732296948775901</v>
      </c>
      <c r="P146" s="160">
        <f>P145*Inputs!$E$282</f>
        <v>0.52254265857239179</v>
      </c>
      <c r="Q146" s="160">
        <f>Q145*Inputs!$E$282</f>
        <v>0.53821893832956347</v>
      </c>
      <c r="R146" s="160">
        <f>R145*Inputs!$E$282</f>
        <v>0.55436550647945038</v>
      </c>
      <c r="S146" s="160">
        <f>S145*Inputs!$E$282</f>
        <v>0.57099647167383394</v>
      </c>
      <c r="T146" s="160">
        <f>T145*Inputs!$E$282</f>
        <v>0.58812636582404909</v>
      </c>
    </row>
    <row r="147" spans="2:20" x14ac:dyDescent="0.25">
      <c r="B147" s="154" t="s">
        <v>2000</v>
      </c>
    </row>
    <row r="148" spans="2:20" x14ac:dyDescent="0.25">
      <c r="B148" s="23" t="s">
        <v>2001</v>
      </c>
      <c r="C148" s="28" t="s">
        <v>1896</v>
      </c>
      <c r="G148" s="69">
        <v>0</v>
      </c>
      <c r="H148" s="69">
        <f>IF(H24=0,0,IF((H24*(1-G24))=1,1,G148*(1+Inputs!H304)))</f>
        <v>0</v>
      </c>
      <c r="I148" s="69">
        <f>IF(I24=0,0,IF((I24*(1-H24))=1,1,H148*(1+Inputs!I304)))</f>
        <v>0</v>
      </c>
      <c r="J148" s="69">
        <f>IF(J24=0,0,IF((J24*(1-I24))=1,1,I148*(1+Inputs!J304)))</f>
        <v>0</v>
      </c>
      <c r="K148" s="69">
        <f>IF(K24=0,0,IF((K24*(1-J24))=1,1,J148*(1+Inputs!K304)))</f>
        <v>0</v>
      </c>
      <c r="L148" s="69">
        <f>IF(L24=0,0,IF((L24*(1-K24))=1,1,K148*(1+Inputs!L304)))</f>
        <v>0</v>
      </c>
      <c r="M148" s="69">
        <f>IF(M24=0,0,IF((M24*(1-L24))=1,1,L148*(1+Inputs!M304)))</f>
        <v>0</v>
      </c>
      <c r="N148" s="69">
        <f>IF(N24=0,0,IF((N24*(1-M24))=1,1,M148*(1+Inputs!N304)))</f>
        <v>0</v>
      </c>
      <c r="O148" s="69">
        <f>IF(O24=0,0,IF((O24*(1-N24))=1,1,N148*(1+Inputs!O304)))</f>
        <v>0</v>
      </c>
      <c r="P148" s="69">
        <f>IF(P24=0,0,IF((P24*(1-O24))=1,1,O148*(1+Inputs!P304)))</f>
        <v>0</v>
      </c>
      <c r="Q148" s="69">
        <f>IF(Q24=0,0,IF((Q24*(1-P24))=1,1,P148*(1+Inputs!Q304)))</f>
        <v>0</v>
      </c>
      <c r="R148" s="69">
        <f>IF(R24=0,0,IF((R24*(1-Q24))=1,1,Q148*(1+Inputs!R304)))</f>
        <v>0</v>
      </c>
      <c r="S148" s="69">
        <f>IF(S24=0,0,IF((S24*(1-R24))=1,1,R148*(1+Inputs!S304)))</f>
        <v>0</v>
      </c>
      <c r="T148" s="69">
        <f>IF(T24=0,0,IF((T24*(1-S24))=1,1,S148*(1+Inputs!T304)))</f>
        <v>0</v>
      </c>
    </row>
    <row r="149" spans="2:20" x14ac:dyDescent="0.25">
      <c r="B149" s="23" t="s">
        <v>2002</v>
      </c>
      <c r="C149" s="28" t="s">
        <v>1020</v>
      </c>
      <c r="H149" s="108">
        <f>IF(H7-$F$24&lt;2024,0,INDEX(Inputs!$H$300:$T$300,1,H7-$F$24-2023))*H24</f>
        <v>0</v>
      </c>
      <c r="I149" s="108">
        <f>IF(I7-$F$24&lt;2024,0,INDEX(Inputs!$H$300:$T$300,1,I7-$F$24-2023))*I24</f>
        <v>0</v>
      </c>
      <c r="J149" s="108">
        <f>IF(J7-$F$24&lt;2024,0,INDEX(Inputs!$H$300:$T$300,1,J7-$F$24-2023))*J24</f>
        <v>0</v>
      </c>
      <c r="K149" s="108">
        <f>IF(K7-$F$24&lt;2024,0,INDEX(Inputs!$H$300:$T$300,1,K7-$F$24-2023))*K24</f>
        <v>0</v>
      </c>
      <c r="L149" s="108">
        <f>IF(L7-$F$24&lt;2024,0,INDEX(Inputs!$H$300:$T$300,1,L7-$F$24-2023))*L24</f>
        <v>0</v>
      </c>
      <c r="M149" s="108">
        <f>IF(M7-$F$24&lt;2024,0,INDEX(Inputs!$H$300:$T$300,1,M7-$F$24-2023))*M24</f>
        <v>0</v>
      </c>
      <c r="N149" s="108">
        <f>IF(N7-$F$24&lt;2024,0,INDEX(Inputs!$H$300:$T$300,1,N7-$F$24-2023))*N24</f>
        <v>0</v>
      </c>
      <c r="O149" s="108">
        <f>IF(O7-$F$24&lt;2024,0,INDEX(Inputs!$H$300:$T$300,1,O7-$F$24-2023))*O24</f>
        <v>0</v>
      </c>
      <c r="P149" s="108">
        <f>IF(P7-$F$24&lt;2024,0,INDEX(Inputs!$H$300:$T$300,1,P7-$F$24-2023))*P24</f>
        <v>0</v>
      </c>
      <c r="Q149" s="108">
        <f>IF(Q7-$F$24&lt;2024,0,INDEX(Inputs!$H$300:$T$300,1,Q7-$F$24-2023))*Q24</f>
        <v>0</v>
      </c>
      <c r="R149" s="108">
        <f>IF(R7-$F$24&lt;2024,0,INDEX(Inputs!$H$300:$T$300,1,R7-$F$24-2023))*R24</f>
        <v>0</v>
      </c>
      <c r="S149" s="108">
        <f>IF(S7-$F$24&lt;2024,0,INDEX(Inputs!$H$300:$T$300,1,S7-$F$24-2023))*S24</f>
        <v>0</v>
      </c>
      <c r="T149" s="108">
        <f>IF(T7-$F$24&lt;2024,0,INDEX(Inputs!$H$300:$T$300,1,T7-$F$24-2023))*T24</f>
        <v>0</v>
      </c>
    </row>
    <row r="150" spans="2:20" x14ac:dyDescent="0.25">
      <c r="B150" s="23" t="s">
        <v>2003</v>
      </c>
      <c r="C150" s="28" t="s">
        <v>1968</v>
      </c>
      <c r="H150" s="108">
        <f>IF(H7-$F$24&lt;2024,0,INDEX(Inputs!$H$301:$T$301,1,H7-$F$24-2023))*H24*Inputs!$E$52</f>
        <v>0</v>
      </c>
      <c r="I150" s="108">
        <f>IF(I7-$F$24&lt;2024,0,INDEX(Inputs!$H$301:$T$301,1,I7-$F$24-2023))*I24*Inputs!$E$52</f>
        <v>0</v>
      </c>
      <c r="J150" s="108">
        <f>IF(J7-$F$24&lt;2024,0,INDEX(Inputs!$H$301:$T$301,1,J7-$F$24-2023))*J24*Inputs!$E$52</f>
        <v>0</v>
      </c>
      <c r="K150" s="108">
        <f>IF(K7-$F$24&lt;2024,0,INDEX(Inputs!$H$301:$T$301,1,K7-$F$24-2023))*K24*Inputs!$E$52</f>
        <v>0</v>
      </c>
      <c r="L150" s="108">
        <f>IF(L7-$F$24&lt;2024,0,INDEX(Inputs!$H$301:$T$301,1,L7-$F$24-2023))*L24*Inputs!$E$52</f>
        <v>0</v>
      </c>
      <c r="M150" s="108">
        <f>IF(M7-$F$24&lt;2024,0,INDEX(Inputs!$H$301:$T$301,1,M7-$F$24-2023))*M24*Inputs!$E$52</f>
        <v>0</v>
      </c>
      <c r="N150" s="108">
        <f>IF(N7-$F$24&lt;2024,0,INDEX(Inputs!$H$301:$T$301,1,N7-$F$24-2023))*N24*Inputs!$E$52</f>
        <v>0</v>
      </c>
      <c r="O150" s="108">
        <f>IF(O7-$F$24&lt;2024,0,INDEX(Inputs!$H$301:$T$301,1,O7-$F$24-2023))*O24*Inputs!$E$52</f>
        <v>0</v>
      </c>
      <c r="P150" s="108">
        <f>IF(P7-$F$24&lt;2024,0,INDEX(Inputs!$H$301:$T$301,1,P7-$F$24-2023))*P24*Inputs!$E$52</f>
        <v>0</v>
      </c>
      <c r="Q150" s="108">
        <f>IF(Q7-$F$24&lt;2024,0,INDEX(Inputs!$H$301:$T$301,1,Q7-$F$24-2023))*Q24*Inputs!$E$52</f>
        <v>0</v>
      </c>
      <c r="R150" s="108">
        <f>IF(R7-$F$24&lt;2024,0,INDEX(Inputs!$H$301:$T$301,1,R7-$F$24-2023))*R24*Inputs!$E$52</f>
        <v>0</v>
      </c>
      <c r="S150" s="108">
        <f>IF(S7-$F$24&lt;2024,0,INDEX(Inputs!$H$301:$T$301,1,S7-$F$24-2023))*S24*Inputs!$E$52</f>
        <v>0</v>
      </c>
      <c r="T150" s="108">
        <f>IF(T7-$F$24&lt;2024,0,INDEX(Inputs!$H$301:$T$301,1,T7-$F$24-2023))*T24*Inputs!$E$52</f>
        <v>0</v>
      </c>
    </row>
    <row r="151" spans="2:20" x14ac:dyDescent="0.25">
      <c r="B151" s="23" t="s">
        <v>2004</v>
      </c>
      <c r="C151" s="28" t="s">
        <v>1968</v>
      </c>
      <c r="H151" s="108">
        <f>IF(H7-$F$24&lt;2024,0,INDEX(Inputs!$H$302:$T$302,1,H7-$F$24-2023))*H24*Inputs!$E$52</f>
        <v>0</v>
      </c>
      <c r="I151" s="108">
        <f>IF(I7-$F$24&lt;2024,0,INDEX(Inputs!$H$302:$T$302,1,I7-$F$24-2023))*I24*Inputs!$E$52</f>
        <v>0</v>
      </c>
      <c r="J151" s="108">
        <f>IF(J7-$F$24&lt;2024,0,INDEX(Inputs!$H$302:$T$302,1,J7-$F$24-2023))*J24*Inputs!$E$52</f>
        <v>0</v>
      </c>
      <c r="K151" s="108">
        <f>IF(K7-$F$24&lt;2024,0,INDEX(Inputs!$H$302:$T$302,1,K7-$F$24-2023))*K24*Inputs!$E$52</f>
        <v>0</v>
      </c>
      <c r="L151" s="108">
        <f>IF(L7-$F$24&lt;2024,0,INDEX(Inputs!$H$302:$T$302,1,L7-$F$24-2023))*L24*Inputs!$E$52</f>
        <v>0</v>
      </c>
      <c r="M151" s="108">
        <f>IF(M7-$F$24&lt;2024,0,INDEX(Inputs!$H$302:$T$302,1,M7-$F$24-2023))*M24*Inputs!$E$52</f>
        <v>0</v>
      </c>
      <c r="N151" s="108">
        <f>IF(N7-$F$24&lt;2024,0,INDEX(Inputs!$H$302:$T$302,1,N7-$F$24-2023))*N24*Inputs!$E$52</f>
        <v>0</v>
      </c>
      <c r="O151" s="108">
        <f>IF(O7-$F$24&lt;2024,0,INDEX(Inputs!$H$302:$T$302,1,O7-$F$24-2023))*O24*Inputs!$E$52</f>
        <v>0</v>
      </c>
      <c r="P151" s="108">
        <f>IF(P7-$F$24&lt;2024,0,INDEX(Inputs!$H$302:$T$302,1,P7-$F$24-2023))*P24*Inputs!$E$52</f>
        <v>0</v>
      </c>
      <c r="Q151" s="108">
        <f>IF(Q7-$F$24&lt;2024,0,INDEX(Inputs!$H$302:$T$302,1,Q7-$F$24-2023))*Q24*Inputs!$E$52</f>
        <v>0</v>
      </c>
      <c r="R151" s="108">
        <f>IF(R7-$F$24&lt;2024,0,INDEX(Inputs!$H$302:$T$302,1,R7-$F$24-2023))*R24*Inputs!$E$52</f>
        <v>0</v>
      </c>
      <c r="S151" s="108">
        <f>IF(S7-$F$24&lt;2024,0,INDEX(Inputs!$H$302:$T$302,1,S7-$F$24-2023))*S24*Inputs!$E$52</f>
        <v>0</v>
      </c>
      <c r="T151" s="108">
        <f>IF(T7-$F$24&lt;2024,0,INDEX(Inputs!$H$302:$T$302,1,T7-$F$24-2023))*T24*Inputs!$E$52</f>
        <v>0</v>
      </c>
    </row>
    <row r="152" spans="2:20" x14ac:dyDescent="0.25">
      <c r="B152" s="23" t="s">
        <v>2005</v>
      </c>
      <c r="C152" s="28" t="s">
        <v>630</v>
      </c>
      <c r="H152" s="108">
        <f t="shared" ref="H152:T152" si="23">H150*12</f>
        <v>0</v>
      </c>
      <c r="I152" s="108">
        <f t="shared" si="23"/>
        <v>0</v>
      </c>
      <c r="J152" s="108">
        <f t="shared" si="23"/>
        <v>0</v>
      </c>
      <c r="K152" s="108">
        <f t="shared" si="23"/>
        <v>0</v>
      </c>
      <c r="L152" s="108">
        <f t="shared" si="23"/>
        <v>0</v>
      </c>
      <c r="M152" s="108">
        <f t="shared" si="23"/>
        <v>0</v>
      </c>
      <c r="N152" s="108">
        <f t="shared" si="23"/>
        <v>0</v>
      </c>
      <c r="O152" s="108">
        <f t="shared" si="23"/>
        <v>0</v>
      </c>
      <c r="P152" s="108">
        <f t="shared" si="23"/>
        <v>0</v>
      </c>
      <c r="Q152" s="108">
        <f t="shared" si="23"/>
        <v>0</v>
      </c>
      <c r="R152" s="108">
        <f t="shared" si="23"/>
        <v>0</v>
      </c>
      <c r="S152" s="108">
        <f t="shared" si="23"/>
        <v>0</v>
      </c>
      <c r="T152" s="108">
        <f t="shared" si="23"/>
        <v>0</v>
      </c>
    </row>
    <row r="153" spans="2:20" x14ac:dyDescent="0.25">
      <c r="B153" s="23" t="s">
        <v>2006</v>
      </c>
      <c r="C153" s="28" t="s">
        <v>493</v>
      </c>
      <c r="H153" s="159">
        <f>N(Inputs!$E$297)*H149*H148*12*Inputs!$E$53/1000000000</f>
        <v>0</v>
      </c>
      <c r="I153" s="159">
        <f>N(Inputs!$E$297)*I149*I148*12*Inputs!$E$53/1000000000</f>
        <v>0</v>
      </c>
      <c r="J153" s="159">
        <f>N(Inputs!$E$297)*J149*J148*12*Inputs!$E$53/1000000000</f>
        <v>0</v>
      </c>
      <c r="K153" s="159">
        <f>N(Inputs!$E$297)*K149*K148*12*Inputs!$E$53/1000000000</f>
        <v>0</v>
      </c>
      <c r="L153" s="159">
        <f>N(Inputs!$E$297)*L149*L148*12*Inputs!$E$53/1000000000</f>
        <v>0</v>
      </c>
      <c r="M153" s="159">
        <f>N(Inputs!$E$297)*M149*M148*12*Inputs!$E$53/1000000000</f>
        <v>0</v>
      </c>
      <c r="N153" s="159">
        <f>N(Inputs!$E$297)*N149*N148*12*Inputs!$E$53/1000000000</f>
        <v>0</v>
      </c>
      <c r="O153" s="159">
        <f>N(Inputs!$E$297)*O149*O148*12*Inputs!$E$53/1000000000</f>
        <v>0</v>
      </c>
      <c r="P153" s="159">
        <f>N(Inputs!$E$297)*P149*P148*12*Inputs!$E$53/1000000000</f>
        <v>0</v>
      </c>
      <c r="Q153" s="159">
        <f>N(Inputs!$E$297)*Q149*Q148*12*Inputs!$E$53/1000000000</f>
        <v>0</v>
      </c>
      <c r="R153" s="159">
        <f>N(Inputs!$E$297)*R149*R148*12*Inputs!$E$53/1000000000</f>
        <v>0</v>
      </c>
      <c r="S153" s="159">
        <f>N(Inputs!$E$297)*S149*S148*12*Inputs!$E$53/1000000000</f>
        <v>0</v>
      </c>
      <c r="T153" s="159">
        <f>N(Inputs!$E$297)*T149*T148*12*Inputs!$E$53/1000000000</f>
        <v>0</v>
      </c>
    </row>
    <row r="154" spans="2:20" x14ac:dyDescent="0.25">
      <c r="B154" s="23" t="s">
        <v>2007</v>
      </c>
      <c r="C154" s="28" t="s">
        <v>493</v>
      </c>
      <c r="H154" s="159">
        <f>H150*Inputs!$E$298*H148*12*Inputs!$E$53/1000000000</f>
        <v>0</v>
      </c>
      <c r="I154" s="159">
        <f>I150*Inputs!$E$298*I148*12*Inputs!$E$53/1000000000</f>
        <v>0</v>
      </c>
      <c r="J154" s="159">
        <f>J150*Inputs!$E$298*J148*12*Inputs!$E$53/1000000000</f>
        <v>0</v>
      </c>
      <c r="K154" s="159">
        <f>K150*Inputs!$E$298*K148*12*Inputs!$E$53/1000000000</f>
        <v>0</v>
      </c>
      <c r="L154" s="159">
        <f>L150*Inputs!$E$298*L148*12*Inputs!$E$53/1000000000</f>
        <v>0</v>
      </c>
      <c r="M154" s="159">
        <f>M150*Inputs!$E$298*M148*12*Inputs!$E$53/1000000000</f>
        <v>0</v>
      </c>
      <c r="N154" s="159">
        <f>N150*Inputs!$E$298*N148*12*Inputs!$E$53/1000000000</f>
        <v>0</v>
      </c>
      <c r="O154" s="159">
        <f>O150*Inputs!$E$298*O148*12*Inputs!$E$53/1000000000</f>
        <v>0</v>
      </c>
      <c r="P154" s="159">
        <f>P150*Inputs!$E$298*P148*12*Inputs!$E$53/1000000000</f>
        <v>0</v>
      </c>
      <c r="Q154" s="159">
        <f>Q150*Inputs!$E$298*Q148*12*Inputs!$E$53/1000000000</f>
        <v>0</v>
      </c>
      <c r="R154" s="159">
        <f>R150*Inputs!$E$298*R148*12*Inputs!$E$53/1000000000</f>
        <v>0</v>
      </c>
      <c r="S154" s="159">
        <f>S150*Inputs!$E$298*S148*12*Inputs!$E$53/1000000000</f>
        <v>0</v>
      </c>
      <c r="T154" s="159">
        <f>T150*Inputs!$E$298*T148*12*Inputs!$E$53/1000000000</f>
        <v>0</v>
      </c>
    </row>
    <row r="155" spans="2:20" x14ac:dyDescent="0.25">
      <c r="B155" s="23" t="s">
        <v>2008</v>
      </c>
      <c r="C155" s="28" t="s">
        <v>493</v>
      </c>
      <c r="H155" s="159">
        <f>H151*Inputs!$E$299*H148*12*Inputs!$E$53/1000000000</f>
        <v>0</v>
      </c>
      <c r="I155" s="159">
        <f>I151*Inputs!$E$299*I148*12*Inputs!$E$53/1000000000</f>
        <v>0</v>
      </c>
      <c r="J155" s="159">
        <f>J151*Inputs!$E$299*J148*12*Inputs!$E$53/1000000000</f>
        <v>0</v>
      </c>
      <c r="K155" s="159">
        <f>K151*Inputs!$E$299*K148*12*Inputs!$E$53/1000000000</f>
        <v>0</v>
      </c>
      <c r="L155" s="159">
        <f>L151*Inputs!$E$299*L148*12*Inputs!$E$53/1000000000</f>
        <v>0</v>
      </c>
      <c r="M155" s="159">
        <f>M151*Inputs!$E$299*M148*12*Inputs!$E$53/1000000000</f>
        <v>0</v>
      </c>
      <c r="N155" s="159">
        <f>N151*Inputs!$E$299*N148*12*Inputs!$E$53/1000000000</f>
        <v>0</v>
      </c>
      <c r="O155" s="159">
        <f>O151*Inputs!$E$299*O148*12*Inputs!$E$53/1000000000</f>
        <v>0</v>
      </c>
      <c r="P155" s="159">
        <f>P151*Inputs!$E$299*P148*12*Inputs!$E$53/1000000000</f>
        <v>0</v>
      </c>
      <c r="Q155" s="159">
        <f>Q151*Inputs!$E$299*Q148*12*Inputs!$E$53/1000000000</f>
        <v>0</v>
      </c>
      <c r="R155" s="159">
        <f>R151*Inputs!$E$299*R148*12*Inputs!$E$53/1000000000</f>
        <v>0</v>
      </c>
      <c r="S155" s="159">
        <f>S151*Inputs!$E$299*S148*12*Inputs!$E$53/1000000000</f>
        <v>0</v>
      </c>
      <c r="T155" s="159">
        <f>T151*Inputs!$E$299*T148*12*Inputs!$E$53/1000000000</f>
        <v>0</v>
      </c>
    </row>
    <row r="156" spans="2:20" x14ac:dyDescent="0.25">
      <c r="B156" s="23" t="s">
        <v>2009</v>
      </c>
      <c r="C156" s="28" t="s">
        <v>493</v>
      </c>
      <c r="H156" s="159">
        <f>H152*IF(H7-$F$24&lt;2024,0,INDEX(Inputs!$H$303:$T$303,1,H7-$F$24-2023))*H148*Inputs!$E$53/1000000000</f>
        <v>0</v>
      </c>
      <c r="I156" s="159">
        <f>I152*IF(I7-$F$24&lt;2024,0,INDEX(Inputs!$H$303:$T$303,1,I7-$F$24-2023))*I148*Inputs!$E$53/1000000000</f>
        <v>0</v>
      </c>
      <c r="J156" s="159">
        <f>J152*IF(J7-$F$24&lt;2024,0,INDEX(Inputs!$H$303:$T$303,1,J7-$F$24-2023))*J148*Inputs!$E$53/1000000000</f>
        <v>0</v>
      </c>
      <c r="K156" s="159">
        <f>K152*IF(K7-$F$24&lt;2024,0,INDEX(Inputs!$H$303:$T$303,1,K7-$F$24-2023))*K148*Inputs!$E$53/1000000000</f>
        <v>0</v>
      </c>
      <c r="L156" s="159">
        <f>L152*IF(L7-$F$24&lt;2024,0,INDEX(Inputs!$H$303:$T$303,1,L7-$F$24-2023))*L148*Inputs!$E$53/1000000000</f>
        <v>0</v>
      </c>
      <c r="M156" s="159">
        <f>M152*IF(M7-$F$24&lt;2024,0,INDEX(Inputs!$H$303:$T$303,1,M7-$F$24-2023))*M148*Inputs!$E$53/1000000000</f>
        <v>0</v>
      </c>
      <c r="N156" s="159">
        <f>N152*IF(N7-$F$24&lt;2024,0,INDEX(Inputs!$H$303:$T$303,1,N7-$F$24-2023))*N148*Inputs!$E$53/1000000000</f>
        <v>0</v>
      </c>
      <c r="O156" s="159">
        <f>O152*IF(O7-$F$24&lt;2024,0,INDEX(Inputs!$H$303:$T$303,1,O7-$F$24-2023))*O148*Inputs!$E$53/1000000000</f>
        <v>0</v>
      </c>
      <c r="P156" s="159">
        <f>P152*IF(P7-$F$24&lt;2024,0,INDEX(Inputs!$H$303:$T$303,1,P7-$F$24-2023))*P148*Inputs!$E$53/1000000000</f>
        <v>0</v>
      </c>
      <c r="Q156" s="159">
        <f>Q152*IF(Q7-$F$24&lt;2024,0,INDEX(Inputs!$H$303:$T$303,1,Q7-$F$24-2023))*Q148*Inputs!$E$53/1000000000</f>
        <v>0</v>
      </c>
      <c r="R156" s="159">
        <f>R152*IF(R7-$F$24&lt;2024,0,INDEX(Inputs!$H$303:$T$303,1,R7-$F$24-2023))*R148*Inputs!$E$53/1000000000</f>
        <v>0</v>
      </c>
      <c r="S156" s="159">
        <f>S152*IF(S7-$F$24&lt;2024,0,INDEX(Inputs!$H$303:$T$303,1,S7-$F$24-2023))*S148*Inputs!$E$53/1000000000</f>
        <v>0</v>
      </c>
      <c r="T156" s="159">
        <f>T152*IF(T7-$F$24&lt;2024,0,INDEX(Inputs!$H$303:$T$303,1,T7-$F$24-2023))*T148*Inputs!$E$53/1000000000</f>
        <v>0</v>
      </c>
    </row>
    <row r="157" spans="2:20" x14ac:dyDescent="0.25">
      <c r="B157" s="21" t="s">
        <v>2010</v>
      </c>
      <c r="C157" s="28" t="s">
        <v>493</v>
      </c>
      <c r="G157" s="157"/>
      <c r="H157" s="158">
        <f t="shared" ref="H157:T157" si="24">H153+H154+H155+H156</f>
        <v>0</v>
      </c>
      <c r="I157" s="158">
        <f t="shared" si="24"/>
        <v>0</v>
      </c>
      <c r="J157" s="158">
        <f t="shared" si="24"/>
        <v>0</v>
      </c>
      <c r="K157" s="158">
        <f t="shared" si="24"/>
        <v>0</v>
      </c>
      <c r="L157" s="158">
        <f t="shared" si="24"/>
        <v>0</v>
      </c>
      <c r="M157" s="158">
        <f t="shared" si="24"/>
        <v>0</v>
      </c>
      <c r="N157" s="158">
        <f t="shared" si="24"/>
        <v>0</v>
      </c>
      <c r="O157" s="158">
        <f t="shared" si="24"/>
        <v>0</v>
      </c>
      <c r="P157" s="158">
        <f t="shared" si="24"/>
        <v>0</v>
      </c>
      <c r="Q157" s="158">
        <f t="shared" si="24"/>
        <v>0</v>
      </c>
      <c r="R157" s="158">
        <f t="shared" si="24"/>
        <v>0</v>
      </c>
      <c r="S157" s="158">
        <f t="shared" si="24"/>
        <v>0</v>
      </c>
      <c r="T157" s="158">
        <f t="shared" si="24"/>
        <v>0</v>
      </c>
    </row>
    <row r="159" spans="2:20" x14ac:dyDescent="0.25">
      <c r="B159" s="58" t="s">
        <v>2011</v>
      </c>
      <c r="C159" s="19"/>
      <c r="D159" s="19"/>
      <c r="E159" s="19"/>
      <c r="F159" s="19"/>
      <c r="G159" s="19"/>
      <c r="H159" s="19"/>
      <c r="I159" s="19"/>
      <c r="J159" s="19"/>
      <c r="K159" s="19"/>
      <c r="L159" s="19"/>
      <c r="M159" s="19"/>
      <c r="N159" s="19"/>
      <c r="O159" s="19"/>
      <c r="P159" s="19"/>
      <c r="Q159" s="19"/>
      <c r="R159" s="19"/>
      <c r="S159" s="19"/>
      <c r="T159" s="19"/>
    </row>
    <row r="160" spans="2:20" x14ac:dyDescent="0.25">
      <c r="B160" s="154" t="str">
        <f>"P16  "&amp;Inputs!$E$605&amp;"  (placeholder)"</f>
        <v>P16  Lampung  (placeholder)</v>
      </c>
      <c r="E160" s="130" t="str">
        <f>Inputs!$I$79</f>
        <v>Placeholder - inputs not yet populated (OFF)</v>
      </c>
    </row>
    <row r="161" spans="2:20" ht="26.25" customHeight="1" x14ac:dyDescent="0.25">
      <c r="B161" s="133" t="s">
        <v>2012</v>
      </c>
      <c r="C161" s="28" t="s">
        <v>630</v>
      </c>
      <c r="H161" s="156">
        <f>N(Inputs!$E$608)*N(Inputs!H615)*H25*Inputs!$E$52</f>
        <v>0</v>
      </c>
      <c r="I161" s="156">
        <f>N(Inputs!$E$608)*N(Inputs!I615)*I25*Inputs!$E$52</f>
        <v>0</v>
      </c>
      <c r="J161" s="156">
        <f>N(Inputs!$E$608)*N(Inputs!J615)*J25*Inputs!$E$52</f>
        <v>0</v>
      </c>
      <c r="K161" s="156">
        <f>N(Inputs!$E$608)*N(Inputs!K615)*K25*Inputs!$E$52</f>
        <v>0</v>
      </c>
      <c r="L161" s="156">
        <f>N(Inputs!$E$608)*N(Inputs!L615)*L25*Inputs!$E$52</f>
        <v>0</v>
      </c>
      <c r="M161" s="156">
        <f>N(Inputs!$E$608)*N(Inputs!M615)*M25*Inputs!$E$52</f>
        <v>0</v>
      </c>
      <c r="N161" s="156">
        <f>N(Inputs!$E$608)*N(Inputs!N615)*N25*Inputs!$E$52</f>
        <v>0</v>
      </c>
      <c r="O161" s="156">
        <f>N(Inputs!$E$608)*N(Inputs!O615)*O25*Inputs!$E$52</f>
        <v>0</v>
      </c>
      <c r="P161" s="156">
        <f>N(Inputs!$E$608)*N(Inputs!P615)*P25*Inputs!$E$52</f>
        <v>0</v>
      </c>
      <c r="Q161" s="156">
        <f>N(Inputs!$E$608)*N(Inputs!Q615)*Q25*Inputs!$E$52</f>
        <v>0</v>
      </c>
      <c r="R161" s="156">
        <f>N(Inputs!$E$608)*N(Inputs!R615)*R25*Inputs!$E$52</f>
        <v>0</v>
      </c>
      <c r="S161" s="156">
        <f>N(Inputs!$E$608)*N(Inputs!S615)*S25*Inputs!$E$52</f>
        <v>0</v>
      </c>
      <c r="T161" s="156">
        <f>N(Inputs!$E$608)*N(Inputs!T615)*T25*Inputs!$E$52</f>
        <v>0</v>
      </c>
    </row>
    <row r="162" spans="2:20" x14ac:dyDescent="0.25">
      <c r="B162" s="23" t="s">
        <v>1907</v>
      </c>
      <c r="C162" s="28" t="s">
        <v>647</v>
      </c>
      <c r="H162" s="108">
        <f>IF(H25&gt;0,N(Inputs!H616)*Inputs!$E$53,0)</f>
        <v>0</v>
      </c>
      <c r="I162" s="108">
        <f>IF(I25&gt;0,N(Inputs!I616)*Inputs!$E$53,0)</f>
        <v>0</v>
      </c>
      <c r="J162" s="108">
        <f>IF(J25&gt;0,N(Inputs!J616)*Inputs!$E$53,0)</f>
        <v>0</v>
      </c>
      <c r="K162" s="108">
        <f>IF(K25&gt;0,N(Inputs!K616)*Inputs!$E$53,0)</f>
        <v>0</v>
      </c>
      <c r="L162" s="108">
        <f>IF(L25&gt;0,N(Inputs!L616)*Inputs!$E$53,0)</f>
        <v>0</v>
      </c>
      <c r="M162" s="108">
        <f>IF(M25&gt;0,N(Inputs!M616)*Inputs!$E$53,0)</f>
        <v>0</v>
      </c>
      <c r="N162" s="108">
        <f>IF(N25&gt;0,N(Inputs!N616)*Inputs!$E$53,0)</f>
        <v>0</v>
      </c>
      <c r="O162" s="108">
        <f>IF(O25&gt;0,N(Inputs!O616)*Inputs!$E$53,0)</f>
        <v>0</v>
      </c>
      <c r="P162" s="108">
        <f>IF(P25&gt;0,N(Inputs!P616)*Inputs!$E$53,0)</f>
        <v>0</v>
      </c>
      <c r="Q162" s="108">
        <f>IF(Q25&gt;0,N(Inputs!Q616)*Inputs!$E$53,0)</f>
        <v>0</v>
      </c>
      <c r="R162" s="108">
        <f>IF(R25&gt;0,N(Inputs!R616)*Inputs!$E$53,0)</f>
        <v>0</v>
      </c>
      <c r="S162" s="108">
        <f>IF(S25&gt;0,N(Inputs!S616)*Inputs!$E$53,0)</f>
        <v>0</v>
      </c>
      <c r="T162" s="108">
        <f>IF(T25&gt;0,N(Inputs!T616)*Inputs!$E$53,0)</f>
        <v>0</v>
      </c>
    </row>
    <row r="163" spans="2:20" x14ac:dyDescent="0.25">
      <c r="B163" s="21" t="s">
        <v>2013</v>
      </c>
      <c r="C163" s="28" t="s">
        <v>493</v>
      </c>
      <c r="G163" s="157"/>
      <c r="H163" s="158">
        <f t="shared" ref="H163:T163" si="25">H161*H162/1000000000</f>
        <v>0</v>
      </c>
      <c r="I163" s="158">
        <f t="shared" si="25"/>
        <v>0</v>
      </c>
      <c r="J163" s="158">
        <f t="shared" si="25"/>
        <v>0</v>
      </c>
      <c r="K163" s="158">
        <f t="shared" si="25"/>
        <v>0</v>
      </c>
      <c r="L163" s="158">
        <f t="shared" si="25"/>
        <v>0</v>
      </c>
      <c r="M163" s="158">
        <f t="shared" si="25"/>
        <v>0</v>
      </c>
      <c r="N163" s="158">
        <f t="shared" si="25"/>
        <v>0</v>
      </c>
      <c r="O163" s="158">
        <f t="shared" si="25"/>
        <v>0</v>
      </c>
      <c r="P163" s="158">
        <f t="shared" si="25"/>
        <v>0</v>
      </c>
      <c r="Q163" s="158">
        <f t="shared" si="25"/>
        <v>0</v>
      </c>
      <c r="R163" s="158">
        <f t="shared" si="25"/>
        <v>0</v>
      </c>
      <c r="S163" s="158">
        <f t="shared" si="25"/>
        <v>0</v>
      </c>
      <c r="T163" s="158">
        <f t="shared" si="25"/>
        <v>0</v>
      </c>
    </row>
    <row r="164" spans="2:20" x14ac:dyDescent="0.25">
      <c r="B164" s="154" t="str">
        <f>"P17  "&amp;Inputs!$E$639&amp;"  (placeholder)"</f>
        <v>P17  Pipeline Project 2  (placeholder)</v>
      </c>
      <c r="E164" s="130" t="str">
        <f>Inputs!$I$80</f>
        <v>Placeholder - inputs not yet populated (OFF)</v>
      </c>
    </row>
    <row r="165" spans="2:20" ht="26.25" customHeight="1" x14ac:dyDescent="0.25">
      <c r="B165" s="133" t="s">
        <v>2012</v>
      </c>
      <c r="C165" s="28" t="s">
        <v>630</v>
      </c>
      <c r="H165" s="156">
        <f>N(Inputs!$E$642)*N(Inputs!H649)*H26*Inputs!$E$52</f>
        <v>0</v>
      </c>
      <c r="I165" s="156">
        <f>N(Inputs!$E$642)*N(Inputs!I649)*I26*Inputs!$E$52</f>
        <v>0</v>
      </c>
      <c r="J165" s="156">
        <f>N(Inputs!$E$642)*N(Inputs!J649)*J26*Inputs!$E$52</f>
        <v>0</v>
      </c>
      <c r="K165" s="156">
        <f>N(Inputs!$E$642)*N(Inputs!K649)*K26*Inputs!$E$52</f>
        <v>0</v>
      </c>
      <c r="L165" s="156">
        <f>N(Inputs!$E$642)*N(Inputs!L649)*L26*Inputs!$E$52</f>
        <v>0</v>
      </c>
      <c r="M165" s="156">
        <f>N(Inputs!$E$642)*N(Inputs!M649)*M26*Inputs!$E$52</f>
        <v>0</v>
      </c>
      <c r="N165" s="156">
        <f>N(Inputs!$E$642)*N(Inputs!N649)*N26*Inputs!$E$52</f>
        <v>0</v>
      </c>
      <c r="O165" s="156">
        <f>N(Inputs!$E$642)*N(Inputs!O649)*O26*Inputs!$E$52</f>
        <v>0</v>
      </c>
      <c r="P165" s="156">
        <f>N(Inputs!$E$642)*N(Inputs!P649)*P26*Inputs!$E$52</f>
        <v>0</v>
      </c>
      <c r="Q165" s="156">
        <f>N(Inputs!$E$642)*N(Inputs!Q649)*Q26*Inputs!$E$52</f>
        <v>0</v>
      </c>
      <c r="R165" s="156">
        <f>N(Inputs!$E$642)*N(Inputs!R649)*R26*Inputs!$E$52</f>
        <v>0</v>
      </c>
      <c r="S165" s="156">
        <f>N(Inputs!$E$642)*N(Inputs!S649)*S26*Inputs!$E$52</f>
        <v>0</v>
      </c>
      <c r="T165" s="156">
        <f>N(Inputs!$E$642)*N(Inputs!T649)*T26*Inputs!$E$52</f>
        <v>0</v>
      </c>
    </row>
    <row r="166" spans="2:20" x14ac:dyDescent="0.25">
      <c r="B166" s="23" t="s">
        <v>1907</v>
      </c>
      <c r="C166" s="28" t="s">
        <v>647</v>
      </c>
      <c r="H166" s="108">
        <f>IF(H26&gt;0,N(Inputs!H650)*Inputs!$E$53,0)</f>
        <v>0</v>
      </c>
      <c r="I166" s="108">
        <f>IF(I26&gt;0,N(Inputs!I650)*Inputs!$E$53,0)</f>
        <v>0</v>
      </c>
      <c r="J166" s="108">
        <f>IF(J26&gt;0,N(Inputs!J650)*Inputs!$E$53,0)</f>
        <v>0</v>
      </c>
      <c r="K166" s="108">
        <f>IF(K26&gt;0,N(Inputs!K650)*Inputs!$E$53,0)</f>
        <v>0</v>
      </c>
      <c r="L166" s="108">
        <f>IF(L26&gt;0,N(Inputs!L650)*Inputs!$E$53,0)</f>
        <v>0</v>
      </c>
      <c r="M166" s="108">
        <f>IF(M26&gt;0,N(Inputs!M650)*Inputs!$E$53,0)</f>
        <v>0</v>
      </c>
      <c r="N166" s="108">
        <f>IF(N26&gt;0,N(Inputs!N650)*Inputs!$E$53,0)</f>
        <v>0</v>
      </c>
      <c r="O166" s="108">
        <f>IF(O26&gt;0,N(Inputs!O650)*Inputs!$E$53,0)</f>
        <v>0</v>
      </c>
      <c r="P166" s="108">
        <f>IF(P26&gt;0,N(Inputs!P650)*Inputs!$E$53,0)</f>
        <v>0</v>
      </c>
      <c r="Q166" s="108">
        <f>IF(Q26&gt;0,N(Inputs!Q650)*Inputs!$E$53,0)</f>
        <v>0</v>
      </c>
      <c r="R166" s="108">
        <f>IF(R26&gt;0,N(Inputs!R650)*Inputs!$E$53,0)</f>
        <v>0</v>
      </c>
      <c r="S166" s="108">
        <f>IF(S26&gt;0,N(Inputs!S650)*Inputs!$E$53,0)</f>
        <v>0</v>
      </c>
      <c r="T166" s="108">
        <f>IF(T26&gt;0,N(Inputs!T650)*Inputs!$E$53,0)</f>
        <v>0</v>
      </c>
    </row>
    <row r="167" spans="2:20" x14ac:dyDescent="0.25">
      <c r="B167" s="21" t="s">
        <v>2014</v>
      </c>
      <c r="C167" s="28" t="s">
        <v>493</v>
      </c>
      <c r="G167" s="157"/>
      <c r="H167" s="158">
        <f t="shared" ref="H167:T167" si="26">H165*H166/1000000000</f>
        <v>0</v>
      </c>
      <c r="I167" s="158">
        <f t="shared" si="26"/>
        <v>0</v>
      </c>
      <c r="J167" s="158">
        <f t="shared" si="26"/>
        <v>0</v>
      </c>
      <c r="K167" s="158">
        <f t="shared" si="26"/>
        <v>0</v>
      </c>
      <c r="L167" s="158">
        <f t="shared" si="26"/>
        <v>0</v>
      </c>
      <c r="M167" s="158">
        <f t="shared" si="26"/>
        <v>0</v>
      </c>
      <c r="N167" s="158">
        <f t="shared" si="26"/>
        <v>0</v>
      </c>
      <c r="O167" s="158">
        <f t="shared" si="26"/>
        <v>0</v>
      </c>
      <c r="P167" s="158">
        <f t="shared" si="26"/>
        <v>0</v>
      </c>
      <c r="Q167" s="158">
        <f t="shared" si="26"/>
        <v>0</v>
      </c>
      <c r="R167" s="158">
        <f t="shared" si="26"/>
        <v>0</v>
      </c>
      <c r="S167" s="158">
        <f t="shared" si="26"/>
        <v>0</v>
      </c>
      <c r="T167" s="158">
        <f t="shared" si="26"/>
        <v>0</v>
      </c>
    </row>
    <row r="168" spans="2:20" x14ac:dyDescent="0.25">
      <c r="B168" s="154" t="str">
        <f>"P18  "&amp;Inputs!$E$673&amp;"  (placeholder)"</f>
        <v>P18  Pipeline Project 3  (placeholder)</v>
      </c>
      <c r="E168" s="130" t="str">
        <f>Inputs!$I$81</f>
        <v>Placeholder - inputs not yet populated (OFF)</v>
      </c>
    </row>
    <row r="169" spans="2:20" ht="26.25" customHeight="1" x14ac:dyDescent="0.25">
      <c r="B169" s="133" t="s">
        <v>2012</v>
      </c>
      <c r="C169" s="28" t="s">
        <v>630</v>
      </c>
      <c r="H169" s="156">
        <f>N(Inputs!$E$676)*N(Inputs!H683)*H27*Inputs!$E$52</f>
        <v>0</v>
      </c>
      <c r="I169" s="156">
        <f>N(Inputs!$E$676)*N(Inputs!I683)*I27*Inputs!$E$52</f>
        <v>0</v>
      </c>
      <c r="J169" s="156">
        <f>N(Inputs!$E$676)*N(Inputs!J683)*J27*Inputs!$E$52</f>
        <v>0</v>
      </c>
      <c r="K169" s="156">
        <f>N(Inputs!$E$676)*N(Inputs!K683)*K27*Inputs!$E$52</f>
        <v>0</v>
      </c>
      <c r="L169" s="156">
        <f>N(Inputs!$E$676)*N(Inputs!L683)*L27*Inputs!$E$52</f>
        <v>0</v>
      </c>
      <c r="M169" s="156">
        <f>N(Inputs!$E$676)*N(Inputs!M683)*M27*Inputs!$E$52</f>
        <v>0</v>
      </c>
      <c r="N169" s="156">
        <f>N(Inputs!$E$676)*N(Inputs!N683)*N27*Inputs!$E$52</f>
        <v>0</v>
      </c>
      <c r="O169" s="156">
        <f>N(Inputs!$E$676)*N(Inputs!O683)*O27*Inputs!$E$52</f>
        <v>0</v>
      </c>
      <c r="P169" s="156">
        <f>N(Inputs!$E$676)*N(Inputs!P683)*P27*Inputs!$E$52</f>
        <v>0</v>
      </c>
      <c r="Q169" s="156">
        <f>N(Inputs!$E$676)*N(Inputs!Q683)*Q27*Inputs!$E$52</f>
        <v>0</v>
      </c>
      <c r="R169" s="156">
        <f>N(Inputs!$E$676)*N(Inputs!R683)*R27*Inputs!$E$52</f>
        <v>0</v>
      </c>
      <c r="S169" s="156">
        <f>N(Inputs!$E$676)*N(Inputs!S683)*S27*Inputs!$E$52</f>
        <v>0</v>
      </c>
      <c r="T169" s="156">
        <f>N(Inputs!$E$676)*N(Inputs!T683)*T27*Inputs!$E$52</f>
        <v>0</v>
      </c>
    </row>
    <row r="170" spans="2:20" x14ac:dyDescent="0.25">
      <c r="B170" s="23" t="s">
        <v>1907</v>
      </c>
      <c r="C170" s="28" t="s">
        <v>647</v>
      </c>
      <c r="H170" s="108">
        <f>IF(H27&gt;0,N(Inputs!H684)*Inputs!$E$53,0)</f>
        <v>0</v>
      </c>
      <c r="I170" s="108">
        <f>IF(I27&gt;0,N(Inputs!I684)*Inputs!$E$53,0)</f>
        <v>0</v>
      </c>
      <c r="J170" s="108">
        <f>IF(J27&gt;0,N(Inputs!J684)*Inputs!$E$53,0)</f>
        <v>0</v>
      </c>
      <c r="K170" s="108">
        <f>IF(K27&gt;0,N(Inputs!K684)*Inputs!$E$53,0)</f>
        <v>0</v>
      </c>
      <c r="L170" s="108">
        <f>IF(L27&gt;0,N(Inputs!L684)*Inputs!$E$53,0)</f>
        <v>0</v>
      </c>
      <c r="M170" s="108">
        <f>IF(M27&gt;0,N(Inputs!M684)*Inputs!$E$53,0)</f>
        <v>0</v>
      </c>
      <c r="N170" s="108">
        <f>IF(N27&gt;0,N(Inputs!N684)*Inputs!$E$53,0)</f>
        <v>0</v>
      </c>
      <c r="O170" s="108">
        <f>IF(O27&gt;0,N(Inputs!O684)*Inputs!$E$53,0)</f>
        <v>0</v>
      </c>
      <c r="P170" s="108">
        <f>IF(P27&gt;0,N(Inputs!P684)*Inputs!$E$53,0)</f>
        <v>0</v>
      </c>
      <c r="Q170" s="108">
        <f>IF(Q27&gt;0,N(Inputs!Q684)*Inputs!$E$53,0)</f>
        <v>0</v>
      </c>
      <c r="R170" s="108">
        <f>IF(R27&gt;0,N(Inputs!R684)*Inputs!$E$53,0)</f>
        <v>0</v>
      </c>
      <c r="S170" s="108">
        <f>IF(S27&gt;0,N(Inputs!S684)*Inputs!$E$53,0)</f>
        <v>0</v>
      </c>
      <c r="T170" s="108">
        <f>IF(T27&gt;0,N(Inputs!T684)*Inputs!$E$53,0)</f>
        <v>0</v>
      </c>
    </row>
    <row r="171" spans="2:20" x14ac:dyDescent="0.25">
      <c r="B171" s="21" t="s">
        <v>2015</v>
      </c>
      <c r="C171" s="28" t="s">
        <v>493</v>
      </c>
      <c r="G171" s="157"/>
      <c r="H171" s="158">
        <f t="shared" ref="H171:T171" si="27">H169*H170/1000000000</f>
        <v>0</v>
      </c>
      <c r="I171" s="158">
        <f t="shared" si="27"/>
        <v>0</v>
      </c>
      <c r="J171" s="158">
        <f t="shared" si="27"/>
        <v>0</v>
      </c>
      <c r="K171" s="158">
        <f t="shared" si="27"/>
        <v>0</v>
      </c>
      <c r="L171" s="158">
        <f t="shared" si="27"/>
        <v>0</v>
      </c>
      <c r="M171" s="158">
        <f t="shared" si="27"/>
        <v>0</v>
      </c>
      <c r="N171" s="158">
        <f t="shared" si="27"/>
        <v>0</v>
      </c>
      <c r="O171" s="158">
        <f t="shared" si="27"/>
        <v>0</v>
      </c>
      <c r="P171" s="158">
        <f t="shared" si="27"/>
        <v>0</v>
      </c>
      <c r="Q171" s="158">
        <f t="shared" si="27"/>
        <v>0</v>
      </c>
      <c r="R171" s="158">
        <f t="shared" si="27"/>
        <v>0</v>
      </c>
      <c r="S171" s="158">
        <f t="shared" si="27"/>
        <v>0</v>
      </c>
      <c r="T171" s="158">
        <f t="shared" si="27"/>
        <v>0</v>
      </c>
    </row>
    <row r="173" spans="2:20" x14ac:dyDescent="0.25">
      <c r="B173" s="58" t="s">
        <v>2016</v>
      </c>
      <c r="C173" s="19"/>
      <c r="D173" s="19"/>
      <c r="E173" s="19"/>
      <c r="F173" s="19"/>
      <c r="G173" s="19"/>
      <c r="H173" s="19"/>
      <c r="I173" s="19"/>
      <c r="J173" s="19"/>
      <c r="K173" s="19"/>
      <c r="L173" s="19"/>
      <c r="M173" s="19"/>
      <c r="N173" s="19"/>
      <c r="O173" s="19"/>
      <c r="P173" s="19"/>
      <c r="Q173" s="19"/>
      <c r="R173" s="19"/>
      <c r="S173" s="19"/>
      <c r="T173" s="19"/>
    </row>
    <row r="174" spans="2:20" x14ac:dyDescent="0.25">
      <c r="B174" s="145" t="s">
        <v>2017</v>
      </c>
    </row>
    <row r="175" spans="2:20" ht="26.25" customHeight="1" x14ac:dyDescent="0.25">
      <c r="B175" s="133" t="s">
        <v>2018</v>
      </c>
      <c r="C175" s="28" t="s">
        <v>630</v>
      </c>
      <c r="H175" s="156">
        <f>Inputs!$E$572*Inputs!H587*H28*Inputs!$E$52</f>
        <v>0</v>
      </c>
      <c r="I175" s="156">
        <f>Inputs!$E$572*Inputs!I587*I28*Inputs!$E$52</f>
        <v>0</v>
      </c>
      <c r="J175" s="156">
        <f>Inputs!$E$572*Inputs!J587*J28*Inputs!$E$52</f>
        <v>0</v>
      </c>
      <c r="K175" s="156">
        <f>Inputs!$E$572*Inputs!K587*K28*Inputs!$E$52</f>
        <v>0</v>
      </c>
      <c r="L175" s="156">
        <f>Inputs!$E$572*Inputs!L587*L28*Inputs!$E$52</f>
        <v>0</v>
      </c>
      <c r="M175" s="156">
        <f>Inputs!$E$572*Inputs!M587*M28*Inputs!$E$52</f>
        <v>550000</v>
      </c>
      <c r="N175" s="156">
        <f>Inputs!$E$572*Inputs!N587*N28*Inputs!$E$52</f>
        <v>700000</v>
      </c>
      <c r="O175" s="156">
        <f>Inputs!$E$572*Inputs!O587*O28*Inputs!$E$52</f>
        <v>800000</v>
      </c>
      <c r="P175" s="156">
        <f>Inputs!$E$572*Inputs!P587*P28*Inputs!$E$52</f>
        <v>850000</v>
      </c>
      <c r="Q175" s="156">
        <f>Inputs!$E$572*Inputs!Q587*Q28*Inputs!$E$52</f>
        <v>850000</v>
      </c>
      <c r="R175" s="156">
        <f>Inputs!$E$572*Inputs!R587*R28*Inputs!$E$52</f>
        <v>850000</v>
      </c>
      <c r="S175" s="156">
        <f>Inputs!$E$572*Inputs!S587*S28*Inputs!$E$52</f>
        <v>850000</v>
      </c>
      <c r="T175" s="156">
        <f>Inputs!$E$572*Inputs!T587*T28*Inputs!$E$52</f>
        <v>850000</v>
      </c>
    </row>
    <row r="176" spans="2:20" x14ac:dyDescent="0.25">
      <c r="B176" s="23" t="s">
        <v>2019</v>
      </c>
      <c r="C176" s="28" t="s">
        <v>630</v>
      </c>
      <c r="H176" s="108">
        <f>H175*Inputs!$E$573</f>
        <v>0</v>
      </c>
      <c r="I176" s="108">
        <f>I175*Inputs!$E$573</f>
        <v>0</v>
      </c>
      <c r="J176" s="108">
        <f>J175*Inputs!$E$573</f>
        <v>0</v>
      </c>
      <c r="K176" s="108">
        <f>K175*Inputs!$E$573</f>
        <v>0</v>
      </c>
      <c r="L176" s="108">
        <f>L175*Inputs!$E$573</f>
        <v>0</v>
      </c>
      <c r="M176" s="108">
        <f>M175*Inputs!$E$573</f>
        <v>275000</v>
      </c>
      <c r="N176" s="108">
        <f>N175*Inputs!$E$573</f>
        <v>350000</v>
      </c>
      <c r="O176" s="108">
        <f>O175*Inputs!$E$573</f>
        <v>400000</v>
      </c>
      <c r="P176" s="108">
        <f>P175*Inputs!$E$573</f>
        <v>425000</v>
      </c>
      <c r="Q176" s="108">
        <f>Q175*Inputs!$E$573</f>
        <v>425000</v>
      </c>
      <c r="R176" s="108">
        <f>R175*Inputs!$E$573</f>
        <v>425000</v>
      </c>
      <c r="S176" s="108">
        <f>S175*Inputs!$E$573</f>
        <v>425000</v>
      </c>
      <c r="T176" s="108">
        <f>T175*Inputs!$E$573</f>
        <v>425000</v>
      </c>
    </row>
    <row r="177" spans="2:20" x14ac:dyDescent="0.25">
      <c r="B177" s="23" t="s">
        <v>2020</v>
      </c>
      <c r="C177" s="28" t="s">
        <v>630</v>
      </c>
      <c r="H177" s="108">
        <f>H175*Inputs!$E$575</f>
        <v>0</v>
      </c>
      <c r="I177" s="108">
        <f>I175*Inputs!$E$575</f>
        <v>0</v>
      </c>
      <c r="J177" s="108">
        <f>J175*Inputs!$E$575</f>
        <v>0</v>
      </c>
      <c r="K177" s="108">
        <f>K175*Inputs!$E$575</f>
        <v>0</v>
      </c>
      <c r="L177" s="108">
        <f>L175*Inputs!$E$575</f>
        <v>0</v>
      </c>
      <c r="M177" s="108">
        <f>M175*Inputs!$E$575</f>
        <v>165000</v>
      </c>
      <c r="N177" s="108">
        <f>N175*Inputs!$E$575</f>
        <v>210000</v>
      </c>
      <c r="O177" s="108">
        <f>O175*Inputs!$E$575</f>
        <v>240000</v>
      </c>
      <c r="P177" s="108">
        <f>P175*Inputs!$E$575</f>
        <v>255000</v>
      </c>
      <c r="Q177" s="108">
        <f>Q175*Inputs!$E$575</f>
        <v>255000</v>
      </c>
      <c r="R177" s="108">
        <f>R175*Inputs!$E$575</f>
        <v>255000</v>
      </c>
      <c r="S177" s="108">
        <f>S175*Inputs!$E$575</f>
        <v>255000</v>
      </c>
      <c r="T177" s="108">
        <f>T175*Inputs!$E$575</f>
        <v>255000</v>
      </c>
    </row>
    <row r="178" spans="2:20" x14ac:dyDescent="0.25">
      <c r="B178" s="23" t="s">
        <v>2021</v>
      </c>
      <c r="C178" s="28" t="s">
        <v>647</v>
      </c>
      <c r="H178" s="108">
        <f>Inputs!H588*Inputs!$E$53</f>
        <v>45000</v>
      </c>
      <c r="I178" s="108">
        <f>Inputs!I588*Inputs!$E$53</f>
        <v>45000</v>
      </c>
      <c r="J178" s="108">
        <f>Inputs!J588*Inputs!$E$53</f>
        <v>45000</v>
      </c>
      <c r="K178" s="108">
        <f>Inputs!K588*Inputs!$E$53</f>
        <v>45000</v>
      </c>
      <c r="L178" s="108">
        <f>Inputs!L588*Inputs!$E$53</f>
        <v>45000</v>
      </c>
      <c r="M178" s="108">
        <f>Inputs!M588*Inputs!$E$53</f>
        <v>45000</v>
      </c>
      <c r="N178" s="108">
        <f>Inputs!N588*Inputs!$E$53</f>
        <v>45000</v>
      </c>
      <c r="O178" s="108">
        <f>Inputs!O588*Inputs!$E$53</f>
        <v>45000</v>
      </c>
      <c r="P178" s="108">
        <f>Inputs!P588*Inputs!$E$53</f>
        <v>45000</v>
      </c>
      <c r="Q178" s="108">
        <f>Inputs!Q588*Inputs!$E$53</f>
        <v>45000</v>
      </c>
      <c r="R178" s="108">
        <f>Inputs!R588*Inputs!$E$53</f>
        <v>45000</v>
      </c>
      <c r="S178" s="108">
        <f>Inputs!S588*Inputs!$E$53</f>
        <v>45000</v>
      </c>
      <c r="T178" s="108">
        <f>Inputs!T588*Inputs!$E$53</f>
        <v>45000</v>
      </c>
    </row>
    <row r="179" spans="2:20" x14ac:dyDescent="0.25">
      <c r="B179" s="23" t="s">
        <v>2022</v>
      </c>
      <c r="C179" s="28" t="s">
        <v>1969</v>
      </c>
      <c r="H179" s="108">
        <f>Inputs!H589*Inputs!$E$53</f>
        <v>12000</v>
      </c>
      <c r="I179" s="108">
        <f>Inputs!I589*Inputs!$E$53</f>
        <v>12000</v>
      </c>
      <c r="J179" s="108">
        <f>Inputs!J589*Inputs!$E$53</f>
        <v>12000</v>
      </c>
      <c r="K179" s="108">
        <f>Inputs!K589*Inputs!$E$53</f>
        <v>12000</v>
      </c>
      <c r="L179" s="108">
        <f>Inputs!L589*Inputs!$E$53</f>
        <v>12000</v>
      </c>
      <c r="M179" s="108">
        <f>Inputs!M589*Inputs!$E$53</f>
        <v>12000</v>
      </c>
      <c r="N179" s="108">
        <f>Inputs!N589*Inputs!$E$53</f>
        <v>12000</v>
      </c>
      <c r="O179" s="108">
        <f>Inputs!O589*Inputs!$E$53</f>
        <v>12000</v>
      </c>
      <c r="P179" s="108">
        <f>Inputs!P589*Inputs!$E$53</f>
        <v>12000</v>
      </c>
      <c r="Q179" s="108">
        <f>Inputs!Q589*Inputs!$E$53</f>
        <v>12000</v>
      </c>
      <c r="R179" s="108">
        <f>Inputs!R589*Inputs!$E$53</f>
        <v>12000</v>
      </c>
      <c r="S179" s="108">
        <f>Inputs!S589*Inputs!$E$53</f>
        <v>12000</v>
      </c>
      <c r="T179" s="108">
        <f>Inputs!T589*Inputs!$E$53</f>
        <v>12000</v>
      </c>
    </row>
    <row r="180" spans="2:20" x14ac:dyDescent="0.25">
      <c r="B180" s="23" t="s">
        <v>2023</v>
      </c>
      <c r="C180" s="28" t="s">
        <v>647</v>
      </c>
      <c r="H180" s="108">
        <f>Inputs!H590*Inputs!$E$53</f>
        <v>9000</v>
      </c>
      <c r="I180" s="108">
        <f>Inputs!I590*Inputs!$E$53</f>
        <v>9000</v>
      </c>
      <c r="J180" s="108">
        <f>Inputs!J590*Inputs!$E$53</f>
        <v>9000</v>
      </c>
      <c r="K180" s="108">
        <f>Inputs!K590*Inputs!$E$53</f>
        <v>9000</v>
      </c>
      <c r="L180" s="108">
        <f>Inputs!L590*Inputs!$E$53</f>
        <v>9000</v>
      </c>
      <c r="M180" s="108">
        <f>Inputs!M590*Inputs!$E$53</f>
        <v>9000</v>
      </c>
      <c r="N180" s="108">
        <f>Inputs!N590*Inputs!$E$53</f>
        <v>9000</v>
      </c>
      <c r="O180" s="108">
        <f>Inputs!O590*Inputs!$E$53</f>
        <v>9000</v>
      </c>
      <c r="P180" s="108">
        <f>Inputs!P590*Inputs!$E$53</f>
        <v>9000</v>
      </c>
      <c r="Q180" s="108">
        <f>Inputs!Q590*Inputs!$E$53</f>
        <v>9000</v>
      </c>
      <c r="R180" s="108">
        <f>Inputs!R590*Inputs!$E$53</f>
        <v>9000</v>
      </c>
      <c r="S180" s="108">
        <f>Inputs!S590*Inputs!$E$53</f>
        <v>9000</v>
      </c>
      <c r="T180" s="108">
        <f>Inputs!T590*Inputs!$E$53</f>
        <v>9000</v>
      </c>
    </row>
    <row r="181" spans="2:20" x14ac:dyDescent="0.25">
      <c r="B181" s="23" t="s">
        <v>2024</v>
      </c>
      <c r="C181" s="28" t="s">
        <v>493</v>
      </c>
      <c r="H181" s="159">
        <f>H175*H178/1000000000</f>
        <v>0</v>
      </c>
      <c r="I181" s="159">
        <f t="shared" ref="H181:T181" si="28">I175*I178/1000000000</f>
        <v>0</v>
      </c>
      <c r="J181" s="159">
        <f t="shared" si="28"/>
        <v>0</v>
      </c>
      <c r="K181" s="159">
        <f t="shared" si="28"/>
        <v>0</v>
      </c>
      <c r="L181" s="159">
        <f t="shared" si="28"/>
        <v>0</v>
      </c>
      <c r="M181" s="159">
        <f t="shared" si="28"/>
        <v>24.75</v>
      </c>
      <c r="N181" s="159">
        <f t="shared" si="28"/>
        <v>31.5</v>
      </c>
      <c r="O181" s="159">
        <f t="shared" si="28"/>
        <v>36</v>
      </c>
      <c r="P181" s="159">
        <f t="shared" si="28"/>
        <v>38.25</v>
      </c>
      <c r="Q181" s="159">
        <f t="shared" si="28"/>
        <v>38.25</v>
      </c>
      <c r="R181" s="159">
        <f t="shared" si="28"/>
        <v>38.25</v>
      </c>
      <c r="S181" s="159">
        <f t="shared" si="28"/>
        <v>38.25</v>
      </c>
      <c r="T181" s="159">
        <f t="shared" si="28"/>
        <v>38.25</v>
      </c>
    </row>
    <row r="182" spans="2:20" x14ac:dyDescent="0.25">
      <c r="B182" s="23" t="s">
        <v>2025</v>
      </c>
      <c r="C182" s="28" t="s">
        <v>493</v>
      </c>
      <c r="H182" s="159">
        <f>H176*Inputs!$E$574*H179/1000000000</f>
        <v>0</v>
      </c>
      <c r="I182" s="159">
        <f>I176*Inputs!$E$574*I179/1000000000</f>
        <v>0</v>
      </c>
      <c r="J182" s="159">
        <f>J176*Inputs!$E$574*J179/1000000000</f>
        <v>0</v>
      </c>
      <c r="K182" s="159">
        <f>K176*Inputs!$E$574*K179/1000000000</f>
        <v>0</v>
      </c>
      <c r="L182" s="159">
        <f>L176*Inputs!$E$574*L179/1000000000</f>
        <v>0</v>
      </c>
      <c r="M182" s="159">
        <f>M176*Inputs!$E$574*M179/1000000000</f>
        <v>4.95</v>
      </c>
      <c r="N182" s="159">
        <f>N176*Inputs!$E$574*N179/1000000000</f>
        <v>6.3</v>
      </c>
      <c r="O182" s="159">
        <f>O176*Inputs!$E$574*O179/1000000000</f>
        <v>7.2</v>
      </c>
      <c r="P182" s="159">
        <f>P176*Inputs!$E$574*P179/1000000000</f>
        <v>7.65</v>
      </c>
      <c r="Q182" s="159">
        <f>Q176*Inputs!$E$574*Q179/1000000000</f>
        <v>7.65</v>
      </c>
      <c r="R182" s="159">
        <f>R176*Inputs!$E$574*R179/1000000000</f>
        <v>7.65</v>
      </c>
      <c r="S182" s="159">
        <f>S176*Inputs!$E$574*S179/1000000000</f>
        <v>7.65</v>
      </c>
      <c r="T182" s="159">
        <f>T176*Inputs!$E$574*T179/1000000000</f>
        <v>7.65</v>
      </c>
    </row>
    <row r="183" spans="2:20" x14ac:dyDescent="0.25">
      <c r="B183" s="23" t="s">
        <v>2026</v>
      </c>
      <c r="C183" s="28" t="s">
        <v>493</v>
      </c>
      <c r="H183" s="159">
        <f t="shared" ref="H183:T183" si="29">H177*H180/1000000000</f>
        <v>0</v>
      </c>
      <c r="I183" s="159">
        <f t="shared" si="29"/>
        <v>0</v>
      </c>
      <c r="J183" s="159">
        <f t="shared" si="29"/>
        <v>0</v>
      </c>
      <c r="K183" s="159">
        <f t="shared" si="29"/>
        <v>0</v>
      </c>
      <c r="L183" s="159">
        <f t="shared" si="29"/>
        <v>0</v>
      </c>
      <c r="M183" s="159">
        <f t="shared" si="29"/>
        <v>1.4850000000000001</v>
      </c>
      <c r="N183" s="159">
        <f t="shared" si="29"/>
        <v>1.89</v>
      </c>
      <c r="O183" s="159">
        <f t="shared" si="29"/>
        <v>2.16</v>
      </c>
      <c r="P183" s="159">
        <f t="shared" si="29"/>
        <v>2.2949999999999999</v>
      </c>
      <c r="Q183" s="159">
        <f t="shared" si="29"/>
        <v>2.2949999999999999</v>
      </c>
      <c r="R183" s="159">
        <f t="shared" si="29"/>
        <v>2.2949999999999999</v>
      </c>
      <c r="S183" s="159">
        <f t="shared" si="29"/>
        <v>2.2949999999999999</v>
      </c>
      <c r="T183" s="159">
        <f t="shared" si="29"/>
        <v>2.2949999999999999</v>
      </c>
    </row>
    <row r="184" spans="2:20" x14ac:dyDescent="0.25">
      <c r="B184" s="21" t="s">
        <v>2027</v>
      </c>
      <c r="C184" s="28" t="s">
        <v>493</v>
      </c>
      <c r="H184" s="160">
        <f t="shared" ref="H184:T184" si="30">H181+H182+H183</f>
        <v>0</v>
      </c>
      <c r="I184" s="160">
        <f t="shared" si="30"/>
        <v>0</v>
      </c>
      <c r="J184" s="160">
        <f t="shared" si="30"/>
        <v>0</v>
      </c>
      <c r="K184" s="160">
        <f t="shared" si="30"/>
        <v>0</v>
      </c>
      <c r="L184" s="160">
        <f t="shared" si="30"/>
        <v>0</v>
      </c>
      <c r="M184" s="160">
        <f t="shared" si="30"/>
        <v>31.184999999999999</v>
      </c>
      <c r="N184" s="160">
        <f t="shared" si="30"/>
        <v>39.69</v>
      </c>
      <c r="O184" s="160">
        <f t="shared" si="30"/>
        <v>45.36</v>
      </c>
      <c r="P184" s="160">
        <f t="shared" si="30"/>
        <v>48.195</v>
      </c>
      <c r="Q184" s="160">
        <f t="shared" si="30"/>
        <v>48.195</v>
      </c>
      <c r="R184" s="160">
        <f t="shared" si="30"/>
        <v>48.195</v>
      </c>
      <c r="S184" s="160">
        <f t="shared" si="30"/>
        <v>48.195</v>
      </c>
      <c r="T184" s="160">
        <f t="shared" si="30"/>
        <v>48.195</v>
      </c>
    </row>
    <row r="185" spans="2:20" x14ac:dyDescent="0.25">
      <c r="B185" s="21" t="s">
        <v>2028</v>
      </c>
      <c r="C185" s="28" t="s">
        <v>493</v>
      </c>
      <c r="G185" s="157"/>
      <c r="H185" s="158">
        <f>H184*Inputs!$E$570</f>
        <v>0</v>
      </c>
      <c r="I185" s="158">
        <f>I184*Inputs!$E$570</f>
        <v>0</v>
      </c>
      <c r="J185" s="158">
        <f>J184*Inputs!$E$570</f>
        <v>0</v>
      </c>
      <c r="K185" s="158">
        <f>K184*Inputs!$E$570</f>
        <v>0</v>
      </c>
      <c r="L185" s="158">
        <f>L184*Inputs!$E$570</f>
        <v>0</v>
      </c>
      <c r="M185" s="158">
        <f>M184*Inputs!$E$570</f>
        <v>31.184999999999999</v>
      </c>
      <c r="N185" s="158">
        <f>N184*Inputs!$E$570</f>
        <v>39.69</v>
      </c>
      <c r="O185" s="158">
        <f>O184*Inputs!$E$570</f>
        <v>45.36</v>
      </c>
      <c r="P185" s="158">
        <f>P184*Inputs!$E$570</f>
        <v>48.195</v>
      </c>
      <c r="Q185" s="158">
        <f>Q184*Inputs!$E$570</f>
        <v>48.195</v>
      </c>
      <c r="R185" s="158">
        <f>R184*Inputs!$E$570</f>
        <v>48.195</v>
      </c>
      <c r="S185" s="158">
        <f>S184*Inputs!$E$570</f>
        <v>48.195</v>
      </c>
      <c r="T185" s="158">
        <f>T184*Inputs!$E$570</f>
        <v>48.195</v>
      </c>
    </row>
    <row r="186" spans="2:20" x14ac:dyDescent="0.25">
      <c r="B186" s="21" t="s">
        <v>2029</v>
      </c>
      <c r="C186" s="28" t="s">
        <v>493</v>
      </c>
      <c r="G186" s="157"/>
      <c r="H186" s="158">
        <f>H185*Inputs!$H$82</f>
        <v>0</v>
      </c>
      <c r="I186" s="158">
        <f>I185*Inputs!$H$82</f>
        <v>0</v>
      </c>
      <c r="J186" s="158">
        <f>J185*Inputs!$H$82</f>
        <v>0</v>
      </c>
      <c r="K186" s="158">
        <f>K185*Inputs!$H$82</f>
        <v>0</v>
      </c>
      <c r="L186" s="158">
        <f>L185*Inputs!$H$82</f>
        <v>0</v>
      </c>
      <c r="M186" s="158">
        <f>M185*Inputs!$H$82</f>
        <v>31.184999999999999</v>
      </c>
      <c r="N186" s="158">
        <f>N185*Inputs!$H$82</f>
        <v>39.69</v>
      </c>
      <c r="O186" s="158">
        <f>O185*Inputs!$H$82</f>
        <v>45.36</v>
      </c>
      <c r="P186" s="158">
        <f>P185*Inputs!$H$82</f>
        <v>48.195</v>
      </c>
      <c r="Q186" s="158">
        <f>Q185*Inputs!$H$82</f>
        <v>48.195</v>
      </c>
      <c r="R186" s="158">
        <f>R185*Inputs!$H$82</f>
        <v>48.195</v>
      </c>
      <c r="S186" s="158">
        <f>S185*Inputs!$H$82</f>
        <v>48.195</v>
      </c>
      <c r="T186" s="158">
        <f>T185*Inputs!$H$82</f>
        <v>48.195</v>
      </c>
    </row>
    <row r="188" spans="2:20" x14ac:dyDescent="0.25">
      <c r="B188" s="58" t="s">
        <v>2030</v>
      </c>
      <c r="C188" s="19"/>
      <c r="D188" s="19"/>
      <c r="E188" s="19"/>
      <c r="F188" s="19"/>
      <c r="G188" s="19"/>
      <c r="H188" s="19"/>
      <c r="I188" s="19"/>
      <c r="J188" s="19"/>
      <c r="K188" s="19"/>
      <c r="L188" s="19"/>
      <c r="M188" s="19"/>
      <c r="N188" s="19"/>
      <c r="O188" s="19"/>
      <c r="P188" s="19"/>
      <c r="Q188" s="19"/>
      <c r="R188" s="19"/>
      <c r="S188" s="19"/>
      <c r="T188" s="19"/>
    </row>
    <row r="189" spans="2:20" x14ac:dyDescent="0.25">
      <c r="B189" s="23" t="s">
        <v>2031</v>
      </c>
      <c r="C189" s="28" t="s">
        <v>493</v>
      </c>
      <c r="E189" s="44" t="s">
        <v>517</v>
      </c>
      <c r="H189" s="159">
        <f t="shared" ref="H189:T189" si="31">H41</f>
        <v>156.43850421456</v>
      </c>
      <c r="I189" s="159">
        <f t="shared" si="31"/>
        <v>161.1316593409968</v>
      </c>
      <c r="J189" s="159">
        <f t="shared" si="31"/>
        <v>165.96560912122669</v>
      </c>
      <c r="K189" s="159">
        <f t="shared" si="31"/>
        <v>170.9445773948635</v>
      </c>
      <c r="L189" s="159">
        <f t="shared" si="31"/>
        <v>176.07291471670942</v>
      </c>
      <c r="M189" s="159">
        <f t="shared" si="31"/>
        <v>186.79575522295704</v>
      </c>
      <c r="N189" s="159">
        <f t="shared" si="31"/>
        <v>192.39962787964575</v>
      </c>
      <c r="O189" s="159">
        <f t="shared" si="31"/>
        <v>198.17161671603512</v>
      </c>
      <c r="P189" s="159">
        <f t="shared" si="31"/>
        <v>210.24026817404169</v>
      </c>
      <c r="Q189" s="159">
        <f t="shared" si="31"/>
        <v>216.54747621926293</v>
      </c>
      <c r="R189" s="159">
        <f t="shared" si="31"/>
        <v>223.04390050584081</v>
      </c>
      <c r="S189" s="159">
        <f t="shared" si="31"/>
        <v>229.73521752101604</v>
      </c>
      <c r="T189" s="159">
        <f t="shared" si="31"/>
        <v>236.62727404664653</v>
      </c>
    </row>
    <row r="190" spans="2:20" x14ac:dyDescent="0.25">
      <c r="B190" s="23" t="s">
        <v>2032</v>
      </c>
      <c r="C190" s="28" t="s">
        <v>493</v>
      </c>
      <c r="E190" s="44" t="s">
        <v>526</v>
      </c>
      <c r="H190" s="159">
        <f t="shared" ref="H190:T190" si="32">H47</f>
        <v>38.657960000000003</v>
      </c>
      <c r="I190" s="159">
        <f t="shared" si="32"/>
        <v>46.389552000000002</v>
      </c>
      <c r="J190" s="159">
        <f t="shared" si="32"/>
        <v>47.781238559999998</v>
      </c>
      <c r="K190" s="159">
        <f t="shared" si="32"/>
        <v>59.057610860160004</v>
      </c>
      <c r="L190" s="159">
        <f t="shared" si="32"/>
        <v>60.829339185964805</v>
      </c>
      <c r="M190" s="159">
        <f t="shared" si="32"/>
        <v>68.919641297698121</v>
      </c>
      <c r="N190" s="159">
        <f t="shared" si="32"/>
        <v>70.98723053662907</v>
      </c>
      <c r="O190" s="159">
        <f t="shared" si="32"/>
        <v>77.503858299891618</v>
      </c>
      <c r="P190" s="159">
        <f t="shared" si="32"/>
        <v>79.828974048888384</v>
      </c>
      <c r="Q190" s="159">
        <f t="shared" si="32"/>
        <v>87.157273866576318</v>
      </c>
      <c r="R190" s="159">
        <f t="shared" si="32"/>
        <v>89.771992082573604</v>
      </c>
      <c r="S190" s="159">
        <f t="shared" si="32"/>
        <v>92.465151845050826</v>
      </c>
      <c r="T190" s="159">
        <f t="shared" si="32"/>
        <v>95.239106400402349</v>
      </c>
    </row>
    <row r="191" spans="2:20" x14ac:dyDescent="0.25">
      <c r="B191" s="23" t="s">
        <v>2033</v>
      </c>
      <c r="C191" s="28" t="s">
        <v>493</v>
      </c>
      <c r="E191" s="44" t="s">
        <v>529</v>
      </c>
      <c r="H191" s="159">
        <f t="shared" ref="H191:T191" si="33">H53</f>
        <v>22.243500000000001</v>
      </c>
      <c r="I191" s="159">
        <f t="shared" si="33"/>
        <v>22.910805</v>
      </c>
      <c r="J191" s="159">
        <f t="shared" si="33"/>
        <v>34.967927062500003</v>
      </c>
      <c r="K191" s="159">
        <f t="shared" si="33"/>
        <v>36.016964874374999</v>
      </c>
      <c r="L191" s="159">
        <f t="shared" si="33"/>
        <v>38.210398035224451</v>
      </c>
      <c r="M191" s="159">
        <f t="shared" si="33"/>
        <v>40.53741127556961</v>
      </c>
      <c r="N191" s="159">
        <f t="shared" si="33"/>
        <v>43.006139622251801</v>
      </c>
      <c r="O191" s="159">
        <f t="shared" si="33"/>
        <v>45.625213525246934</v>
      </c>
      <c r="P191" s="159">
        <f t="shared" si="33"/>
        <v>48.403789028934526</v>
      </c>
      <c r="Q191" s="159">
        <f t="shared" si="33"/>
        <v>51.351579780796563</v>
      </c>
      <c r="R191" s="159">
        <f t="shared" si="33"/>
        <v>54.478890989447123</v>
      </c>
      <c r="S191" s="159">
        <f t="shared" si="33"/>
        <v>57.796655450704478</v>
      </c>
      <c r="T191" s="159">
        <f t="shared" si="33"/>
        <v>61.316471767652303</v>
      </c>
    </row>
    <row r="192" spans="2:20" x14ac:dyDescent="0.25">
      <c r="B192" s="23" t="s">
        <v>2034</v>
      </c>
      <c r="C192" s="28" t="s">
        <v>493</v>
      </c>
      <c r="E192" s="44" t="s">
        <v>532</v>
      </c>
      <c r="H192" s="159">
        <f t="shared" ref="H192:T192" si="34">H92</f>
        <v>87.948672360753903</v>
      </c>
      <c r="I192" s="159">
        <f t="shared" si="34"/>
        <v>65.358641033127611</v>
      </c>
      <c r="J192" s="159">
        <f t="shared" si="34"/>
        <v>61.989728825535103</v>
      </c>
      <c r="K192" s="159">
        <f t="shared" si="34"/>
        <v>66.857705438160764</v>
      </c>
      <c r="L192" s="159">
        <f t="shared" si="34"/>
        <v>72.109308081105468</v>
      </c>
      <c r="M192" s="159">
        <f t="shared" si="34"/>
        <v>77.774868554511315</v>
      </c>
      <c r="N192" s="159">
        <f t="shared" si="34"/>
        <v>83.887124219273204</v>
      </c>
      <c r="O192" s="159">
        <f t="shared" si="34"/>
        <v>90.481409316796075</v>
      </c>
      <c r="P192" s="159">
        <f t="shared" si="34"/>
        <v>97.595861544291125</v>
      </c>
      <c r="Q192" s="159">
        <f t="shared" si="34"/>
        <v>105.27164510494116</v>
      </c>
      <c r="R192" s="159">
        <f t="shared" si="34"/>
        <v>93.187841954612864</v>
      </c>
      <c r="S192" s="159">
        <f t="shared" si="34"/>
        <v>97.716827068910291</v>
      </c>
      <c r="T192" s="159">
        <f t="shared" si="34"/>
        <v>102.46704515958524</v>
      </c>
    </row>
    <row r="193" spans="2:20" x14ac:dyDescent="0.25">
      <c r="B193" s="23" t="s">
        <v>2035</v>
      </c>
      <c r="C193" s="28" t="s">
        <v>493</v>
      </c>
      <c r="E193" s="44" t="s">
        <v>526</v>
      </c>
      <c r="H193" s="159">
        <f t="shared" ref="H193:T193" si="35">H99</f>
        <v>0</v>
      </c>
      <c r="I193" s="159">
        <f t="shared" si="35"/>
        <v>100.31220909619201</v>
      </c>
      <c r="J193" s="159">
        <f t="shared" si="35"/>
        <v>103.32157536907776</v>
      </c>
      <c r="K193" s="159">
        <f t="shared" si="35"/>
        <v>127.70546715618012</v>
      </c>
      <c r="L193" s="159">
        <f t="shared" si="35"/>
        <v>131.53663117086552</v>
      </c>
      <c r="M193" s="159">
        <f t="shared" si="35"/>
        <v>149.03100311659063</v>
      </c>
      <c r="N193" s="159">
        <f t="shared" si="35"/>
        <v>153.50193321008834</v>
      </c>
      <c r="O193" s="159">
        <f t="shared" si="35"/>
        <v>167.59341067877446</v>
      </c>
      <c r="P193" s="159">
        <f t="shared" si="35"/>
        <v>172.6212129991377</v>
      </c>
      <c r="Q193" s="159">
        <f t="shared" si="35"/>
        <v>188.46784035245855</v>
      </c>
      <c r="R193" s="159">
        <f t="shared" si="35"/>
        <v>194.12187556303235</v>
      </c>
      <c r="S193" s="159">
        <f t="shared" si="35"/>
        <v>199.94553182992328</v>
      </c>
      <c r="T193" s="159">
        <f t="shared" si="35"/>
        <v>205.94389778482099</v>
      </c>
    </row>
    <row r="194" spans="2:20" x14ac:dyDescent="0.25">
      <c r="B194" s="23" t="s">
        <v>2036</v>
      </c>
      <c r="C194" s="28" t="s">
        <v>493</v>
      </c>
      <c r="E194" s="44" t="s">
        <v>526</v>
      </c>
      <c r="H194" s="159">
        <f t="shared" ref="H194:T194" si="36">H104</f>
        <v>0</v>
      </c>
      <c r="I194" s="159">
        <f t="shared" si="36"/>
        <v>31.5</v>
      </c>
      <c r="J194" s="159">
        <f t="shared" si="36"/>
        <v>32.445</v>
      </c>
      <c r="K194" s="159">
        <f t="shared" si="36"/>
        <v>33.418349999999997</v>
      </c>
      <c r="L194" s="159">
        <f t="shared" si="36"/>
        <v>34.420900500000002</v>
      </c>
      <c r="M194" s="159">
        <f t="shared" si="36"/>
        <v>35.453527514999998</v>
      </c>
      <c r="N194" s="159">
        <f t="shared" si="36"/>
        <v>36.517133340450002</v>
      </c>
      <c r="O194" s="159">
        <f t="shared" si="36"/>
        <v>37.6126473406635</v>
      </c>
      <c r="P194" s="159">
        <f t="shared" si="36"/>
        <v>38.741026760883415</v>
      </c>
      <c r="Q194" s="159">
        <f t="shared" si="36"/>
        <v>39.903257563709914</v>
      </c>
      <c r="R194" s="159">
        <f t="shared" si="36"/>
        <v>41.100355290621216</v>
      </c>
      <c r="S194" s="159">
        <f t="shared" si="36"/>
        <v>42.33336594933985</v>
      </c>
      <c r="T194" s="159">
        <f t="shared" si="36"/>
        <v>43.603366927820048</v>
      </c>
    </row>
    <row r="195" spans="2:20" x14ac:dyDescent="0.25">
      <c r="B195" s="23" t="s">
        <v>2037</v>
      </c>
      <c r="C195" s="28" t="s">
        <v>493</v>
      </c>
      <c r="E195" s="44" t="s">
        <v>526</v>
      </c>
      <c r="H195" s="159">
        <f t="shared" ref="H195:T195" si="37">H111</f>
        <v>0</v>
      </c>
      <c r="I195" s="159">
        <f t="shared" si="37"/>
        <v>0</v>
      </c>
      <c r="J195" s="159">
        <f t="shared" si="37"/>
        <v>0</v>
      </c>
      <c r="K195" s="159">
        <f t="shared" si="37"/>
        <v>53.023781999999997</v>
      </c>
      <c r="L195" s="159">
        <f t="shared" si="37"/>
        <v>54.614495459999993</v>
      </c>
      <c r="M195" s="159">
        <f t="shared" si="37"/>
        <v>56.252930323800008</v>
      </c>
      <c r="N195" s="159">
        <f t="shared" si="37"/>
        <v>57.940518233513998</v>
      </c>
      <c r="O195" s="159">
        <f t="shared" si="37"/>
        <v>59.67873378051943</v>
      </c>
      <c r="P195" s="159">
        <f t="shared" si="37"/>
        <v>61.469095793935011</v>
      </c>
      <c r="Q195" s="159">
        <f t="shared" si="37"/>
        <v>63.313168667753068</v>
      </c>
      <c r="R195" s="159">
        <f t="shared" si="37"/>
        <v>65.21256372778565</v>
      </c>
      <c r="S195" s="159">
        <f t="shared" si="37"/>
        <v>67.168940639619237</v>
      </c>
      <c r="T195" s="159">
        <f t="shared" si="37"/>
        <v>69.1840088588078</v>
      </c>
    </row>
    <row r="196" spans="2:20" x14ac:dyDescent="0.25">
      <c r="B196" s="23" t="s">
        <v>2038</v>
      </c>
      <c r="C196" s="28" t="s">
        <v>493</v>
      </c>
      <c r="E196" s="44" t="s">
        <v>517</v>
      </c>
      <c r="H196" s="159">
        <f t="shared" ref="H196:T196" si="38">H115</f>
        <v>0</v>
      </c>
      <c r="I196" s="159">
        <f t="shared" si="38"/>
        <v>0</v>
      </c>
      <c r="J196" s="159">
        <f t="shared" si="38"/>
        <v>0</v>
      </c>
      <c r="K196" s="159">
        <f t="shared" si="38"/>
        <v>13.26</v>
      </c>
      <c r="L196" s="159">
        <f t="shared" si="38"/>
        <v>13.26</v>
      </c>
      <c r="M196" s="159">
        <f t="shared" si="38"/>
        <v>13.26</v>
      </c>
      <c r="N196" s="159">
        <f t="shared" si="38"/>
        <v>13.26</v>
      </c>
      <c r="O196" s="159">
        <f t="shared" si="38"/>
        <v>13.26</v>
      </c>
      <c r="P196" s="159">
        <f t="shared" si="38"/>
        <v>13.26</v>
      </c>
      <c r="Q196" s="159">
        <f t="shared" si="38"/>
        <v>13.26</v>
      </c>
      <c r="R196" s="159">
        <f t="shared" si="38"/>
        <v>13.26</v>
      </c>
      <c r="S196" s="159">
        <f t="shared" si="38"/>
        <v>13.26</v>
      </c>
      <c r="T196" s="159">
        <f t="shared" si="38"/>
        <v>13.26</v>
      </c>
    </row>
    <row r="197" spans="2:20" x14ac:dyDescent="0.25">
      <c r="B197" s="23" t="s">
        <v>2039</v>
      </c>
      <c r="C197" s="28" t="s">
        <v>493</v>
      </c>
      <c r="E197" s="44" t="s">
        <v>551</v>
      </c>
      <c r="H197" s="159">
        <f t="shared" ref="H197:T197" si="39">H122</f>
        <v>0</v>
      </c>
      <c r="I197" s="159">
        <f t="shared" si="39"/>
        <v>0</v>
      </c>
      <c r="J197" s="159">
        <f t="shared" si="39"/>
        <v>48.1</v>
      </c>
      <c r="K197" s="159">
        <f t="shared" si="39"/>
        <v>48.1</v>
      </c>
      <c r="L197" s="159">
        <f t="shared" si="39"/>
        <v>48.1</v>
      </c>
      <c r="M197" s="159">
        <f t="shared" si="39"/>
        <v>51.4176</v>
      </c>
      <c r="N197" s="159">
        <f t="shared" si="39"/>
        <v>51.4176</v>
      </c>
      <c r="O197" s="159">
        <f t="shared" si="39"/>
        <v>51.4176</v>
      </c>
      <c r="P197" s="159">
        <f t="shared" si="39"/>
        <v>51.4176</v>
      </c>
      <c r="Q197" s="159">
        <f t="shared" si="39"/>
        <v>54.968199519999999</v>
      </c>
      <c r="R197" s="159">
        <f t="shared" si="39"/>
        <v>54.968199519999999</v>
      </c>
      <c r="S197" s="159">
        <f t="shared" si="39"/>
        <v>54.968199519999999</v>
      </c>
      <c r="T197" s="159">
        <f t="shared" si="39"/>
        <v>54.968199519999999</v>
      </c>
    </row>
    <row r="198" spans="2:20" x14ac:dyDescent="0.25">
      <c r="B198" s="23" t="s">
        <v>2040</v>
      </c>
      <c r="C198" s="28" t="s">
        <v>493</v>
      </c>
      <c r="E198" s="44" t="s">
        <v>556</v>
      </c>
      <c r="H198" s="159">
        <f t="shared" ref="H198:T198" si="40">H129</f>
        <v>0</v>
      </c>
      <c r="I198" s="159">
        <f t="shared" si="40"/>
        <v>0</v>
      </c>
      <c r="J198" s="159">
        <f t="shared" si="40"/>
        <v>0</v>
      </c>
      <c r="K198" s="159">
        <f t="shared" si="40"/>
        <v>0</v>
      </c>
      <c r="L198" s="159">
        <f t="shared" si="40"/>
        <v>58.257839587834397</v>
      </c>
      <c r="M198" s="159">
        <f t="shared" si="40"/>
        <v>76.900348255941608</v>
      </c>
      <c r="N198" s="159">
        <f t="shared" si="40"/>
        <v>84.590383081535748</v>
      </c>
      <c r="O198" s="159">
        <f t="shared" si="40"/>
        <v>102.35436352865807</v>
      </c>
      <c r="P198" s="159">
        <f t="shared" si="40"/>
        <v>108.49562534037757</v>
      </c>
      <c r="Q198" s="159">
        <f t="shared" si="40"/>
        <v>121.90568463244824</v>
      </c>
      <c r="R198" s="159">
        <f t="shared" si="40"/>
        <v>129.22002571039516</v>
      </c>
      <c r="S198" s="159">
        <f t="shared" si="40"/>
        <v>145.19162088820008</v>
      </c>
      <c r="T198" s="159">
        <f t="shared" si="40"/>
        <v>153.90311814149209</v>
      </c>
    </row>
    <row r="199" spans="2:20" x14ac:dyDescent="0.25">
      <c r="B199" s="23" t="s">
        <v>2041</v>
      </c>
      <c r="C199" s="28" t="s">
        <v>493</v>
      </c>
      <c r="E199" s="44" t="s">
        <v>529</v>
      </c>
      <c r="H199" s="159">
        <f t="shared" ref="H199:T199" si="41">H133</f>
        <v>0</v>
      </c>
      <c r="I199" s="159">
        <f t="shared" si="41"/>
        <v>0</v>
      </c>
      <c r="J199" s="159">
        <f t="shared" si="41"/>
        <v>0</v>
      </c>
      <c r="K199" s="159">
        <f t="shared" si="41"/>
        <v>8.7895000000000003</v>
      </c>
      <c r="L199" s="159">
        <f t="shared" si="41"/>
        <v>11.316481250000001</v>
      </c>
      <c r="M199" s="159">
        <f t="shared" si="41"/>
        <v>13.987170825</v>
      </c>
      <c r="N199" s="159">
        <f t="shared" si="41"/>
        <v>16.807916941375002</v>
      </c>
      <c r="O199" s="159">
        <f t="shared" si="41"/>
        <v>19.785319370989999</v>
      </c>
      <c r="P199" s="159">
        <f t="shared" si="41"/>
        <v>22.926238821134685</v>
      </c>
      <c r="Q199" s="159">
        <f t="shared" si="41"/>
        <v>26.237806650854104</v>
      </c>
      <c r="R199" s="159">
        <f t="shared" si="41"/>
        <v>29.727434935417726</v>
      </c>
      <c r="S199" s="159">
        <f t="shared" si="41"/>
        <v>0</v>
      </c>
      <c r="T199" s="159">
        <f t="shared" si="41"/>
        <v>0</v>
      </c>
    </row>
    <row r="200" spans="2:20" x14ac:dyDescent="0.25">
      <c r="B200" s="23" t="s">
        <v>2042</v>
      </c>
      <c r="C200" s="28" t="s">
        <v>493</v>
      </c>
      <c r="E200" s="44" t="s">
        <v>517</v>
      </c>
      <c r="H200" s="159">
        <f t="shared" ref="H200:T200" si="42">H137</f>
        <v>0</v>
      </c>
      <c r="I200" s="159">
        <f t="shared" si="42"/>
        <v>0</v>
      </c>
      <c r="J200" s="159">
        <f t="shared" si="42"/>
        <v>0</v>
      </c>
      <c r="K200" s="159">
        <f t="shared" si="42"/>
        <v>0.7412366694335305</v>
      </c>
      <c r="L200" s="159">
        <f t="shared" si="42"/>
        <v>0.76527376951653636</v>
      </c>
      <c r="M200" s="159">
        <f t="shared" si="42"/>
        <v>0.79003198260203256</v>
      </c>
      <c r="N200" s="159">
        <f t="shared" si="42"/>
        <v>0.81553294208009364</v>
      </c>
      <c r="O200" s="159">
        <f t="shared" si="42"/>
        <v>0.84179893034249653</v>
      </c>
      <c r="P200" s="159">
        <f t="shared" si="42"/>
        <v>0.86885289825277123</v>
      </c>
      <c r="Q200" s="159">
        <f t="shared" si="42"/>
        <v>0.89671848520035446</v>
      </c>
      <c r="R200" s="159">
        <f t="shared" si="42"/>
        <v>0.92542003975636511</v>
      </c>
      <c r="S200" s="159">
        <f t="shared" si="42"/>
        <v>0.95498264094905594</v>
      </c>
      <c r="T200" s="159">
        <f t="shared" si="42"/>
        <v>0.98543212017752757</v>
      </c>
    </row>
    <row r="201" spans="2:20" x14ac:dyDescent="0.25">
      <c r="B201" s="23" t="s">
        <v>2043</v>
      </c>
      <c r="C201" s="28" t="s">
        <v>493</v>
      </c>
      <c r="E201" s="44" t="s">
        <v>526</v>
      </c>
      <c r="H201" s="159">
        <f t="shared" ref="H201:T201" si="43">H140</f>
        <v>0</v>
      </c>
      <c r="I201" s="159">
        <f t="shared" si="43"/>
        <v>0</v>
      </c>
      <c r="J201" s="159">
        <f t="shared" si="43"/>
        <v>0</v>
      </c>
      <c r="K201" s="159">
        <f t="shared" si="43"/>
        <v>1.560414156</v>
      </c>
      <c r="L201" s="159">
        <f t="shared" si="43"/>
        <v>1.6072265806800003</v>
      </c>
      <c r="M201" s="159">
        <f t="shared" si="43"/>
        <v>1.6554433781004003</v>
      </c>
      <c r="N201" s="159">
        <f t="shared" si="43"/>
        <v>1.7051066794434122</v>
      </c>
      <c r="O201" s="159">
        <f t="shared" si="43"/>
        <v>1.7562598798267148</v>
      </c>
      <c r="P201" s="159">
        <f t="shared" si="43"/>
        <v>1.8089476762215162</v>
      </c>
      <c r="Q201" s="159">
        <f t="shared" si="43"/>
        <v>1.8632161065081616</v>
      </c>
      <c r="R201" s="159">
        <f t="shared" si="43"/>
        <v>1.9191125897034065</v>
      </c>
      <c r="S201" s="159">
        <f t="shared" si="43"/>
        <v>1.9766859673945087</v>
      </c>
      <c r="T201" s="159">
        <f t="shared" si="43"/>
        <v>2.035986546416344</v>
      </c>
    </row>
    <row r="202" spans="2:20" x14ac:dyDescent="0.25">
      <c r="B202" s="23" t="s">
        <v>2044</v>
      </c>
      <c r="C202" s="28" t="s">
        <v>493</v>
      </c>
      <c r="E202" s="44" t="s">
        <v>556</v>
      </c>
      <c r="H202" s="159">
        <f t="shared" ref="H202:T202" si="44">H143</f>
        <v>0</v>
      </c>
      <c r="I202" s="159">
        <f t="shared" si="44"/>
        <v>0</v>
      </c>
      <c r="J202" s="159">
        <f t="shared" si="44"/>
        <v>0</v>
      </c>
      <c r="K202" s="159">
        <f t="shared" si="44"/>
        <v>0</v>
      </c>
      <c r="L202" s="159">
        <f t="shared" si="44"/>
        <v>0.46400000000000002</v>
      </c>
      <c r="M202" s="159">
        <f t="shared" si="44"/>
        <v>0.51040000000000008</v>
      </c>
      <c r="N202" s="159">
        <f t="shared" si="44"/>
        <v>0.56144000000000016</v>
      </c>
      <c r="O202" s="159">
        <f t="shared" si="44"/>
        <v>0.61758400000000013</v>
      </c>
      <c r="P202" s="159">
        <f t="shared" si="44"/>
        <v>0.65463904000000028</v>
      </c>
      <c r="Q202" s="159">
        <f t="shared" si="44"/>
        <v>0.69391738240000034</v>
      </c>
      <c r="R202" s="159">
        <f t="shared" si="44"/>
        <v>0.73555242534400034</v>
      </c>
      <c r="S202" s="159">
        <f t="shared" si="44"/>
        <v>0.77968557086464041</v>
      </c>
      <c r="T202" s="159">
        <f t="shared" si="44"/>
        <v>0.82646670511651898</v>
      </c>
    </row>
    <row r="203" spans="2:20" x14ac:dyDescent="0.25">
      <c r="B203" s="23" t="s">
        <v>2045</v>
      </c>
      <c r="C203" s="28" t="s">
        <v>493</v>
      </c>
      <c r="E203" s="44" t="s">
        <v>529</v>
      </c>
      <c r="H203" s="159">
        <f t="shared" ref="H203:T203" si="45">H146</f>
        <v>0</v>
      </c>
      <c r="I203" s="159">
        <f t="shared" si="45"/>
        <v>0</v>
      </c>
      <c r="J203" s="159">
        <f t="shared" si="45"/>
        <v>0</v>
      </c>
      <c r="K203" s="159">
        <f t="shared" si="45"/>
        <v>0.45074988749999995</v>
      </c>
      <c r="L203" s="159">
        <f t="shared" si="45"/>
        <v>0.4642723841250001</v>
      </c>
      <c r="M203" s="159">
        <f t="shared" si="45"/>
        <v>0.47820055564875008</v>
      </c>
      <c r="N203" s="159">
        <f t="shared" si="45"/>
        <v>0.49254657231821258</v>
      </c>
      <c r="O203" s="159">
        <f t="shared" si="45"/>
        <v>0.50732296948775901</v>
      </c>
      <c r="P203" s="159">
        <f t="shared" si="45"/>
        <v>0.52254265857239179</v>
      </c>
      <c r="Q203" s="159">
        <f t="shared" si="45"/>
        <v>0.53821893832956347</v>
      </c>
      <c r="R203" s="159">
        <f t="shared" si="45"/>
        <v>0.55436550647945038</v>
      </c>
      <c r="S203" s="159">
        <f t="shared" si="45"/>
        <v>0.57099647167383394</v>
      </c>
      <c r="T203" s="159">
        <f t="shared" si="45"/>
        <v>0.58812636582404909</v>
      </c>
    </row>
    <row r="204" spans="2:20" x14ac:dyDescent="0.25">
      <c r="B204" s="23" t="s">
        <v>2046</v>
      </c>
      <c r="C204" s="28" t="s">
        <v>493</v>
      </c>
      <c r="E204" s="44" t="s">
        <v>517</v>
      </c>
      <c r="H204" s="29">
        <f>'BUMN Synergy Calculation'!H34</f>
        <v>0</v>
      </c>
      <c r="I204" s="29">
        <f>'BUMN Synergy Calculation'!I34</f>
        <v>0</v>
      </c>
      <c r="J204" s="29">
        <f>'BUMN Synergy Calculation'!J34</f>
        <v>58.263931502782945</v>
      </c>
      <c r="K204" s="29">
        <f>'BUMN Synergy Calculation'!K34</f>
        <v>60.011849447866439</v>
      </c>
      <c r="L204" s="29">
        <f>'BUMN Synergy Calculation'!L34</f>
        <v>61.812204931302446</v>
      </c>
      <c r="M204" s="29">
        <f>'BUMN Synergy Calculation'!M34</f>
        <v>63.666571079241514</v>
      </c>
      <c r="N204" s="29">
        <f>'BUMN Synergy Calculation'!N34</f>
        <v>65.576568211618763</v>
      </c>
      <c r="O204" s="29">
        <f>'BUMN Synergy Calculation'!O34</f>
        <v>67.543865257967326</v>
      </c>
      <c r="P204" s="29">
        <f>'BUMN Synergy Calculation'!P34</f>
        <v>69.570181215706327</v>
      </c>
      <c r="Q204" s="29">
        <f>'BUMN Synergy Calculation'!Q34</f>
        <v>71.657286652177532</v>
      </c>
      <c r="R204" s="29">
        <f>'BUMN Synergy Calculation'!R34</f>
        <v>73.807005251742865</v>
      </c>
      <c r="S204" s="29">
        <f>'BUMN Synergy Calculation'!S34</f>
        <v>76.021215409295152</v>
      </c>
      <c r="T204" s="29">
        <f>'BUMN Synergy Calculation'!T34</f>
        <v>78.301851871574002</v>
      </c>
    </row>
    <row r="205" spans="2:20" x14ac:dyDescent="0.25">
      <c r="B205" s="23" t="s">
        <v>2047</v>
      </c>
      <c r="C205" s="28" t="s">
        <v>493</v>
      </c>
      <c r="E205" s="44" t="s">
        <v>526</v>
      </c>
      <c r="H205" s="29">
        <f>'BUMN Synergy Calculation'!H59</f>
        <v>0</v>
      </c>
      <c r="I205" s="29">
        <f>'BUMN Synergy Calculation'!I59</f>
        <v>0</v>
      </c>
      <c r="J205" s="29">
        <f>'BUMN Synergy Calculation'!J59</f>
        <v>56.428050432585771</v>
      </c>
      <c r="K205" s="29">
        <f>'BUMN Synergy Calculation'!K59</f>
        <v>58.120891945563343</v>
      </c>
      <c r="L205" s="29">
        <f>'BUMN Synergy Calculation'!L59</f>
        <v>59.864518703930244</v>
      </c>
      <c r="M205" s="29">
        <f>'BUMN Synergy Calculation'!M59</f>
        <v>61.660454265048159</v>
      </c>
      <c r="N205" s="29">
        <f>'BUMN Synergy Calculation'!N59</f>
        <v>63.510267892999593</v>
      </c>
      <c r="O205" s="29">
        <f>'BUMN Synergy Calculation'!O59</f>
        <v>65.415575929789583</v>
      </c>
      <c r="P205" s="29">
        <f>'BUMN Synergy Calculation'!P59</f>
        <v>67.378043207683277</v>
      </c>
      <c r="Q205" s="29">
        <f>'BUMN Synergy Calculation'!Q59</f>
        <v>69.399384503913794</v>
      </c>
      <c r="R205" s="29">
        <f>'BUMN Synergy Calculation'!R59</f>
        <v>71.481366039031201</v>
      </c>
      <c r="S205" s="29">
        <f>'BUMN Synergy Calculation'!S59</f>
        <v>73.625807020202117</v>
      </c>
      <c r="T205" s="29">
        <f>'BUMN Synergy Calculation'!T59</f>
        <v>75.834581230808197</v>
      </c>
    </row>
    <row r="206" spans="2:20" x14ac:dyDescent="0.25">
      <c r="B206" s="23" t="s">
        <v>2048</v>
      </c>
      <c r="C206" s="28" t="s">
        <v>493</v>
      </c>
      <c r="E206" s="44" t="s">
        <v>529</v>
      </c>
      <c r="H206" s="29">
        <f>'BUMN Synergy Calculation'!H81</f>
        <v>0</v>
      </c>
      <c r="I206" s="29">
        <f>'BUMN Synergy Calculation'!I81</f>
        <v>0</v>
      </c>
      <c r="J206" s="29">
        <f>'BUMN Synergy Calculation'!J81</f>
        <v>12.801825412820563</v>
      </c>
      <c r="K206" s="29">
        <f>'BUMN Synergy Calculation'!K81</f>
        <v>16.403733045490299</v>
      </c>
      <c r="L206" s="29">
        <f>'BUMN Synergy Calculation'!L81</f>
        <v>17.603772668317738</v>
      </c>
      <c r="M206" s="29">
        <f>'BUMN Synergy Calculation'!M81</f>
        <v>18.815679583302856</v>
      </c>
      <c r="N206" s="29">
        <f>'BUMN Synergy Calculation'!N81</f>
        <v>20.039809809210389</v>
      </c>
      <c r="O206" s="29">
        <f>'BUMN Synergy Calculation'!O81</f>
        <v>21.276530045368016</v>
      </c>
      <c r="P206" s="29">
        <f>'BUMN Synergy Calculation'!P81</f>
        <v>22.526217992083229</v>
      </c>
      <c r="Q206" s="29">
        <f>'BUMN Synergy Calculation'!Q81</f>
        <v>23.78926268067276</v>
      </c>
      <c r="R206" s="29">
        <f>'BUMN Synergy Calculation'!R81</f>
        <v>25.066064813392838</v>
      </c>
      <c r="S206" s="29">
        <f>'BUMN Synergy Calculation'!S81</f>
        <v>16.703478502712024</v>
      </c>
      <c r="T206" s="29">
        <f>'BUMN Synergy Calculation'!T81</f>
        <v>17.204582857793383</v>
      </c>
    </row>
    <row r="207" spans="2:20" x14ac:dyDescent="0.25">
      <c r="B207" s="23" t="s">
        <v>2049</v>
      </c>
      <c r="C207" s="28" t="s">
        <v>493</v>
      </c>
      <c r="E207" s="44" t="s">
        <v>583</v>
      </c>
      <c r="H207" s="159">
        <f t="shared" ref="H207:T207" si="46">H157</f>
        <v>0</v>
      </c>
      <c r="I207" s="159">
        <f t="shared" si="46"/>
        <v>0</v>
      </c>
      <c r="J207" s="159">
        <f t="shared" si="46"/>
        <v>0</v>
      </c>
      <c r="K207" s="159">
        <f t="shared" si="46"/>
        <v>0</v>
      </c>
      <c r="L207" s="159">
        <f t="shared" si="46"/>
        <v>0</v>
      </c>
      <c r="M207" s="159">
        <f t="shared" si="46"/>
        <v>0</v>
      </c>
      <c r="N207" s="159">
        <f t="shared" si="46"/>
        <v>0</v>
      </c>
      <c r="O207" s="159">
        <f t="shared" si="46"/>
        <v>0</v>
      </c>
      <c r="P207" s="159">
        <f t="shared" si="46"/>
        <v>0</v>
      </c>
      <c r="Q207" s="159">
        <f t="shared" si="46"/>
        <v>0</v>
      </c>
      <c r="R207" s="159">
        <f t="shared" si="46"/>
        <v>0</v>
      </c>
      <c r="S207" s="159">
        <f t="shared" si="46"/>
        <v>0</v>
      </c>
      <c r="T207" s="159">
        <f t="shared" si="46"/>
        <v>0</v>
      </c>
    </row>
    <row r="208" spans="2:20" x14ac:dyDescent="0.25">
      <c r="B208" s="23" t="str">
        <f>"P16  "&amp;Inputs!$E$605</f>
        <v>P16  Lampung</v>
      </c>
      <c r="C208" s="28" t="s">
        <v>493</v>
      </c>
      <c r="E208" s="44" t="s">
        <v>587</v>
      </c>
      <c r="H208" s="159">
        <f t="shared" ref="H208:T208" si="47">H163</f>
        <v>0</v>
      </c>
      <c r="I208" s="159">
        <f t="shared" si="47"/>
        <v>0</v>
      </c>
      <c r="J208" s="159">
        <f t="shared" si="47"/>
        <v>0</v>
      </c>
      <c r="K208" s="159">
        <f t="shared" si="47"/>
        <v>0</v>
      </c>
      <c r="L208" s="159">
        <f t="shared" si="47"/>
        <v>0</v>
      </c>
      <c r="M208" s="159">
        <f t="shared" si="47"/>
        <v>0</v>
      </c>
      <c r="N208" s="159">
        <f t="shared" si="47"/>
        <v>0</v>
      </c>
      <c r="O208" s="159">
        <f t="shared" si="47"/>
        <v>0</v>
      </c>
      <c r="P208" s="159">
        <f t="shared" si="47"/>
        <v>0</v>
      </c>
      <c r="Q208" s="159">
        <f t="shared" si="47"/>
        <v>0</v>
      </c>
      <c r="R208" s="159">
        <f t="shared" si="47"/>
        <v>0</v>
      </c>
      <c r="S208" s="159">
        <f t="shared" si="47"/>
        <v>0</v>
      </c>
      <c r="T208" s="159">
        <f t="shared" si="47"/>
        <v>0</v>
      </c>
    </row>
    <row r="209" spans="2:20" x14ac:dyDescent="0.25">
      <c r="B209" s="23" t="str">
        <f>"P17  "&amp;Inputs!$E$639</f>
        <v>P17  Pipeline Project 2</v>
      </c>
      <c r="C209" s="28" t="s">
        <v>493</v>
      </c>
      <c r="E209" s="44" t="s">
        <v>590</v>
      </c>
      <c r="H209" s="159">
        <f t="shared" ref="H209:T209" si="48">H167</f>
        <v>0</v>
      </c>
      <c r="I209" s="159">
        <f t="shared" si="48"/>
        <v>0</v>
      </c>
      <c r="J209" s="159">
        <f t="shared" si="48"/>
        <v>0</v>
      </c>
      <c r="K209" s="159">
        <f t="shared" si="48"/>
        <v>0</v>
      </c>
      <c r="L209" s="159">
        <f t="shared" si="48"/>
        <v>0</v>
      </c>
      <c r="M209" s="159">
        <f t="shared" si="48"/>
        <v>0</v>
      </c>
      <c r="N209" s="159">
        <f t="shared" si="48"/>
        <v>0</v>
      </c>
      <c r="O209" s="159">
        <f t="shared" si="48"/>
        <v>0</v>
      </c>
      <c r="P209" s="159">
        <f t="shared" si="48"/>
        <v>0</v>
      </c>
      <c r="Q209" s="159">
        <f t="shared" si="48"/>
        <v>0</v>
      </c>
      <c r="R209" s="159">
        <f t="shared" si="48"/>
        <v>0</v>
      </c>
      <c r="S209" s="159">
        <f t="shared" si="48"/>
        <v>0</v>
      </c>
      <c r="T209" s="159">
        <f t="shared" si="48"/>
        <v>0</v>
      </c>
    </row>
    <row r="210" spans="2:20" x14ac:dyDescent="0.25">
      <c r="B210" s="23" t="str">
        <f>"P18  "&amp;Inputs!$E$673</f>
        <v>P18  Pipeline Project 3</v>
      </c>
      <c r="C210" s="28" t="s">
        <v>493</v>
      </c>
      <c r="E210" s="44" t="s">
        <v>592</v>
      </c>
      <c r="H210" s="159">
        <f t="shared" ref="H210:T210" si="49">H171</f>
        <v>0</v>
      </c>
      <c r="I210" s="159">
        <f t="shared" si="49"/>
        <v>0</v>
      </c>
      <c r="J210" s="159">
        <f t="shared" si="49"/>
        <v>0</v>
      </c>
      <c r="K210" s="159">
        <f t="shared" si="49"/>
        <v>0</v>
      </c>
      <c r="L210" s="159">
        <f t="shared" si="49"/>
        <v>0</v>
      </c>
      <c r="M210" s="159">
        <f t="shared" si="49"/>
        <v>0</v>
      </c>
      <c r="N210" s="159">
        <f t="shared" si="49"/>
        <v>0</v>
      </c>
      <c r="O210" s="159">
        <f t="shared" si="49"/>
        <v>0</v>
      </c>
      <c r="P210" s="159">
        <f t="shared" si="49"/>
        <v>0</v>
      </c>
      <c r="Q210" s="159">
        <f t="shared" si="49"/>
        <v>0</v>
      </c>
      <c r="R210" s="159">
        <f t="shared" si="49"/>
        <v>0</v>
      </c>
      <c r="S210" s="159">
        <f t="shared" si="49"/>
        <v>0</v>
      </c>
      <c r="T210" s="159">
        <f t="shared" si="49"/>
        <v>0</v>
      </c>
    </row>
    <row r="211" spans="2:20" x14ac:dyDescent="0.25">
      <c r="B211" s="23" t="s">
        <v>2050</v>
      </c>
      <c r="C211" s="28" t="s">
        <v>493</v>
      </c>
      <c r="E211" s="44" t="s">
        <v>596</v>
      </c>
      <c r="H211" s="159">
        <f t="shared" ref="H211:T211" si="50">H186</f>
        <v>0</v>
      </c>
      <c r="I211" s="159">
        <f t="shared" si="50"/>
        <v>0</v>
      </c>
      <c r="J211" s="159">
        <f t="shared" si="50"/>
        <v>0</v>
      </c>
      <c r="K211" s="159">
        <f t="shared" si="50"/>
        <v>0</v>
      </c>
      <c r="L211" s="159">
        <f t="shared" si="50"/>
        <v>0</v>
      </c>
      <c r="M211" s="159">
        <f t="shared" si="50"/>
        <v>31.184999999999999</v>
      </c>
      <c r="N211" s="159">
        <f t="shared" si="50"/>
        <v>39.69</v>
      </c>
      <c r="O211" s="159">
        <f t="shared" si="50"/>
        <v>45.36</v>
      </c>
      <c r="P211" s="159">
        <f t="shared" si="50"/>
        <v>48.195</v>
      </c>
      <c r="Q211" s="159">
        <f t="shared" si="50"/>
        <v>48.195</v>
      </c>
      <c r="R211" s="159">
        <f t="shared" si="50"/>
        <v>48.195</v>
      </c>
      <c r="S211" s="159">
        <f t="shared" si="50"/>
        <v>48.195</v>
      </c>
      <c r="T211" s="159">
        <f t="shared" si="50"/>
        <v>48.195</v>
      </c>
    </row>
    <row r="212" spans="2:20" x14ac:dyDescent="0.25">
      <c r="B212" s="21" t="s">
        <v>2051</v>
      </c>
      <c r="C212" s="28" t="s">
        <v>493</v>
      </c>
      <c r="H212" s="160">
        <f t="shared" ref="H212:T212" si="51">SUM(H189:H192)</f>
        <v>305.28863657531394</v>
      </c>
      <c r="I212" s="160">
        <f t="shared" si="51"/>
        <v>295.79065737412441</v>
      </c>
      <c r="J212" s="160">
        <f t="shared" si="51"/>
        <v>310.70450356926176</v>
      </c>
      <c r="K212" s="160">
        <f t="shared" si="51"/>
        <v>332.87685856755922</v>
      </c>
      <c r="L212" s="160">
        <f t="shared" si="51"/>
        <v>347.2219600190042</v>
      </c>
      <c r="M212" s="160">
        <f t="shared" si="51"/>
        <v>374.0276763507361</v>
      </c>
      <c r="N212" s="160">
        <f t="shared" si="51"/>
        <v>390.2801222577998</v>
      </c>
      <c r="O212" s="160">
        <f t="shared" si="51"/>
        <v>411.78209785796975</v>
      </c>
      <c r="P212" s="160">
        <f t="shared" si="51"/>
        <v>436.06889279615575</v>
      </c>
      <c r="Q212" s="160">
        <f t="shared" si="51"/>
        <v>460.32797497157696</v>
      </c>
      <c r="R212" s="160">
        <f t="shared" si="51"/>
        <v>460.48262553247434</v>
      </c>
      <c r="S212" s="160">
        <f t="shared" si="51"/>
        <v>477.71385188568161</v>
      </c>
      <c r="T212" s="160">
        <f t="shared" si="51"/>
        <v>495.64989737428641</v>
      </c>
    </row>
    <row r="213" spans="2:20" x14ac:dyDescent="0.25">
      <c r="B213" s="21" t="s">
        <v>2052</v>
      </c>
      <c r="C213" s="28" t="s">
        <v>493</v>
      </c>
      <c r="H213" s="160">
        <f t="shared" ref="H213:T213" si="52">SUM(H193:H203)+SUM(H207:H211)</f>
        <v>0</v>
      </c>
      <c r="I213" s="160">
        <f t="shared" si="52"/>
        <v>131.81220909619202</v>
      </c>
      <c r="J213" s="160">
        <f t="shared" si="52"/>
        <v>183.86657536907776</v>
      </c>
      <c r="K213" s="160">
        <f t="shared" si="52"/>
        <v>287.04949986911362</v>
      </c>
      <c r="L213" s="160">
        <f t="shared" si="52"/>
        <v>354.80712070302144</v>
      </c>
      <c r="M213" s="160">
        <f t="shared" si="52"/>
        <v>430.92165595268347</v>
      </c>
      <c r="N213" s="160">
        <f t="shared" si="52"/>
        <v>457.3001110008048</v>
      </c>
      <c r="O213" s="160">
        <f t="shared" si="52"/>
        <v>500.78504047926242</v>
      </c>
      <c r="P213" s="160">
        <f t="shared" si="52"/>
        <v>520.9807819885151</v>
      </c>
      <c r="Q213" s="160">
        <f t="shared" si="52"/>
        <v>560.243028299662</v>
      </c>
      <c r="R213" s="160">
        <f t="shared" si="52"/>
        <v>579.93990530853546</v>
      </c>
      <c r="S213" s="160">
        <f t="shared" si="52"/>
        <v>575.3450094779646</v>
      </c>
      <c r="T213" s="160">
        <f t="shared" si="52"/>
        <v>593.49360297047531</v>
      </c>
    </row>
    <row r="214" spans="2:20" ht="26.25" customHeight="1" x14ac:dyDescent="0.25">
      <c r="B214" s="133" t="s">
        <v>2053</v>
      </c>
      <c r="C214" s="28" t="s">
        <v>493</v>
      </c>
      <c r="G214" s="157"/>
      <c r="H214" s="158">
        <f t="shared" ref="H214:T214" si="53">H212+H213</f>
        <v>305.28863657531394</v>
      </c>
      <c r="I214" s="158">
        <f t="shared" si="53"/>
        <v>427.60286647031643</v>
      </c>
      <c r="J214" s="158">
        <f t="shared" si="53"/>
        <v>494.5710789383395</v>
      </c>
      <c r="K214" s="158">
        <f t="shared" si="53"/>
        <v>619.9263584366729</v>
      </c>
      <c r="L214" s="158">
        <f t="shared" si="53"/>
        <v>702.02908072202558</v>
      </c>
      <c r="M214" s="158">
        <f t="shared" si="53"/>
        <v>804.94933230341962</v>
      </c>
      <c r="N214" s="158">
        <f t="shared" si="53"/>
        <v>847.58023325860461</v>
      </c>
      <c r="O214" s="158">
        <f t="shared" si="53"/>
        <v>912.56713833723211</v>
      </c>
      <c r="P214" s="158">
        <f t="shared" si="53"/>
        <v>957.04967478467086</v>
      </c>
      <c r="Q214" s="158">
        <f t="shared" si="53"/>
        <v>1020.571003271239</v>
      </c>
      <c r="R214" s="158">
        <f t="shared" si="53"/>
        <v>1040.4225308410098</v>
      </c>
      <c r="S214" s="158">
        <f t="shared" si="53"/>
        <v>1053.0588613636462</v>
      </c>
      <c r="T214" s="158">
        <f t="shared" si="53"/>
        <v>1089.1435003447618</v>
      </c>
    </row>
    <row r="215" spans="2:20" ht="26.25" customHeight="1" x14ac:dyDescent="0.25">
      <c r="B215" s="133" t="s">
        <v>2054</v>
      </c>
      <c r="C215" s="28" t="s">
        <v>493</v>
      </c>
      <c r="H215" s="160">
        <f t="shared" ref="H215:T215" si="54">SUM(H204:H206)</f>
        <v>0</v>
      </c>
      <c r="I215" s="160">
        <f t="shared" si="54"/>
        <v>0</v>
      </c>
      <c r="J215" s="160">
        <f t="shared" si="54"/>
        <v>127.49380734818928</v>
      </c>
      <c r="K215" s="160">
        <f t="shared" si="54"/>
        <v>134.5364744389201</v>
      </c>
      <c r="L215" s="160">
        <f t="shared" si="54"/>
        <v>139.28049630355042</v>
      </c>
      <c r="M215" s="160">
        <f t="shared" si="54"/>
        <v>144.14270492759252</v>
      </c>
      <c r="N215" s="160">
        <f t="shared" si="54"/>
        <v>149.12664591382875</v>
      </c>
      <c r="O215" s="160">
        <f t="shared" si="54"/>
        <v>154.23597123312493</v>
      </c>
      <c r="P215" s="160">
        <f t="shared" si="54"/>
        <v>159.47444241547282</v>
      </c>
      <c r="Q215" s="160">
        <f t="shared" si="54"/>
        <v>164.84593383676409</v>
      </c>
      <c r="R215" s="160">
        <f t="shared" si="54"/>
        <v>170.35443610416692</v>
      </c>
      <c r="S215" s="160">
        <f t="shared" si="54"/>
        <v>166.35050093220929</v>
      </c>
      <c r="T215" s="160">
        <f t="shared" si="54"/>
        <v>171.34101596017558</v>
      </c>
    </row>
    <row r="216" spans="2:20" ht="26.25" customHeight="1" x14ac:dyDescent="0.25">
      <c r="B216" s="133" t="s">
        <v>2055</v>
      </c>
      <c r="C216" s="28" t="s">
        <v>493</v>
      </c>
      <c r="G216" s="157"/>
      <c r="H216" s="158">
        <f t="shared" ref="H216:T216" si="55">H214+H215</f>
        <v>305.28863657531394</v>
      </c>
      <c r="I216" s="158">
        <f t="shared" si="55"/>
        <v>427.60286647031643</v>
      </c>
      <c r="J216" s="158">
        <f t="shared" si="55"/>
        <v>622.0648862865288</v>
      </c>
      <c r="K216" s="158">
        <f t="shared" si="55"/>
        <v>754.46283287559299</v>
      </c>
      <c r="L216" s="158">
        <f t="shared" si="55"/>
        <v>841.309577025576</v>
      </c>
      <c r="M216" s="158">
        <f t="shared" si="55"/>
        <v>949.09203723101211</v>
      </c>
      <c r="N216" s="158">
        <f t="shared" si="55"/>
        <v>996.70687917243333</v>
      </c>
      <c r="O216" s="158">
        <f t="shared" si="55"/>
        <v>1066.803109570357</v>
      </c>
      <c r="P216" s="158">
        <f t="shared" si="55"/>
        <v>1116.5241172001438</v>
      </c>
      <c r="Q216" s="158">
        <f t="shared" si="55"/>
        <v>1185.4169371080031</v>
      </c>
      <c r="R216" s="158">
        <f t="shared" si="55"/>
        <v>1210.7769669451768</v>
      </c>
      <c r="S216" s="158">
        <f t="shared" si="55"/>
        <v>1219.4093622958555</v>
      </c>
      <c r="T216" s="158">
        <f t="shared" si="55"/>
        <v>1260.4845163049374</v>
      </c>
    </row>
    <row r="217" spans="2:20" x14ac:dyDescent="0.25">
      <c r="B217" s="23" t="s">
        <v>2056</v>
      </c>
      <c r="C217" s="28" t="s">
        <v>493</v>
      </c>
      <c r="H217" s="161">
        <f t="shared" ref="H217:T217" si="56">ROUND(SUM(H189:H211)-H216,6)</f>
        <v>0</v>
      </c>
      <c r="I217" s="161">
        <f t="shared" si="56"/>
        <v>0</v>
      </c>
      <c r="J217" s="161">
        <f t="shared" si="56"/>
        <v>0</v>
      </c>
      <c r="K217" s="161">
        <f t="shared" si="56"/>
        <v>0</v>
      </c>
      <c r="L217" s="161">
        <f t="shared" si="56"/>
        <v>0</v>
      </c>
      <c r="M217" s="161">
        <f t="shared" si="56"/>
        <v>0</v>
      </c>
      <c r="N217" s="161">
        <f t="shared" si="56"/>
        <v>0</v>
      </c>
      <c r="O217" s="161">
        <f t="shared" si="56"/>
        <v>0</v>
      </c>
      <c r="P217" s="161">
        <f t="shared" si="56"/>
        <v>0</v>
      </c>
      <c r="Q217" s="161">
        <f t="shared" si="56"/>
        <v>0</v>
      </c>
      <c r="R217" s="161">
        <f t="shared" si="56"/>
        <v>0</v>
      </c>
      <c r="S217" s="161">
        <f t="shared" si="56"/>
        <v>0</v>
      </c>
      <c r="T217" s="161">
        <f t="shared" si="56"/>
        <v>0</v>
      </c>
    </row>
    <row r="218" spans="2:20" x14ac:dyDescent="0.25">
      <c r="B218" s="154" t="s">
        <v>2057</v>
      </c>
    </row>
    <row r="219" spans="2:20" x14ac:dyDescent="0.25">
      <c r="B219" s="23" t="s">
        <v>2058</v>
      </c>
      <c r="C219" s="28" t="s">
        <v>630</v>
      </c>
      <c r="H219" s="108">
        <f t="shared" ref="H219:T219" si="57">H38</f>
        <v>3666225.2759999996</v>
      </c>
      <c r="I219" s="108">
        <f t="shared" si="57"/>
        <v>3776212.0342799998</v>
      </c>
      <c r="J219" s="108">
        <f t="shared" si="57"/>
        <v>3889498.3953083996</v>
      </c>
      <c r="K219" s="108">
        <f t="shared" si="57"/>
        <v>4006183.3471676521</v>
      </c>
      <c r="L219" s="108">
        <f t="shared" si="57"/>
        <v>4126368.847582682</v>
      </c>
      <c r="M219" s="108">
        <f t="shared" si="57"/>
        <v>4250159.9130101623</v>
      </c>
      <c r="N219" s="108">
        <f t="shared" si="57"/>
        <v>4377664.7104004677</v>
      </c>
      <c r="O219" s="108">
        <f t="shared" si="57"/>
        <v>4508994.6517124819</v>
      </c>
      <c r="P219" s="108">
        <f t="shared" si="57"/>
        <v>4644264.4912638562</v>
      </c>
      <c r="Q219" s="108">
        <f t="shared" si="57"/>
        <v>4783592.4260017723</v>
      </c>
      <c r="R219" s="108">
        <f t="shared" si="57"/>
        <v>4927100.1987818247</v>
      </c>
      <c r="S219" s="108">
        <f t="shared" si="57"/>
        <v>5074913.2047452796</v>
      </c>
      <c r="T219" s="108">
        <f t="shared" si="57"/>
        <v>5227160.6008876376</v>
      </c>
    </row>
    <row r="220" spans="2:20" x14ac:dyDescent="0.25">
      <c r="B220" s="23" t="s">
        <v>2059</v>
      </c>
      <c r="C220" s="28" t="s">
        <v>630</v>
      </c>
      <c r="H220" s="108">
        <f t="shared" ref="H220:T220" si="58">H45+H97</f>
        <v>1100000</v>
      </c>
      <c r="I220" s="108">
        <f t="shared" si="58"/>
        <v>3582985.568</v>
      </c>
      <c r="J220" s="108">
        <f t="shared" si="58"/>
        <v>3690475.1350400001</v>
      </c>
      <c r="K220" s="108">
        <f t="shared" si="58"/>
        <v>3801189.3890912002</v>
      </c>
      <c r="L220" s="108">
        <f t="shared" si="58"/>
        <v>3915225.0707639363</v>
      </c>
      <c r="M220" s="108">
        <f t="shared" si="58"/>
        <v>4032681.8228868544</v>
      </c>
      <c r="N220" s="108">
        <f t="shared" si="58"/>
        <v>4153662.2775734598</v>
      </c>
      <c r="O220" s="108">
        <f t="shared" si="58"/>
        <v>4278272.1459006639</v>
      </c>
      <c r="P220" s="108">
        <f t="shared" si="58"/>
        <v>4406620.3102776837</v>
      </c>
      <c r="Q220" s="108">
        <f t="shared" si="58"/>
        <v>4538818.9195860149</v>
      </c>
      <c r="R220" s="108">
        <f t="shared" si="58"/>
        <v>4674983.4871735955</v>
      </c>
      <c r="S220" s="108">
        <f t="shared" si="58"/>
        <v>4815232.9917888027</v>
      </c>
      <c r="T220" s="108">
        <f t="shared" si="58"/>
        <v>4959689.9815424671</v>
      </c>
    </row>
    <row r="221" spans="2:20" x14ac:dyDescent="0.25">
      <c r="B221" s="23" t="s">
        <v>2060</v>
      </c>
      <c r="C221" s="28" t="s">
        <v>630</v>
      </c>
      <c r="H221" s="108">
        <f t="shared" ref="H221:T221" si="59">H51+H132</f>
        <v>750000</v>
      </c>
      <c r="I221" s="108">
        <f t="shared" si="59"/>
        <v>772500</v>
      </c>
      <c r="J221" s="108">
        <f t="shared" si="59"/>
        <v>795675</v>
      </c>
      <c r="K221" s="108">
        <f t="shared" si="59"/>
        <v>1019545.25</v>
      </c>
      <c r="L221" s="108">
        <f t="shared" si="59"/>
        <v>1094131.6075000002</v>
      </c>
      <c r="M221" s="108">
        <f t="shared" si="59"/>
        <v>1169455.5557250001</v>
      </c>
      <c r="N221" s="108">
        <f t="shared" si="59"/>
        <v>1245539.22239675</v>
      </c>
      <c r="O221" s="108">
        <f t="shared" si="59"/>
        <v>1322405.3990686527</v>
      </c>
      <c r="P221" s="108">
        <f t="shared" si="59"/>
        <v>1400077.5610407123</v>
      </c>
      <c r="Q221" s="108">
        <f t="shared" si="59"/>
        <v>1478579.8878719336</v>
      </c>
      <c r="R221" s="108">
        <f t="shared" si="59"/>
        <v>1557937.2845080916</v>
      </c>
      <c r="S221" s="108">
        <f t="shared" si="59"/>
        <v>1038175.4030433345</v>
      </c>
      <c r="T221" s="108">
        <f t="shared" si="59"/>
        <v>1069320.6651346346</v>
      </c>
    </row>
    <row r="222" spans="2:20" x14ac:dyDescent="0.25">
      <c r="B222" s="23" t="s">
        <v>2061</v>
      </c>
      <c r="C222" s="28" t="s">
        <v>630</v>
      </c>
      <c r="H222" s="108">
        <f t="shared" ref="H222:T222" si="60">H126</f>
        <v>0</v>
      </c>
      <c r="I222" s="108">
        <f t="shared" si="60"/>
        <v>0</v>
      </c>
      <c r="J222" s="108">
        <f t="shared" si="60"/>
        <v>0</v>
      </c>
      <c r="K222" s="108">
        <f t="shared" si="60"/>
        <v>0</v>
      </c>
      <c r="L222" s="108">
        <f t="shared" si="60"/>
        <v>1600000</v>
      </c>
      <c r="M222" s="108">
        <f t="shared" si="60"/>
        <v>1760000.0000000002</v>
      </c>
      <c r="N222" s="108">
        <f t="shared" si="60"/>
        <v>1936000.0000000002</v>
      </c>
      <c r="O222" s="108">
        <f t="shared" si="60"/>
        <v>2129600.0000000005</v>
      </c>
      <c r="P222" s="108">
        <f t="shared" si="60"/>
        <v>2257376.0000000009</v>
      </c>
      <c r="Q222" s="108">
        <f t="shared" si="60"/>
        <v>2392818.560000001</v>
      </c>
      <c r="R222" s="108">
        <f t="shared" si="60"/>
        <v>2536387.6736000013</v>
      </c>
      <c r="S222" s="108">
        <f t="shared" si="60"/>
        <v>2688570.9340160014</v>
      </c>
      <c r="T222" s="108">
        <f t="shared" si="60"/>
        <v>2849885.190056962</v>
      </c>
    </row>
    <row r="223" spans="2:20" x14ac:dyDescent="0.25">
      <c r="B223" s="23" t="s">
        <v>2062</v>
      </c>
      <c r="C223" s="28" t="s">
        <v>630</v>
      </c>
      <c r="H223" s="108">
        <f t="shared" ref="H223:T223" si="61">H117</f>
        <v>0</v>
      </c>
      <c r="I223" s="108">
        <f t="shared" si="61"/>
        <v>0</v>
      </c>
      <c r="J223" s="108">
        <f t="shared" si="61"/>
        <v>1300000</v>
      </c>
      <c r="K223" s="108">
        <f t="shared" si="61"/>
        <v>1300000</v>
      </c>
      <c r="L223" s="108">
        <f t="shared" si="61"/>
        <v>1300000</v>
      </c>
      <c r="M223" s="108">
        <f t="shared" si="61"/>
        <v>1339000</v>
      </c>
      <c r="N223" s="108">
        <f t="shared" si="61"/>
        <v>1339000</v>
      </c>
      <c r="O223" s="108">
        <f t="shared" si="61"/>
        <v>1339000</v>
      </c>
      <c r="P223" s="108">
        <f t="shared" si="61"/>
        <v>1339000</v>
      </c>
      <c r="Q223" s="108">
        <f t="shared" si="61"/>
        <v>1379170</v>
      </c>
      <c r="R223" s="108">
        <f t="shared" si="61"/>
        <v>1379170</v>
      </c>
      <c r="S223" s="108">
        <f t="shared" si="61"/>
        <v>1379170</v>
      </c>
      <c r="T223" s="108">
        <f t="shared" si="61"/>
        <v>1379170</v>
      </c>
    </row>
    <row r="224" spans="2:20" x14ac:dyDescent="0.25">
      <c r="B224" s="23" t="s">
        <v>2063</v>
      </c>
      <c r="C224" s="28" t="s">
        <v>630</v>
      </c>
      <c r="H224" s="108">
        <f t="shared" ref="H224:T224" si="62">H87</f>
        <v>4599405.2283500005</v>
      </c>
      <c r="I224" s="108">
        <f t="shared" si="62"/>
        <v>4825815.4897675002</v>
      </c>
      <c r="J224" s="108">
        <f t="shared" si="62"/>
        <v>5363403.8642558753</v>
      </c>
      <c r="K224" s="108">
        <f t="shared" si="62"/>
        <v>5627723.5614686692</v>
      </c>
      <c r="L224" s="108">
        <f t="shared" si="62"/>
        <v>5905105.2237021029</v>
      </c>
      <c r="M224" s="108">
        <f t="shared" si="62"/>
        <v>6196195.7884136103</v>
      </c>
      <c r="N224" s="108">
        <f t="shared" si="62"/>
        <v>6501674.2935017459</v>
      </c>
      <c r="O224" s="108">
        <f t="shared" si="62"/>
        <v>6822253.4724709876</v>
      </c>
      <c r="P224" s="108">
        <f t="shared" si="62"/>
        <v>7158681.4289604574</v>
      </c>
      <c r="Q224" s="108">
        <f t="shared" si="62"/>
        <v>7511743.3945890386</v>
      </c>
      <c r="R224" s="108">
        <f t="shared" si="62"/>
        <v>7882263.5742662698</v>
      </c>
      <c r="S224" s="108">
        <f t="shared" si="62"/>
        <v>8271107.0833252743</v>
      </c>
      <c r="T224" s="108">
        <f t="shared" si="62"/>
        <v>8679181.9810510557</v>
      </c>
    </row>
    <row r="225" spans="2:20" x14ac:dyDescent="0.25">
      <c r="B225" s="23" t="s">
        <v>2064</v>
      </c>
      <c r="C225" s="28" t="s">
        <v>630</v>
      </c>
      <c r="H225" s="108">
        <f t="shared" ref="H225:T225" si="63">H161+H165+H169</f>
        <v>0</v>
      </c>
      <c r="I225" s="108">
        <f t="shared" si="63"/>
        <v>0</v>
      </c>
      <c r="J225" s="108">
        <f t="shared" si="63"/>
        <v>0</v>
      </c>
      <c r="K225" s="108">
        <f t="shared" si="63"/>
        <v>0</v>
      </c>
      <c r="L225" s="108">
        <f t="shared" si="63"/>
        <v>0</v>
      </c>
      <c r="M225" s="108">
        <f t="shared" si="63"/>
        <v>0</v>
      </c>
      <c r="N225" s="108">
        <f t="shared" si="63"/>
        <v>0</v>
      </c>
      <c r="O225" s="108">
        <f t="shared" si="63"/>
        <v>0</v>
      </c>
      <c r="P225" s="108">
        <f t="shared" si="63"/>
        <v>0</v>
      </c>
      <c r="Q225" s="108">
        <f t="shared" si="63"/>
        <v>0</v>
      </c>
      <c r="R225" s="108">
        <f t="shared" si="63"/>
        <v>0</v>
      </c>
      <c r="S225" s="108">
        <f t="shared" si="63"/>
        <v>0</v>
      </c>
      <c r="T225" s="108">
        <f t="shared" si="63"/>
        <v>0</v>
      </c>
    </row>
    <row r="226" spans="2:20" x14ac:dyDescent="0.25">
      <c r="B226" s="23" t="s">
        <v>2065</v>
      </c>
      <c r="C226" s="28" t="s">
        <v>630</v>
      </c>
      <c r="H226" s="108">
        <f>H175*Inputs!$H$82</f>
        <v>0</v>
      </c>
      <c r="I226" s="108">
        <f>I175*Inputs!$H$82</f>
        <v>0</v>
      </c>
      <c r="J226" s="108">
        <f>J175*Inputs!$H$82</f>
        <v>0</v>
      </c>
      <c r="K226" s="108">
        <f>K175*Inputs!$H$82</f>
        <v>0</v>
      </c>
      <c r="L226" s="108">
        <f>L175*Inputs!$H$82</f>
        <v>0</v>
      </c>
      <c r="M226" s="108">
        <f>M175*Inputs!$H$82</f>
        <v>550000</v>
      </c>
      <c r="N226" s="108">
        <f>N175*Inputs!$H$82</f>
        <v>700000</v>
      </c>
      <c r="O226" s="108">
        <f>O175*Inputs!$H$82</f>
        <v>800000</v>
      </c>
      <c r="P226" s="108">
        <f>P175*Inputs!$H$82</f>
        <v>850000</v>
      </c>
      <c r="Q226" s="108">
        <f>Q175*Inputs!$H$82</f>
        <v>850000</v>
      </c>
      <c r="R226" s="108">
        <f>R175*Inputs!$H$82</f>
        <v>850000</v>
      </c>
      <c r="S226" s="108">
        <f>S175*Inputs!$H$82</f>
        <v>850000</v>
      </c>
      <c r="T226" s="108">
        <f>T175*Inputs!$H$82</f>
        <v>850000</v>
      </c>
    </row>
    <row r="227" spans="2:20" x14ac:dyDescent="0.25">
      <c r="B227" s="21" t="s">
        <v>2066</v>
      </c>
      <c r="C227" s="28" t="s">
        <v>630</v>
      </c>
      <c r="G227" s="157"/>
      <c r="H227" s="162">
        <f t="shared" ref="H227:T227" si="64">SUM(H219:H226)</f>
        <v>10115630.504349999</v>
      </c>
      <c r="I227" s="162">
        <f t="shared" si="64"/>
        <v>12957513.092047501</v>
      </c>
      <c r="J227" s="162">
        <f t="shared" si="64"/>
        <v>15039052.394604275</v>
      </c>
      <c r="K227" s="162">
        <f t="shared" si="64"/>
        <v>15754641.547727522</v>
      </c>
      <c r="L227" s="162">
        <f t="shared" si="64"/>
        <v>17940830.749548722</v>
      </c>
      <c r="M227" s="162">
        <f t="shared" si="64"/>
        <v>19297493.080035627</v>
      </c>
      <c r="N227" s="162">
        <f t="shared" si="64"/>
        <v>20253540.503872424</v>
      </c>
      <c r="O227" s="162">
        <f t="shared" si="64"/>
        <v>21200525.669152785</v>
      </c>
      <c r="P227" s="162">
        <f t="shared" si="64"/>
        <v>22056019.791542713</v>
      </c>
      <c r="Q227" s="162">
        <f t="shared" si="64"/>
        <v>22934723.188048758</v>
      </c>
      <c r="R227" s="162">
        <f t="shared" si="64"/>
        <v>23807842.218329784</v>
      </c>
      <c r="S227" s="162">
        <f t="shared" si="64"/>
        <v>24117169.616918694</v>
      </c>
      <c r="T227" s="162">
        <f t="shared" si="64"/>
        <v>25014408.418672755</v>
      </c>
    </row>
  </sheetData>
  <hyperlinks>
    <hyperlink ref="C3" location="'Model Flow'!A1" display="Model Flow" xr:uid="{00000000-0004-0000-0300-000000000000}"/>
    <hyperlink ref="D3" location="Inputs!A1" display="Inputs" xr:uid="{00000000-0004-0000-0300-000001000000}"/>
    <hyperlink ref="E3" location="'FS Data Request'!A1" display="FS Request" xr:uid="{00000000-0004-0000-0300-000002000000}"/>
    <hyperlink ref="G3" location="'Cost Calculation'!A1" display="Costs" xr:uid="{00000000-0004-0000-0300-000003000000}"/>
    <hyperlink ref="H3" location="'BUMN Synergy Calculation'!A1" display="BUMN Synergy" xr:uid="{00000000-0004-0000-0300-000004000000}"/>
    <hyperlink ref="I3" location="'Capex &amp; Depreciation'!A1" display="Capex" xr:uid="{00000000-0004-0000-0300-000005000000}"/>
    <hyperlink ref="J3" location="'Working Capital'!A1" display="Work. cap." xr:uid="{00000000-0004-0000-0300-000006000000}"/>
    <hyperlink ref="K3" location="Financing!A1" display="Financing" xr:uid="{00000000-0004-0000-0300-000007000000}"/>
    <hyperlink ref="L3" location="'Funding Requirement'!A1" display="Funding" xr:uid="{00000000-0004-0000-0300-000008000000}"/>
    <hyperlink ref="M3" location="'FSL Output - Without BUMN'!A1" display="Out: w/o BUMN" xr:uid="{00000000-0004-0000-0300-000009000000}"/>
    <hyperlink ref="N3" location="'FSL Output - With BUMN'!A1" display="Out: With BUMN" xr:uid="{00000000-0004-0000-0300-00000A000000}"/>
    <hyperlink ref="O3" location="'Valuation — Without BUMN'!A1" display="Val: w/o BUMN" xr:uid="{00000000-0004-0000-0300-00000B000000}"/>
    <hyperlink ref="P3" location="'Valuation — With BUMN'!A1" display="Val: With BUMN" xr:uid="{00000000-0004-0000-0300-00000C000000}"/>
    <hyperlink ref="Q3" location="'Project Cash Flows'!A1" display="Proj. CF" xr:uid="{00000000-0004-0000-0300-00000D000000}"/>
    <hyperlink ref="R3" location="'Project Summary'!A1" display="Proj. Summary" xr:uid="{00000000-0004-0000-0300-00000E000000}"/>
    <hyperlink ref="S3" location="'Checks &amp; Reconciliation'!A1" display="Checks" xr:uid="{00000000-0004-0000-0300-00000F000000}"/>
    <hyperlink ref="T3" location="'Source Data'!A1" display="Source Data" xr:uid="{00000000-0004-0000-0300-000010000000}"/>
  </hyperlinks>
  <pageMargins left="0.4" right="0.4" top="0.5" bottom="0.5" header="0.511811023622047" footer="0.5"/>
  <pageSetup paperSize="9" fitToHeight="0" orientation="landscape" horizontalDpi="300" verticalDpi="300"/>
  <headerFooter>
    <oddFooter>&amp;L&amp;A&amp;RPage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48235"/>
    <pageSetUpPr fitToPage="1"/>
  </sheetPr>
  <dimension ref="B1:U300"/>
  <sheetViews>
    <sheetView showGridLines="0" zoomScale="85" zoomScaleNormal="85" workbookViewId="0">
      <pane xSplit="6" ySplit="6" topLeftCell="G7" activePane="bottomRight" state="frozen"/>
      <selection pane="topRight" activeCell="G1" sqref="G1"/>
      <selection pane="bottomLeft" activeCell="A7" sqref="A7"/>
      <selection pane="bottomRight"/>
    </sheetView>
  </sheetViews>
  <sheetFormatPr defaultColWidth="8.7109375" defaultRowHeight="15" x14ac:dyDescent="0.25"/>
  <cols>
    <col min="1" max="1" width="1.5703125" customWidth="1"/>
    <col min="2" max="2" width="62" customWidth="1"/>
    <col min="3" max="3" width="10" customWidth="1"/>
    <col min="4" max="6" width="13" customWidth="1"/>
    <col min="7" max="20" width="10.5703125" customWidth="1"/>
    <col min="21" max="21" width="55" customWidth="1"/>
  </cols>
  <sheetData>
    <row r="1" spans="2:21" ht="18" x14ac:dyDescent="0.25">
      <c r="B1" s="13" t="s">
        <v>2067</v>
      </c>
    </row>
    <row r="2" spans="2:21" x14ac:dyDescent="0.25">
      <c r="B2" s="14" t="s">
        <v>2068</v>
      </c>
    </row>
    <row r="3" spans="2:21" x14ac:dyDescent="0.25">
      <c r="B3" s="15" t="s">
        <v>2</v>
      </c>
      <c r="C3" s="17" t="s">
        <v>422</v>
      </c>
      <c r="D3" s="17" t="s">
        <v>4</v>
      </c>
      <c r="E3" s="17" t="s">
        <v>5</v>
      </c>
      <c r="F3" s="17" t="s">
        <v>6</v>
      </c>
      <c r="G3" s="16" t="s">
        <v>2069</v>
      </c>
      <c r="H3" s="17" t="s">
        <v>8</v>
      </c>
      <c r="I3" s="17" t="s">
        <v>9</v>
      </c>
      <c r="J3" s="17" t="s">
        <v>10</v>
      </c>
      <c r="K3" s="17" t="s">
        <v>11</v>
      </c>
      <c r="L3" s="17" t="s">
        <v>12</v>
      </c>
      <c r="M3" s="17" t="s">
        <v>13</v>
      </c>
      <c r="N3" s="17" t="s">
        <v>14</v>
      </c>
      <c r="O3" s="17" t="s">
        <v>15</v>
      </c>
      <c r="P3" s="17" t="s">
        <v>16</v>
      </c>
      <c r="Q3" s="17" t="s">
        <v>17</v>
      </c>
      <c r="R3" s="17" t="s">
        <v>18</v>
      </c>
      <c r="S3" s="17" t="s">
        <v>19</v>
      </c>
      <c r="T3" s="17" t="s">
        <v>20</v>
      </c>
    </row>
    <row r="4" spans="2:21" x14ac:dyDescent="0.25">
      <c r="G4" s="77" t="s">
        <v>1878</v>
      </c>
      <c r="H4" s="77" t="s">
        <v>1879</v>
      </c>
      <c r="I4" s="77" t="s">
        <v>1879</v>
      </c>
      <c r="J4" s="77" t="s">
        <v>1879</v>
      </c>
      <c r="K4" s="77" t="s">
        <v>1879</v>
      </c>
      <c r="L4" s="77" t="s">
        <v>1879</v>
      </c>
      <c r="M4" s="77" t="s">
        <v>1879</v>
      </c>
      <c r="N4" s="77" t="s">
        <v>1879</v>
      </c>
      <c r="O4" s="77" t="s">
        <v>1879</v>
      </c>
      <c r="P4" s="77" t="s">
        <v>1879</v>
      </c>
      <c r="Q4" s="77" t="s">
        <v>1879</v>
      </c>
      <c r="R4" s="77" t="s">
        <v>1879</v>
      </c>
      <c r="S4" s="77" t="s">
        <v>1879</v>
      </c>
      <c r="T4" s="77" t="s">
        <v>1879</v>
      </c>
    </row>
    <row r="5" spans="2:21" x14ac:dyDescent="0.25">
      <c r="B5" s="150" t="s">
        <v>1880</v>
      </c>
      <c r="C5" s="150" t="s">
        <v>466</v>
      </c>
      <c r="D5" s="59" t="s">
        <v>1881</v>
      </c>
      <c r="E5" s="59" t="s">
        <v>468</v>
      </c>
      <c r="F5" s="60"/>
      <c r="G5" s="151">
        <v>2023</v>
      </c>
      <c r="H5" s="152">
        <v>2024</v>
      </c>
      <c r="I5" s="152">
        <v>2025</v>
      </c>
      <c r="J5" s="152">
        <v>2026</v>
      </c>
      <c r="K5" s="152">
        <v>2027</v>
      </c>
      <c r="L5" s="152">
        <v>2028</v>
      </c>
      <c r="M5" s="152">
        <v>2029</v>
      </c>
      <c r="N5" s="152">
        <v>2030</v>
      </c>
      <c r="O5" s="152">
        <v>2031</v>
      </c>
      <c r="P5" s="152">
        <v>2032</v>
      </c>
      <c r="Q5" s="152">
        <v>2033</v>
      </c>
      <c r="R5" s="152">
        <v>2034</v>
      </c>
      <c r="S5" s="152">
        <v>2035</v>
      </c>
      <c r="T5" s="152">
        <v>2036</v>
      </c>
      <c r="U5" s="59" t="s">
        <v>1882</v>
      </c>
    </row>
    <row r="6" spans="2:21" x14ac:dyDescent="0.25">
      <c r="B6" s="58" t="s">
        <v>2070</v>
      </c>
      <c r="C6" s="19"/>
      <c r="D6" s="19"/>
      <c r="E6" s="19"/>
      <c r="F6" s="19"/>
      <c r="G6" s="19"/>
      <c r="H6" s="19"/>
      <c r="I6" s="19"/>
      <c r="J6" s="19"/>
      <c r="K6" s="19"/>
      <c r="L6" s="19"/>
      <c r="M6" s="19"/>
      <c r="N6" s="19"/>
      <c r="O6" s="19"/>
      <c r="P6" s="19"/>
      <c r="Q6" s="19"/>
      <c r="R6" s="19"/>
      <c r="S6" s="19"/>
      <c r="T6" s="19"/>
    </row>
    <row r="7" spans="2:21" x14ac:dyDescent="0.25">
      <c r="B7" s="154" t="s">
        <v>2071</v>
      </c>
    </row>
    <row r="8" spans="2:21" x14ac:dyDescent="0.25">
      <c r="B8" s="163" t="s">
        <v>2072</v>
      </c>
    </row>
    <row r="9" spans="2:21" x14ac:dyDescent="0.25">
      <c r="B9" s="23" t="s">
        <v>2073</v>
      </c>
      <c r="C9" s="28" t="s">
        <v>493</v>
      </c>
      <c r="D9" s="164" t="s">
        <v>2074</v>
      </c>
      <c r="G9" s="161">
        <f>Inputs!$E$317*Inputs!$F$317</f>
        <v>12.869295671530001</v>
      </c>
      <c r="H9" s="161">
        <f>G9*(1+Inputs!H317)</f>
        <v>13.319721020033549</v>
      </c>
      <c r="I9" s="161">
        <f>H9*(1+Inputs!I317)</f>
        <v>13.785911255734723</v>
      </c>
      <c r="J9" s="161">
        <f>I9*(1+Inputs!J317)</f>
        <v>14.268418149685436</v>
      </c>
      <c r="K9" s="161">
        <f>J9*(1+Inputs!K317)</f>
        <v>14.767812784924425</v>
      </c>
      <c r="L9" s="161">
        <f>K9*(1+Inputs!L317)</f>
        <v>15.284686232396778</v>
      </c>
      <c r="M9" s="161">
        <f>L9*(1+Inputs!M317)</f>
        <v>15.819650250530664</v>
      </c>
      <c r="N9" s="161">
        <f>M9*(1+Inputs!N317)</f>
        <v>16.373338009299236</v>
      </c>
      <c r="O9" s="161">
        <f>N9*(1+Inputs!O317)</f>
        <v>16.946404839624709</v>
      </c>
      <c r="P9" s="161">
        <f>O9*(1+Inputs!P317)</f>
        <v>17.539529009011574</v>
      </c>
      <c r="Q9" s="161">
        <f>P9*(1+Inputs!Q317)</f>
        <v>18.153412524326978</v>
      </c>
      <c r="R9" s="161">
        <f>Q9*(1+Inputs!R317)</f>
        <v>18.788781962678421</v>
      </c>
      <c r="S9" s="161">
        <f>R9*(1+Inputs!S317)</f>
        <v>19.446389331372163</v>
      </c>
      <c r="T9" s="161">
        <f>S9*(1+Inputs!T317)</f>
        <v>20.127012957970187</v>
      </c>
    </row>
    <row r="10" spans="2:21" x14ac:dyDescent="0.25">
      <c r="B10" s="23" t="s">
        <v>2075</v>
      </c>
      <c r="C10" s="28" t="s">
        <v>647</v>
      </c>
      <c r="D10" s="164" t="s">
        <v>2076</v>
      </c>
      <c r="G10" s="159">
        <f>Inputs!$E$318*Inputs!$F$318/Inputs!$E$107*1000000000</f>
        <v>1452.8478394618951</v>
      </c>
      <c r="H10" s="159">
        <f>G10*(1+Inputs!H318)</f>
        <v>1496.4332746457519</v>
      </c>
      <c r="I10" s="159">
        <f>H10*(1+Inputs!I318)</f>
        <v>1541.3262728851246</v>
      </c>
      <c r="J10" s="159">
        <f>I10*(1+Inputs!J318)</f>
        <v>1587.5660610716784</v>
      </c>
      <c r="K10" s="159">
        <f>J10*(1+Inputs!K318)</f>
        <v>1635.1930429038289</v>
      </c>
      <c r="L10" s="159">
        <f>K10*(1+Inputs!L318)</f>
        <v>1684.2488341909439</v>
      </c>
      <c r="M10" s="159">
        <f>L10*(1+Inputs!M318)</f>
        <v>1734.7762992166722</v>
      </c>
      <c r="N10" s="159">
        <f>M10*(1+Inputs!N318)</f>
        <v>1786.8195881931724</v>
      </c>
      <c r="O10" s="159">
        <f>N10*(1+Inputs!O318)</f>
        <v>1840.4241758389676</v>
      </c>
      <c r="P10" s="159">
        <f>O10*(1+Inputs!P318)</f>
        <v>1895.6369011141367</v>
      </c>
      <c r="Q10" s="159">
        <f>P10*(1+Inputs!Q318)</f>
        <v>1952.5060081475608</v>
      </c>
      <c r="R10" s="159">
        <f>Q10*(1+Inputs!R318)</f>
        <v>2011.0811883919878</v>
      </c>
      <c r="S10" s="159">
        <f>R10*(1+Inputs!S318)</f>
        <v>2071.4136240437474</v>
      </c>
      <c r="T10" s="159">
        <f>S10*(1+Inputs!T318)</f>
        <v>2133.5560327650601</v>
      </c>
    </row>
    <row r="11" spans="2:21" x14ac:dyDescent="0.25">
      <c r="B11" s="23" t="s">
        <v>2077</v>
      </c>
      <c r="C11" s="28" t="s">
        <v>647</v>
      </c>
      <c r="D11" s="164" t="s">
        <v>2076</v>
      </c>
      <c r="G11" s="159">
        <f>Inputs!$E$319*Inputs!$F$319/Inputs!$E$107*1000000000</f>
        <v>856.40403864030816</v>
      </c>
      <c r="H11" s="159">
        <f>G11*(1+Inputs!H319)</f>
        <v>882.09615979951741</v>
      </c>
      <c r="I11" s="159">
        <f>H11*(1+Inputs!I319)</f>
        <v>908.5590445935029</v>
      </c>
      <c r="J11" s="159">
        <f>I11*(1+Inputs!J319)</f>
        <v>935.81581593130807</v>
      </c>
      <c r="K11" s="159">
        <f>J11*(1+Inputs!K319)</f>
        <v>963.89029040924731</v>
      </c>
      <c r="L11" s="159">
        <f>K11*(1+Inputs!L319)</f>
        <v>992.80699912152477</v>
      </c>
      <c r="M11" s="159">
        <f>L11*(1+Inputs!M319)</f>
        <v>1022.5912090951705</v>
      </c>
      <c r="N11" s="159">
        <f>M11*(1+Inputs!N319)</f>
        <v>1053.2689453680257</v>
      </c>
      <c r="O11" s="159">
        <f>N11*(1+Inputs!O319)</f>
        <v>1084.8670137290665</v>
      </c>
      <c r="P11" s="159">
        <f>O11*(1+Inputs!P319)</f>
        <v>1117.4130241409384</v>
      </c>
      <c r="Q11" s="159">
        <f>P11*(1+Inputs!Q319)</f>
        <v>1150.9354148651666</v>
      </c>
      <c r="R11" s="159">
        <f>Q11*(1+Inputs!R319)</f>
        <v>1185.4634773111218</v>
      </c>
      <c r="S11" s="159">
        <f>R11*(1+Inputs!S319)</f>
        <v>1221.0273816304555</v>
      </c>
      <c r="T11" s="159">
        <f>S11*(1+Inputs!T319)</f>
        <v>1257.6582030793691</v>
      </c>
    </row>
    <row r="12" spans="2:21" x14ac:dyDescent="0.25">
      <c r="B12" s="23" t="s">
        <v>2078</v>
      </c>
      <c r="C12" s="28" t="s">
        <v>493</v>
      </c>
      <c r="D12" s="164" t="s">
        <v>2074</v>
      </c>
      <c r="G12" s="161">
        <f>Inputs!$E$320*Inputs!$F$320</f>
        <v>2.0920344480000002</v>
      </c>
      <c r="H12" s="161">
        <f>G12*(1+Inputs!H320)</f>
        <v>2.1652556536800001</v>
      </c>
      <c r="I12" s="161">
        <f>H12*(1+Inputs!I320)</f>
        <v>2.2410396015587999</v>
      </c>
      <c r="J12" s="161">
        <f>I12*(1+Inputs!J320)</f>
        <v>2.3194759876133575</v>
      </c>
      <c r="K12" s="161">
        <f>J12*(1+Inputs!K320)</f>
        <v>2.4006576471798247</v>
      </c>
      <c r="L12" s="161">
        <f>K12*(1+Inputs!L320)</f>
        <v>2.4846806648311182</v>
      </c>
      <c r="M12" s="161">
        <f>L12*(1+Inputs!M320)</f>
        <v>2.571644488100207</v>
      </c>
      <c r="N12" s="161">
        <f>M12*(1+Inputs!N320)</f>
        <v>2.6616520451837138</v>
      </c>
      <c r="O12" s="161">
        <f>N12*(1+Inputs!O320)</f>
        <v>2.7548098667651435</v>
      </c>
      <c r="P12" s="161">
        <f>O12*(1+Inputs!P320)</f>
        <v>2.8512282121019235</v>
      </c>
      <c r="Q12" s="161">
        <f>P12*(1+Inputs!Q320)</f>
        <v>2.9510211995254907</v>
      </c>
      <c r="R12" s="161">
        <f>Q12*(1+Inputs!R320)</f>
        <v>3.0543069415088828</v>
      </c>
      <c r="S12" s="161">
        <f>R12*(1+Inputs!S320)</f>
        <v>3.1612076844616936</v>
      </c>
      <c r="T12" s="161">
        <f>S12*(1+Inputs!T320)</f>
        <v>3.2718499534178527</v>
      </c>
    </row>
    <row r="13" spans="2:21" x14ac:dyDescent="0.25">
      <c r="B13" s="23" t="s">
        <v>2079</v>
      </c>
      <c r="C13" s="28" t="s">
        <v>647</v>
      </c>
      <c r="D13" s="164" t="s">
        <v>2076</v>
      </c>
      <c r="G13" s="159">
        <f>Inputs!$E$321*Inputs!$F$321/Inputs!$E$107*1000000000</f>
        <v>685.45175892786028</v>
      </c>
      <c r="H13" s="159">
        <f>G13*(1+Inputs!H321)</f>
        <v>706.01531169569614</v>
      </c>
      <c r="I13" s="159">
        <f>H13*(1+Inputs!I321)</f>
        <v>727.19577104656707</v>
      </c>
      <c r="J13" s="159">
        <f>I13*(1+Inputs!J321)</f>
        <v>749.01164417796406</v>
      </c>
      <c r="K13" s="159">
        <f>J13*(1+Inputs!K321)</f>
        <v>771.48199350330299</v>
      </c>
      <c r="L13" s="159">
        <f>K13*(1+Inputs!L321)</f>
        <v>794.62645330840212</v>
      </c>
      <c r="M13" s="159">
        <f>L13*(1+Inputs!M321)</f>
        <v>818.4652469076542</v>
      </c>
      <c r="N13" s="159">
        <f>M13*(1+Inputs!N321)</f>
        <v>843.01920431488384</v>
      </c>
      <c r="O13" s="159">
        <f>N13*(1+Inputs!O321)</f>
        <v>868.30978044433039</v>
      </c>
      <c r="P13" s="159">
        <f>O13*(1+Inputs!P321)</f>
        <v>894.35907385766029</v>
      </c>
      <c r="Q13" s="159">
        <f>P13*(1+Inputs!Q321)</f>
        <v>921.18984607339007</v>
      </c>
      <c r="R13" s="159">
        <f>Q13*(1+Inputs!R321)</f>
        <v>948.82554145559175</v>
      </c>
      <c r="S13" s="159">
        <f>R13*(1+Inputs!S321)</f>
        <v>977.29030769925953</v>
      </c>
      <c r="T13" s="159">
        <f>S13*(1+Inputs!T321)</f>
        <v>1006.6090169302373</v>
      </c>
    </row>
    <row r="14" spans="2:21" x14ac:dyDescent="0.25">
      <c r="B14" s="23" t="s">
        <v>2080</v>
      </c>
      <c r="C14" s="28" t="s">
        <v>647</v>
      </c>
      <c r="D14" s="164" t="s">
        <v>2076</v>
      </c>
      <c r="G14" s="159">
        <f>Inputs!$E$322*Inputs!$F$322/Inputs!$E$107*1000000000</f>
        <v>348.14268193876592</v>
      </c>
      <c r="H14" s="159">
        <f>G14*(1+Inputs!H322)</f>
        <v>360.32767580662272</v>
      </c>
      <c r="I14" s="159">
        <f>H14*(1+Inputs!I322)</f>
        <v>372.9391444598545</v>
      </c>
      <c r="J14" s="159">
        <f>I14*(1+Inputs!J322)</f>
        <v>385.99201451594939</v>
      </c>
      <c r="K14" s="159">
        <f>J14*(1+Inputs!K322)</f>
        <v>399.50173502400759</v>
      </c>
      <c r="L14" s="159">
        <f>K14*(1+Inputs!L322)</f>
        <v>413.48429574984783</v>
      </c>
      <c r="M14" s="159">
        <f>L14*(1+Inputs!M322)</f>
        <v>427.95624610109246</v>
      </c>
      <c r="N14" s="159">
        <f>M14*(1+Inputs!N322)</f>
        <v>442.93471471463067</v>
      </c>
      <c r="O14" s="159">
        <f>N14*(1+Inputs!O322)</f>
        <v>458.4374297296427</v>
      </c>
      <c r="P14" s="159">
        <f>O14*(1+Inputs!P322)</f>
        <v>474.48273977018016</v>
      </c>
      <c r="Q14" s="159">
        <f>P14*(1+Inputs!Q322)</f>
        <v>491.0896356621364</v>
      </c>
      <c r="R14" s="159">
        <f>Q14*(1+Inputs!R322)</f>
        <v>508.27777291031111</v>
      </c>
      <c r="S14" s="159">
        <f>R14*(1+Inputs!S322)</f>
        <v>526.06749496217196</v>
      </c>
      <c r="T14" s="159">
        <f>S14*(1+Inputs!T322)</f>
        <v>544.47985728584797</v>
      </c>
    </row>
    <row r="15" spans="2:21" x14ac:dyDescent="0.25">
      <c r="B15" s="23" t="s">
        <v>2081</v>
      </c>
      <c r="C15" s="28" t="s">
        <v>647</v>
      </c>
      <c r="D15" s="164" t="s">
        <v>2076</v>
      </c>
      <c r="G15" s="159">
        <f>Inputs!$E$323*Inputs!$F$323/Inputs!$E$107*1000000000</f>
        <v>180.19110967524102</v>
      </c>
      <c r="H15" s="159">
        <f>G15*(1+Inputs!H323)</f>
        <v>186.49779851387444</v>
      </c>
      <c r="I15" s="159">
        <f>H15*(1+Inputs!I323)</f>
        <v>193.02522146186004</v>
      </c>
      <c r="J15" s="159">
        <f>I15*(1+Inputs!J323)</f>
        <v>199.78110421302512</v>
      </c>
      <c r="K15" s="159">
        <f>J15*(1+Inputs!K323)</f>
        <v>206.77344286048097</v>
      </c>
      <c r="L15" s="159">
        <f>K15*(1+Inputs!L323)</f>
        <v>214.0105133605978</v>
      </c>
      <c r="M15" s="159">
        <f>L15*(1+Inputs!M323)</f>
        <v>221.5008813282187</v>
      </c>
      <c r="N15" s="159">
        <f>M15*(1+Inputs!N323)</f>
        <v>229.25341217470634</v>
      </c>
      <c r="O15" s="159">
        <f>N15*(1+Inputs!O323)</f>
        <v>237.27728160082106</v>
      </c>
      <c r="P15" s="159">
        <f>O15*(1+Inputs!P323)</f>
        <v>245.58198645684976</v>
      </c>
      <c r="Q15" s="159">
        <f>P15*(1+Inputs!Q323)</f>
        <v>254.17735598283949</v>
      </c>
      <c r="R15" s="159">
        <f>Q15*(1+Inputs!R323)</f>
        <v>263.07356344223882</v>
      </c>
      <c r="S15" s="159">
        <f>R15*(1+Inputs!S323)</f>
        <v>272.28113816271718</v>
      </c>
      <c r="T15" s="159">
        <f>S15*(1+Inputs!T323)</f>
        <v>281.81097799841228</v>
      </c>
    </row>
    <row r="16" spans="2:21" x14ac:dyDescent="0.25">
      <c r="B16" s="23" t="s">
        <v>2082</v>
      </c>
      <c r="C16" s="28" t="s">
        <v>647</v>
      </c>
      <c r="D16" s="164" t="s">
        <v>2076</v>
      </c>
      <c r="G16" s="159">
        <f>Inputs!$E$324*Inputs!$F$324/Inputs!$E$107*1000000000</f>
        <v>66.750237914753157</v>
      </c>
      <c r="H16" s="159">
        <f>G16*(1+Inputs!H324)</f>
        <v>68.752745052195749</v>
      </c>
      <c r="I16" s="159">
        <f>H16*(1+Inputs!I324)</f>
        <v>70.815327403761628</v>
      </c>
      <c r="J16" s="159">
        <f>I16*(1+Inputs!J324)</f>
        <v>72.939787225874483</v>
      </c>
      <c r="K16" s="159">
        <f>J16*(1+Inputs!K324)</f>
        <v>75.127980842650715</v>
      </c>
      <c r="L16" s="159">
        <f>K16*(1+Inputs!L324)</f>
        <v>77.381820267930237</v>
      </c>
      <c r="M16" s="159">
        <f>L16*(1+Inputs!M324)</f>
        <v>79.703274875968148</v>
      </c>
      <c r="N16" s="159">
        <f>M16*(1+Inputs!N324)</f>
        <v>82.094373122247191</v>
      </c>
      <c r="O16" s="159">
        <f>N16*(1+Inputs!O324)</f>
        <v>84.557204315914603</v>
      </c>
      <c r="P16" s="159">
        <f>O16*(1+Inputs!P324)</f>
        <v>87.093920445392044</v>
      </c>
      <c r="Q16" s="159">
        <f>P16*(1+Inputs!Q324)</f>
        <v>89.706738058753814</v>
      </c>
      <c r="R16" s="159">
        <f>Q16*(1+Inputs!R324)</f>
        <v>92.39794020051643</v>
      </c>
      <c r="S16" s="159">
        <f>R16*(1+Inputs!S324)</f>
        <v>95.169878406531922</v>
      </c>
      <c r="T16" s="159">
        <f>S16*(1+Inputs!T324)</f>
        <v>98.024974758727879</v>
      </c>
    </row>
    <row r="17" spans="2:20" x14ac:dyDescent="0.25">
      <c r="B17" s="23" t="s">
        <v>2083</v>
      </c>
      <c r="C17" s="28" t="s">
        <v>493</v>
      </c>
      <c r="D17" s="164" t="s">
        <v>2084</v>
      </c>
      <c r="G17" s="161">
        <f>Inputs!$E$325*Inputs!$F$325</f>
        <v>6.6470018864449507</v>
      </c>
      <c r="H17" s="161">
        <f>G17*(1+Inputs!H325)</f>
        <v>6.8464119430382997</v>
      </c>
      <c r="I17" s="161">
        <f>H17*(1+Inputs!I325)</f>
        <v>7.0518043013294491</v>
      </c>
      <c r="J17" s="161">
        <f>I17*(1+Inputs!J325)</f>
        <v>7.2633584303693324</v>
      </c>
      <c r="K17" s="161">
        <f>J17*(1+Inputs!K325)</f>
        <v>7.4812591832804127</v>
      </c>
      <c r="L17" s="161">
        <f>K17*(1+Inputs!L325)</f>
        <v>7.7056969587788249</v>
      </c>
      <c r="M17" s="161">
        <f>L17*(1+Inputs!M325)</f>
        <v>7.9368678675421895</v>
      </c>
      <c r="N17" s="161">
        <f>M17*(1+Inputs!N325)</f>
        <v>8.1749739035684552</v>
      </c>
      <c r="O17" s="161">
        <f>N17*(1+Inputs!O325)</f>
        <v>8.4202231206755087</v>
      </c>
      <c r="P17" s="161">
        <f>O17*(1+Inputs!P325)</f>
        <v>8.672829814295774</v>
      </c>
      <c r="Q17" s="161">
        <f>P17*(1+Inputs!Q325)</f>
        <v>8.933014708724647</v>
      </c>
      <c r="R17" s="161">
        <f>Q17*(1+Inputs!R325)</f>
        <v>9.2010051499863863</v>
      </c>
      <c r="S17" s="161">
        <f>R17*(1+Inputs!S325)</f>
        <v>9.4770353044859785</v>
      </c>
      <c r="T17" s="161">
        <f>S17*(1+Inputs!T325)</f>
        <v>9.7613463636205573</v>
      </c>
    </row>
    <row r="18" spans="2:20" ht="26.25" customHeight="1" x14ac:dyDescent="0.25">
      <c r="B18" s="64" t="s">
        <v>2085</v>
      </c>
      <c r="C18" s="28" t="s">
        <v>493</v>
      </c>
      <c r="D18" s="164" t="s">
        <v>2084</v>
      </c>
      <c r="G18" s="161">
        <f>Inputs!$E$326*Inputs!$F$326</f>
        <v>2.5572850199250001</v>
      </c>
      <c r="H18" s="161">
        <f>G18*(1+Inputs!H326+Inputs!$E$751*'Source Data'!H960)</f>
        <v>2.6340035705227502</v>
      </c>
      <c r="I18" s="161">
        <f>H18*(1+Inputs!I326+Inputs!$E$751*'Source Data'!I960)</f>
        <v>2.7130236776384327</v>
      </c>
      <c r="J18" s="161">
        <f>I18*(1+Inputs!J326+Inputs!$E$751*'Source Data'!J960)</f>
        <v>2.7944143879675858</v>
      </c>
      <c r="K18" s="161">
        <f>J18*(1+Inputs!K326+Inputs!$E$751*'Source Data'!K960)</f>
        <v>2.8782468196066135</v>
      </c>
      <c r="L18" s="161">
        <f>K18*(1+Inputs!L326+Inputs!$E$751*'Source Data'!L960)</f>
        <v>2.964594224194812</v>
      </c>
      <c r="M18" s="161">
        <f>L18*(1+Inputs!M326+Inputs!$E$751*'Source Data'!M960)</f>
        <v>3.0535320509206563</v>
      </c>
      <c r="N18" s="161">
        <f>M18*(1+Inputs!N326+Inputs!$E$751*'Source Data'!N960)</f>
        <v>3.145138012448276</v>
      </c>
      <c r="O18" s="161">
        <f>N18*(1+Inputs!O326+Inputs!$E$751*'Source Data'!O960)</f>
        <v>3.2394921528217244</v>
      </c>
      <c r="P18" s="161">
        <f>O18*(1+Inputs!P326+Inputs!$E$751*'Source Data'!P960)</f>
        <v>3.3366769174063764</v>
      </c>
      <c r="Q18" s="161">
        <f>P18*(1+Inputs!Q326+Inputs!$E$751*'Source Data'!Q960)</f>
        <v>3.436777224928568</v>
      </c>
      <c r="R18" s="161">
        <f>Q18*(1+Inputs!R326+Inputs!$E$751*'Source Data'!R960)</f>
        <v>3.5398805416764252</v>
      </c>
      <c r="S18" s="161">
        <f>R18*(1+Inputs!S326+Inputs!$E$751*'Source Data'!S960)</f>
        <v>3.6460769579267178</v>
      </c>
      <c r="T18" s="161">
        <f>S18*(1+Inputs!T326+Inputs!$E$751*'Source Data'!T960)</f>
        <v>3.7554592666645195</v>
      </c>
    </row>
    <row r="19" spans="2:20" x14ac:dyDescent="0.25">
      <c r="B19" s="23" t="s">
        <v>2086</v>
      </c>
      <c r="C19" s="28" t="s">
        <v>493</v>
      </c>
      <c r="D19" s="164" t="s">
        <v>2084</v>
      </c>
      <c r="G19" s="161">
        <f>Inputs!$E$327*Inputs!$F$327</f>
        <v>1.04910024</v>
      </c>
      <c r="H19" s="161">
        <f>G19*(1+Inputs!H327)</f>
        <v>1.0805732472</v>
      </c>
      <c r="I19" s="161">
        <f>H19*(1+Inputs!I327)</f>
        <v>1.1129904446160002</v>
      </c>
      <c r="J19" s="161">
        <f>I19*(1+Inputs!J327)</f>
        <v>1.1463801579544801</v>
      </c>
      <c r="K19" s="161">
        <f>J19*(1+Inputs!K327)</f>
        <v>1.1807715626931146</v>
      </c>
      <c r="L19" s="161">
        <f>K19*(1+Inputs!L327)</f>
        <v>1.2161947095739081</v>
      </c>
      <c r="M19" s="161">
        <f>L19*(1+Inputs!M327)</f>
        <v>1.2526805508611254</v>
      </c>
      <c r="N19" s="161">
        <f>M19*(1+Inputs!N327)</f>
        <v>1.2902609673869592</v>
      </c>
      <c r="O19" s="161">
        <f>N19*(1+Inputs!O327)</f>
        <v>1.3289687964085679</v>
      </c>
      <c r="P19" s="161">
        <f>O19*(1+Inputs!P327)</f>
        <v>1.3688378603008249</v>
      </c>
      <c r="Q19" s="161">
        <f>P19*(1+Inputs!Q327)</f>
        <v>1.4099029961098497</v>
      </c>
      <c r="R19" s="161">
        <f>Q19*(1+Inputs!R327)</f>
        <v>1.4522000859931452</v>
      </c>
      <c r="S19" s="161">
        <f>R19*(1+Inputs!S327)</f>
        <v>1.4957660885729396</v>
      </c>
      <c r="T19" s="161">
        <f>S19*(1+Inputs!T327)</f>
        <v>1.5406390712301279</v>
      </c>
    </row>
    <row r="20" spans="2:20" x14ac:dyDescent="0.25">
      <c r="B20" s="23" t="s">
        <v>2087</v>
      </c>
      <c r="C20" s="28" t="s">
        <v>493</v>
      </c>
      <c r="D20" s="164" t="s">
        <v>2084</v>
      </c>
      <c r="G20" s="161">
        <f>Inputs!$E$328*Inputs!$F$328</f>
        <v>0.99449180420549999</v>
      </c>
      <c r="H20" s="161">
        <f>G20*(1+Inputs!H328)</f>
        <v>1.024326558331665</v>
      </c>
      <c r="I20" s="161">
        <f>H20*(1+Inputs!I328)</f>
        <v>1.055056355081615</v>
      </c>
      <c r="J20" s="161">
        <f>I20*(1+Inputs!J328)</f>
        <v>1.0867080457340634</v>
      </c>
      <c r="K20" s="161">
        <f>J20*(1+Inputs!K328)</f>
        <v>1.1193092871060855</v>
      </c>
      <c r="L20" s="161">
        <f>K20*(1+Inputs!L328)</f>
        <v>1.152888565719268</v>
      </c>
      <c r="M20" s="161">
        <f>L20*(1+Inputs!M328)</f>
        <v>1.187475222690846</v>
      </c>
      <c r="N20" s="161">
        <f>M20*(1+Inputs!N328)</f>
        <v>1.2230994793715715</v>
      </c>
      <c r="O20" s="161">
        <f>N20*(1+Inputs!O328)</f>
        <v>1.2597924637527187</v>
      </c>
      <c r="P20" s="161">
        <f>O20*(1+Inputs!P328)</f>
        <v>1.2975862376653002</v>
      </c>
      <c r="Q20" s="161">
        <f>P20*(1+Inputs!Q328)</f>
        <v>1.3365138247952593</v>
      </c>
      <c r="R20" s="161">
        <f>Q20*(1+Inputs!R328)</f>
        <v>1.3766092395391172</v>
      </c>
      <c r="S20" s="161">
        <f>R20*(1+Inputs!S328)</f>
        <v>1.4179075167252908</v>
      </c>
      <c r="T20" s="161">
        <f>S20*(1+Inputs!T328)</f>
        <v>1.4604447422270497</v>
      </c>
    </row>
    <row r="21" spans="2:20" x14ac:dyDescent="0.25">
      <c r="B21" s="23" t="s">
        <v>2088</v>
      </c>
      <c r="C21" s="28" t="s">
        <v>493</v>
      </c>
      <c r="D21" s="164" t="s">
        <v>2084</v>
      </c>
      <c r="G21" s="161">
        <f>Inputs!$E$329*Inputs!$F$329</f>
        <v>0.78596337652004999</v>
      </c>
      <c r="H21" s="161">
        <f>G21*(1+Inputs!H329)</f>
        <v>0.80168264405045098</v>
      </c>
      <c r="I21" s="161">
        <f>H21*(1+Inputs!I329)</f>
        <v>0.81771629693145997</v>
      </c>
      <c r="J21" s="161">
        <f>I21*(1+Inputs!J329)</f>
        <v>0.83407062287008915</v>
      </c>
      <c r="K21" s="161">
        <f>J21*(1+Inputs!K329)</f>
        <v>0.850752035327491</v>
      </c>
      <c r="L21" s="161">
        <f>K21*(1+Inputs!L329)</f>
        <v>0.8677670760340408</v>
      </c>
      <c r="M21" s="161">
        <f>L21*(1+Inputs!M329)</f>
        <v>0.88512241755472165</v>
      </c>
      <c r="N21" s="161">
        <f>M21*(1+Inputs!N329)</f>
        <v>0.90282486590581612</v>
      </c>
      <c r="O21" s="161">
        <f>N21*(1+Inputs!O329)</f>
        <v>0.92088136322393244</v>
      </c>
      <c r="P21" s="161">
        <f>O21*(1+Inputs!P329)</f>
        <v>0.93929899048841115</v>
      </c>
      <c r="Q21" s="161">
        <f>P21*(1+Inputs!Q329)</f>
        <v>0.95808497029817941</v>
      </c>
      <c r="R21" s="161">
        <f>Q21*(1+Inputs!R329)</f>
        <v>0.97724666970414298</v>
      </c>
      <c r="S21" s="161">
        <f>R21*(1+Inputs!S329)</f>
        <v>0.9967916030982259</v>
      </c>
      <c r="T21" s="161">
        <f>S21*(1+Inputs!T329)</f>
        <v>1.0167274351601905</v>
      </c>
    </row>
    <row r="22" spans="2:20" x14ac:dyDescent="0.25">
      <c r="B22" s="23" t="s">
        <v>2089</v>
      </c>
      <c r="C22" s="28" t="s">
        <v>493</v>
      </c>
      <c r="D22" s="164" t="s">
        <v>2084</v>
      </c>
      <c r="G22" s="161">
        <f>Inputs!$E$330*Inputs!$F$330</f>
        <v>0.65834446157745008</v>
      </c>
      <c r="H22" s="161">
        <f>G22*(1+Inputs!H330)</f>
        <v>0.67809479542477358</v>
      </c>
      <c r="I22" s="161">
        <f>H22*(1+Inputs!I330)</f>
        <v>0.69843763928751679</v>
      </c>
      <c r="J22" s="161">
        <f>I22*(1+Inputs!J330)</f>
        <v>0.71939076846614236</v>
      </c>
      <c r="K22" s="161">
        <f>J22*(1+Inputs!K330)</f>
        <v>0.74097249152012667</v>
      </c>
      <c r="L22" s="161">
        <f>K22*(1+Inputs!L330)</f>
        <v>0.76320166626573049</v>
      </c>
      <c r="M22" s="161">
        <f>L22*(1+Inputs!M330)</f>
        <v>0.78609771625370239</v>
      </c>
      <c r="N22" s="161">
        <f>M22*(1+Inputs!N330)</f>
        <v>0.80968064774131354</v>
      </c>
      <c r="O22" s="161">
        <f>N22*(1+Inputs!O330)</f>
        <v>0.83397106717355296</v>
      </c>
      <c r="P22" s="161">
        <f>O22*(1+Inputs!P330)</f>
        <v>0.85899019918875952</v>
      </c>
      <c r="Q22" s="161">
        <f>P22*(1+Inputs!Q330)</f>
        <v>0.88475990516442238</v>
      </c>
      <c r="R22" s="161">
        <f>Q22*(1+Inputs!R330)</f>
        <v>0.91130270231935506</v>
      </c>
      <c r="S22" s="161">
        <f>R22*(1+Inputs!S330)</f>
        <v>0.93864178338893578</v>
      </c>
      <c r="T22" s="161">
        <f>S22*(1+Inputs!T330)</f>
        <v>0.96680103689060393</v>
      </c>
    </row>
    <row r="23" spans="2:20" x14ac:dyDescent="0.25">
      <c r="B23" s="23" t="s">
        <v>2090</v>
      </c>
      <c r="C23" s="28" t="s">
        <v>493</v>
      </c>
      <c r="D23" s="164" t="s">
        <v>2084</v>
      </c>
      <c r="G23" s="161">
        <f>Inputs!$E$331*Inputs!$F$331</f>
        <v>0.27408378898499997</v>
      </c>
      <c r="H23" s="161">
        <f>G23*(1+Inputs!H331)</f>
        <v>0.27956546476469996</v>
      </c>
      <c r="I23" s="161">
        <f>H23*(1+Inputs!I331)</f>
        <v>0.28515677405999396</v>
      </c>
      <c r="J23" s="161">
        <f>I23*(1+Inputs!J331)</f>
        <v>0.29085990954119384</v>
      </c>
      <c r="K23" s="161">
        <f>J23*(1+Inputs!K331)</f>
        <v>0.29667710773201772</v>
      </c>
      <c r="L23" s="161">
        <f>K23*(1+Inputs!L331)</f>
        <v>0.30261064988665809</v>
      </c>
      <c r="M23" s="161">
        <f>L23*(1+Inputs!M331)</f>
        <v>0.30866286288439126</v>
      </c>
      <c r="N23" s="161">
        <f>M23*(1+Inputs!N331)</f>
        <v>0.31483612014207907</v>
      </c>
      <c r="O23" s="161">
        <f>N23*(1+Inputs!O331)</f>
        <v>0.32113284254492064</v>
      </c>
      <c r="P23" s="161">
        <f>O23*(1+Inputs!P331)</f>
        <v>0.32755549939581907</v>
      </c>
      <c r="Q23" s="161">
        <f>P23*(1+Inputs!Q331)</f>
        <v>0.33410660938373549</v>
      </c>
      <c r="R23" s="161">
        <f>Q23*(1+Inputs!R331)</f>
        <v>0.3407887415714102</v>
      </c>
      <c r="S23" s="161">
        <f>R23*(1+Inputs!S331)</f>
        <v>0.3476045164028384</v>
      </c>
      <c r="T23" s="161">
        <f>S23*(1+Inputs!T331)</f>
        <v>0.35455660673089517</v>
      </c>
    </row>
    <row r="24" spans="2:20" x14ac:dyDescent="0.25">
      <c r="B24" s="23" t="s">
        <v>2091</v>
      </c>
      <c r="C24" s="28" t="s">
        <v>493</v>
      </c>
      <c r="D24" s="164" t="s">
        <v>523</v>
      </c>
      <c r="G24" s="161">
        <f>Inputs!$E$332*Inputs!$F$332</f>
        <v>0.26833969950000003</v>
      </c>
      <c r="H24" s="161">
        <f>G24*(1+Inputs!H332)</f>
        <v>0.27370649349000004</v>
      </c>
      <c r="I24" s="161">
        <f>H24*(1+Inputs!I332)</f>
        <v>0.27918062335980004</v>
      </c>
      <c r="J24" s="161">
        <f>I24*(1+Inputs!J332)</f>
        <v>0.28476423582699606</v>
      </c>
      <c r="K24" s="161">
        <f>J24*(1+Inputs!K332)</f>
        <v>0.29045952054353597</v>
      </c>
      <c r="L24" s="161">
        <f>K24*(1+Inputs!L332)</f>
        <v>0.29626871095440671</v>
      </c>
      <c r="M24" s="161">
        <f>L24*(1+Inputs!M332)</f>
        <v>0.30219408517349483</v>
      </c>
      <c r="N24" s="161">
        <f>M24*(1+Inputs!N332)</f>
        <v>0.30823796687696475</v>
      </c>
      <c r="O24" s="161">
        <f>N24*(1+Inputs!O332)</f>
        <v>0.31440272621450405</v>
      </c>
      <c r="P24" s="161">
        <f>O24*(1+Inputs!P332)</f>
        <v>0.32069078073879415</v>
      </c>
      <c r="Q24" s="161">
        <f>P24*(1+Inputs!Q332)</f>
        <v>0.32710459635357003</v>
      </c>
      <c r="R24" s="161">
        <f>Q24*(1+Inputs!R332)</f>
        <v>0.33364668828064142</v>
      </c>
      <c r="S24" s="161">
        <f>R24*(1+Inputs!S332)</f>
        <v>0.34031962204625427</v>
      </c>
      <c r="T24" s="161">
        <f>S24*(1+Inputs!T332)</f>
        <v>0.34712601448717934</v>
      </c>
    </row>
    <row r="25" spans="2:20" x14ac:dyDescent="0.25">
      <c r="B25" s="23" t="s">
        <v>2092</v>
      </c>
      <c r="C25" s="28" t="s">
        <v>493</v>
      </c>
      <c r="D25" s="164" t="s">
        <v>2084</v>
      </c>
      <c r="G25" s="161">
        <f>Inputs!$E$333*Inputs!$F$333</f>
        <v>0.225279425925</v>
      </c>
      <c r="H25" s="161">
        <f>G25*(1+Inputs!H333)</f>
        <v>0.2297850144435</v>
      </c>
      <c r="I25" s="161">
        <f>H25*(1+Inputs!I333)</f>
        <v>0.23438071473236999</v>
      </c>
      <c r="J25" s="161">
        <f>I25*(1+Inputs!J333)</f>
        <v>0.23906832902701738</v>
      </c>
      <c r="K25" s="161">
        <f>J25*(1+Inputs!K333)</f>
        <v>0.24384969560755773</v>
      </c>
      <c r="L25" s="161">
        <f>K25*(1+Inputs!L333)</f>
        <v>0.24872668951970889</v>
      </c>
      <c r="M25" s="161">
        <f>L25*(1+Inputs!M333)</f>
        <v>0.25370122331010309</v>
      </c>
      <c r="N25" s="161">
        <f>M25*(1+Inputs!N333)</f>
        <v>0.25877524777630517</v>
      </c>
      <c r="O25" s="161">
        <f>N25*(1+Inputs!O333)</f>
        <v>0.26395075273183127</v>
      </c>
      <c r="P25" s="161">
        <f>O25*(1+Inputs!P333)</f>
        <v>0.2692297677864679</v>
      </c>
      <c r="Q25" s="161">
        <f>P25*(1+Inputs!Q333)</f>
        <v>0.27461436314219728</v>
      </c>
      <c r="R25" s="161">
        <f>Q25*(1+Inputs!R333)</f>
        <v>0.28010665040504124</v>
      </c>
      <c r="S25" s="161">
        <f>R25*(1+Inputs!S333)</f>
        <v>0.28570878341314204</v>
      </c>
      <c r="T25" s="161">
        <f>S25*(1+Inputs!T333)</f>
        <v>0.29142295908140486</v>
      </c>
    </row>
    <row r="26" spans="2:20" x14ac:dyDescent="0.25">
      <c r="B26" s="23" t="s">
        <v>2093</v>
      </c>
      <c r="C26" s="28" t="s">
        <v>493</v>
      </c>
      <c r="D26" s="164" t="s">
        <v>2084</v>
      </c>
      <c r="G26" s="161">
        <f>Inputs!$E$334*Inputs!$F$334</f>
        <v>0.21282385460999997</v>
      </c>
      <c r="H26" s="161">
        <f>G26*(1+Inputs!H334)</f>
        <v>0.21920857024829998</v>
      </c>
      <c r="I26" s="161">
        <f>H26*(1+Inputs!I334)</f>
        <v>0.22578482735574898</v>
      </c>
      <c r="J26" s="161">
        <f>I26*(1+Inputs!J334)</f>
        <v>0.23255837217642145</v>
      </c>
      <c r="K26" s="161">
        <f>J26*(1+Inputs!K334)</f>
        <v>0.23953512334171409</v>
      </c>
      <c r="L26" s="161">
        <f>K26*(1+Inputs!L334)</f>
        <v>0.24672117704196553</v>
      </c>
      <c r="M26" s="161">
        <f>L26*(1+Inputs!M334)</f>
        <v>0.25412281235322448</v>
      </c>
      <c r="N26" s="161">
        <f>M26*(1+Inputs!N334)</f>
        <v>0.26174649672382122</v>
      </c>
      <c r="O26" s="161">
        <f>N26*(1+Inputs!O334)</f>
        <v>0.26959889162553585</v>
      </c>
      <c r="P26" s="161">
        <f>O26*(1+Inputs!P334)</f>
        <v>0.27768685837430196</v>
      </c>
      <c r="Q26" s="161">
        <f>P26*(1+Inputs!Q334)</f>
        <v>0.28601746412553103</v>
      </c>
      <c r="R26" s="161">
        <f>Q26*(1+Inputs!R334)</f>
        <v>0.29459798804929699</v>
      </c>
      <c r="S26" s="161">
        <f>R26*(1+Inputs!S334)</f>
        <v>0.30343592769077593</v>
      </c>
      <c r="T26" s="161">
        <f>S26*(1+Inputs!T334)</f>
        <v>0.31253900552149921</v>
      </c>
    </row>
    <row r="27" spans="2:20" x14ac:dyDescent="0.25">
      <c r="B27" s="23" t="s">
        <v>2094</v>
      </c>
      <c r="C27" s="28" t="s">
        <v>493</v>
      </c>
      <c r="D27" s="164" t="s">
        <v>2084</v>
      </c>
      <c r="G27" s="161">
        <f>Inputs!$E$335*Inputs!$F$335</f>
        <v>0.192331499505</v>
      </c>
      <c r="H27" s="161">
        <f>G27*(1+Inputs!H335)</f>
        <v>0.19810144449015002</v>
      </c>
      <c r="I27" s="161">
        <f>H27*(1+Inputs!I335)</f>
        <v>0.20404448782485451</v>
      </c>
      <c r="J27" s="161">
        <f>I27*(1+Inputs!J335)</f>
        <v>0.21016582245960017</v>
      </c>
      <c r="K27" s="161">
        <f>J27*(1+Inputs!K335)</f>
        <v>0.21647079713338818</v>
      </c>
      <c r="L27" s="161">
        <f>K27*(1+Inputs!L335)</f>
        <v>0.22296492104738982</v>
      </c>
      <c r="M27" s="161">
        <f>L27*(1+Inputs!M335)</f>
        <v>0.22965386867881152</v>
      </c>
      <c r="N27" s="161">
        <f>M27*(1+Inputs!N335)</f>
        <v>0.23654348473917586</v>
      </c>
      <c r="O27" s="161">
        <f>N27*(1+Inputs!O335)</f>
        <v>0.24363978928135113</v>
      </c>
      <c r="P27" s="161">
        <f>O27*(1+Inputs!P335)</f>
        <v>0.25094898295979168</v>
      </c>
      <c r="Q27" s="161">
        <f>P27*(1+Inputs!Q335)</f>
        <v>0.25847745244858544</v>
      </c>
      <c r="R27" s="161">
        <f>Q27*(1+Inputs!R335)</f>
        <v>0.26623177602204301</v>
      </c>
      <c r="S27" s="161">
        <f>R27*(1+Inputs!S335)</f>
        <v>0.2742187293027043</v>
      </c>
      <c r="T27" s="161">
        <f>S27*(1+Inputs!T335)</f>
        <v>0.28244529118178546</v>
      </c>
    </row>
    <row r="28" spans="2:20" x14ac:dyDescent="0.25">
      <c r="B28" s="23" t="s">
        <v>2095</v>
      </c>
      <c r="C28" s="28" t="s">
        <v>493</v>
      </c>
      <c r="D28" s="164" t="s">
        <v>2084</v>
      </c>
      <c r="G28" s="161">
        <f>Inputs!$E$336*Inputs!$F$336</f>
        <v>2.1012075000000001E-3</v>
      </c>
      <c r="H28" s="161">
        <f>G28*(1+Inputs!H336)</f>
        <v>2.1432316500000002E-3</v>
      </c>
      <c r="I28" s="161">
        <f>H28*(1+Inputs!I336)</f>
        <v>2.1860962830000004E-3</v>
      </c>
      <c r="J28" s="161">
        <f>I28*(1+Inputs!J336)</f>
        <v>2.2298182086600005E-3</v>
      </c>
      <c r="K28" s="161">
        <f>J28*(1+Inputs!K336)</f>
        <v>2.2744145728332004E-3</v>
      </c>
      <c r="L28" s="161">
        <f>K28*(1+Inputs!L336)</f>
        <v>2.3199028642898645E-3</v>
      </c>
      <c r="M28" s="161">
        <f>L28*(1+Inputs!M336)</f>
        <v>2.3663009215756617E-3</v>
      </c>
      <c r="N28" s="161">
        <f>M28*(1+Inputs!N336)</f>
        <v>2.4136269400071748E-3</v>
      </c>
      <c r="O28" s="161">
        <f>N28*(1+Inputs!O336)</f>
        <v>2.4618994788073185E-3</v>
      </c>
      <c r="P28" s="161">
        <f>O28*(1+Inputs!P336)</f>
        <v>2.5111374683834649E-3</v>
      </c>
      <c r="Q28" s="161">
        <f>P28*(1+Inputs!Q336)</f>
        <v>2.5613602177511343E-3</v>
      </c>
      <c r="R28" s="161">
        <f>Q28*(1+Inputs!R336)</f>
        <v>2.6125874221061569E-3</v>
      </c>
      <c r="S28" s="161">
        <f>R28*(1+Inputs!S336)</f>
        <v>2.6648391705482799E-3</v>
      </c>
      <c r="T28" s="161">
        <f>S28*(1+Inputs!T336)</f>
        <v>2.7181359539592458E-3</v>
      </c>
    </row>
    <row r="29" spans="2:20" x14ac:dyDescent="0.25">
      <c r="B29" s="23" t="s">
        <v>2096</v>
      </c>
      <c r="C29" s="28" t="s">
        <v>493</v>
      </c>
      <c r="H29" s="29">
        <f>Inputs!H112</f>
        <v>41.467075682422298</v>
      </c>
      <c r="I29" s="29">
        <f>Inputs!I112</f>
        <v>41.467075682422298</v>
      </c>
      <c r="J29" s="29">
        <f>Inputs!J112</f>
        <v>42.467075682422298</v>
      </c>
      <c r="K29" s="29">
        <f>Inputs!K112</f>
        <v>42.467075682422298</v>
      </c>
      <c r="L29" s="29">
        <f>Inputs!L112</f>
        <v>42.467075682422298</v>
      </c>
      <c r="M29" s="29">
        <f>Inputs!M112</f>
        <v>43.467075682422298</v>
      </c>
      <c r="N29" s="29">
        <f>Inputs!N112</f>
        <v>43.467075682422298</v>
      </c>
      <c r="O29" s="29">
        <f>Inputs!O112</f>
        <v>43.467075682422298</v>
      </c>
      <c r="P29" s="29">
        <f>Inputs!P112</f>
        <v>44.467075682422298</v>
      </c>
      <c r="Q29" s="29">
        <f>Inputs!Q112</f>
        <v>44.467075682422298</v>
      </c>
      <c r="R29" s="29">
        <f>Inputs!R112</f>
        <v>44.467075682422298</v>
      </c>
      <c r="S29" s="29">
        <f>Inputs!S112</f>
        <v>44.467075682422298</v>
      </c>
      <c r="T29" s="29">
        <f>Inputs!T112</f>
        <v>44.467075682422298</v>
      </c>
    </row>
    <row r="30" spans="2:20" x14ac:dyDescent="0.25">
      <c r="B30" s="23" t="s">
        <v>2097</v>
      </c>
      <c r="C30" s="28" t="s">
        <v>493</v>
      </c>
      <c r="H30" s="159">
        <f>SUMIF($D$9:$D$28,"COGS fixed",H$9:H$28)*Inputs!$E$54</f>
        <v>15.48497667371355</v>
      </c>
      <c r="I30" s="159">
        <f>SUMIF($D$9:$D$28,"COGS fixed",I$9:I$28)*Inputs!$E$54</f>
        <v>16.026950857293521</v>
      </c>
      <c r="J30" s="159">
        <f>SUMIF($D$9:$D$28,"COGS fixed",J$9:J$28)*Inputs!$E$54</f>
        <v>16.587894137298793</v>
      </c>
      <c r="K30" s="159">
        <f>SUMIF($D$9:$D$28,"COGS fixed",K$9:K$28)*Inputs!$E$54</f>
        <v>17.16847043210425</v>
      </c>
      <c r="L30" s="159">
        <f>SUMIF($D$9:$D$28,"COGS fixed",L$9:L$28)*Inputs!$E$54</f>
        <v>17.769366897227897</v>
      </c>
      <c r="M30" s="159">
        <f>SUMIF($D$9:$D$28,"COGS fixed",M$9:M$28)*Inputs!$E$54</f>
        <v>18.391294738630872</v>
      </c>
      <c r="N30" s="159">
        <f>SUMIF($D$9:$D$28,"COGS fixed",N$9:N$28)*Inputs!$E$54</f>
        <v>19.03499005448295</v>
      </c>
      <c r="O30" s="159">
        <f>SUMIF($D$9:$D$28,"COGS fixed",O$9:O$28)*Inputs!$E$54</f>
        <v>19.701214706389852</v>
      </c>
      <c r="P30" s="159">
        <f>SUMIF($D$9:$D$28,"COGS fixed",P$9:P$28)*Inputs!$E$54</f>
        <v>20.390757221113496</v>
      </c>
      <c r="Q30" s="159">
        <f>SUMIF($D$9:$D$28,"COGS fixed",Q$9:Q$28)*Inputs!$E$54</f>
        <v>21.10443372385247</v>
      </c>
      <c r="R30" s="159">
        <f>SUMIF($D$9:$D$28,"COGS fixed",R$9:R$28)*Inputs!$E$54</f>
        <v>21.843088904187304</v>
      </c>
      <c r="S30" s="159">
        <f>SUMIF($D$9:$D$28,"COGS fixed",S$9:S$28)*Inputs!$E$54</f>
        <v>22.607597015833857</v>
      </c>
      <c r="T30" s="159">
        <f>SUMIF($D$9:$D$28,"COGS fixed",T$9:T$28)*Inputs!$E$54</f>
        <v>23.39886291138804</v>
      </c>
    </row>
    <row r="31" spans="2:20" x14ac:dyDescent="0.25">
      <c r="B31" s="23" t="s">
        <v>2098</v>
      </c>
      <c r="C31" s="28" t="s">
        <v>493</v>
      </c>
      <c r="H31" s="159">
        <f>SUMIF($D$9:$D$28,"COGS per t",H$9:H$28)*'Revenue Calculation'!H38/1000000000*Inputs!$E$54</f>
        <v>13.565484340474249</v>
      </c>
      <c r="I31" s="159">
        <f>SUMIF($D$9:$D$28,"COGS per t",I$9:I$28)*'Revenue Calculation'!I38/1000000000*Inputs!$E$54</f>
        <v>14.401946981493033</v>
      </c>
      <c r="J31" s="159">
        <f>SUMIF($D$9:$D$28,"COGS per t",J$9:J$28)*'Revenue Calculation'!J38/1000000000*Inputs!$E$54</f>
        <v>15.290032140131229</v>
      </c>
      <c r="K31" s="159">
        <f>SUMIF($D$9:$D$28,"COGS per t",K$9:K$28)*'Revenue Calculation'!K38/1000000000*Inputs!$E$54</f>
        <v>16.232928670032575</v>
      </c>
      <c r="L31" s="159">
        <f>SUMIF($D$9:$D$28,"COGS per t",L$9:L$28)*'Revenue Calculation'!L38/1000000000*Inputs!$E$54</f>
        <v>17.234022601072986</v>
      </c>
      <c r="M31" s="159">
        <f>SUMIF($D$9:$D$28,"COGS per t",M$9:M$28)*'Revenue Calculation'!M38/1000000000*Inputs!$E$54</f>
        <v>18.296909343894846</v>
      </c>
      <c r="N31" s="159">
        <f>SUMIF($D$9:$D$28,"COGS per t",N$9:N$28)*'Revenue Calculation'!N38/1000000000*Inputs!$E$54</f>
        <v>19.425406650676372</v>
      </c>
      <c r="O31" s="159">
        <f>SUMIF($D$9:$D$28,"COGS per t",O$9:O$28)*'Revenue Calculation'!O38/1000000000*Inputs!$E$54</f>
        <v>20.62356837904801</v>
      </c>
      <c r="P31" s="159">
        <f>SUMIF($D$9:$D$28,"COGS per t",P$9:P$28)*'Revenue Calculation'!P38/1000000000*Inputs!$E$54</f>
        <v>21.895699108981439</v>
      </c>
      <c r="Q31" s="159">
        <f>SUMIF($D$9:$D$28,"COGS per t",Q$9:Q$28)*'Revenue Calculation'!Q38/1000000000*Inputs!$E$54</f>
        <v>23.246369665571468</v>
      </c>
      <c r="R31" s="159">
        <f>SUMIF($D$9:$D$28,"COGS per t",R$9:R$28)*'Revenue Calculation'!R38/1000000000*Inputs!$E$54</f>
        <v>24.680433603918161</v>
      </c>
      <c r="S31" s="159">
        <f>SUMIF($D$9:$D$28,"COGS per t",S$9:S$28)*'Revenue Calculation'!S38/1000000000*Inputs!$E$54</f>
        <v>26.203044715808545</v>
      </c>
      <c r="T31" s="159">
        <f>SUMIF($D$9:$D$28,"COGS per t",T$9:T$28)*'Revenue Calculation'!T38/1000000000*Inputs!$E$54</f>
        <v>27.819675621605494</v>
      </c>
    </row>
    <row r="32" spans="2:20" x14ac:dyDescent="0.25">
      <c r="B32" s="23" t="s">
        <v>2099</v>
      </c>
      <c r="C32" s="28" t="s">
        <v>493</v>
      </c>
      <c r="H32" s="159">
        <f>Inputs!H410*H29*Inputs!$E$54</f>
        <v>0.88334426765260088</v>
      </c>
      <c r="I32" s="159">
        <f>Inputs!I410*I29*Inputs!$E$54</f>
        <v>0.88334426765260088</v>
      </c>
      <c r="J32" s="159">
        <f>Inputs!J410*J29*Inputs!$E$54</f>
        <v>0.90464657202577969</v>
      </c>
      <c r="K32" s="159">
        <f>Inputs!K410*K29*Inputs!$E$54</f>
        <v>0.90464657202577969</v>
      </c>
      <c r="L32" s="159">
        <f>Inputs!L410*L29*Inputs!$E$54</f>
        <v>0.90464657202577969</v>
      </c>
      <c r="M32" s="159">
        <f>Inputs!M410*M29*Inputs!$E$54</f>
        <v>0.9259488763989584</v>
      </c>
      <c r="N32" s="159">
        <f>Inputs!N410*N29*Inputs!$E$54</f>
        <v>0.9259488763989584</v>
      </c>
      <c r="O32" s="159">
        <f>Inputs!O410*O29*Inputs!$E$54</f>
        <v>0.9259488763989584</v>
      </c>
      <c r="P32" s="159">
        <f>Inputs!P410*P29*Inputs!$E$54</f>
        <v>0.94725118077213721</v>
      </c>
      <c r="Q32" s="159">
        <f>Inputs!Q410*Q29*Inputs!$E$54</f>
        <v>0.94725118077213721</v>
      </c>
      <c r="R32" s="159">
        <f>Inputs!R410*R29*Inputs!$E$54</f>
        <v>0.94725118077213721</v>
      </c>
      <c r="S32" s="159">
        <f>Inputs!S410*S29*Inputs!$E$54</f>
        <v>0.94725118077213721</v>
      </c>
      <c r="T32" s="159">
        <f>Inputs!T410*T29*Inputs!$E$54</f>
        <v>0.94725118077213721</v>
      </c>
    </row>
    <row r="33" spans="2:20" x14ac:dyDescent="0.25">
      <c r="B33" s="21" t="s">
        <v>2100</v>
      </c>
      <c r="C33" s="28" t="s">
        <v>493</v>
      </c>
      <c r="H33" s="160">
        <f t="shared" ref="H33:T33" si="0">H30+H31+H32</f>
        <v>29.933805281840399</v>
      </c>
      <c r="I33" s="160">
        <f t="shared" si="0"/>
        <v>31.312242106439154</v>
      </c>
      <c r="J33" s="160">
        <f t="shared" si="0"/>
        <v>32.782572849455804</v>
      </c>
      <c r="K33" s="160">
        <f t="shared" si="0"/>
        <v>34.306045674162604</v>
      </c>
      <c r="L33" s="160">
        <f t="shared" si="0"/>
        <v>35.908036070326666</v>
      </c>
      <c r="M33" s="160">
        <f t="shared" si="0"/>
        <v>37.61415295892467</v>
      </c>
      <c r="N33" s="160">
        <f t="shared" si="0"/>
        <v>39.386345581558281</v>
      </c>
      <c r="O33" s="160">
        <f t="shared" si="0"/>
        <v>41.250731961836813</v>
      </c>
      <c r="P33" s="160">
        <f t="shared" si="0"/>
        <v>43.23370751086707</v>
      </c>
      <c r="Q33" s="160">
        <f t="shared" si="0"/>
        <v>45.298054570196072</v>
      </c>
      <c r="R33" s="160">
        <f t="shared" si="0"/>
        <v>47.4707736888776</v>
      </c>
      <c r="S33" s="160">
        <f t="shared" si="0"/>
        <v>49.75789291241454</v>
      </c>
      <c r="T33" s="160">
        <f t="shared" si="0"/>
        <v>52.165789713765669</v>
      </c>
    </row>
    <row r="34" spans="2:20" x14ac:dyDescent="0.25">
      <c r="B34" s="21" t="s">
        <v>2101</v>
      </c>
      <c r="C34" s="28" t="s">
        <v>493</v>
      </c>
      <c r="H34" s="160">
        <f>SUMIF($D$9:$D$28,"Opex",H$9:H$28)*Inputs!$E$54</f>
        <v>13.993896484164592</v>
      </c>
      <c r="I34" s="160">
        <f>SUMIF($D$9:$D$28,"Opex",I$9:I$28)*Inputs!$E$54</f>
        <v>14.400581615140439</v>
      </c>
      <c r="J34" s="160">
        <f>SUMIF($D$9:$D$28,"Opex",J$9:J$28)*Inputs!$E$54</f>
        <v>14.819204664774587</v>
      </c>
      <c r="K34" s="160">
        <f>SUMIF($D$9:$D$28,"Opex",K$9:K$28)*Inputs!$E$54</f>
        <v>15.250118517921356</v>
      </c>
      <c r="L34" s="160">
        <f>SUMIF($D$9:$D$28,"Opex",L$9:L$28)*Inputs!$E$54</f>
        <v>15.693686540926597</v>
      </c>
      <c r="M34" s="160">
        <f>SUMIF($D$9:$D$28,"Opex",M$9:M$28)*Inputs!$E$54</f>
        <v>16.150282893971351</v>
      </c>
      <c r="N34" s="160">
        <f>SUMIF($D$9:$D$28,"Opex",N$9:N$28)*Inputs!$E$54</f>
        <v>16.620292852743781</v>
      </c>
      <c r="O34" s="160">
        <f>SUMIF($D$9:$D$28,"Opex",O$9:O$28)*Inputs!$E$54</f>
        <v>17.104113139718446</v>
      </c>
      <c r="P34" s="160">
        <f>SUMIF($D$9:$D$28,"Opex",P$9:P$28)*Inputs!$E$54</f>
        <v>17.602152265330204</v>
      </c>
      <c r="Q34" s="160">
        <f>SUMIF($D$9:$D$28,"Opex",Q$9:Q$28)*Inputs!$E$54</f>
        <v>18.114830879338726</v>
      </c>
      <c r="R34" s="160">
        <f>SUMIF($D$9:$D$28,"Opex",R$9:R$28)*Inputs!$E$54</f>
        <v>18.642582132688467</v>
      </c>
      <c r="S34" s="160">
        <f>SUMIF($D$9:$D$28,"Opex",S$9:S$28)*Inputs!$E$54</f>
        <v>19.185852050178095</v>
      </c>
      <c r="T34" s="160">
        <f>SUMIF($D$9:$D$28,"Opex",T$9:T$28)*Inputs!$E$54</f>
        <v>19.7450999142626</v>
      </c>
    </row>
    <row r="35" spans="2:20" x14ac:dyDescent="0.25">
      <c r="B35" s="21" t="s">
        <v>2102</v>
      </c>
      <c r="C35" s="28" t="s">
        <v>493</v>
      </c>
      <c r="G35" s="157"/>
      <c r="H35" s="158">
        <f>'Revenue Calculation'!H41-H33-H34</f>
        <v>112.51080244855501</v>
      </c>
      <c r="I35" s="158">
        <f>'Revenue Calculation'!I41-I33-I34</f>
        <v>115.41883561941721</v>
      </c>
      <c r="J35" s="158">
        <f>'Revenue Calculation'!J41-J33-J34</f>
        <v>118.36383160699631</v>
      </c>
      <c r="K35" s="158">
        <f>'Revenue Calculation'!K41-K33-K34</f>
        <v>121.38841320277953</v>
      </c>
      <c r="L35" s="158">
        <f>'Revenue Calculation'!L41-L33-L34</f>
        <v>124.47119210545617</v>
      </c>
      <c r="M35" s="158">
        <f>'Revenue Calculation'!M41-M33-M34</f>
        <v>133.031319370061</v>
      </c>
      <c r="N35" s="158">
        <f>'Revenue Calculation'!N41-N33-N34</f>
        <v>136.39298944534369</v>
      </c>
      <c r="O35" s="158">
        <f>'Revenue Calculation'!O41-O33-O34</f>
        <v>139.81677161447988</v>
      </c>
      <c r="P35" s="158">
        <f>'Revenue Calculation'!P41-P33-P34</f>
        <v>149.40440839784441</v>
      </c>
      <c r="Q35" s="158">
        <f>'Revenue Calculation'!Q41-Q33-Q34</f>
        <v>153.13459076972811</v>
      </c>
      <c r="R35" s="158">
        <f>'Revenue Calculation'!R41-R33-R34</f>
        <v>156.93054468427476</v>
      </c>
      <c r="S35" s="158">
        <f>'Revenue Calculation'!S41-S33-S34</f>
        <v>160.79147255842341</v>
      </c>
      <c r="T35" s="158">
        <f>'Revenue Calculation'!T41-T33-T34</f>
        <v>164.71638441861828</v>
      </c>
    </row>
    <row r="36" spans="2:20" x14ac:dyDescent="0.25">
      <c r="B36" s="23" t="s">
        <v>2103</v>
      </c>
      <c r="C36" s="28" t="s">
        <v>493</v>
      </c>
      <c r="H36" s="159">
        <f t="shared" ref="H36:T36" si="1">SUMIF($D$9:$D$28,"D&amp;A",H$9:H$28)</f>
        <v>0.27370649349000004</v>
      </c>
      <c r="I36" s="159">
        <f t="shared" si="1"/>
        <v>0.27918062335980004</v>
      </c>
      <c r="J36" s="159">
        <f t="shared" si="1"/>
        <v>0.28476423582699606</v>
      </c>
      <c r="K36" s="159">
        <f t="shared" si="1"/>
        <v>0.29045952054353597</v>
      </c>
      <c r="L36" s="159">
        <f t="shared" si="1"/>
        <v>0.29626871095440671</v>
      </c>
      <c r="M36" s="159">
        <f t="shared" si="1"/>
        <v>0.30219408517349483</v>
      </c>
      <c r="N36" s="159">
        <f t="shared" si="1"/>
        <v>0.30823796687696475</v>
      </c>
      <c r="O36" s="159">
        <f t="shared" si="1"/>
        <v>0.31440272621450405</v>
      </c>
      <c r="P36" s="159">
        <f t="shared" si="1"/>
        <v>0.32069078073879415</v>
      </c>
      <c r="Q36" s="159">
        <f t="shared" si="1"/>
        <v>0.32710459635357003</v>
      </c>
      <c r="R36" s="159">
        <f t="shared" si="1"/>
        <v>0.33364668828064142</v>
      </c>
      <c r="S36" s="159">
        <f t="shared" si="1"/>
        <v>0.34031962204625427</v>
      </c>
      <c r="T36" s="159">
        <f t="shared" si="1"/>
        <v>0.34712601448717934</v>
      </c>
    </row>
    <row r="38" spans="2:20" x14ac:dyDescent="0.25">
      <c r="B38" s="154" t="s">
        <v>2104</v>
      </c>
    </row>
    <row r="39" spans="2:20" x14ac:dyDescent="0.25">
      <c r="B39" s="163" t="s">
        <v>2105</v>
      </c>
    </row>
    <row r="40" spans="2:20" x14ac:dyDescent="0.25">
      <c r="B40" s="23" t="s">
        <v>2073</v>
      </c>
      <c r="C40" s="28" t="s">
        <v>493</v>
      </c>
      <c r="D40" s="164" t="s">
        <v>2074</v>
      </c>
      <c r="G40" s="161">
        <f>Inputs!$E$339*Inputs!$F$339</f>
        <v>5.423</v>
      </c>
      <c r="H40" s="161">
        <f>G40*(1+Inputs!H339)</f>
        <v>5.6128049999999998</v>
      </c>
      <c r="I40" s="161">
        <f>H40*(1+Inputs!I339)</f>
        <v>5.8092531749999994</v>
      </c>
      <c r="J40" s="161">
        <f>I40*(1+Inputs!J339)</f>
        <v>6.0125770361249993</v>
      </c>
      <c r="K40" s="161">
        <f>J40*(1+Inputs!K339)</f>
        <v>6.223017232389374</v>
      </c>
      <c r="L40" s="161">
        <f>K40*(1+Inputs!L339)</f>
        <v>6.4408228355230017</v>
      </c>
      <c r="M40" s="161">
        <f>L40*(1+Inputs!M339)</f>
        <v>6.6662516347663061</v>
      </c>
      <c r="N40" s="161">
        <f>M40*(1+Inputs!N339)</f>
        <v>6.8995704419831263</v>
      </c>
      <c r="O40" s="161">
        <f>N40*(1+Inputs!O339)</f>
        <v>7.1410554074525354</v>
      </c>
      <c r="P40" s="161">
        <f>O40*(1+Inputs!P339)</f>
        <v>7.3909923467133734</v>
      </c>
      <c r="Q40" s="161">
        <f>P40*(1+Inputs!Q339)</f>
        <v>7.6496770788483408</v>
      </c>
      <c r="R40" s="161">
        <f>Q40*(1+Inputs!R339)</f>
        <v>7.9174157766080322</v>
      </c>
      <c r="S40" s="161">
        <f>R40*(1+Inputs!S339)</f>
        <v>8.1945253287893127</v>
      </c>
      <c r="T40" s="161">
        <f>S40*(1+Inputs!T339)</f>
        <v>8.4813337152969375</v>
      </c>
    </row>
    <row r="41" spans="2:20" x14ac:dyDescent="0.25">
      <c r="B41" s="23" t="s">
        <v>2075</v>
      </c>
      <c r="C41" s="28" t="s">
        <v>647</v>
      </c>
      <c r="D41" s="164" t="s">
        <v>2076</v>
      </c>
      <c r="G41" s="159">
        <f>Inputs!$E$340*Inputs!$F$340/Inputs!$E$116*1000000000</f>
        <v>1958.7253667499781</v>
      </c>
      <c r="H41" s="159">
        <f>G41*(1+Inputs!H340)</f>
        <v>2017.4871277524776</v>
      </c>
      <c r="I41" s="159">
        <f>H41*(1+Inputs!I340)</f>
        <v>2078.0117415850518</v>
      </c>
      <c r="J41" s="159">
        <f>I41*(1+Inputs!J340)</f>
        <v>2140.3520938326033</v>
      </c>
      <c r="K41" s="159">
        <f>J41*(1+Inputs!K340)</f>
        <v>2204.5626566475812</v>
      </c>
      <c r="L41" s="159">
        <f>K41*(1+Inputs!L340)</f>
        <v>2270.6995363470087</v>
      </c>
      <c r="M41" s="159">
        <f>L41*(1+Inputs!M340)</f>
        <v>2338.8205224374192</v>
      </c>
      <c r="N41" s="159">
        <f>M41*(1+Inputs!N340)</f>
        <v>2408.9851381105418</v>
      </c>
      <c r="O41" s="159">
        <f>N41*(1+Inputs!O340)</f>
        <v>2481.2546922538581</v>
      </c>
      <c r="P41" s="159">
        <f>O41*(1+Inputs!P340)</f>
        <v>2555.692333021474</v>
      </c>
      <c r="Q41" s="159">
        <f>P41*(1+Inputs!Q340)</f>
        <v>2632.3631030121182</v>
      </c>
      <c r="R41" s="159">
        <f>Q41*(1+Inputs!R340)</f>
        <v>2711.3339961024817</v>
      </c>
      <c r="S41" s="159">
        <f>R41*(1+Inputs!S340)</f>
        <v>2792.6740159855563</v>
      </c>
      <c r="T41" s="159">
        <f>S41*(1+Inputs!T340)</f>
        <v>2876.4542364651229</v>
      </c>
    </row>
    <row r="42" spans="2:20" x14ac:dyDescent="0.25">
      <c r="B42" s="23" t="s">
        <v>2078</v>
      </c>
      <c r="C42" s="28" t="s">
        <v>493</v>
      </c>
      <c r="D42" s="164" t="s">
        <v>2074</v>
      </c>
      <c r="G42" s="161">
        <f>Inputs!$E$341*Inputs!$F$341</f>
        <v>2.1486997309999998</v>
      </c>
      <c r="H42" s="161">
        <f>G42*(1+Inputs!H341)</f>
        <v>2.2239042215849998</v>
      </c>
      <c r="I42" s="161">
        <f>H42*(1+Inputs!I341)</f>
        <v>2.3017408693404744</v>
      </c>
      <c r="J42" s="161">
        <f>I42*(1+Inputs!J341)</f>
        <v>2.382301799767391</v>
      </c>
      <c r="K42" s="161">
        <f>J42*(1+Inputs!K341)</f>
        <v>2.4656823627592495</v>
      </c>
      <c r="L42" s="161">
        <f>K42*(1+Inputs!L341)</f>
        <v>2.5519812454558228</v>
      </c>
      <c r="M42" s="161">
        <f>L42*(1+Inputs!M341)</f>
        <v>2.6413005890467764</v>
      </c>
      <c r="N42" s="161">
        <f>M42*(1+Inputs!N341)</f>
        <v>2.7337461096634135</v>
      </c>
      <c r="O42" s="161">
        <f>N42*(1+Inputs!O341)</f>
        <v>2.8294272235016327</v>
      </c>
      <c r="P42" s="161">
        <f>O42*(1+Inputs!P341)</f>
        <v>2.9284571763241898</v>
      </c>
      <c r="Q42" s="161">
        <f>P42*(1+Inputs!Q341)</f>
        <v>3.0309531774955363</v>
      </c>
      <c r="R42" s="161">
        <f>Q42*(1+Inputs!R341)</f>
        <v>3.1370365387078798</v>
      </c>
      <c r="S42" s="161">
        <f>R42*(1+Inputs!S341)</f>
        <v>3.2468328175626553</v>
      </c>
      <c r="T42" s="161">
        <f>S42*(1+Inputs!T341)</f>
        <v>3.3604719661773479</v>
      </c>
    </row>
    <row r="43" spans="2:20" x14ac:dyDescent="0.25">
      <c r="B43" s="23" t="s">
        <v>2079</v>
      </c>
      <c r="C43" s="28" t="s">
        <v>647</v>
      </c>
      <c r="D43" s="164" t="s">
        <v>2076</v>
      </c>
      <c r="G43" s="159">
        <f>Inputs!$E$342*Inputs!$F$342/Inputs!$E$116*1000000000</f>
        <v>699.28161243489319</v>
      </c>
      <c r="H43" s="159">
        <f>G43*(1+Inputs!H342)</f>
        <v>720.26006080794002</v>
      </c>
      <c r="I43" s="159">
        <f>H43*(1+Inputs!I342)</f>
        <v>741.86786263217823</v>
      </c>
      <c r="J43" s="159">
        <f>I43*(1+Inputs!J342)</f>
        <v>764.12389851114358</v>
      </c>
      <c r="K43" s="159">
        <f>J43*(1+Inputs!K342)</f>
        <v>787.04761546647785</v>
      </c>
      <c r="L43" s="159">
        <f>K43*(1+Inputs!L342)</f>
        <v>810.65904393047219</v>
      </c>
      <c r="M43" s="159">
        <f>L43*(1+Inputs!M342)</f>
        <v>834.97881524838635</v>
      </c>
      <c r="N43" s="159">
        <f>M43*(1+Inputs!N342)</f>
        <v>860.02817970583794</v>
      </c>
      <c r="O43" s="159">
        <f>N43*(1+Inputs!O342)</f>
        <v>885.82902509701307</v>
      </c>
      <c r="P43" s="159">
        <f>O43*(1+Inputs!P342)</f>
        <v>912.40389584992352</v>
      </c>
      <c r="Q43" s="159">
        <f>P43*(1+Inputs!Q342)</f>
        <v>939.7760127254212</v>
      </c>
      <c r="R43" s="159">
        <f>Q43*(1+Inputs!R342)</f>
        <v>967.96929310718383</v>
      </c>
      <c r="S43" s="159">
        <f>R43*(1+Inputs!S342)</f>
        <v>997.00837190039942</v>
      </c>
      <c r="T43" s="159">
        <f>S43*(1+Inputs!T342)</f>
        <v>1026.9186230574114</v>
      </c>
    </row>
    <row r="44" spans="2:20" x14ac:dyDescent="0.25">
      <c r="B44" s="23" t="s">
        <v>2106</v>
      </c>
      <c r="C44" s="28" t="s">
        <v>647</v>
      </c>
      <c r="D44" s="164" t="s">
        <v>2076</v>
      </c>
      <c r="G44" s="159">
        <f>Inputs!$E$343*Inputs!$F$343/Inputs!$E$116*1000000000</f>
        <v>602.23322257725192</v>
      </c>
      <c r="H44" s="159">
        <f>G44*(1+Inputs!H343)</f>
        <v>620.30021925456947</v>
      </c>
      <c r="I44" s="159">
        <f>H44*(1+Inputs!I343)</f>
        <v>638.90922583220652</v>
      </c>
      <c r="J44" s="159">
        <f>I44*(1+Inputs!J343)</f>
        <v>658.07650260717276</v>
      </c>
      <c r="K44" s="159">
        <f>J44*(1+Inputs!K343)</f>
        <v>677.81879768538795</v>
      </c>
      <c r="L44" s="159">
        <f>K44*(1+Inputs!L343)</f>
        <v>698.15336161594962</v>
      </c>
      <c r="M44" s="159">
        <f>L44*(1+Inputs!M343)</f>
        <v>719.09796246442818</v>
      </c>
      <c r="N44" s="159">
        <f>M44*(1+Inputs!N343)</f>
        <v>740.67090133836109</v>
      </c>
      <c r="O44" s="159">
        <f>N44*(1+Inputs!O343)</f>
        <v>762.89102837851192</v>
      </c>
      <c r="P44" s="159">
        <f>O44*(1+Inputs!P343)</f>
        <v>785.77775922986734</v>
      </c>
      <c r="Q44" s="159">
        <f>P44*(1+Inputs!Q343)</f>
        <v>809.35109200676334</v>
      </c>
      <c r="R44" s="159">
        <f>Q44*(1+Inputs!R343)</f>
        <v>833.6316247669663</v>
      </c>
      <c r="S44" s="159">
        <f>R44*(1+Inputs!S343)</f>
        <v>858.6405735099753</v>
      </c>
      <c r="T44" s="159">
        <f>S44*(1+Inputs!T343)</f>
        <v>884.39979071527455</v>
      </c>
    </row>
    <row r="45" spans="2:20" x14ac:dyDescent="0.25">
      <c r="B45" s="23" t="s">
        <v>2082</v>
      </c>
      <c r="C45" s="28" t="s">
        <v>647</v>
      </c>
      <c r="D45" s="164" t="s">
        <v>2076</v>
      </c>
      <c r="G45" s="159">
        <f>Inputs!$E$344*Inputs!$F$344/Inputs!$E$116*1000000000</f>
        <v>331.6074791756601</v>
      </c>
      <c r="H45" s="159">
        <f>G45*(1+Inputs!H344)</f>
        <v>338.23962875917329</v>
      </c>
      <c r="I45" s="159">
        <f>H45*(1+Inputs!I344)</f>
        <v>345.00442133435678</v>
      </c>
      <c r="J45" s="159">
        <f>I45*(1+Inputs!J344)</f>
        <v>351.90450976104393</v>
      </c>
      <c r="K45" s="159">
        <f>J45*(1+Inputs!K344)</f>
        <v>358.94259995626481</v>
      </c>
      <c r="L45" s="159">
        <f>K45*(1+Inputs!L344)</f>
        <v>366.12145195539011</v>
      </c>
      <c r="M45" s="159">
        <f>L45*(1+Inputs!M344)</f>
        <v>373.44388099449793</v>
      </c>
      <c r="N45" s="159">
        <f>M45*(1+Inputs!N344)</f>
        <v>380.91275861438788</v>
      </c>
      <c r="O45" s="159">
        <f>N45*(1+Inputs!O344)</f>
        <v>388.53101378667566</v>
      </c>
      <c r="P45" s="159">
        <f>O45*(1+Inputs!P344)</f>
        <v>396.30163406240916</v>
      </c>
      <c r="Q45" s="159">
        <f>P45*(1+Inputs!Q344)</f>
        <v>404.22766674365738</v>
      </c>
      <c r="R45" s="159">
        <f>Q45*(1+Inputs!R344)</f>
        <v>412.31222007853052</v>
      </c>
      <c r="S45" s="159">
        <f>R45*(1+Inputs!S344)</f>
        <v>420.55846448010112</v>
      </c>
      <c r="T45" s="159">
        <f>S45*(1+Inputs!T344)</f>
        <v>428.96963376970314</v>
      </c>
    </row>
    <row r="46" spans="2:20" x14ac:dyDescent="0.25">
      <c r="B46" s="23" t="s">
        <v>2080</v>
      </c>
      <c r="C46" s="28" t="s">
        <v>647</v>
      </c>
      <c r="D46" s="164" t="s">
        <v>2076</v>
      </c>
      <c r="G46" s="159">
        <f>Inputs!$E$345*Inputs!$F$345/Inputs!$E$116*1000000000</f>
        <v>107.08021326730696</v>
      </c>
      <c r="H46" s="159">
        <f>G46*(1+Inputs!H345)</f>
        <v>110.82802073166269</v>
      </c>
      <c r="I46" s="159">
        <f>H46*(1+Inputs!I345)</f>
        <v>114.70700145727088</v>
      </c>
      <c r="J46" s="159">
        <f>I46*(1+Inputs!J345)</f>
        <v>118.72174650827534</v>
      </c>
      <c r="K46" s="159">
        <f>J46*(1+Inputs!K345)</f>
        <v>122.87700763606497</v>
      </c>
      <c r="L46" s="159">
        <f>K46*(1+Inputs!L345)</f>
        <v>127.17770290332724</v>
      </c>
      <c r="M46" s="159">
        <f>L46*(1+Inputs!M345)</f>
        <v>131.62892250494369</v>
      </c>
      <c r="N46" s="159">
        <f>M46*(1+Inputs!N345)</f>
        <v>136.23593479261672</v>
      </c>
      <c r="O46" s="159">
        <f>N46*(1+Inputs!O345)</f>
        <v>141.00419251035828</v>
      </c>
      <c r="P46" s="159">
        <f>O46*(1+Inputs!P345)</f>
        <v>145.93933924822082</v>
      </c>
      <c r="Q46" s="159">
        <f>P46*(1+Inputs!Q345)</f>
        <v>151.04721612190855</v>
      </c>
      <c r="R46" s="159">
        <f>Q46*(1+Inputs!R345)</f>
        <v>156.33386868617532</v>
      </c>
      <c r="S46" s="159">
        <f>R46*(1+Inputs!S345)</f>
        <v>161.80555409019144</v>
      </c>
      <c r="T46" s="159">
        <f>S46*(1+Inputs!T345)</f>
        <v>167.46874848334812</v>
      </c>
    </row>
    <row r="47" spans="2:20" x14ac:dyDescent="0.25">
      <c r="B47" s="23" t="s">
        <v>2081</v>
      </c>
      <c r="C47" s="28" t="s">
        <v>647</v>
      </c>
      <c r="D47" s="164" t="s">
        <v>2076</v>
      </c>
      <c r="G47" s="159">
        <f>Inputs!$E$346*Inputs!$F$346/Inputs!$E$116*1000000000</f>
        <v>35.500214856633988</v>
      </c>
      <c r="H47" s="159">
        <f>G47*(1+Inputs!H346)</f>
        <v>36.742722376616172</v>
      </c>
      <c r="I47" s="159">
        <f>H47*(1+Inputs!I346)</f>
        <v>38.028717659797735</v>
      </c>
      <c r="J47" s="159">
        <f>I47*(1+Inputs!J346)</f>
        <v>39.359722777890653</v>
      </c>
      <c r="K47" s="159">
        <f>J47*(1+Inputs!K346)</f>
        <v>40.737313075116823</v>
      </c>
      <c r="L47" s="159">
        <f>K47*(1+Inputs!L346)</f>
        <v>42.163119032745911</v>
      </c>
      <c r="M47" s="159">
        <f>L47*(1+Inputs!M346)</f>
        <v>43.638828198892014</v>
      </c>
      <c r="N47" s="159">
        <f>M47*(1+Inputs!N346)</f>
        <v>45.166187185853232</v>
      </c>
      <c r="O47" s="159">
        <f>N47*(1+Inputs!O346)</f>
        <v>46.747003737358092</v>
      </c>
      <c r="P47" s="159">
        <f>O47*(1+Inputs!P346)</f>
        <v>48.38314886816562</v>
      </c>
      <c r="Q47" s="159">
        <f>P47*(1+Inputs!Q346)</f>
        <v>50.076559078551412</v>
      </c>
      <c r="R47" s="159">
        <f>Q47*(1+Inputs!R346)</f>
        <v>51.829238646300709</v>
      </c>
      <c r="S47" s="159">
        <f>R47*(1+Inputs!S346)</f>
        <v>53.643261998921233</v>
      </c>
      <c r="T47" s="159">
        <f>S47*(1+Inputs!T346)</f>
        <v>55.520776168883472</v>
      </c>
    </row>
    <row r="48" spans="2:20" x14ac:dyDescent="0.25">
      <c r="B48" s="23" t="s">
        <v>2107</v>
      </c>
      <c r="C48" s="28" t="s">
        <v>493</v>
      </c>
      <c r="D48" s="164" t="s">
        <v>2074</v>
      </c>
      <c r="G48" s="161">
        <f>Inputs!$E$347*Inputs!$F$347</f>
        <v>2.5000000000000001E-3</v>
      </c>
      <c r="H48" s="161">
        <f>G48*(1+Inputs!H347)</f>
        <v>2.5500000000000002E-3</v>
      </c>
      <c r="I48" s="161">
        <f>H48*(1+Inputs!I347)</f>
        <v>2.6010000000000004E-3</v>
      </c>
      <c r="J48" s="161">
        <f>I48*(1+Inputs!J347)</f>
        <v>2.6530200000000003E-3</v>
      </c>
      <c r="K48" s="161">
        <f>J48*(1+Inputs!K347)</f>
        <v>2.7060804000000002E-3</v>
      </c>
      <c r="L48" s="161">
        <f>K48*(1+Inputs!L347)</f>
        <v>2.7602020080000002E-3</v>
      </c>
      <c r="M48" s="161">
        <f>L48*(1+Inputs!M347)</f>
        <v>2.8154060481600002E-3</v>
      </c>
      <c r="N48" s="161">
        <f>M48*(1+Inputs!N347)</f>
        <v>2.8717141691232003E-3</v>
      </c>
      <c r="O48" s="161">
        <f>N48*(1+Inputs!O347)</f>
        <v>2.9291484525056644E-3</v>
      </c>
      <c r="P48" s="161">
        <f>O48*(1+Inputs!P347)</f>
        <v>2.9877314215557777E-3</v>
      </c>
      <c r="Q48" s="161">
        <f>P48*(1+Inputs!Q347)</f>
        <v>3.0474860499868934E-3</v>
      </c>
      <c r="R48" s="161">
        <f>Q48*(1+Inputs!R347)</f>
        <v>3.1084357709866314E-3</v>
      </c>
      <c r="S48" s="161">
        <f>R48*(1+Inputs!S347)</f>
        <v>3.170604486406364E-3</v>
      </c>
      <c r="T48" s="161">
        <f>S48*(1+Inputs!T347)</f>
        <v>3.2340165761344914E-3</v>
      </c>
    </row>
    <row r="49" spans="2:20" x14ac:dyDescent="0.25">
      <c r="B49" s="23" t="s">
        <v>2108</v>
      </c>
      <c r="C49" s="28" t="s">
        <v>493</v>
      </c>
      <c r="D49" s="164" t="s">
        <v>2084</v>
      </c>
      <c r="G49" s="161">
        <f>Inputs!$E$348*Inputs!$F$348</f>
        <v>4.2735000000000003</v>
      </c>
      <c r="H49" s="161">
        <f>G49*(1+Inputs!H348)</f>
        <v>4.4230725</v>
      </c>
      <c r="I49" s="161">
        <f>H49*(1+Inputs!I348)</f>
        <v>4.5778800374999999</v>
      </c>
      <c r="J49" s="161">
        <f>I49*(1+Inputs!J348)</f>
        <v>4.7381058388124995</v>
      </c>
      <c r="K49" s="161">
        <f>J49*(1+Inputs!K348)</f>
        <v>4.9039395431709369</v>
      </c>
      <c r="L49" s="161">
        <f>K49*(1+Inputs!L348)</f>
        <v>5.0755774271819192</v>
      </c>
      <c r="M49" s="161">
        <f>L49*(1+Inputs!M348)</f>
        <v>5.2532226371332857</v>
      </c>
      <c r="N49" s="161">
        <f>M49*(1+Inputs!N348)</f>
        <v>5.4370854294329503</v>
      </c>
      <c r="O49" s="161">
        <f>N49*(1+Inputs!O348)</f>
        <v>5.6273834194631034</v>
      </c>
      <c r="P49" s="161">
        <f>O49*(1+Inputs!P348)</f>
        <v>5.8243418391443118</v>
      </c>
      <c r="Q49" s="161">
        <f>P49*(1+Inputs!Q348)</f>
        <v>6.0281938035143625</v>
      </c>
      <c r="R49" s="161">
        <f>Q49*(1+Inputs!R348)</f>
        <v>6.2391805866373646</v>
      </c>
      <c r="S49" s="161">
        <f>R49*(1+Inputs!S348)</f>
        <v>6.4575519071696723</v>
      </c>
      <c r="T49" s="161">
        <f>S49*(1+Inputs!T348)</f>
        <v>6.6835662239206099</v>
      </c>
    </row>
    <row r="50" spans="2:20" x14ac:dyDescent="0.25">
      <c r="B50" s="23" t="s">
        <v>2083</v>
      </c>
      <c r="C50" s="28" t="s">
        <v>493</v>
      </c>
      <c r="D50" s="164" t="s">
        <v>2084</v>
      </c>
      <c r="G50" s="161">
        <f>Inputs!$E$349*Inputs!$F$349</f>
        <v>3.0775133239999999</v>
      </c>
      <c r="H50" s="161">
        <f>G50*(1+Inputs!H349)</f>
        <v>3.1698387237199999</v>
      </c>
      <c r="I50" s="161">
        <f>H50*(1+Inputs!I349)</f>
        <v>3.2649338854316001</v>
      </c>
      <c r="J50" s="161">
        <f>I50*(1+Inputs!J349)</f>
        <v>3.3628819019945482</v>
      </c>
      <c r="K50" s="161">
        <f>J50*(1+Inputs!K349)</f>
        <v>3.4637683590543848</v>
      </c>
      <c r="L50" s="161">
        <f>K50*(1+Inputs!L349)</f>
        <v>3.5676814098260166</v>
      </c>
      <c r="M50" s="161">
        <f>L50*(1+Inputs!M349)</f>
        <v>3.6747118521207973</v>
      </c>
      <c r="N50" s="161">
        <f>M50*(1+Inputs!N349)</f>
        <v>3.7849532076844215</v>
      </c>
      <c r="O50" s="161">
        <f>N50*(1+Inputs!O349)</f>
        <v>3.8985018039149542</v>
      </c>
      <c r="P50" s="161">
        <f>O50*(1+Inputs!P349)</f>
        <v>4.0154568580324028</v>
      </c>
      <c r="Q50" s="161">
        <f>P50*(1+Inputs!Q349)</f>
        <v>4.1359205637733751</v>
      </c>
      <c r="R50" s="161">
        <f>Q50*(1+Inputs!R349)</f>
        <v>4.2599981806865763</v>
      </c>
      <c r="S50" s="161">
        <f>R50*(1+Inputs!S349)</f>
        <v>4.3877981261071737</v>
      </c>
      <c r="T50" s="161">
        <f>S50*(1+Inputs!T349)</f>
        <v>4.5194320698903887</v>
      </c>
    </row>
    <row r="51" spans="2:20" x14ac:dyDescent="0.25">
      <c r="B51" s="23" t="s">
        <v>2093</v>
      </c>
      <c r="C51" s="28" t="s">
        <v>493</v>
      </c>
      <c r="D51" s="164" t="s">
        <v>2084</v>
      </c>
      <c r="G51" s="161">
        <f>Inputs!$E$350*Inputs!$F$350</f>
        <v>0.43463408199999998</v>
      </c>
      <c r="H51" s="161">
        <f>G51*(1+Inputs!H350)</f>
        <v>0.44767310445999997</v>
      </c>
      <c r="I51" s="161">
        <f>H51*(1+Inputs!I350)</f>
        <v>0.46110329759379998</v>
      </c>
      <c r="J51" s="161">
        <f>I51*(1+Inputs!J350)</f>
        <v>0.47493639652161401</v>
      </c>
      <c r="K51" s="161">
        <f>J51*(1+Inputs!K350)</f>
        <v>0.48918448841726242</v>
      </c>
      <c r="L51" s="161">
        <f>K51*(1+Inputs!L350)</f>
        <v>0.50386002306978028</v>
      </c>
      <c r="M51" s="161">
        <f>L51*(1+Inputs!M350)</f>
        <v>0.51897582376187368</v>
      </c>
      <c r="N51" s="161">
        <f>M51*(1+Inputs!N350)</f>
        <v>0.53454509847472986</v>
      </c>
      <c r="O51" s="161">
        <f>N51*(1+Inputs!O350)</f>
        <v>0.55058145142897175</v>
      </c>
      <c r="P51" s="161">
        <f>O51*(1+Inputs!P350)</f>
        <v>0.56709889497184096</v>
      </c>
      <c r="Q51" s="161">
        <f>P51*(1+Inputs!Q350)</f>
        <v>0.58411186182099617</v>
      </c>
      <c r="R51" s="161">
        <f>Q51*(1+Inputs!R350)</f>
        <v>0.60163521767562611</v>
      </c>
      <c r="S51" s="161">
        <f>R51*(1+Inputs!S350)</f>
        <v>0.61968427420589489</v>
      </c>
      <c r="T51" s="161">
        <f>S51*(1+Inputs!T350)</f>
        <v>0.6382748024320718</v>
      </c>
    </row>
    <row r="52" spans="2:20" x14ac:dyDescent="0.25">
      <c r="B52" s="23" t="s">
        <v>2089</v>
      </c>
      <c r="C52" s="28" t="s">
        <v>493</v>
      </c>
      <c r="D52" s="164" t="s">
        <v>2084</v>
      </c>
      <c r="G52" s="161">
        <f>Inputs!$E$351*Inputs!$F$351</f>
        <v>0.38632712999687502</v>
      </c>
      <c r="H52" s="161">
        <f>G52*(1+Inputs!H351)</f>
        <v>0.39791694389678128</v>
      </c>
      <c r="I52" s="161">
        <f>H52*(1+Inputs!I351)</f>
        <v>0.40985445221368472</v>
      </c>
      <c r="J52" s="161">
        <f>I52*(1+Inputs!J351)</f>
        <v>0.42215008578009527</v>
      </c>
      <c r="K52" s="161">
        <f>J52*(1+Inputs!K351)</f>
        <v>0.43481458835349812</v>
      </c>
      <c r="L52" s="161">
        <f>K52*(1+Inputs!L351)</f>
        <v>0.4478590260041031</v>
      </c>
      <c r="M52" s="161">
        <f>L52*(1+Inputs!M351)</f>
        <v>0.46129479678422619</v>
      </c>
      <c r="N52" s="161">
        <f>M52*(1+Inputs!N351)</f>
        <v>0.47513364068775299</v>
      </c>
      <c r="O52" s="161">
        <f>N52*(1+Inputs!O351)</f>
        <v>0.48938764990838557</v>
      </c>
      <c r="P52" s="161">
        <f>O52*(1+Inputs!P351)</f>
        <v>0.50406927940563717</v>
      </c>
      <c r="Q52" s="161">
        <f>P52*(1+Inputs!Q351)</f>
        <v>0.51919135778780634</v>
      </c>
      <c r="R52" s="161">
        <f>Q52*(1+Inputs!R351)</f>
        <v>0.53476709852144055</v>
      </c>
      <c r="S52" s="161">
        <f>R52*(1+Inputs!S351)</f>
        <v>0.55081011147708381</v>
      </c>
      <c r="T52" s="161">
        <f>S52*(1+Inputs!T351)</f>
        <v>0.56733441482139635</v>
      </c>
    </row>
    <row r="53" spans="2:20" x14ac:dyDescent="0.25">
      <c r="B53" s="23" t="s">
        <v>2086</v>
      </c>
      <c r="C53" s="28" t="s">
        <v>493</v>
      </c>
      <c r="D53" s="164" t="s">
        <v>2084</v>
      </c>
      <c r="G53" s="161">
        <f>Inputs!$E$352*Inputs!$F$352</f>
        <v>0.35</v>
      </c>
      <c r="H53" s="161">
        <f>G53*(1+Inputs!H352)</f>
        <v>0.36049999999999999</v>
      </c>
      <c r="I53" s="161">
        <f>H53*(1+Inputs!I352)</f>
        <v>0.37131500000000001</v>
      </c>
      <c r="J53" s="161">
        <f>I53*(1+Inputs!J352)</f>
        <v>0.38245445</v>
      </c>
      <c r="K53" s="161">
        <f>J53*(1+Inputs!K352)</f>
        <v>0.39392808350000003</v>
      </c>
      <c r="L53" s="161">
        <f>K53*(1+Inputs!L352)</f>
        <v>0.40574592600500003</v>
      </c>
      <c r="M53" s="161">
        <f>L53*(1+Inputs!M352)</f>
        <v>0.41791830378515005</v>
      </c>
      <c r="N53" s="161">
        <f>M53*(1+Inputs!N352)</f>
        <v>0.43045585289870458</v>
      </c>
      <c r="O53" s="161">
        <f>N53*(1+Inputs!O352)</f>
        <v>0.44336952848566574</v>
      </c>
      <c r="P53" s="161">
        <f>O53*(1+Inputs!P352)</f>
        <v>0.4566706143402357</v>
      </c>
      <c r="Q53" s="161">
        <f>P53*(1+Inputs!Q352)</f>
        <v>0.47037073277044278</v>
      </c>
      <c r="R53" s="161">
        <f>Q53*(1+Inputs!R352)</f>
        <v>0.4844818547535561</v>
      </c>
      <c r="S53" s="161">
        <f>R53*(1+Inputs!S352)</f>
        <v>0.49901631039616279</v>
      </c>
      <c r="T53" s="161">
        <f>S53*(1+Inputs!T352)</f>
        <v>0.51398679970804773</v>
      </c>
    </row>
    <row r="54" spans="2:20" x14ac:dyDescent="0.25">
      <c r="B54" s="23" t="s">
        <v>2087</v>
      </c>
      <c r="C54" s="28" t="s">
        <v>493</v>
      </c>
      <c r="D54" s="164" t="s">
        <v>2084</v>
      </c>
      <c r="G54" s="161">
        <f>Inputs!$E$353*Inputs!$F$353</f>
        <v>0.24578808914</v>
      </c>
      <c r="H54" s="161">
        <f>G54*(1+Inputs!H353)</f>
        <v>0.25316173181419999</v>
      </c>
      <c r="I54" s="161">
        <f>H54*(1+Inputs!I353)</f>
        <v>0.26075658376862598</v>
      </c>
      <c r="J54" s="161">
        <f>I54*(1+Inputs!J353)</f>
        <v>0.26857928128168479</v>
      </c>
      <c r="K54" s="161">
        <f>J54*(1+Inputs!K353)</f>
        <v>0.27663665972013535</v>
      </c>
      <c r="L54" s="161">
        <f>K54*(1+Inputs!L353)</f>
        <v>0.28493575951173944</v>
      </c>
      <c r="M54" s="161">
        <f>L54*(1+Inputs!M353)</f>
        <v>0.29348383229709163</v>
      </c>
      <c r="N54" s="161">
        <f>M54*(1+Inputs!N353)</f>
        <v>0.3022883472660044</v>
      </c>
      <c r="O54" s="161">
        <f>N54*(1+Inputs!O353)</f>
        <v>0.31135699768398456</v>
      </c>
      <c r="P54" s="161">
        <f>O54*(1+Inputs!P353)</f>
        <v>0.32069770761450411</v>
      </c>
      <c r="Q54" s="161">
        <f>P54*(1+Inputs!Q353)</f>
        <v>0.33031863884293927</v>
      </c>
      <c r="R54" s="161">
        <f>Q54*(1+Inputs!R353)</f>
        <v>0.34022819800822746</v>
      </c>
      <c r="S54" s="161">
        <f>R54*(1+Inputs!S353)</f>
        <v>0.3504350439484743</v>
      </c>
      <c r="T54" s="161">
        <f>S54*(1+Inputs!T353)</f>
        <v>0.36094809526692856</v>
      </c>
    </row>
    <row r="55" spans="2:20" x14ac:dyDescent="0.25">
      <c r="B55" s="23" t="s">
        <v>2091</v>
      </c>
      <c r="C55" s="28" t="s">
        <v>493</v>
      </c>
      <c r="D55" s="164" t="s">
        <v>523</v>
      </c>
      <c r="G55" s="161">
        <f>Inputs!$E$354*Inputs!$F$354</f>
        <v>0.12710661314999999</v>
      </c>
      <c r="H55" s="161">
        <f>G55*(1+Inputs!H354)</f>
        <v>0.129648745413</v>
      </c>
      <c r="I55" s="161">
        <f>H55*(1+Inputs!I354)</f>
        <v>0.13224172032126</v>
      </c>
      <c r="J55" s="161">
        <f>I55*(1+Inputs!J354)</f>
        <v>0.13488655472768521</v>
      </c>
      <c r="K55" s="161">
        <f>J55*(1+Inputs!K354)</f>
        <v>0.13758428582223892</v>
      </c>
      <c r="L55" s="161">
        <f>K55*(1+Inputs!L354)</f>
        <v>0.14033597153868368</v>
      </c>
      <c r="M55" s="161">
        <f>L55*(1+Inputs!M354)</f>
        <v>0.14314269096945736</v>
      </c>
      <c r="N55" s="161">
        <f>M55*(1+Inputs!N354)</f>
        <v>0.1460055447888465</v>
      </c>
      <c r="O55" s="161">
        <f>N55*(1+Inputs!O354)</f>
        <v>0.14892565568462343</v>
      </c>
      <c r="P55" s="161">
        <f>O55*(1+Inputs!P354)</f>
        <v>0.15190416879831589</v>
      </c>
      <c r="Q55" s="161">
        <f>P55*(1+Inputs!Q354)</f>
        <v>0.1549422521742822</v>
      </c>
      <c r="R55" s="161">
        <f>Q55*(1+Inputs!R354)</f>
        <v>0.15804109721776785</v>
      </c>
      <c r="S55" s="161">
        <f>R55*(1+Inputs!S354)</f>
        <v>0.1612019191621232</v>
      </c>
      <c r="T55" s="161">
        <f>S55*(1+Inputs!T354)</f>
        <v>0.16442595754536568</v>
      </c>
    </row>
    <row r="56" spans="2:20" x14ac:dyDescent="0.25">
      <c r="B56" s="23" t="s">
        <v>2094</v>
      </c>
      <c r="C56" s="28" t="s">
        <v>493</v>
      </c>
      <c r="D56" s="164" t="s">
        <v>2084</v>
      </c>
      <c r="G56" s="161">
        <f>Inputs!$E$355*Inputs!$F$355</f>
        <v>4.7444699999999999E-2</v>
      </c>
      <c r="H56" s="161">
        <f>G56*(1+Inputs!H355)</f>
        <v>4.8868041000000001E-2</v>
      </c>
      <c r="I56" s="161">
        <f>H56*(1+Inputs!I355)</f>
        <v>5.033408223E-2</v>
      </c>
      <c r="J56" s="161">
        <f>I56*(1+Inputs!J355)</f>
        <v>5.1844104696900005E-2</v>
      </c>
      <c r="K56" s="161">
        <f>J56*(1+Inputs!K355)</f>
        <v>5.3399427837807004E-2</v>
      </c>
      <c r="L56" s="161">
        <f>K56*(1+Inputs!L355)</f>
        <v>5.5001410672941217E-2</v>
      </c>
      <c r="M56" s="161">
        <f>L56*(1+Inputs!M355)</f>
        <v>5.6651452993129459E-2</v>
      </c>
      <c r="N56" s="161">
        <f>M56*(1+Inputs!N355)</f>
        <v>5.8350996582923344E-2</v>
      </c>
      <c r="O56" s="161">
        <f>N56*(1+Inputs!O355)</f>
        <v>6.0101526480411047E-2</v>
      </c>
      <c r="P56" s="161">
        <f>O56*(1+Inputs!P355)</f>
        <v>6.1904572274823377E-2</v>
      </c>
      <c r="Q56" s="161">
        <f>P56*(1+Inputs!Q355)</f>
        <v>6.3761709443068082E-2</v>
      </c>
      <c r="R56" s="161">
        <f>Q56*(1+Inputs!R355)</f>
        <v>6.5674560726360132E-2</v>
      </c>
      <c r="S56" s="161">
        <f>R56*(1+Inputs!S355)</f>
        <v>6.7644797548150934E-2</v>
      </c>
      <c r="T56" s="161">
        <f>S56*(1+Inputs!T355)</f>
        <v>6.9674141474595469E-2</v>
      </c>
    </row>
    <row r="57" spans="2:20" x14ac:dyDescent="0.25">
      <c r="B57" s="23" t="s">
        <v>2088</v>
      </c>
      <c r="C57" s="28" t="s">
        <v>493</v>
      </c>
      <c r="D57" s="164" t="s">
        <v>2084</v>
      </c>
      <c r="G57" s="161">
        <f>Inputs!$E$356*Inputs!$F$356</f>
        <v>2.0640441999999998E-2</v>
      </c>
      <c r="H57" s="161">
        <f>G57*(1+Inputs!H356)</f>
        <v>2.1053250839999999E-2</v>
      </c>
      <c r="I57" s="161">
        <f>H57*(1+Inputs!I356)</f>
        <v>2.14743158568E-2</v>
      </c>
      <c r="J57" s="161">
        <f>I57*(1+Inputs!J356)</f>
        <v>2.1903802173936001E-2</v>
      </c>
      <c r="K57" s="161">
        <f>J57*(1+Inputs!K356)</f>
        <v>2.2341878217414721E-2</v>
      </c>
      <c r="L57" s="161">
        <f>K57*(1+Inputs!L356)</f>
        <v>2.2788715781763016E-2</v>
      </c>
      <c r="M57" s="161">
        <f>L57*(1+Inputs!M356)</f>
        <v>2.3244490097398277E-2</v>
      </c>
      <c r="N57" s="161">
        <f>M57*(1+Inputs!N356)</f>
        <v>2.3709379899346242E-2</v>
      </c>
      <c r="O57" s="161">
        <f>N57*(1+Inputs!O356)</f>
        <v>2.4183567497333167E-2</v>
      </c>
      <c r="P57" s="161">
        <f>O57*(1+Inputs!P356)</f>
        <v>2.4667238847279831E-2</v>
      </c>
      <c r="Q57" s="161">
        <f>P57*(1+Inputs!Q356)</f>
        <v>2.5160583624225429E-2</v>
      </c>
      <c r="R57" s="161">
        <f>Q57*(1+Inputs!R356)</f>
        <v>2.5663795296709938E-2</v>
      </c>
      <c r="S57" s="161">
        <f>R57*(1+Inputs!S356)</f>
        <v>2.6177071202644137E-2</v>
      </c>
      <c r="T57" s="161">
        <f>S57*(1+Inputs!T356)</f>
        <v>2.6700612626697019E-2</v>
      </c>
    </row>
    <row r="58" spans="2:20" x14ac:dyDescent="0.25">
      <c r="B58" s="23" t="s">
        <v>2092</v>
      </c>
      <c r="C58" s="28" t="s">
        <v>493</v>
      </c>
      <c r="D58" s="164" t="s">
        <v>2084</v>
      </c>
      <c r="G58" s="161">
        <f>Inputs!$E$357*Inputs!$F$357</f>
        <v>1.7084203999999999E-2</v>
      </c>
      <c r="H58" s="161">
        <f>G58*(1+Inputs!H357)</f>
        <v>1.742588808E-2</v>
      </c>
      <c r="I58" s="161">
        <f>H58*(1+Inputs!I357)</f>
        <v>1.7774405841600002E-2</v>
      </c>
      <c r="J58" s="161">
        <f>I58*(1+Inputs!J357)</f>
        <v>1.8129893958432002E-2</v>
      </c>
      <c r="K58" s="161">
        <f>J58*(1+Inputs!K357)</f>
        <v>1.8492491837600641E-2</v>
      </c>
      <c r="L58" s="161">
        <f>K58*(1+Inputs!L357)</f>
        <v>1.8862341674352655E-2</v>
      </c>
      <c r="M58" s="161">
        <f>L58*(1+Inputs!M357)</f>
        <v>1.923958850783971E-2</v>
      </c>
      <c r="N58" s="161">
        <f>M58*(1+Inputs!N357)</f>
        <v>1.9624380277996505E-2</v>
      </c>
      <c r="O58" s="161">
        <f>N58*(1+Inputs!O357)</f>
        <v>2.0016867883556434E-2</v>
      </c>
      <c r="P58" s="161">
        <f>O58*(1+Inputs!P357)</f>
        <v>2.0417205241227563E-2</v>
      </c>
      <c r="Q58" s="161">
        <f>P58*(1+Inputs!Q357)</f>
        <v>2.0825549346052116E-2</v>
      </c>
      <c r="R58" s="161">
        <f>Q58*(1+Inputs!R357)</f>
        <v>2.124206033297316E-2</v>
      </c>
      <c r="S58" s="161">
        <f>R58*(1+Inputs!S357)</f>
        <v>2.1666901539632622E-2</v>
      </c>
      <c r="T58" s="161">
        <f>S58*(1+Inputs!T357)</f>
        <v>2.2100239570425274E-2</v>
      </c>
    </row>
    <row r="59" spans="2:20" x14ac:dyDescent="0.25">
      <c r="B59" s="23" t="s">
        <v>2090</v>
      </c>
      <c r="C59" s="28" t="s">
        <v>493</v>
      </c>
      <c r="D59" s="164" t="s">
        <v>2084</v>
      </c>
      <c r="G59" s="161">
        <f>Inputs!$E$358*Inputs!$F$358</f>
        <v>1.29E-2</v>
      </c>
      <c r="H59" s="161">
        <f>G59*(1+Inputs!H358)</f>
        <v>1.3158E-2</v>
      </c>
      <c r="I59" s="161">
        <f>H59*(1+Inputs!I358)</f>
        <v>1.342116E-2</v>
      </c>
      <c r="J59" s="161">
        <f>I59*(1+Inputs!J358)</f>
        <v>1.3689583199999999E-2</v>
      </c>
      <c r="K59" s="161">
        <f>J59*(1+Inputs!K358)</f>
        <v>1.3963374863999999E-2</v>
      </c>
      <c r="L59" s="161">
        <f>K59*(1+Inputs!L358)</f>
        <v>1.4242642361279999E-2</v>
      </c>
      <c r="M59" s="161">
        <f>L59*(1+Inputs!M358)</f>
        <v>1.45274952085056E-2</v>
      </c>
      <c r="N59" s="161">
        <f>M59*(1+Inputs!N358)</f>
        <v>1.4818045112675713E-2</v>
      </c>
      <c r="O59" s="161">
        <f>N59*(1+Inputs!O358)</f>
        <v>1.5114406014929227E-2</v>
      </c>
      <c r="P59" s="161">
        <f>O59*(1+Inputs!P358)</f>
        <v>1.5416694135227811E-2</v>
      </c>
      <c r="Q59" s="161">
        <f>P59*(1+Inputs!Q358)</f>
        <v>1.5725028017932369E-2</v>
      </c>
      <c r="R59" s="161">
        <f>Q59*(1+Inputs!R358)</f>
        <v>1.6039528578291017E-2</v>
      </c>
      <c r="S59" s="161">
        <f>R59*(1+Inputs!S358)</f>
        <v>1.6360319149856837E-2</v>
      </c>
      <c r="T59" s="161">
        <f>S59*(1+Inputs!T358)</f>
        <v>1.6687525532853974E-2</v>
      </c>
    </row>
    <row r="60" spans="2:20" x14ac:dyDescent="0.25">
      <c r="B60" s="23" t="s">
        <v>2096</v>
      </c>
      <c r="C60" s="28" t="s">
        <v>493</v>
      </c>
      <c r="H60" s="29">
        <f>Inputs!H119</f>
        <v>40.829176858830003</v>
      </c>
      <c r="I60" s="29">
        <f>Inputs!I119</f>
        <v>40.829176858830003</v>
      </c>
      <c r="J60" s="29">
        <f>Inputs!J119</f>
        <v>41.829176858830003</v>
      </c>
      <c r="K60" s="29">
        <f>Inputs!K119</f>
        <v>41.829176858830003</v>
      </c>
      <c r="L60" s="29">
        <f>Inputs!L119</f>
        <v>41.829176858830003</v>
      </c>
      <c r="M60" s="29">
        <f>Inputs!M119</f>
        <v>42.829176858830003</v>
      </c>
      <c r="N60" s="29">
        <f>Inputs!N119</f>
        <v>42.829176858830003</v>
      </c>
      <c r="O60" s="29">
        <f>Inputs!O119</f>
        <v>42.829176858830003</v>
      </c>
      <c r="P60" s="29">
        <f>Inputs!P119</f>
        <v>43.829176858830003</v>
      </c>
      <c r="Q60" s="29">
        <f>Inputs!Q119</f>
        <v>43.829176858830003</v>
      </c>
      <c r="R60" s="29">
        <f>Inputs!R119</f>
        <v>43.829176858830003</v>
      </c>
      <c r="S60" s="29">
        <f>Inputs!S119</f>
        <v>43.829176858830003</v>
      </c>
      <c r="T60" s="29">
        <f>Inputs!T119</f>
        <v>43.829176858830003</v>
      </c>
    </row>
    <row r="61" spans="2:20" x14ac:dyDescent="0.25">
      <c r="B61" s="23" t="s">
        <v>2109</v>
      </c>
      <c r="C61" s="28" t="s">
        <v>493</v>
      </c>
      <c r="H61" s="159">
        <f>SUMIF($D$40:$D$59,"COGS fixed",H$40:H$59)*Inputs!$E$54</f>
        <v>7.8392592215850003</v>
      </c>
      <c r="I61" s="159">
        <f>SUMIF($D$40:$D$59,"COGS fixed",I$40:I$59)*Inputs!$E$54</f>
        <v>8.1135950443404745</v>
      </c>
      <c r="J61" s="159">
        <f>SUMIF($D$40:$D$59,"COGS fixed",J$40:J$59)*Inputs!$E$54</f>
        <v>8.3975318558923906</v>
      </c>
      <c r="K61" s="159">
        <f>SUMIF($D$40:$D$59,"COGS fixed",K$40:K$59)*Inputs!$E$54</f>
        <v>8.6914056755486229</v>
      </c>
      <c r="L61" s="159">
        <f>SUMIF($D$40:$D$59,"COGS fixed",L$40:L$59)*Inputs!$E$54</f>
        <v>8.995564282986825</v>
      </c>
      <c r="M61" s="159">
        <f>SUMIF($D$40:$D$59,"COGS fixed",M$40:M$59)*Inputs!$E$54</f>
        <v>9.3103676298612434</v>
      </c>
      <c r="N61" s="159">
        <f>SUMIF($D$40:$D$59,"COGS fixed",N$40:N$59)*Inputs!$E$54</f>
        <v>9.6361882658156635</v>
      </c>
      <c r="O61" s="159">
        <f>SUMIF($D$40:$D$59,"COGS fixed",O$40:O$59)*Inputs!$E$54</f>
        <v>9.973411779406673</v>
      </c>
      <c r="P61" s="159">
        <f>SUMIF($D$40:$D$59,"COGS fixed",P$40:P$59)*Inputs!$E$54</f>
        <v>10.322437254459118</v>
      </c>
      <c r="Q61" s="159">
        <f>SUMIF($D$40:$D$59,"COGS fixed",Q$40:Q$59)*Inputs!$E$54</f>
        <v>10.683677742393863</v>
      </c>
      <c r="R61" s="159">
        <f>SUMIF($D$40:$D$59,"COGS fixed",R$40:R$59)*Inputs!$E$54</f>
        <v>11.057560751086898</v>
      </c>
      <c r="S61" s="159">
        <f>SUMIF($D$40:$D$59,"COGS fixed",S$40:S$59)*Inputs!$E$54</f>
        <v>11.444528750838375</v>
      </c>
      <c r="T61" s="159">
        <f>SUMIF($D$40:$D$59,"COGS fixed",T$40:T$59)*Inputs!$E$54</f>
        <v>11.845039698050421</v>
      </c>
    </row>
    <row r="62" spans="2:20" x14ac:dyDescent="0.25">
      <c r="B62" s="23" t="s">
        <v>2110</v>
      </c>
      <c r="C62" s="28" t="s">
        <v>493</v>
      </c>
      <c r="H62" s="159">
        <f>SUMIF($D$40:$D$59,"COGS per t",H$40:H$59)*'Revenue Calculation'!H45/1000000000*Inputs!$E$54</f>
        <v>4.2282435576506838</v>
      </c>
      <c r="I62" s="159">
        <f>SUMIF($D$40:$D$59,"COGS per t",I$40:I$59)*'Revenue Calculation'!I45/1000000000*Inputs!$E$54</f>
        <v>4.4827473235774766</v>
      </c>
      <c r="J62" s="159">
        <f>SUMIF($D$40:$D$59,"COGS per t",J$40:J$59)*'Revenue Calculation'!J45/1000000000*Inputs!$E$54</f>
        <v>4.7526116737710771</v>
      </c>
      <c r="K62" s="159">
        <f>SUMIF($D$40:$D$59,"COGS per t",K$40:K$59)*'Revenue Calculation'!K45/1000000000*Inputs!$E$54</f>
        <v>5.0387659029454088</v>
      </c>
      <c r="L62" s="159">
        <f>SUMIF($D$40:$D$59,"COGS per t",L$40:L$59)*'Revenue Calculation'!L45/1000000000*Inputs!$E$54</f>
        <v>5.3421956442676137</v>
      </c>
      <c r="M62" s="159">
        <f>SUMIF($D$40:$D$59,"COGS per t",M$40:M$59)*'Revenue Calculation'!M45/1000000000*Inputs!$E$54</f>
        <v>5.6639462911584975</v>
      </c>
      <c r="N62" s="159">
        <f>SUMIF($D$40:$D$59,"COGS per t",N$40:N$59)*'Revenue Calculation'!N45/1000000000*Inputs!$E$54</f>
        <v>6.0051266272603563</v>
      </c>
      <c r="O62" s="159">
        <f>SUMIF($D$40:$D$59,"COGS per t",O$40:O$59)*'Revenue Calculation'!O45/1000000000*Inputs!$E$54</f>
        <v>6.366912677254664</v>
      </c>
      <c r="P62" s="159">
        <f>SUMIF($D$40:$D$59,"COGS per t",P$40:P$59)*'Revenue Calculation'!P45/1000000000*Inputs!$E$54</f>
        <v>6.7505517919857887</v>
      </c>
      <c r="Q62" s="159">
        <f>SUMIF($D$40:$D$59,"COGS per t",Q$40:Q$59)*'Revenue Calculation'!Q45/1000000000*Inputs!$E$54</f>
        <v>7.1573669821678667</v>
      </c>
      <c r="R62" s="159">
        <f>SUMIF($D$40:$D$59,"COGS per t",R$40:R$59)*'Revenue Calculation'!R45/1000000000*Inputs!$E$54</f>
        <v>7.5887615158230819</v>
      </c>
      <c r="S62" s="159">
        <f>SUMIF($D$40:$D$59,"COGS per t",S$40:S$59)*'Revenue Calculation'!S45/1000000000*Inputs!$E$54</f>
        <v>8.0462237955238258</v>
      </c>
      <c r="T62" s="159">
        <f>SUMIF($D$40:$D$59,"COGS per t",T$40:T$59)*'Revenue Calculation'!T45/1000000000*Inputs!$E$54</f>
        <v>8.5313325324920957</v>
      </c>
    </row>
    <row r="63" spans="2:20" x14ac:dyDescent="0.25">
      <c r="B63" s="23" t="s">
        <v>2099</v>
      </c>
      <c r="C63" s="28" t="s">
        <v>493</v>
      </c>
      <c r="H63" s="159">
        <f>Inputs!H411*H60*Inputs!$E$54</f>
        <v>1.3542027679999988</v>
      </c>
      <c r="I63" s="159">
        <f>Inputs!I411*I60*Inputs!$E$54</f>
        <v>1.3542027679999988</v>
      </c>
      <c r="J63" s="159">
        <f>Inputs!J411*J60*Inputs!$E$54</f>
        <v>1.3873702935830459</v>
      </c>
      <c r="K63" s="159">
        <f>Inputs!K411*K60*Inputs!$E$54</f>
        <v>1.3873702935830459</v>
      </c>
      <c r="L63" s="159">
        <f>Inputs!L411*L60*Inputs!$E$54</f>
        <v>1.3873702935830459</v>
      </c>
      <c r="M63" s="159">
        <f>Inputs!M411*M60*Inputs!$E$54</f>
        <v>1.4205378191660929</v>
      </c>
      <c r="N63" s="159">
        <f>Inputs!N411*N60*Inputs!$E$54</f>
        <v>1.4205378191660929</v>
      </c>
      <c r="O63" s="159">
        <f>Inputs!O411*O60*Inputs!$E$54</f>
        <v>1.4205378191660929</v>
      </c>
      <c r="P63" s="159">
        <f>Inputs!P411*P60*Inputs!$E$54</f>
        <v>1.4537053447491401</v>
      </c>
      <c r="Q63" s="159">
        <f>Inputs!Q411*Q60*Inputs!$E$54</f>
        <v>1.4537053447491401</v>
      </c>
      <c r="R63" s="159">
        <f>Inputs!R411*R60*Inputs!$E$54</f>
        <v>1.4537053447491401</v>
      </c>
      <c r="S63" s="159">
        <f>Inputs!S411*S60*Inputs!$E$54</f>
        <v>1.4537053447491401</v>
      </c>
      <c r="T63" s="159">
        <f>Inputs!T411*T60*Inputs!$E$54</f>
        <v>1.4537053447491401</v>
      </c>
    </row>
    <row r="64" spans="2:20" x14ac:dyDescent="0.25">
      <c r="B64" s="21" t="s">
        <v>2111</v>
      </c>
      <c r="C64" s="28" t="s">
        <v>493</v>
      </c>
      <c r="H64" s="160">
        <f t="shared" ref="H64:T64" si="2">H61+H62+H63</f>
        <v>13.421705547235684</v>
      </c>
      <c r="I64" s="160">
        <f t="shared" si="2"/>
        <v>13.950545135917951</v>
      </c>
      <c r="J64" s="160">
        <f t="shared" si="2"/>
        <v>14.537513823246513</v>
      </c>
      <c r="K64" s="160">
        <f t="shared" si="2"/>
        <v>15.117541872077078</v>
      </c>
      <c r="L64" s="160">
        <f t="shared" si="2"/>
        <v>15.725130220837485</v>
      </c>
      <c r="M64" s="160">
        <f t="shared" si="2"/>
        <v>16.394851740185835</v>
      </c>
      <c r="N64" s="160">
        <f t="shared" si="2"/>
        <v>17.061852712242114</v>
      </c>
      <c r="O64" s="160">
        <f t="shared" si="2"/>
        <v>17.760862275827428</v>
      </c>
      <c r="P64" s="160">
        <f t="shared" si="2"/>
        <v>18.526694391194045</v>
      </c>
      <c r="Q64" s="160">
        <f t="shared" si="2"/>
        <v>19.294750069310869</v>
      </c>
      <c r="R64" s="160">
        <f t="shared" si="2"/>
        <v>20.100027611659119</v>
      </c>
      <c r="S64" s="160">
        <f t="shared" si="2"/>
        <v>20.944457891111341</v>
      </c>
      <c r="T64" s="160">
        <f t="shared" si="2"/>
        <v>21.830077575291654</v>
      </c>
    </row>
    <row r="65" spans="2:20" x14ac:dyDescent="0.25">
      <c r="B65" s="21" t="s">
        <v>2112</v>
      </c>
      <c r="C65" s="28" t="s">
        <v>493</v>
      </c>
      <c r="H65" s="160">
        <f>SUMIF($D$40:$D$59,"Opex",H$40:H$59)*Inputs!$E$54</f>
        <v>9.1526681838109827</v>
      </c>
      <c r="I65" s="160">
        <f>SUMIF($D$40:$D$59,"Opex",I$40:I$59)*Inputs!$E$54</f>
        <v>9.4488472204361091</v>
      </c>
      <c r="J65" s="160">
        <f>SUMIF($D$40:$D$59,"Opex",J$40:J$59)*Inputs!$E$54</f>
        <v>9.7546753384197089</v>
      </c>
      <c r="K65" s="160">
        <f>SUMIF($D$40:$D$59,"Opex",K$40:K$59)*Inputs!$E$54</f>
        <v>10.07046889497304</v>
      </c>
      <c r="L65" s="160">
        <f>SUMIF($D$40:$D$59,"Opex",L$40:L$59)*Inputs!$E$54</f>
        <v>10.396554682088897</v>
      </c>
      <c r="M65" s="160">
        <f>SUMIF($D$40:$D$59,"Opex",M$40:M$59)*Inputs!$E$54</f>
        <v>10.733270272689301</v>
      </c>
      <c r="N65" s="160">
        <f>SUMIF($D$40:$D$59,"Opex",N$40:N$59)*Inputs!$E$54</f>
        <v>11.080964378317507</v>
      </c>
      <c r="O65" s="160">
        <f>SUMIF($D$40:$D$59,"Opex",O$40:O$59)*Inputs!$E$54</f>
        <v>11.439997218761297</v>
      </c>
      <c r="P65" s="160">
        <f>SUMIF($D$40:$D$59,"Opex",P$40:P$59)*Inputs!$E$54</f>
        <v>11.810740904007492</v>
      </c>
      <c r="Q65" s="160">
        <f>SUMIF($D$40:$D$59,"Opex",Q$40:Q$59)*Inputs!$E$54</f>
        <v>12.1935798289412</v>
      </c>
      <c r="R65" s="160">
        <f>SUMIF($D$40:$D$59,"Opex",R$40:R$59)*Inputs!$E$54</f>
        <v>12.588911081217127</v>
      </c>
      <c r="S65" s="160">
        <f>SUMIF($D$40:$D$59,"Opex",S$40:S$59)*Inputs!$E$54</f>
        <v>12.997144862744747</v>
      </c>
      <c r="T65" s="160">
        <f>SUMIF($D$40:$D$59,"Opex",T$40:T$59)*Inputs!$E$54</f>
        <v>13.418704925244016</v>
      </c>
    </row>
    <row r="66" spans="2:20" x14ac:dyDescent="0.25">
      <c r="B66" s="21" t="s">
        <v>2113</v>
      </c>
      <c r="C66" s="28" t="s">
        <v>493</v>
      </c>
      <c r="G66" s="157"/>
      <c r="H66" s="158">
        <f>'Revenue Calculation'!H47-H64-H65</f>
        <v>16.08358626895334</v>
      </c>
      <c r="I66" s="158">
        <f>'Revenue Calculation'!I47-I64-I65</f>
        <v>22.990159643645946</v>
      </c>
      <c r="J66" s="158">
        <f>'Revenue Calculation'!J47-J64-J65</f>
        <v>23.489049398333776</v>
      </c>
      <c r="K66" s="158">
        <f>'Revenue Calculation'!K47-K64-K65</f>
        <v>33.869600093109888</v>
      </c>
      <c r="L66" s="158">
        <f>'Revenue Calculation'!L47-L64-L65</f>
        <v>34.707654283038423</v>
      </c>
      <c r="M66" s="158">
        <f>'Revenue Calculation'!M47-M64-M65</f>
        <v>41.791519284822982</v>
      </c>
      <c r="N66" s="158">
        <f>'Revenue Calculation'!N47-N64-N65</f>
        <v>42.844413446069453</v>
      </c>
      <c r="O66" s="158">
        <f>'Revenue Calculation'!O47-O64-O65</f>
        <v>48.302998805302892</v>
      </c>
      <c r="P66" s="158">
        <f>'Revenue Calculation'!P47-P64-P65</f>
        <v>49.491538753686854</v>
      </c>
      <c r="Q66" s="158">
        <f>'Revenue Calculation'!Q47-Q64-Q65</f>
        <v>55.668943968324257</v>
      </c>
      <c r="R66" s="158">
        <f>'Revenue Calculation'!R47-R64-R65</f>
        <v>57.083053389697362</v>
      </c>
      <c r="S66" s="158">
        <f>'Revenue Calculation'!S47-S64-S65</f>
        <v>58.523549091194738</v>
      </c>
      <c r="T66" s="158">
        <f>'Revenue Calculation'!T47-T64-T65</f>
        <v>59.990323899866681</v>
      </c>
    </row>
    <row r="67" spans="2:20" x14ac:dyDescent="0.25">
      <c r="B67" s="23" t="s">
        <v>2103</v>
      </c>
      <c r="C67" s="28" t="s">
        <v>493</v>
      </c>
      <c r="H67" s="159">
        <f t="shared" ref="H67:T67" si="3">SUMIF($D$40:$D$59,"D&amp;A",H$40:H$59)</f>
        <v>0.129648745413</v>
      </c>
      <c r="I67" s="159">
        <f t="shared" si="3"/>
        <v>0.13224172032126</v>
      </c>
      <c r="J67" s="159">
        <f t="shared" si="3"/>
        <v>0.13488655472768521</v>
      </c>
      <c r="K67" s="159">
        <f t="shared" si="3"/>
        <v>0.13758428582223892</v>
      </c>
      <c r="L67" s="159">
        <f t="shared" si="3"/>
        <v>0.14033597153868368</v>
      </c>
      <c r="M67" s="159">
        <f t="shared" si="3"/>
        <v>0.14314269096945736</v>
      </c>
      <c r="N67" s="159">
        <f t="shared" si="3"/>
        <v>0.1460055447888465</v>
      </c>
      <c r="O67" s="159">
        <f t="shared" si="3"/>
        <v>0.14892565568462343</v>
      </c>
      <c r="P67" s="159">
        <f t="shared" si="3"/>
        <v>0.15190416879831589</v>
      </c>
      <c r="Q67" s="159">
        <f t="shared" si="3"/>
        <v>0.1549422521742822</v>
      </c>
      <c r="R67" s="159">
        <f t="shared" si="3"/>
        <v>0.15804109721776785</v>
      </c>
      <c r="S67" s="159">
        <f t="shared" si="3"/>
        <v>0.1612019191621232</v>
      </c>
      <c r="T67" s="159">
        <f t="shared" si="3"/>
        <v>0.16442595754536568</v>
      </c>
    </row>
    <row r="69" spans="2:20" x14ac:dyDescent="0.25">
      <c r="B69" s="154" t="s">
        <v>2114</v>
      </c>
    </row>
    <row r="70" spans="2:20" x14ac:dyDescent="0.25">
      <c r="B70" s="163" t="s">
        <v>2115</v>
      </c>
    </row>
    <row r="71" spans="2:20" x14ac:dyDescent="0.25">
      <c r="B71" s="23" t="s">
        <v>2073</v>
      </c>
      <c r="C71" s="28" t="s">
        <v>493</v>
      </c>
      <c r="D71" s="164" t="s">
        <v>2074</v>
      </c>
      <c r="G71" s="161">
        <f>Inputs!$E$361*Inputs!$F$361</f>
        <v>3.2796205180000002</v>
      </c>
      <c r="H71" s="161">
        <f>G71*(1+Inputs!H361)</f>
        <v>3.3944072361300002</v>
      </c>
      <c r="I71" s="161">
        <f>H71*(1+Inputs!I361)</f>
        <v>3.5132114893945499</v>
      </c>
      <c r="J71" s="161">
        <f>I71*(1+Inputs!J361)</f>
        <v>3.636173891523359</v>
      </c>
      <c r="K71" s="161">
        <f>J71*(1+Inputs!K361)</f>
        <v>3.7634399777266765</v>
      </c>
      <c r="L71" s="161">
        <f>K71*(1+Inputs!L361)</f>
        <v>3.8951603769471097</v>
      </c>
      <c r="M71" s="161">
        <f>L71*(1+Inputs!M361)</f>
        <v>4.0314909901402585</v>
      </c>
      <c r="N71" s="161">
        <f>M71*(1+Inputs!N361)</f>
        <v>4.1725931747951668</v>
      </c>
      <c r="O71" s="161">
        <f>N71*(1+Inputs!O361)</f>
        <v>4.318633935912997</v>
      </c>
      <c r="P71" s="161">
        <f>O71*(1+Inputs!P361)</f>
        <v>4.4697861236699516</v>
      </c>
      <c r="Q71" s="161">
        <f>P71*(1+Inputs!Q361)</f>
        <v>4.6262286379983992</v>
      </c>
      <c r="R71" s="161">
        <f>Q71*(1+Inputs!R361)</f>
        <v>4.7881466403283426</v>
      </c>
      <c r="S71" s="161">
        <f>R71*(1+Inputs!S361)</f>
        <v>4.955731772739834</v>
      </c>
      <c r="T71" s="161">
        <f>S71*(1+Inputs!T361)</f>
        <v>5.1291823847857279</v>
      </c>
    </row>
    <row r="72" spans="2:20" x14ac:dyDescent="0.25">
      <c r="B72" s="23" t="s">
        <v>2078</v>
      </c>
      <c r="C72" s="28" t="s">
        <v>493</v>
      </c>
      <c r="D72" s="164" t="s">
        <v>2074</v>
      </c>
      <c r="G72" s="161">
        <f>Inputs!$E$362*Inputs!$F$362</f>
        <v>1.9301774279999999</v>
      </c>
      <c r="H72" s="161">
        <f>G72*(1+Inputs!H362)</f>
        <v>1.9977336379799997</v>
      </c>
      <c r="I72" s="161">
        <f>H72*(1+Inputs!I362)</f>
        <v>2.0676543153092997</v>
      </c>
      <c r="J72" s="161">
        <f>I72*(1+Inputs!J362)</f>
        <v>2.140022216345125</v>
      </c>
      <c r="K72" s="161">
        <f>J72*(1+Inputs!K362)</f>
        <v>2.2149229939172042</v>
      </c>
      <c r="L72" s="161">
        <f>K72*(1+Inputs!L362)</f>
        <v>2.292445298704306</v>
      </c>
      <c r="M72" s="161">
        <f>L72*(1+Inputs!M362)</f>
        <v>2.3726808841589566</v>
      </c>
      <c r="N72" s="161">
        <f>M72*(1+Inputs!N362)</f>
        <v>2.4557247151045201</v>
      </c>
      <c r="O72" s="161">
        <f>N72*(1+Inputs!O362)</f>
        <v>2.541675080133178</v>
      </c>
      <c r="P72" s="161">
        <f>O72*(1+Inputs!P362)</f>
        <v>2.630633707937839</v>
      </c>
      <c r="Q72" s="161">
        <f>P72*(1+Inputs!Q362)</f>
        <v>2.7227058877156631</v>
      </c>
      <c r="R72" s="161">
        <f>Q72*(1+Inputs!R362)</f>
        <v>2.8180005937857113</v>
      </c>
      <c r="S72" s="161">
        <f>R72*(1+Inputs!S362)</f>
        <v>2.916630614568211</v>
      </c>
      <c r="T72" s="161">
        <f>S72*(1+Inputs!T362)</f>
        <v>3.0187126860780982</v>
      </c>
    </row>
    <row r="73" spans="2:20" x14ac:dyDescent="0.25">
      <c r="B73" s="23" t="s">
        <v>2077</v>
      </c>
      <c r="C73" s="28" t="s">
        <v>647</v>
      </c>
      <c r="D73" s="164" t="s">
        <v>2076</v>
      </c>
      <c r="G73" s="159">
        <f>Inputs!$E$363*Inputs!$F$363/Inputs!$E$123*1000000000</f>
        <v>894.79011497840224</v>
      </c>
      <c r="H73" s="159">
        <f>G73*(1+Inputs!H363)</f>
        <v>921.63381842775436</v>
      </c>
      <c r="I73" s="159">
        <f>H73*(1+Inputs!I363)</f>
        <v>949.28283298058705</v>
      </c>
      <c r="J73" s="159">
        <f>I73*(1+Inputs!J363)</f>
        <v>977.76131797000471</v>
      </c>
      <c r="K73" s="159">
        <f>J73*(1+Inputs!K363)</f>
        <v>1007.0941575091049</v>
      </c>
      <c r="L73" s="159">
        <f>K73*(1+Inputs!L363)</f>
        <v>1037.306982234378</v>
      </c>
      <c r="M73" s="159">
        <f>L73*(1+Inputs!M363)</f>
        <v>1068.4261917014094</v>
      </c>
      <c r="N73" s="159">
        <f>M73*(1+Inputs!N363)</f>
        <v>1100.4789774524518</v>
      </c>
      <c r="O73" s="159">
        <f>N73*(1+Inputs!O363)</f>
        <v>1133.4933467760254</v>
      </c>
      <c r="P73" s="159">
        <f>O73*(1+Inputs!P363)</f>
        <v>1167.4981471793062</v>
      </c>
      <c r="Q73" s="159">
        <f>P73*(1+Inputs!Q363)</f>
        <v>1202.5230915946854</v>
      </c>
      <c r="R73" s="159">
        <f>Q73*(1+Inputs!R363)</f>
        <v>1238.598784342526</v>
      </c>
      <c r="S73" s="159">
        <f>R73*(1+Inputs!S363)</f>
        <v>1275.7567478728017</v>
      </c>
      <c r="T73" s="159">
        <f>S73*(1+Inputs!T363)</f>
        <v>1314.0294503089858</v>
      </c>
    </row>
    <row r="74" spans="2:20" x14ac:dyDescent="0.25">
      <c r="B74" s="23" t="s">
        <v>2116</v>
      </c>
      <c r="C74" s="28" t="s">
        <v>647</v>
      </c>
      <c r="D74" s="164" t="s">
        <v>2076</v>
      </c>
      <c r="G74" s="159">
        <f>Inputs!$E$364*Inputs!$F$364/Inputs!$E$123*1000000000</f>
        <v>683.82504318463089</v>
      </c>
      <c r="H74" s="159">
        <f>G74*(1+Inputs!H364)</f>
        <v>704.33979448016987</v>
      </c>
      <c r="I74" s="159">
        <f>H74*(1+Inputs!I364)</f>
        <v>725.46998831457495</v>
      </c>
      <c r="J74" s="159">
        <f>I74*(1+Inputs!J364)</f>
        <v>747.23408796401225</v>
      </c>
      <c r="K74" s="159">
        <f>J74*(1+Inputs!K364)</f>
        <v>769.65111060293259</v>
      </c>
      <c r="L74" s="159">
        <f>K74*(1+Inputs!L364)</f>
        <v>792.74064392102059</v>
      </c>
      <c r="M74" s="159">
        <f>L74*(1+Inputs!M364)</f>
        <v>816.52286323865121</v>
      </c>
      <c r="N74" s="159">
        <f>M74*(1+Inputs!N364)</f>
        <v>841.01854913581076</v>
      </c>
      <c r="O74" s="159">
        <f>N74*(1+Inputs!O364)</f>
        <v>866.24910560988508</v>
      </c>
      <c r="P74" s="159">
        <f>O74*(1+Inputs!P364)</f>
        <v>892.23657877818164</v>
      </c>
      <c r="Q74" s="159">
        <f>P74*(1+Inputs!Q364)</f>
        <v>919.00367614152708</v>
      </c>
      <c r="R74" s="159">
        <f>Q74*(1+Inputs!R364)</f>
        <v>946.57378642577294</v>
      </c>
      <c r="S74" s="159">
        <f>R74*(1+Inputs!S364)</f>
        <v>974.97100001854619</v>
      </c>
      <c r="T74" s="159">
        <f>S74*(1+Inputs!T364)</f>
        <v>1004.2201300191026</v>
      </c>
    </row>
    <row r="75" spans="2:20" x14ac:dyDescent="0.25">
      <c r="B75" s="23" t="s">
        <v>2082</v>
      </c>
      <c r="C75" s="28" t="s">
        <v>647</v>
      </c>
      <c r="D75" s="164" t="s">
        <v>2076</v>
      </c>
      <c r="G75" s="159">
        <f>Inputs!$E$365*Inputs!$F$365/Inputs!$E$123*1000000000</f>
        <v>446.8115443951009</v>
      </c>
      <c r="H75" s="159">
        <f>G75*(1+Inputs!H365)</f>
        <v>460.21589072695394</v>
      </c>
      <c r="I75" s="159">
        <f>H75*(1+Inputs!I365)</f>
        <v>474.02236744876257</v>
      </c>
      <c r="J75" s="159">
        <f>I75*(1+Inputs!J365)</f>
        <v>488.24303847222546</v>
      </c>
      <c r="K75" s="159">
        <f>J75*(1+Inputs!K365)</f>
        <v>502.89032962639226</v>
      </c>
      <c r="L75" s="159">
        <f>K75*(1+Inputs!L365)</f>
        <v>517.97703951518406</v>
      </c>
      <c r="M75" s="159">
        <f>L75*(1+Inputs!M365)</f>
        <v>533.51635070063958</v>
      </c>
      <c r="N75" s="159">
        <f>M75*(1+Inputs!N365)</f>
        <v>549.52184122165875</v>
      </c>
      <c r="O75" s="159">
        <f>N75*(1+Inputs!O365)</f>
        <v>566.00749645830854</v>
      </c>
      <c r="P75" s="159">
        <f>O75*(1+Inputs!P365)</f>
        <v>582.98772135205786</v>
      </c>
      <c r="Q75" s="159">
        <f>P75*(1+Inputs!Q365)</f>
        <v>600.47735299261956</v>
      </c>
      <c r="R75" s="159">
        <f>Q75*(1+Inputs!R365)</f>
        <v>618.49167358239811</v>
      </c>
      <c r="S75" s="159">
        <f>R75*(1+Inputs!S365)</f>
        <v>637.04642378987012</v>
      </c>
      <c r="T75" s="159">
        <f>S75*(1+Inputs!T365)</f>
        <v>656.15781650356621</v>
      </c>
    </row>
    <row r="76" spans="2:20" x14ac:dyDescent="0.25">
      <c r="B76" s="23" t="s">
        <v>2079</v>
      </c>
      <c r="C76" s="28" t="s">
        <v>647</v>
      </c>
      <c r="D76" s="164" t="s">
        <v>2076</v>
      </c>
      <c r="G76" s="159">
        <f>Inputs!$E$366*Inputs!$F$366/Inputs!$E$123*1000000000</f>
        <v>310.56291024315601</v>
      </c>
      <c r="H76" s="159">
        <f>G76*(1+Inputs!H366)</f>
        <v>319.87979755045069</v>
      </c>
      <c r="I76" s="159">
        <f>H76*(1+Inputs!I366)</f>
        <v>329.47619147696423</v>
      </c>
      <c r="J76" s="159">
        <f>I76*(1+Inputs!J366)</f>
        <v>339.36047722127319</v>
      </c>
      <c r="K76" s="159">
        <f>J76*(1+Inputs!K366)</f>
        <v>349.54129153791138</v>
      </c>
      <c r="L76" s="159">
        <f>K76*(1+Inputs!L366)</f>
        <v>360.02753028404874</v>
      </c>
      <c r="M76" s="159">
        <f>L76*(1+Inputs!M366)</f>
        <v>370.8283561925702</v>
      </c>
      <c r="N76" s="159">
        <f>M76*(1+Inputs!N366)</f>
        <v>381.95320687834732</v>
      </c>
      <c r="O76" s="159">
        <f>N76*(1+Inputs!O366)</f>
        <v>393.41180308469774</v>
      </c>
      <c r="P76" s="159">
        <f>O76*(1+Inputs!P366)</f>
        <v>405.21415717723869</v>
      </c>
      <c r="Q76" s="159">
        <f>P76*(1+Inputs!Q366)</f>
        <v>417.37058189255583</v>
      </c>
      <c r="R76" s="159">
        <f>Q76*(1+Inputs!R366)</f>
        <v>429.8916993493325</v>
      </c>
      <c r="S76" s="159">
        <f>R76*(1+Inputs!S366)</f>
        <v>442.78845032981246</v>
      </c>
      <c r="T76" s="159">
        <f>S76*(1+Inputs!T366)</f>
        <v>456.07210383970687</v>
      </c>
    </row>
    <row r="77" spans="2:20" x14ac:dyDescent="0.25">
      <c r="B77" s="23" t="s">
        <v>2080</v>
      </c>
      <c r="C77" s="28" t="s">
        <v>647</v>
      </c>
      <c r="D77" s="164" t="s">
        <v>2076</v>
      </c>
      <c r="G77" s="159">
        <f>Inputs!$E$367*Inputs!$F$367/Inputs!$E$123*1000000000</f>
        <v>265.96008374675705</v>
      </c>
      <c r="H77" s="159">
        <f>G77*(1+Inputs!H367)</f>
        <v>275.26868667789353</v>
      </c>
      <c r="I77" s="159">
        <f>H77*(1+Inputs!I367)</f>
        <v>284.90309071161977</v>
      </c>
      <c r="J77" s="159">
        <f>I77*(1+Inputs!J367)</f>
        <v>294.87469888652646</v>
      </c>
      <c r="K77" s="159">
        <f>J77*(1+Inputs!K367)</f>
        <v>305.19531334755487</v>
      </c>
      <c r="L77" s="159">
        <f>K77*(1+Inputs!L367)</f>
        <v>315.87714931471925</v>
      </c>
      <c r="M77" s="159">
        <f>L77*(1+Inputs!M367)</f>
        <v>326.93284954073442</v>
      </c>
      <c r="N77" s="159">
        <f>M77*(1+Inputs!N367)</f>
        <v>338.37549927466011</v>
      </c>
      <c r="O77" s="159">
        <f>N77*(1+Inputs!O367)</f>
        <v>350.21864174927322</v>
      </c>
      <c r="P77" s="159">
        <f>O77*(1+Inputs!P367)</f>
        <v>362.47629421049777</v>
      </c>
      <c r="Q77" s="159">
        <f>P77*(1+Inputs!Q367)</f>
        <v>375.16296450786518</v>
      </c>
      <c r="R77" s="159">
        <f>Q77*(1+Inputs!R367)</f>
        <v>388.29366826564046</v>
      </c>
      <c r="S77" s="159">
        <f>R77*(1+Inputs!S367)</f>
        <v>401.88394665493786</v>
      </c>
      <c r="T77" s="159">
        <f>S77*(1+Inputs!T367)</f>
        <v>415.94988478786064</v>
      </c>
    </row>
    <row r="78" spans="2:20" x14ac:dyDescent="0.25">
      <c r="B78" s="23" t="s">
        <v>2081</v>
      </c>
      <c r="C78" s="28" t="s">
        <v>647</v>
      </c>
      <c r="D78" s="164" t="s">
        <v>2076</v>
      </c>
      <c r="G78" s="159">
        <f>Inputs!$E$368*Inputs!$F$368/Inputs!$E$123*1000000000</f>
        <v>12.570682999885129</v>
      </c>
      <c r="H78" s="159">
        <f>G78*(1+Inputs!H368)</f>
        <v>13.010656904881108</v>
      </c>
      <c r="I78" s="159">
        <f>H78*(1+Inputs!I368)</f>
        <v>13.466029896551946</v>
      </c>
      <c r="J78" s="159">
        <f>I78*(1+Inputs!J368)</f>
        <v>13.937340942931263</v>
      </c>
      <c r="K78" s="159">
        <f>J78*(1+Inputs!K368)</f>
        <v>14.425147875933856</v>
      </c>
      <c r="L78" s="159">
        <f>K78*(1+Inputs!L368)</f>
        <v>14.93002805159154</v>
      </c>
      <c r="M78" s="159">
        <f>L78*(1+Inputs!M368)</f>
        <v>15.452579033397242</v>
      </c>
      <c r="N78" s="159">
        <f>M78*(1+Inputs!N368)</f>
        <v>15.993419299566145</v>
      </c>
      <c r="O78" s="159">
        <f>N78*(1+Inputs!O368)</f>
        <v>16.553188975050958</v>
      </c>
      <c r="P78" s="159">
        <f>O78*(1+Inputs!P368)</f>
        <v>17.13255058917774</v>
      </c>
      <c r="Q78" s="159">
        <f>P78*(1+Inputs!Q368)</f>
        <v>17.732189859798961</v>
      </c>
      <c r="R78" s="159">
        <f>Q78*(1+Inputs!R368)</f>
        <v>18.352816504891923</v>
      </c>
      <c r="S78" s="159">
        <f>R78*(1+Inputs!S368)</f>
        <v>18.995165082563137</v>
      </c>
      <c r="T78" s="159">
        <f>S78*(1+Inputs!T368)</f>
        <v>19.659995860452845</v>
      </c>
    </row>
    <row r="79" spans="2:20" x14ac:dyDescent="0.25">
      <c r="B79" s="23" t="s">
        <v>2083</v>
      </c>
      <c r="C79" s="28" t="s">
        <v>493</v>
      </c>
      <c r="D79" s="164" t="s">
        <v>2084</v>
      </c>
      <c r="G79" s="161">
        <f>Inputs!$E$369*Inputs!$F$369</f>
        <v>1.7023670040000001</v>
      </c>
      <c r="H79" s="161">
        <f>G79*(1+Inputs!H369)</f>
        <v>1.7534380141200001</v>
      </c>
      <c r="I79" s="161">
        <f>H79*(1+Inputs!I369)</f>
        <v>1.8060411545436001</v>
      </c>
      <c r="J79" s="161">
        <f>I79*(1+Inputs!J369)</f>
        <v>1.8602223891799081</v>
      </c>
      <c r="K79" s="161">
        <f>J79*(1+Inputs!K369)</f>
        <v>1.9160290608553054</v>
      </c>
      <c r="L79" s="161">
        <f>K79*(1+Inputs!L369)</f>
        <v>1.9735099326809646</v>
      </c>
      <c r="M79" s="161">
        <f>L79*(1+Inputs!M369)</f>
        <v>2.0327152306613936</v>
      </c>
      <c r="N79" s="161">
        <f>M79*(1+Inputs!N369)</f>
        <v>2.0936966875812355</v>
      </c>
      <c r="O79" s="161">
        <f>N79*(1+Inputs!O369)</f>
        <v>2.1565075882086728</v>
      </c>
      <c r="P79" s="161">
        <f>O79*(1+Inputs!P369)</f>
        <v>2.2212028158549333</v>
      </c>
      <c r="Q79" s="161">
        <f>P79*(1+Inputs!Q369)</f>
        <v>2.2878389003305815</v>
      </c>
      <c r="R79" s="161">
        <f>Q79*(1+Inputs!R369)</f>
        <v>2.3564740673404989</v>
      </c>
      <c r="S79" s="161">
        <f>R79*(1+Inputs!S369)</f>
        <v>2.427168289360714</v>
      </c>
      <c r="T79" s="161">
        <f>S79*(1+Inputs!T369)</f>
        <v>2.4999833380415355</v>
      </c>
    </row>
    <row r="80" spans="2:20" x14ac:dyDescent="0.25">
      <c r="B80" s="23" t="s">
        <v>2088</v>
      </c>
      <c r="C80" s="28" t="s">
        <v>493</v>
      </c>
      <c r="D80" s="164" t="s">
        <v>2084</v>
      </c>
      <c r="G80" s="161">
        <f>Inputs!$E$370*Inputs!$F$370</f>
        <v>0.25867063399000001</v>
      </c>
      <c r="H80" s="161">
        <f>G80*(1+Inputs!H370)</f>
        <v>0.26384404666979999</v>
      </c>
      <c r="I80" s="161">
        <f>H80*(1+Inputs!I370)</f>
        <v>0.269120927603196</v>
      </c>
      <c r="J80" s="161">
        <f>I80*(1+Inputs!J370)</f>
        <v>0.27450334615525995</v>
      </c>
      <c r="K80" s="161">
        <f>J80*(1+Inputs!K370)</f>
        <v>0.27999341307836517</v>
      </c>
      <c r="L80" s="161">
        <f>K80*(1+Inputs!L370)</f>
        <v>0.2855932813399325</v>
      </c>
      <c r="M80" s="161">
        <f>L80*(1+Inputs!M370)</f>
        <v>0.29130514696673115</v>
      </c>
      <c r="N80" s="161">
        <f>M80*(1+Inputs!N370)</f>
        <v>0.29713124990606576</v>
      </c>
      <c r="O80" s="161">
        <f>N80*(1+Inputs!O370)</f>
        <v>0.30307387490418708</v>
      </c>
      <c r="P80" s="161">
        <f>O80*(1+Inputs!P370)</f>
        <v>0.3091353524022708</v>
      </c>
      <c r="Q80" s="161">
        <f>P80*(1+Inputs!Q370)</f>
        <v>0.31531805945031621</v>
      </c>
      <c r="R80" s="161">
        <f>Q80*(1+Inputs!R370)</f>
        <v>0.32162442063932256</v>
      </c>
      <c r="S80" s="161">
        <f>R80*(1+Inputs!S370)</f>
        <v>0.32805690905210899</v>
      </c>
      <c r="T80" s="161">
        <f>S80*(1+Inputs!T370)</f>
        <v>0.33461804723315119</v>
      </c>
    </row>
    <row r="81" spans="2:20" x14ac:dyDescent="0.25">
      <c r="B81" s="23" t="s">
        <v>2087</v>
      </c>
      <c r="C81" s="28" t="s">
        <v>493</v>
      </c>
      <c r="D81" s="164" t="s">
        <v>2084</v>
      </c>
      <c r="G81" s="161">
        <f>Inputs!$E$371*Inputs!$F$371</f>
        <v>0.23960182308</v>
      </c>
      <c r="H81" s="161">
        <f>G81*(1+Inputs!H371)</f>
        <v>0.2467898777724</v>
      </c>
      <c r="I81" s="161">
        <f>H81*(1+Inputs!I371)</f>
        <v>0.25419357410557203</v>
      </c>
      <c r="J81" s="161">
        <f>I81*(1+Inputs!J371)</f>
        <v>0.26181938132873922</v>
      </c>
      <c r="K81" s="161">
        <f>J81*(1+Inputs!K371)</f>
        <v>0.26967396276860139</v>
      </c>
      <c r="L81" s="161">
        <f>K81*(1+Inputs!L371)</f>
        <v>0.27776418165165945</v>
      </c>
      <c r="M81" s="161">
        <f>L81*(1+Inputs!M371)</f>
        <v>0.28609710710120922</v>
      </c>
      <c r="N81" s="161">
        <f>M81*(1+Inputs!N371)</f>
        <v>0.29468002031424551</v>
      </c>
      <c r="O81" s="161">
        <f>N81*(1+Inputs!O371)</f>
        <v>0.30352042092367287</v>
      </c>
      <c r="P81" s="161">
        <f>O81*(1+Inputs!P371)</f>
        <v>0.31262603355138308</v>
      </c>
      <c r="Q81" s="161">
        <f>P81*(1+Inputs!Q371)</f>
        <v>0.32200481455792457</v>
      </c>
      <c r="R81" s="161">
        <f>Q81*(1+Inputs!R371)</f>
        <v>0.33166495899466231</v>
      </c>
      <c r="S81" s="161">
        <f>R81*(1+Inputs!S371)</f>
        <v>0.34161490776450221</v>
      </c>
      <c r="T81" s="161">
        <f>S81*(1+Inputs!T371)</f>
        <v>0.35186335499743726</v>
      </c>
    </row>
    <row r="82" spans="2:20" x14ac:dyDescent="0.25">
      <c r="B82" s="23" t="s">
        <v>2094</v>
      </c>
      <c r="C82" s="28" t="s">
        <v>493</v>
      </c>
      <c r="D82" s="164" t="s">
        <v>2084</v>
      </c>
      <c r="G82" s="161">
        <f>Inputs!$E$372*Inputs!$F$372</f>
        <v>0.17580518882000001</v>
      </c>
      <c r="H82" s="161">
        <f>G82*(1+Inputs!H372)</f>
        <v>0.18107934448460003</v>
      </c>
      <c r="I82" s="161">
        <f>H82*(1+Inputs!I372)</f>
        <v>0.18651172481913803</v>
      </c>
      <c r="J82" s="161">
        <f>I82*(1+Inputs!J372)</f>
        <v>0.19210707656371218</v>
      </c>
      <c r="K82" s="161">
        <f>J82*(1+Inputs!K372)</f>
        <v>0.19787028886062355</v>
      </c>
      <c r="L82" s="161">
        <f>K82*(1+Inputs!L372)</f>
        <v>0.20380639752644225</v>
      </c>
      <c r="M82" s="161">
        <f>L82*(1+Inputs!M372)</f>
        <v>0.20992058945223552</v>
      </c>
      <c r="N82" s="161">
        <f>M82*(1+Inputs!N372)</f>
        <v>0.21621820713580259</v>
      </c>
      <c r="O82" s="161">
        <f>N82*(1+Inputs!O372)</f>
        <v>0.22270475334987666</v>
      </c>
      <c r="P82" s="161">
        <f>O82*(1+Inputs!P372)</f>
        <v>0.22938589595037295</v>
      </c>
      <c r="Q82" s="161">
        <f>P82*(1+Inputs!Q372)</f>
        <v>0.23626747282888416</v>
      </c>
      <c r="R82" s="161">
        <f>Q82*(1+Inputs!R372)</f>
        <v>0.2433554970137507</v>
      </c>
      <c r="S82" s="161">
        <f>R82*(1+Inputs!S372)</f>
        <v>0.25065616192416323</v>
      </c>
      <c r="T82" s="161">
        <f>S82*(1+Inputs!T372)</f>
        <v>0.25817584678188815</v>
      </c>
    </row>
    <row r="83" spans="2:20" x14ac:dyDescent="0.25">
      <c r="B83" s="23" t="s">
        <v>2090</v>
      </c>
      <c r="C83" s="28" t="s">
        <v>493</v>
      </c>
      <c r="D83" s="164" t="s">
        <v>2084</v>
      </c>
      <c r="G83" s="161">
        <f>Inputs!$E$373*Inputs!$F$373</f>
        <v>0.14777611399999999</v>
      </c>
      <c r="H83" s="161">
        <f>G83*(1+Inputs!H373)</f>
        <v>0.15073163628</v>
      </c>
      <c r="I83" s="161">
        <f>H83*(1+Inputs!I373)</f>
        <v>0.15374626900560001</v>
      </c>
      <c r="J83" s="161">
        <f>I83*(1+Inputs!J373)</f>
        <v>0.15682119438571201</v>
      </c>
      <c r="K83" s="161">
        <f>J83*(1+Inputs!K373)</f>
        <v>0.15995761827342625</v>
      </c>
      <c r="L83" s="161">
        <f>K83*(1+Inputs!L373)</f>
        <v>0.16315677063889478</v>
      </c>
      <c r="M83" s="161">
        <f>L83*(1+Inputs!M373)</f>
        <v>0.16641990605167267</v>
      </c>
      <c r="N83" s="161">
        <f>M83*(1+Inputs!N373)</f>
        <v>0.16974830417270612</v>
      </c>
      <c r="O83" s="161">
        <f>N83*(1+Inputs!O373)</f>
        <v>0.17314327025616025</v>
      </c>
      <c r="P83" s="161">
        <f>O83*(1+Inputs!P373)</f>
        <v>0.17660613566128344</v>
      </c>
      <c r="Q83" s="161">
        <f>P83*(1+Inputs!Q373)</f>
        <v>0.18013825837450911</v>
      </c>
      <c r="R83" s="161">
        <f>Q83*(1+Inputs!R373)</f>
        <v>0.18374102354199931</v>
      </c>
      <c r="S83" s="161">
        <f>R83*(1+Inputs!S373)</f>
        <v>0.18741584401283931</v>
      </c>
      <c r="T83" s="161">
        <f>S83*(1+Inputs!T373)</f>
        <v>0.1911641608930961</v>
      </c>
    </row>
    <row r="84" spans="2:20" x14ac:dyDescent="0.25">
      <c r="B84" s="23" t="s">
        <v>2092</v>
      </c>
      <c r="C84" s="28" t="s">
        <v>493</v>
      </c>
      <c r="D84" s="164" t="s">
        <v>2084</v>
      </c>
      <c r="G84" s="161">
        <f>Inputs!$E$374*Inputs!$F$374</f>
        <v>0.146392455</v>
      </c>
      <c r="H84" s="161">
        <f>G84*(1+Inputs!H374)</f>
        <v>0.1493203041</v>
      </c>
      <c r="I84" s="161">
        <f>H84*(1+Inputs!I374)</f>
        <v>0.15230671018200001</v>
      </c>
      <c r="J84" s="161">
        <f>I84*(1+Inputs!J374)</f>
        <v>0.15535284438564001</v>
      </c>
      <c r="K84" s="161">
        <f>J84*(1+Inputs!K374)</f>
        <v>0.1584599012733528</v>
      </c>
      <c r="L84" s="161">
        <f>K84*(1+Inputs!L374)</f>
        <v>0.16162909929881986</v>
      </c>
      <c r="M84" s="161">
        <f>L84*(1+Inputs!M374)</f>
        <v>0.16486168128479625</v>
      </c>
      <c r="N84" s="161">
        <f>M84*(1+Inputs!N374)</f>
        <v>0.16815891491049217</v>
      </c>
      <c r="O84" s="161">
        <f>N84*(1+Inputs!O374)</f>
        <v>0.17152209320870201</v>
      </c>
      <c r="P84" s="161">
        <f>O84*(1+Inputs!P374)</f>
        <v>0.17495253507287606</v>
      </c>
      <c r="Q84" s="161">
        <f>P84*(1+Inputs!Q374)</f>
        <v>0.17845158577433359</v>
      </c>
      <c r="R84" s="161">
        <f>Q84*(1+Inputs!R374)</f>
        <v>0.18202061748982026</v>
      </c>
      <c r="S84" s="161">
        <f>R84*(1+Inputs!S374)</f>
        <v>0.18566102983961666</v>
      </c>
      <c r="T84" s="161">
        <f>S84*(1+Inputs!T374)</f>
        <v>0.18937425043640899</v>
      </c>
    </row>
    <row r="85" spans="2:20" x14ac:dyDescent="0.25">
      <c r="B85" s="23" t="s">
        <v>2108</v>
      </c>
      <c r="C85" s="28" t="s">
        <v>493</v>
      </c>
      <c r="D85" s="164" t="s">
        <v>2084</v>
      </c>
      <c r="G85" s="161">
        <f>Inputs!$E$375*Inputs!$F$375</f>
        <v>0.14099321300000001</v>
      </c>
      <c r="H85" s="161">
        <f>G85*(1+Inputs!H375)</f>
        <v>0.145927975455</v>
      </c>
      <c r="I85" s="161">
        <f>H85*(1+Inputs!I375)</f>
        <v>0.15103545459592499</v>
      </c>
      <c r="J85" s="161">
        <f>I85*(1+Inputs!J375)</f>
        <v>0.15632169550678235</v>
      </c>
      <c r="K85" s="161">
        <f>J85*(1+Inputs!K375)</f>
        <v>0.16179295484951972</v>
      </c>
      <c r="L85" s="161">
        <f>K85*(1+Inputs!L375)</f>
        <v>0.16745570826925291</v>
      </c>
      <c r="M85" s="161">
        <f>L85*(1+Inputs!M375)</f>
        <v>0.17331665805867674</v>
      </c>
      <c r="N85" s="161">
        <f>M85*(1+Inputs!N375)</f>
        <v>0.17938274109073041</v>
      </c>
      <c r="O85" s="161">
        <f>N85*(1+Inputs!O375)</f>
        <v>0.18566113702890596</v>
      </c>
      <c r="P85" s="161">
        <f>O85*(1+Inputs!P375)</f>
        <v>0.19215927682491765</v>
      </c>
      <c r="Q85" s="161">
        <f>P85*(1+Inputs!Q375)</f>
        <v>0.19888485151378976</v>
      </c>
      <c r="R85" s="161">
        <f>Q85*(1+Inputs!R375)</f>
        <v>0.2058458213167724</v>
      </c>
      <c r="S85" s="161">
        <f>R85*(1+Inputs!S375)</f>
        <v>0.21305042506285943</v>
      </c>
      <c r="T85" s="161">
        <f>S85*(1+Inputs!T375)</f>
        <v>0.22050718994005949</v>
      </c>
    </row>
    <row r="86" spans="2:20" x14ac:dyDescent="0.25">
      <c r="B86" s="23" t="s">
        <v>2093</v>
      </c>
      <c r="C86" s="28" t="s">
        <v>493</v>
      </c>
      <c r="D86" s="164" t="s">
        <v>2084</v>
      </c>
      <c r="G86" s="161">
        <f>Inputs!$E$376*Inputs!$F$376</f>
        <v>0.13922671138000001</v>
      </c>
      <c r="H86" s="161">
        <f>G86*(1+Inputs!H376)</f>
        <v>0.14340351272140001</v>
      </c>
      <c r="I86" s="161">
        <f>H86*(1+Inputs!I376)</f>
        <v>0.147705618103042</v>
      </c>
      <c r="J86" s="161">
        <f>I86*(1+Inputs!J376)</f>
        <v>0.15213678664613325</v>
      </c>
      <c r="K86" s="161">
        <f>J86*(1+Inputs!K376)</f>
        <v>0.15670089024551725</v>
      </c>
      <c r="L86" s="161">
        <f>K86*(1+Inputs!L376)</f>
        <v>0.16140191695288278</v>
      </c>
      <c r="M86" s="161">
        <f>L86*(1+Inputs!M376)</f>
        <v>0.16624397446146927</v>
      </c>
      <c r="N86" s="161">
        <f>M86*(1+Inputs!N376)</f>
        <v>0.17123129369531334</v>
      </c>
      <c r="O86" s="161">
        <f>N86*(1+Inputs!O376)</f>
        <v>0.17636823250617276</v>
      </c>
      <c r="P86" s="161">
        <f>O86*(1+Inputs!P376)</f>
        <v>0.18165927948135793</v>
      </c>
      <c r="Q86" s="161">
        <f>P86*(1+Inputs!Q376)</f>
        <v>0.18710905786579868</v>
      </c>
      <c r="R86" s="161">
        <f>Q86*(1+Inputs!R376)</f>
        <v>0.19272232960177263</v>
      </c>
      <c r="S86" s="161">
        <f>R86*(1+Inputs!S376)</f>
        <v>0.19850399948982581</v>
      </c>
      <c r="T86" s="161">
        <f>S86*(1+Inputs!T376)</f>
        <v>0.20445911947452058</v>
      </c>
    </row>
    <row r="87" spans="2:20" x14ac:dyDescent="0.25">
      <c r="B87" s="23" t="s">
        <v>2117</v>
      </c>
      <c r="C87" s="28" t="s">
        <v>493</v>
      </c>
      <c r="D87" s="164" t="s">
        <v>2084</v>
      </c>
      <c r="G87" s="161">
        <f>Inputs!$E$377*Inputs!$F$377</f>
        <v>3.6134991999999998E-2</v>
      </c>
      <c r="H87" s="161">
        <f>G87*(1+Inputs!H377)</f>
        <v>3.7219041760000002E-2</v>
      </c>
      <c r="I87" s="161">
        <f>H87*(1+Inputs!I377)</f>
        <v>3.8335613012800002E-2</v>
      </c>
      <c r="J87" s="161">
        <f>I87*(1+Inputs!J377)</f>
        <v>3.9485681403184002E-2</v>
      </c>
      <c r="K87" s="161">
        <f>J87*(1+Inputs!K377)</f>
        <v>4.0670251845279524E-2</v>
      </c>
      <c r="L87" s="161">
        <f>K87*(1+Inputs!L377)</f>
        <v>4.1890359400637914E-2</v>
      </c>
      <c r="M87" s="161">
        <f>L87*(1+Inputs!M377)</f>
        <v>4.3147070182657052E-2</v>
      </c>
      <c r="N87" s="161">
        <f>M87*(1+Inputs!N377)</f>
        <v>4.4441482288136762E-2</v>
      </c>
      <c r="O87" s="161">
        <f>N87*(1+Inputs!O377)</f>
        <v>4.5774726756780869E-2</v>
      </c>
      <c r="P87" s="161">
        <f>O87*(1+Inputs!P377)</f>
        <v>4.7147968559484298E-2</v>
      </c>
      <c r="Q87" s="161">
        <f>P87*(1+Inputs!Q377)</f>
        <v>4.856240761626883E-2</v>
      </c>
      <c r="R87" s="161">
        <f>Q87*(1+Inputs!R377)</f>
        <v>5.0019279844756896E-2</v>
      </c>
      <c r="S87" s="161">
        <f>R87*(1+Inputs!S377)</f>
        <v>5.1519858240099602E-2</v>
      </c>
      <c r="T87" s="161">
        <f>S87*(1+Inputs!T377)</f>
        <v>5.3065453987302592E-2</v>
      </c>
    </row>
    <row r="88" spans="2:20" x14ac:dyDescent="0.25">
      <c r="B88" s="23" t="s">
        <v>2118</v>
      </c>
      <c r="C88" s="28" t="s">
        <v>647</v>
      </c>
      <c r="H88" s="159">
        <f t="shared" ref="H88:T88" si="4">SUMIF($D$71:$D$87,"COGS per t",H$71:H$87)</f>
        <v>2694.3486447681039</v>
      </c>
      <c r="I88" s="159">
        <f t="shared" si="4"/>
        <v>2776.6205008290603</v>
      </c>
      <c r="J88" s="159">
        <f t="shared" si="4"/>
        <v>2861.4109614569734</v>
      </c>
      <c r="K88" s="159">
        <f t="shared" si="4"/>
        <v>2948.7973504998304</v>
      </c>
      <c r="L88" s="159">
        <f t="shared" si="4"/>
        <v>3038.8593733209423</v>
      </c>
      <c r="M88" s="159">
        <f t="shared" si="4"/>
        <v>3131.6791904074021</v>
      </c>
      <c r="N88" s="159">
        <f t="shared" si="4"/>
        <v>3227.3414932624946</v>
      </c>
      <c r="O88" s="159">
        <f t="shared" si="4"/>
        <v>3325.9335826532406</v>
      </c>
      <c r="P88" s="159">
        <f t="shared" si="4"/>
        <v>3427.5454492864596</v>
      </c>
      <c r="Q88" s="159">
        <f t="shared" si="4"/>
        <v>3532.2698569890522</v>
      </c>
      <c r="R88" s="159">
        <f t="shared" si="4"/>
        <v>3640.2024284705622</v>
      </c>
      <c r="S88" s="159">
        <f t="shared" si="4"/>
        <v>3751.4417337485315</v>
      </c>
      <c r="T88" s="159">
        <f t="shared" si="4"/>
        <v>3866.0893813196753</v>
      </c>
    </row>
    <row r="89" spans="2:20" x14ac:dyDescent="0.25">
      <c r="B89" s="23" t="s">
        <v>2109</v>
      </c>
      <c r="C89" s="28" t="s">
        <v>493</v>
      </c>
      <c r="H89" s="159">
        <f>SUMIF($D$71:$D$87,"COGS fixed",H$71:H$87)*Inputs!$E$54</f>
        <v>5.3921408741099999</v>
      </c>
      <c r="I89" s="159">
        <f>SUMIF($D$71:$D$87,"COGS fixed",I$71:I$87)*Inputs!$E$54</f>
        <v>5.5808658047038495</v>
      </c>
      <c r="J89" s="159">
        <f>SUMIF($D$71:$D$87,"COGS fixed",J$71:J$87)*Inputs!$E$54</f>
        <v>5.7761961078684845</v>
      </c>
      <c r="K89" s="159">
        <f>SUMIF($D$71:$D$87,"COGS fixed",K$71:K$87)*Inputs!$E$54</f>
        <v>5.9783629716438806</v>
      </c>
      <c r="L89" s="159">
        <f>SUMIF($D$71:$D$87,"COGS fixed",L$71:L$87)*Inputs!$E$54</f>
        <v>6.1876056756514153</v>
      </c>
      <c r="M89" s="159">
        <f>SUMIF($D$71:$D$87,"COGS fixed",M$71:M$87)*Inputs!$E$54</f>
        <v>6.4041718742992151</v>
      </c>
      <c r="N89" s="159">
        <f>SUMIF($D$71:$D$87,"COGS fixed",N$71:N$87)*Inputs!$E$54</f>
        <v>6.6283178898996873</v>
      </c>
      <c r="O89" s="159">
        <f>SUMIF($D$71:$D$87,"COGS fixed",O$71:O$87)*Inputs!$E$54</f>
        <v>6.860309016046175</v>
      </c>
      <c r="P89" s="159">
        <f>SUMIF($D$71:$D$87,"COGS fixed",P$71:P$87)*Inputs!$E$54</f>
        <v>7.1004198316077911</v>
      </c>
      <c r="Q89" s="159">
        <f>SUMIF($D$71:$D$87,"COGS fixed",Q$71:Q$87)*Inputs!$E$54</f>
        <v>7.3489345257140624</v>
      </c>
      <c r="R89" s="159">
        <f>SUMIF($D$71:$D$87,"COGS fixed",R$71:R$87)*Inputs!$E$54</f>
        <v>7.6061472341140544</v>
      </c>
      <c r="S89" s="159">
        <f>SUMIF($D$71:$D$87,"COGS fixed",S$71:S$87)*Inputs!$E$54</f>
        <v>7.8723623873080451</v>
      </c>
      <c r="T89" s="159">
        <f>SUMIF($D$71:$D$87,"COGS fixed",T$71:T$87)*Inputs!$E$54</f>
        <v>8.1478950708638251</v>
      </c>
    </row>
    <row r="90" spans="2:20" x14ac:dyDescent="0.25">
      <c r="B90" s="23" t="s">
        <v>2119</v>
      </c>
      <c r="C90" s="28" t="s">
        <v>493</v>
      </c>
      <c r="H90" s="159">
        <f>H88*'Revenue Calculation'!H51/1000000000*Inputs!$E$54</f>
        <v>2.0207614835760781</v>
      </c>
      <c r="I90" s="159">
        <f>I88*'Revenue Calculation'!I51/1000000000*Inputs!$E$54</f>
        <v>2.1449393368904492</v>
      </c>
      <c r="J90" s="159">
        <f>J88*'Revenue Calculation'!J51/1000000000*Inputs!$E$54</f>
        <v>2.2767531667572776</v>
      </c>
      <c r="K90" s="159">
        <f>K88*'Revenue Calculation'!K51/1000000000*Inputs!$E$54</f>
        <v>2.4166728618147211</v>
      </c>
      <c r="L90" s="159">
        <f>L88*'Revenue Calculation'!L51/1000000000*Inputs!$E$54</f>
        <v>2.5651972477678497</v>
      </c>
      <c r="M90" s="159">
        <f>M88*'Revenue Calculation'!M51/1000000000*Inputs!$E$54</f>
        <v>2.7228558708480866</v>
      </c>
      <c r="N90" s="159">
        <f>N88*'Revenue Calculation'!N51/1000000000*Inputs!$E$54</f>
        <v>2.890210891285061</v>
      </c>
      <c r="O90" s="159">
        <f>O88*'Revenue Calculation'!O51/1000000000*Inputs!$E$54</f>
        <v>3.0678590935830958</v>
      </c>
      <c r="P90" s="159">
        <f>P88*'Revenue Calculation'!P51/1000000000*Inputs!$E$54</f>
        <v>3.2564340208142721</v>
      </c>
      <c r="Q90" s="159">
        <f>Q88*'Revenue Calculation'!Q51/1000000000*Inputs!$E$54</f>
        <v>3.4566082405857577</v>
      </c>
      <c r="R90" s="159">
        <f>R88*'Revenue Calculation'!R51/1000000000*Inputs!$E$54</f>
        <v>3.6690957508123789</v>
      </c>
      <c r="S90" s="159">
        <f>S88*'Revenue Calculation'!S51/1000000000*Inputs!$E$54</f>
        <v>3.8946545339279672</v>
      </c>
      <c r="T90" s="159">
        <f>T88*'Revenue Calculation'!T51/1000000000*Inputs!$E$54</f>
        <v>4.1340892687027031</v>
      </c>
    </row>
    <row r="91" spans="2:20" ht="26.25" customHeight="1" x14ac:dyDescent="0.25">
      <c r="B91" s="64" t="s">
        <v>2120</v>
      </c>
      <c r="C91" s="28" t="s">
        <v>493</v>
      </c>
      <c r="H91" s="159">
        <f>(Inputs!H412*'Revenue Calculation'!H53+Inputs!H127*Inputs!H126)*Inputs!$E$54</f>
        <v>0.6132387250000001</v>
      </c>
      <c r="I91" s="159">
        <f>(Inputs!I412*'Revenue Calculation'!I53+Inputs!I127*Inputs!I126)*Inputs!$E$54</f>
        <v>0.62992135000000005</v>
      </c>
      <c r="J91" s="159">
        <f>(Inputs!J412*'Revenue Calculation'!J53+Inputs!J127*Inputs!J126)*Inputs!$E$54</f>
        <v>0.90277378906250005</v>
      </c>
      <c r="K91" s="159">
        <f>(Inputs!K412*'Revenue Calculation'!K53+Inputs!K127*Inputs!K126)*Inputs!$E$54</f>
        <v>0.90042412185937504</v>
      </c>
      <c r="L91" s="159">
        <f>(Inputs!L412*'Revenue Calculation'!L53+Inputs!L127*Inputs!L126)*Inputs!$E$54</f>
        <v>0.95525995088061133</v>
      </c>
      <c r="M91" s="159">
        <f>(Inputs!M412*'Revenue Calculation'!M53+Inputs!M127*Inputs!M126)*Inputs!$E$54</f>
        <v>1.0134352818892403</v>
      </c>
      <c r="N91" s="159">
        <f>(Inputs!N412*'Revenue Calculation'!N53+Inputs!N127*Inputs!N126)*Inputs!$E$54</f>
        <v>1.0751534905562952</v>
      </c>
      <c r="O91" s="159">
        <f>(Inputs!O412*'Revenue Calculation'!O53+Inputs!O127*Inputs!O126)*Inputs!$E$54</f>
        <v>1.1406303381311733</v>
      </c>
      <c r="P91" s="159">
        <f>(Inputs!P412*'Revenue Calculation'!P53+Inputs!P127*Inputs!P126)*Inputs!$E$54</f>
        <v>1.2100947257233632</v>
      </c>
      <c r="Q91" s="159">
        <f>(Inputs!Q412*'Revenue Calculation'!Q53+Inputs!Q127*Inputs!Q126)*Inputs!$E$54</f>
        <v>1.2837894945199142</v>
      </c>
      <c r="R91" s="159">
        <f>(Inputs!R412*'Revenue Calculation'!R53+Inputs!R127*Inputs!R126)*Inputs!$E$54</f>
        <v>1.3619722747361782</v>
      </c>
      <c r="S91" s="159">
        <f>(Inputs!S412*'Revenue Calculation'!S53+Inputs!S127*Inputs!S126)*Inputs!$E$54</f>
        <v>1.444916386267612</v>
      </c>
      <c r="T91" s="159">
        <f>(Inputs!T412*'Revenue Calculation'!T53+Inputs!T127*Inputs!T126)*Inputs!$E$54</f>
        <v>1.5329117941913077</v>
      </c>
    </row>
    <row r="92" spans="2:20" x14ac:dyDescent="0.25">
      <c r="B92" s="21" t="s">
        <v>2121</v>
      </c>
      <c r="C92" s="28" t="s">
        <v>493</v>
      </c>
      <c r="H92" s="160">
        <f t="shared" ref="H92:T92" si="5">H89+H90+H91</f>
        <v>8.0261410826860775</v>
      </c>
      <c r="I92" s="160">
        <f t="shared" si="5"/>
        <v>8.3557264915942984</v>
      </c>
      <c r="J92" s="160">
        <f t="shared" si="5"/>
        <v>8.9557230636882625</v>
      </c>
      <c r="K92" s="160">
        <f t="shared" si="5"/>
        <v>9.2954599553179769</v>
      </c>
      <c r="L92" s="160">
        <f t="shared" si="5"/>
        <v>9.7080628742998769</v>
      </c>
      <c r="M92" s="160">
        <f t="shared" si="5"/>
        <v>10.140463027036542</v>
      </c>
      <c r="N92" s="160">
        <f t="shared" si="5"/>
        <v>10.593682271741043</v>
      </c>
      <c r="O92" s="160">
        <f t="shared" si="5"/>
        <v>11.068798447760443</v>
      </c>
      <c r="P92" s="160">
        <f t="shared" si="5"/>
        <v>11.566948578145427</v>
      </c>
      <c r="Q92" s="160">
        <f t="shared" si="5"/>
        <v>12.089332260819733</v>
      </c>
      <c r="R92" s="160">
        <f t="shared" si="5"/>
        <v>12.637215259662611</v>
      </c>
      <c r="S92" s="160">
        <f t="shared" si="5"/>
        <v>13.211933307503624</v>
      </c>
      <c r="T92" s="160">
        <f t="shared" si="5"/>
        <v>13.814896133757834</v>
      </c>
    </row>
    <row r="93" spans="2:20" x14ac:dyDescent="0.25">
      <c r="B93" s="21" t="s">
        <v>2122</v>
      </c>
      <c r="C93" s="28" t="s">
        <v>493</v>
      </c>
      <c r="H93" s="160">
        <f>SUMIF($D$71:$D$87,"Opex",H$71:H$87)*Inputs!$E$54</f>
        <v>3.0717537533632</v>
      </c>
      <c r="I93" s="160">
        <f>SUMIF($D$71:$D$87,"Opex",I$71:I$87)*Inputs!$E$54</f>
        <v>3.1589970459708732</v>
      </c>
      <c r="J93" s="160">
        <f>SUMIF($D$71:$D$87,"Opex",J$71:J$87)*Inputs!$E$54</f>
        <v>3.2487703955550713</v>
      </c>
      <c r="K93" s="160">
        <f>SUMIF($D$71:$D$87,"Opex",K$71:K$87)*Inputs!$E$54</f>
        <v>3.341148342049991</v>
      </c>
      <c r="L93" s="160">
        <f>SUMIF($D$71:$D$87,"Opex",L$71:L$87)*Inputs!$E$54</f>
        <v>3.4362076477594869</v>
      </c>
      <c r="M93" s="160">
        <f>SUMIF($D$71:$D$87,"Opex",M$71:M$87)*Inputs!$E$54</f>
        <v>3.5340273642208411</v>
      </c>
      <c r="N93" s="160">
        <f>SUMIF($D$71:$D$87,"Opex",N$71:N$87)*Inputs!$E$54</f>
        <v>3.6346889010947288</v>
      </c>
      <c r="O93" s="160">
        <f>SUMIF($D$71:$D$87,"Opex",O$71:O$87)*Inputs!$E$54</f>
        <v>3.7382760971431312</v>
      </c>
      <c r="P93" s="160">
        <f>SUMIF($D$71:$D$87,"Opex",P$71:P$87)*Inputs!$E$54</f>
        <v>3.8448752933588799</v>
      </c>
      <c r="Q93" s="160">
        <f>SUMIF($D$71:$D$87,"Opex",Q$71:Q$87)*Inputs!$E$54</f>
        <v>3.9545754083124063</v>
      </c>
      <c r="R93" s="160">
        <f>SUMIF($D$71:$D$87,"Opex",R$71:R$87)*Inputs!$E$54</f>
        <v>4.0674680157833558</v>
      </c>
      <c r="S93" s="160">
        <f>SUMIF($D$71:$D$87,"Opex",S$71:S$87)*Inputs!$E$54</f>
        <v>4.183647424746729</v>
      </c>
      <c r="T93" s="160">
        <f>SUMIF($D$71:$D$87,"Opex",T$71:T$87)*Inputs!$E$54</f>
        <v>4.3032107617854001</v>
      </c>
    </row>
    <row r="94" spans="2:20" x14ac:dyDescent="0.25">
      <c r="B94" s="21" t="s">
        <v>2123</v>
      </c>
      <c r="C94" s="28" t="s">
        <v>493</v>
      </c>
      <c r="G94" s="157"/>
      <c r="H94" s="158">
        <f>'Revenue Calculation'!H53-H92-H93</f>
        <v>11.145605163950723</v>
      </c>
      <c r="I94" s="158">
        <f>'Revenue Calculation'!I53-I92-I93</f>
        <v>11.396081462434829</v>
      </c>
      <c r="J94" s="158">
        <f>'Revenue Calculation'!J53-J92-J93</f>
        <v>22.763433603256672</v>
      </c>
      <c r="K94" s="158">
        <f>'Revenue Calculation'!K53-K92-K93</f>
        <v>23.380356577007031</v>
      </c>
      <c r="L94" s="158">
        <f>'Revenue Calculation'!L53-L92-L93</f>
        <v>25.066127513165085</v>
      </c>
      <c r="M94" s="158">
        <f>'Revenue Calculation'!M53-M92-M93</f>
        <v>26.862920884312228</v>
      </c>
      <c r="N94" s="158">
        <f>'Revenue Calculation'!N53-N92-N93</f>
        <v>28.777768449416026</v>
      </c>
      <c r="O94" s="158">
        <f>'Revenue Calculation'!O53-O92-O93</f>
        <v>30.81813898034336</v>
      </c>
      <c r="P94" s="158">
        <f>'Revenue Calculation'!P53-P92-P93</f>
        <v>32.991965157430215</v>
      </c>
      <c r="Q94" s="158">
        <f>'Revenue Calculation'!Q53-Q92-Q93</f>
        <v>35.307672111664424</v>
      </c>
      <c r="R94" s="158">
        <f>'Revenue Calculation'!R53-R92-R93</f>
        <v>37.774207714001157</v>
      </c>
      <c r="S94" s="158">
        <f>'Revenue Calculation'!S53-S92-S93</f>
        <v>40.401074718454119</v>
      </c>
      <c r="T94" s="158">
        <f>'Revenue Calculation'!T53-T92-T93</f>
        <v>43.198364872109067</v>
      </c>
    </row>
    <row r="96" spans="2:20" x14ac:dyDescent="0.25">
      <c r="B96" s="154" t="s">
        <v>2124</v>
      </c>
    </row>
    <row r="97" spans="2:20" x14ac:dyDescent="0.25">
      <c r="B97" s="163" t="s">
        <v>2125</v>
      </c>
    </row>
    <row r="98" spans="2:20" x14ac:dyDescent="0.25">
      <c r="B98" s="23" t="s">
        <v>2126</v>
      </c>
      <c r="C98" s="28" t="s">
        <v>493</v>
      </c>
      <c r="D98" s="164" t="s">
        <v>2074</v>
      </c>
      <c r="G98" s="161">
        <f>Inputs!$E$380*Inputs!$F$380</f>
        <v>2.5544369389999999</v>
      </c>
      <c r="H98" s="161">
        <f>G98*(1+Inputs!H380)</f>
        <v>2.6438422318649999</v>
      </c>
      <c r="I98" s="161">
        <f>H98*(1+Inputs!I380)</f>
        <v>2.7363767099802745</v>
      </c>
      <c r="J98" s="161">
        <f>I98*(1+Inputs!J380)</f>
        <v>2.832149894829584</v>
      </c>
      <c r="K98" s="161">
        <f>J98*(1+Inputs!K380)</f>
        <v>2.9312751411486193</v>
      </c>
      <c r="L98" s="161">
        <f>K98*(1+Inputs!L380)</f>
        <v>3.0338697710888209</v>
      </c>
      <c r="M98" s="161">
        <f>L98*(1+Inputs!M380)</f>
        <v>3.1400552130769293</v>
      </c>
      <c r="N98" s="161">
        <f>M98*(1+Inputs!N380)</f>
        <v>3.2499571455346214</v>
      </c>
      <c r="O98" s="161">
        <f>N98*(1+Inputs!O380)</f>
        <v>3.363705645628333</v>
      </c>
      <c r="P98" s="161">
        <f>O98*(1+Inputs!P380)</f>
        <v>3.4814353432253244</v>
      </c>
      <c r="Q98" s="161">
        <f>P98*(1+Inputs!Q380)</f>
        <v>3.6032855802382104</v>
      </c>
      <c r="R98" s="161">
        <f>Q98*(1+Inputs!R380)</f>
        <v>3.7294005755465474</v>
      </c>
      <c r="S98" s="161">
        <f>R98*(1+Inputs!S380)</f>
        <v>3.8599295956906761</v>
      </c>
      <c r="T98" s="161">
        <f>S98*(1+Inputs!T380)</f>
        <v>3.9950271315398496</v>
      </c>
    </row>
    <row r="99" spans="2:20" x14ac:dyDescent="0.25">
      <c r="B99" s="23" t="s">
        <v>2127</v>
      </c>
      <c r="C99" s="28" t="s">
        <v>493</v>
      </c>
      <c r="D99" s="164" t="s">
        <v>2074</v>
      </c>
      <c r="G99" s="161">
        <f>Inputs!$E$381*Inputs!$F$381</f>
        <v>8.5200650999999999E-3</v>
      </c>
      <c r="H99" s="161">
        <f>G99*(1+Inputs!H381)</f>
        <v>8.6052657509999991E-3</v>
      </c>
      <c r="I99" s="161">
        <f>H99*(1+Inputs!I381)</f>
        <v>8.6913184085099984E-3</v>
      </c>
      <c r="J99" s="161">
        <f>I99*(1+Inputs!J381)</f>
        <v>8.7782315925950989E-3</v>
      </c>
      <c r="K99" s="161">
        <f>J99*(1+Inputs!K381)</f>
        <v>8.8660139085210508E-3</v>
      </c>
      <c r="L99" s="161">
        <f>K99*(1+Inputs!L381)</f>
        <v>8.954674047606262E-3</v>
      </c>
      <c r="M99" s="161">
        <f>L99*(1+Inputs!M381)</f>
        <v>9.0442207880823255E-3</v>
      </c>
      <c r="N99" s="161">
        <f>M99*(1+Inputs!N381)</f>
        <v>9.1346629959631487E-3</v>
      </c>
      <c r="O99" s="161">
        <f>N99*(1+Inputs!O381)</f>
        <v>9.2260096259227809E-3</v>
      </c>
      <c r="P99" s="161">
        <f>O99*(1+Inputs!P381)</f>
        <v>9.3182697221820092E-3</v>
      </c>
      <c r="Q99" s="161">
        <f>P99*(1+Inputs!Q381)</f>
        <v>9.4114524194038301E-3</v>
      </c>
      <c r="R99" s="161">
        <f>Q99*(1+Inputs!R381)</f>
        <v>9.5055669435978683E-3</v>
      </c>
      <c r="S99" s="161">
        <f>R99*(1+Inputs!S381)</f>
        <v>9.6006226130338473E-3</v>
      </c>
      <c r="T99" s="161">
        <f>S99*(1+Inputs!T381)</f>
        <v>9.6966288391641866E-3</v>
      </c>
    </row>
    <row r="100" spans="2:20" x14ac:dyDescent="0.25">
      <c r="B100" s="23" t="s">
        <v>2128</v>
      </c>
      <c r="C100" s="28" t="s">
        <v>493</v>
      </c>
      <c r="D100" s="164" t="s">
        <v>2074</v>
      </c>
      <c r="G100" s="161">
        <f>Inputs!$E$382*Inputs!$F$382</f>
        <v>0.80716489632999999</v>
      </c>
      <c r="H100" s="161">
        <f>G100*(1+Inputs!H382)</f>
        <v>0.83541566770154996</v>
      </c>
      <c r="I100" s="161">
        <f>H100*(1+Inputs!I382)</f>
        <v>0.86465521607110418</v>
      </c>
      <c r="J100" s="161">
        <f>I100*(1+Inputs!J382)</f>
        <v>0.89491814863359276</v>
      </c>
      <c r="K100" s="161">
        <f>J100*(1+Inputs!K382)</f>
        <v>0.9262402838357684</v>
      </c>
      <c r="L100" s="161">
        <f>K100*(1+Inputs!L382)</f>
        <v>0.95865869377002022</v>
      </c>
      <c r="M100" s="161">
        <f>L100*(1+Inputs!M382)</f>
        <v>0.99221174805197088</v>
      </c>
      <c r="N100" s="161">
        <f>M100*(1+Inputs!N382)</f>
        <v>1.0269391592337898</v>
      </c>
      <c r="O100" s="161">
        <f>N100*(1+Inputs!O382)</f>
        <v>1.0628820298069723</v>
      </c>
      <c r="P100" s="161">
        <f>O100*(1+Inputs!P382)</f>
        <v>1.1000829008502162</v>
      </c>
      <c r="Q100" s="161">
        <f>P100*(1+Inputs!Q382)</f>
        <v>1.1385858023799738</v>
      </c>
      <c r="R100" s="161">
        <f>Q100*(1+Inputs!R382)</f>
        <v>1.1784363054632727</v>
      </c>
      <c r="S100" s="161">
        <f>R100*(1+Inputs!S382)</f>
        <v>1.2196815761544872</v>
      </c>
      <c r="T100" s="161">
        <f>S100*(1+Inputs!T382)</f>
        <v>1.2623704313198942</v>
      </c>
    </row>
    <row r="101" spans="2:20" x14ac:dyDescent="0.25">
      <c r="B101" s="23" t="s">
        <v>2129</v>
      </c>
      <c r="C101" s="28" t="s">
        <v>493</v>
      </c>
      <c r="D101" s="164" t="s">
        <v>2074</v>
      </c>
      <c r="G101" s="161">
        <f>Inputs!$E$383*Inputs!$F$383</f>
        <v>4.4701209999999996E-3</v>
      </c>
      <c r="H101" s="161">
        <f>G101*(1+Inputs!H383)</f>
        <v>4.4701209999999996E-3</v>
      </c>
      <c r="I101" s="161">
        <f>H101*(1+Inputs!I383)</f>
        <v>4.4701209999999996E-3</v>
      </c>
      <c r="J101" s="161">
        <f>I101*(1+Inputs!J383)</f>
        <v>4.4701209999999996E-3</v>
      </c>
      <c r="K101" s="161">
        <f>J101*(1+Inputs!K383)</f>
        <v>4.4701209999999996E-3</v>
      </c>
      <c r="L101" s="161">
        <f>K101*(1+Inputs!L383)</f>
        <v>4.4701209999999996E-3</v>
      </c>
      <c r="M101" s="161">
        <f>L101*(1+Inputs!M383)</f>
        <v>4.4701209999999996E-3</v>
      </c>
      <c r="N101" s="161">
        <f>M101*(1+Inputs!N383)</f>
        <v>4.4701209999999996E-3</v>
      </c>
      <c r="O101" s="161">
        <f>N101*(1+Inputs!O383)</f>
        <v>4.4701209999999996E-3</v>
      </c>
      <c r="P101" s="161">
        <f>O101*(1+Inputs!P383)</f>
        <v>4.4701209999999996E-3</v>
      </c>
      <c r="Q101" s="161">
        <f>P101*(1+Inputs!Q383)</f>
        <v>4.4701209999999996E-3</v>
      </c>
      <c r="R101" s="161">
        <f>Q101*(1+Inputs!R383)</f>
        <v>4.4701209999999996E-3</v>
      </c>
      <c r="S101" s="161">
        <f>R101*(1+Inputs!S383)</f>
        <v>4.4701209999999996E-3</v>
      </c>
      <c r="T101" s="161">
        <f>S101*(1+Inputs!T383)</f>
        <v>4.4701209999999996E-3</v>
      </c>
    </row>
    <row r="102" spans="2:20" x14ac:dyDescent="0.25">
      <c r="B102" s="23" t="s">
        <v>2130</v>
      </c>
      <c r="C102" s="28" t="s">
        <v>493</v>
      </c>
      <c r="D102" s="164" t="s">
        <v>2074</v>
      </c>
      <c r="G102" s="161">
        <f>Inputs!$E$384*Inputs!$F$384</f>
        <v>0.33450115960999999</v>
      </c>
      <c r="H102" s="161">
        <f>G102*(1+Inputs!H384)</f>
        <v>0.34620870019634997</v>
      </c>
      <c r="I102" s="161">
        <f>H102*(1+Inputs!I384)</f>
        <v>0.35832600470322218</v>
      </c>
      <c r="J102" s="161">
        <f>I102*(1+Inputs!J384)</f>
        <v>0.37086741486783492</v>
      </c>
      <c r="K102" s="161">
        <f>J102*(1+Inputs!K384)</f>
        <v>0.38384777438820911</v>
      </c>
      <c r="L102" s="161">
        <f>K102*(1+Inputs!L384)</f>
        <v>0.39728244649179639</v>
      </c>
      <c r="M102" s="161">
        <f>L102*(1+Inputs!M384)</f>
        <v>0.41118733211900921</v>
      </c>
      <c r="N102" s="161">
        <f>M102*(1+Inputs!N384)</f>
        <v>0.42557888874317451</v>
      </c>
      <c r="O102" s="161">
        <f>N102*(1+Inputs!O384)</f>
        <v>0.44047414984918559</v>
      </c>
      <c r="P102" s="161">
        <f>O102*(1+Inputs!P384)</f>
        <v>0.45589074509390703</v>
      </c>
      <c r="Q102" s="161">
        <f>P102*(1+Inputs!Q384)</f>
        <v>0.47184692117219373</v>
      </c>
      <c r="R102" s="161">
        <f>Q102*(1+Inputs!R384)</f>
        <v>0.48836156341322046</v>
      </c>
      <c r="S102" s="161">
        <f>R102*(1+Inputs!S384)</f>
        <v>0.5054542181326831</v>
      </c>
      <c r="T102" s="161">
        <f>S102*(1+Inputs!T384)</f>
        <v>0.52314511576732692</v>
      </c>
    </row>
    <row r="103" spans="2:20" x14ac:dyDescent="0.25">
      <c r="B103" s="23" t="s">
        <v>2131</v>
      </c>
      <c r="C103" s="28" t="s">
        <v>493</v>
      </c>
      <c r="D103" s="164" t="s">
        <v>2074</v>
      </c>
      <c r="G103" s="161">
        <f>Inputs!$E$385*Inputs!$F$385</f>
        <v>2.652611E-3</v>
      </c>
      <c r="H103" s="161">
        <f>G103*(1+Inputs!H385)</f>
        <v>2.652611E-3</v>
      </c>
      <c r="I103" s="161">
        <f>H103*(1+Inputs!I385)</f>
        <v>2.652611E-3</v>
      </c>
      <c r="J103" s="161">
        <f>I103*(1+Inputs!J385)</f>
        <v>2.652611E-3</v>
      </c>
      <c r="K103" s="161">
        <f>J103*(1+Inputs!K385)</f>
        <v>2.652611E-3</v>
      </c>
      <c r="L103" s="161">
        <f>K103*(1+Inputs!L385)</f>
        <v>2.652611E-3</v>
      </c>
      <c r="M103" s="161">
        <f>L103*(1+Inputs!M385)</f>
        <v>2.652611E-3</v>
      </c>
      <c r="N103" s="161">
        <f>M103*(1+Inputs!N385)</f>
        <v>2.652611E-3</v>
      </c>
      <c r="O103" s="161">
        <f>N103*(1+Inputs!O385)</f>
        <v>2.652611E-3</v>
      </c>
      <c r="P103" s="161">
        <f>O103*(1+Inputs!P385)</f>
        <v>2.652611E-3</v>
      </c>
      <c r="Q103" s="161">
        <f>P103*(1+Inputs!Q385)</f>
        <v>2.652611E-3</v>
      </c>
      <c r="R103" s="161">
        <f>Q103*(1+Inputs!R385)</f>
        <v>2.652611E-3</v>
      </c>
      <c r="S103" s="161">
        <f>R103*(1+Inputs!S385)</f>
        <v>2.652611E-3</v>
      </c>
      <c r="T103" s="161">
        <f>S103*(1+Inputs!T385)</f>
        <v>2.652611E-3</v>
      </c>
    </row>
    <row r="104" spans="2:20" x14ac:dyDescent="0.25">
      <c r="B104" s="23" t="s">
        <v>2132</v>
      </c>
      <c r="C104" s="28" t="s">
        <v>493</v>
      </c>
      <c r="D104" s="164" t="s">
        <v>2074</v>
      </c>
      <c r="G104" s="161">
        <f>Inputs!$E$386*Inputs!$F$386</f>
        <v>0.25664334700000002</v>
      </c>
      <c r="H104" s="161">
        <f>G104*(1+Inputs!H386)</f>
        <v>0.265625864145</v>
      </c>
      <c r="I104" s="161">
        <f>H104*(1+Inputs!I386)</f>
        <v>0.27492276939007498</v>
      </c>
      <c r="J104" s="161">
        <f>I104*(1+Inputs!J386)</f>
        <v>0.28454506631872761</v>
      </c>
      <c r="K104" s="161">
        <f>J104*(1+Inputs!K386)</f>
        <v>0.29450414363988303</v>
      </c>
      <c r="L104" s="161">
        <f>K104*(1+Inputs!L386)</f>
        <v>0.30481178866727893</v>
      </c>
      <c r="M104" s="161">
        <f>L104*(1+Inputs!M386)</f>
        <v>0.31548020127063364</v>
      </c>
      <c r="N104" s="161">
        <f>M104*(1+Inputs!N386)</f>
        <v>0.32652200831510581</v>
      </c>
      <c r="O104" s="161">
        <f>N104*(1+Inputs!O386)</f>
        <v>0.33795027860613447</v>
      </c>
      <c r="P104" s="161">
        <f>O104*(1+Inputs!P386)</f>
        <v>0.34977853835734912</v>
      </c>
      <c r="Q104" s="161">
        <f>P104*(1+Inputs!Q386)</f>
        <v>0.36202078719985631</v>
      </c>
      <c r="R104" s="161">
        <f>Q104*(1+Inputs!R386)</f>
        <v>0.37469151475185125</v>
      </c>
      <c r="S104" s="161">
        <f>R104*(1+Inputs!S386)</f>
        <v>0.38780571776816603</v>
      </c>
      <c r="T104" s="161">
        <f>S104*(1+Inputs!T386)</f>
        <v>0.40137891789005181</v>
      </c>
    </row>
    <row r="105" spans="2:20" x14ac:dyDescent="0.25">
      <c r="B105" s="23" t="s">
        <v>2133</v>
      </c>
      <c r="C105" s="28" t="s">
        <v>493</v>
      </c>
      <c r="D105" s="164" t="s">
        <v>2084</v>
      </c>
      <c r="G105" s="161">
        <f>Inputs!$E$387*Inputs!$F$387</f>
        <v>1.3845168216799999</v>
      </c>
      <c r="H105" s="161">
        <f>G105*(1+Inputs!H387)</f>
        <v>1.3983619898967998</v>
      </c>
      <c r="I105" s="161">
        <f>H105*(1+Inputs!I387)</f>
        <v>1.4123456097957678</v>
      </c>
      <c r="J105" s="161">
        <f>I105*(1+Inputs!J387)</f>
        <v>1.4264690658937256</v>
      </c>
      <c r="K105" s="161">
        <f>J105*(1+Inputs!K387)</f>
        <v>1.4407337565526628</v>
      </c>
      <c r="L105" s="161">
        <f>K105*(1+Inputs!L387)</f>
        <v>1.4551410941181895</v>
      </c>
      <c r="M105" s="161">
        <f>L105*(1+Inputs!M387)</f>
        <v>1.4696925050593714</v>
      </c>
      <c r="N105" s="161">
        <f>M105*(1+Inputs!N387)</f>
        <v>1.4843894301099652</v>
      </c>
      <c r="O105" s="161">
        <f>N105*(1+Inputs!O387)</f>
        <v>1.4992333244110647</v>
      </c>
      <c r="P105" s="161">
        <f>O105*(1+Inputs!P387)</f>
        <v>1.5142256576551754</v>
      </c>
      <c r="Q105" s="161">
        <f>P105*(1+Inputs!Q387)</f>
        <v>1.5293679142317271</v>
      </c>
      <c r="R105" s="161">
        <f>Q105*(1+Inputs!R387)</f>
        <v>1.5446615933740444</v>
      </c>
      <c r="S105" s="161">
        <f>R105*(1+Inputs!S387)</f>
        <v>1.5601082093077849</v>
      </c>
      <c r="T105" s="161">
        <f>S105*(1+Inputs!T387)</f>
        <v>1.5757092914008628</v>
      </c>
    </row>
    <row r="106" spans="2:20" x14ac:dyDescent="0.25">
      <c r="B106" s="23" t="s">
        <v>2134</v>
      </c>
      <c r="C106" s="28" t="s">
        <v>493</v>
      </c>
      <c r="D106" s="164" t="s">
        <v>2084</v>
      </c>
      <c r="G106" s="161">
        <f>Inputs!$E$388*Inputs!$F$388</f>
        <v>9.1772826000000002E-2</v>
      </c>
      <c r="H106" s="161">
        <f>G106*(1+Inputs!H388)</f>
        <v>9.2690554260000002E-2</v>
      </c>
      <c r="I106" s="161">
        <f>H106*(1+Inputs!I388)</f>
        <v>9.36174598026E-2</v>
      </c>
      <c r="J106" s="161">
        <f>I106*(1+Inputs!J388)</f>
        <v>9.4553634400626002E-2</v>
      </c>
      <c r="K106" s="161">
        <f>J106*(1+Inputs!K388)</f>
        <v>9.5499170744632267E-2</v>
      </c>
      <c r="L106" s="161">
        <f>K106*(1+Inputs!L388)</f>
        <v>9.6454162452078593E-2</v>
      </c>
      <c r="M106" s="161">
        <f>L106*(1+Inputs!M388)</f>
        <v>9.7418704076599374E-2</v>
      </c>
      <c r="N106" s="161">
        <f>M106*(1+Inputs!N388)</f>
        <v>9.8392891117365364E-2</v>
      </c>
      <c r="O106" s="161">
        <f>N106*(1+Inputs!O388)</f>
        <v>9.9376820028539023E-2</v>
      </c>
      <c r="P106" s="161">
        <f>O106*(1+Inputs!P388)</f>
        <v>0.10037058822882441</v>
      </c>
      <c r="Q106" s="161">
        <f>P106*(1+Inputs!Q388)</f>
        <v>0.10137429411111266</v>
      </c>
      <c r="R106" s="161">
        <f>Q106*(1+Inputs!R388)</f>
        <v>0.1023880370522238</v>
      </c>
      <c r="S106" s="161">
        <f>R106*(1+Inputs!S388)</f>
        <v>0.10341191742274604</v>
      </c>
      <c r="T106" s="161">
        <f>S106*(1+Inputs!T388)</f>
        <v>0.1044460365969735</v>
      </c>
    </row>
    <row r="107" spans="2:20" x14ac:dyDescent="0.25">
      <c r="B107" s="23" t="s">
        <v>2135</v>
      </c>
      <c r="C107" s="28" t="s">
        <v>493</v>
      </c>
      <c r="D107" s="164" t="s">
        <v>2084</v>
      </c>
      <c r="G107" s="161">
        <f>Inputs!$E$389*Inputs!$F$389</f>
        <v>0.09</v>
      </c>
      <c r="H107" s="161">
        <f>G107*(1+Inputs!H389)</f>
        <v>9.0899999999999995E-2</v>
      </c>
      <c r="I107" s="161">
        <f>H107*(1+Inputs!I389)</f>
        <v>9.1809000000000002E-2</v>
      </c>
      <c r="J107" s="161">
        <f>I107*(1+Inputs!J389)</f>
        <v>9.2727089999999998E-2</v>
      </c>
      <c r="K107" s="161">
        <f>J107*(1+Inputs!K389)</f>
        <v>9.3654360899999997E-2</v>
      </c>
      <c r="L107" s="161">
        <f>K107*(1+Inputs!L389)</f>
        <v>9.4590904508999998E-2</v>
      </c>
      <c r="M107" s="161">
        <f>L107*(1+Inputs!M389)</f>
        <v>9.5536813554089994E-2</v>
      </c>
      <c r="N107" s="161">
        <f>M107*(1+Inputs!N389)</f>
        <v>9.649218168963089E-2</v>
      </c>
      <c r="O107" s="161">
        <f>N107*(1+Inputs!O389)</f>
        <v>9.7457103506527198E-2</v>
      </c>
      <c r="P107" s="161">
        <f>O107*(1+Inputs!P389)</f>
        <v>9.8431674541592476E-2</v>
      </c>
      <c r="Q107" s="161">
        <f>P107*(1+Inputs!Q389)</f>
        <v>9.9415991287008398E-2</v>
      </c>
      <c r="R107" s="161">
        <f>Q107*(1+Inputs!R389)</f>
        <v>0.10041015119987848</v>
      </c>
      <c r="S107" s="161">
        <f>R107*(1+Inputs!S389)</f>
        <v>0.10141425271187726</v>
      </c>
      <c r="T107" s="161">
        <f>S107*(1+Inputs!T389)</f>
        <v>0.10242839523899604</v>
      </c>
    </row>
    <row r="108" spans="2:20" x14ac:dyDescent="0.25">
      <c r="B108" s="23" t="s">
        <v>2136</v>
      </c>
      <c r="C108" s="28" t="s">
        <v>493</v>
      </c>
      <c r="D108" s="164" t="s">
        <v>2084</v>
      </c>
      <c r="G108" s="161">
        <f>Inputs!$E$390*Inputs!$F$390</f>
        <v>4.422234244E-2</v>
      </c>
      <c r="H108" s="161">
        <f>G108*(1+Inputs!H390)</f>
        <v>4.4664565864399999E-2</v>
      </c>
      <c r="I108" s="161">
        <f>H108*(1+Inputs!I390)</f>
        <v>4.5111211523044002E-2</v>
      </c>
      <c r="J108" s="161">
        <f>I108*(1+Inputs!J390)</f>
        <v>4.5562323638274442E-2</v>
      </c>
      <c r="K108" s="161">
        <f>J108*(1+Inputs!K390)</f>
        <v>4.6017946874657184E-2</v>
      </c>
      <c r="L108" s="161">
        <f>K108*(1+Inputs!L390)</f>
        <v>4.6478126343403758E-2</v>
      </c>
      <c r="M108" s="161">
        <f>L108*(1+Inputs!M390)</f>
        <v>4.6942907606837794E-2</v>
      </c>
      <c r="N108" s="161">
        <f>M108*(1+Inputs!N390)</f>
        <v>4.7412336682906175E-2</v>
      </c>
      <c r="O108" s="161">
        <f>N108*(1+Inputs!O390)</f>
        <v>4.7886460049735236E-2</v>
      </c>
      <c r="P108" s="161">
        <f>O108*(1+Inputs!P390)</f>
        <v>4.8365324650232591E-2</v>
      </c>
      <c r="Q108" s="161">
        <f>P108*(1+Inputs!Q390)</f>
        <v>4.8848977896734917E-2</v>
      </c>
      <c r="R108" s="161">
        <f>Q108*(1+Inputs!R390)</f>
        <v>4.9337467675702268E-2</v>
      </c>
      <c r="S108" s="161">
        <f>R108*(1+Inputs!S390)</f>
        <v>4.9830842352459291E-2</v>
      </c>
      <c r="T108" s="161">
        <f>S108*(1+Inputs!T390)</f>
        <v>5.0329150775983884E-2</v>
      </c>
    </row>
    <row r="109" spans="2:20" x14ac:dyDescent="0.25">
      <c r="B109" s="23" t="s">
        <v>2137</v>
      </c>
      <c r="C109" s="28" t="s">
        <v>493</v>
      </c>
      <c r="D109" s="164" t="s">
        <v>2084</v>
      </c>
      <c r="G109" s="161">
        <f>Inputs!$E$391*Inputs!$F$391</f>
        <v>1.1234156E-2</v>
      </c>
      <c r="H109" s="161">
        <f>G109*(1+Inputs!H391)</f>
        <v>1.134649756E-2</v>
      </c>
      <c r="I109" s="161">
        <f>H109*(1+Inputs!I391)</f>
        <v>1.1459962535600001E-2</v>
      </c>
      <c r="J109" s="161">
        <f>I109*(1+Inputs!J391)</f>
        <v>1.1574562160956E-2</v>
      </c>
      <c r="K109" s="161">
        <f>J109*(1+Inputs!K391)</f>
        <v>1.169030778256556E-2</v>
      </c>
      <c r="L109" s="161">
        <f>K109*(1+Inputs!L391)</f>
        <v>1.1807210860391215E-2</v>
      </c>
      <c r="M109" s="161">
        <f>L109*(1+Inputs!M391)</f>
        <v>1.1925282968995128E-2</v>
      </c>
      <c r="N109" s="161">
        <f>M109*(1+Inputs!N391)</f>
        <v>1.2044535798685078E-2</v>
      </c>
      <c r="O109" s="161">
        <f>N109*(1+Inputs!O391)</f>
        <v>1.2164981156671929E-2</v>
      </c>
      <c r="P109" s="161">
        <f>O109*(1+Inputs!P391)</f>
        <v>1.2286630968238649E-2</v>
      </c>
      <c r="Q109" s="161">
        <f>P109*(1+Inputs!Q391)</f>
        <v>1.2409497277921035E-2</v>
      </c>
      <c r="R109" s="161">
        <f>Q109*(1+Inputs!R391)</f>
        <v>1.2533592250700247E-2</v>
      </c>
      <c r="S109" s="161">
        <f>R109*(1+Inputs!S391)</f>
        <v>1.2658928173207249E-2</v>
      </c>
      <c r="T109" s="161">
        <f>S109*(1+Inputs!T391)</f>
        <v>1.2785517454939322E-2</v>
      </c>
    </row>
    <row r="110" spans="2:20" x14ac:dyDescent="0.25">
      <c r="B110" s="23" t="s">
        <v>2138</v>
      </c>
      <c r="C110" s="28" t="s">
        <v>493</v>
      </c>
      <c r="D110" s="164" t="s">
        <v>2084</v>
      </c>
      <c r="G110" s="161">
        <f>Inputs!$E$392*Inputs!$F$392</f>
        <v>4.1260885999999997E-2</v>
      </c>
      <c r="H110" s="161">
        <f>G110*(1+Inputs!H392)</f>
        <v>4.167349486E-2</v>
      </c>
      <c r="I110" s="161">
        <f>H110*(1+Inputs!I392)</f>
        <v>4.2090229808599999E-2</v>
      </c>
      <c r="J110" s="161">
        <f>I110*(1+Inputs!J392)</f>
        <v>4.2511132106686E-2</v>
      </c>
      <c r="K110" s="161">
        <f>J110*(1+Inputs!K392)</f>
        <v>4.293624342775286E-2</v>
      </c>
      <c r="L110" s="161">
        <f>K110*(1+Inputs!L392)</f>
        <v>4.3365605862030386E-2</v>
      </c>
      <c r="M110" s="161">
        <f>L110*(1+Inputs!M392)</f>
        <v>4.3799261920650694E-2</v>
      </c>
      <c r="N110" s="161">
        <f>M110*(1+Inputs!N392)</f>
        <v>4.4237254539857204E-2</v>
      </c>
      <c r="O110" s="161">
        <f>N110*(1+Inputs!O392)</f>
        <v>4.4679627085255774E-2</v>
      </c>
      <c r="P110" s="161">
        <f>O110*(1+Inputs!P392)</f>
        <v>4.5126423356108329E-2</v>
      </c>
      <c r="Q110" s="161">
        <f>P110*(1+Inputs!Q392)</f>
        <v>4.5577687589669416E-2</v>
      </c>
      <c r="R110" s="161">
        <f>Q110*(1+Inputs!R392)</f>
        <v>4.603346446556611E-2</v>
      </c>
      <c r="S110" s="161">
        <f>R110*(1+Inputs!S392)</f>
        <v>4.6493799110221772E-2</v>
      </c>
      <c r="T110" s="161">
        <f>S110*(1+Inputs!T392)</f>
        <v>4.6958737101323991E-2</v>
      </c>
    </row>
    <row r="111" spans="2:20" x14ac:dyDescent="0.25">
      <c r="B111" s="23" t="s">
        <v>2139</v>
      </c>
      <c r="C111" s="28" t="s">
        <v>493</v>
      </c>
      <c r="D111" s="164" t="s">
        <v>2084</v>
      </c>
      <c r="G111" s="161">
        <f>Inputs!$E$393*Inputs!$F$393</f>
        <v>1.7500000000000002E-2</v>
      </c>
      <c r="H111" s="161">
        <f>G111*(1+Inputs!H393)</f>
        <v>1.7675000000000003E-2</v>
      </c>
      <c r="I111" s="161">
        <f>H111*(1+Inputs!I393)</f>
        <v>1.7851750000000003E-2</v>
      </c>
      <c r="J111" s="161">
        <f>I111*(1+Inputs!J393)</f>
        <v>1.8030267500000002E-2</v>
      </c>
      <c r="K111" s="161">
        <f>J111*(1+Inputs!K393)</f>
        <v>1.8210570175000003E-2</v>
      </c>
      <c r="L111" s="161">
        <f>K111*(1+Inputs!L393)</f>
        <v>1.8392675876750003E-2</v>
      </c>
      <c r="M111" s="161">
        <f>L111*(1+Inputs!M393)</f>
        <v>1.8576602635517504E-2</v>
      </c>
      <c r="N111" s="161">
        <f>M111*(1+Inputs!N393)</f>
        <v>1.876236866187268E-2</v>
      </c>
      <c r="O111" s="161">
        <f>N111*(1+Inputs!O393)</f>
        <v>1.8949992348491408E-2</v>
      </c>
      <c r="P111" s="161">
        <f>O111*(1+Inputs!P393)</f>
        <v>1.9139492271976321E-2</v>
      </c>
      <c r="Q111" s="161">
        <f>P111*(1+Inputs!Q393)</f>
        <v>1.9330887194696084E-2</v>
      </c>
      <c r="R111" s="161">
        <f>Q111*(1+Inputs!R393)</f>
        <v>1.9524196066643046E-2</v>
      </c>
      <c r="S111" s="161">
        <f>R111*(1+Inputs!S393)</f>
        <v>1.9719438027309476E-2</v>
      </c>
      <c r="T111" s="161">
        <f>S111*(1+Inputs!T393)</f>
        <v>1.9916632407582572E-2</v>
      </c>
    </row>
    <row r="112" spans="2:20" x14ac:dyDescent="0.25">
      <c r="B112" s="23" t="s">
        <v>2140</v>
      </c>
      <c r="C112" s="28" t="s">
        <v>493</v>
      </c>
      <c r="D112" s="164" t="s">
        <v>2084</v>
      </c>
      <c r="G112" s="161">
        <f>Inputs!$E$394*Inputs!$F$394</f>
        <v>3.0499999999999999E-2</v>
      </c>
      <c r="H112" s="161">
        <f>G112*(1+Inputs!H394)</f>
        <v>3.0804999999999999E-2</v>
      </c>
      <c r="I112" s="161">
        <f>H112*(1+Inputs!I394)</f>
        <v>3.111305E-2</v>
      </c>
      <c r="J112" s="161">
        <f>I112*(1+Inputs!J394)</f>
        <v>3.1424180500000003E-2</v>
      </c>
      <c r="K112" s="161">
        <f>J112*(1+Inputs!K394)</f>
        <v>3.1738422305E-2</v>
      </c>
      <c r="L112" s="161">
        <f>K112*(1+Inputs!L394)</f>
        <v>3.2055806528049999E-2</v>
      </c>
      <c r="M112" s="161">
        <f>L112*(1+Inputs!M394)</f>
        <v>3.2376364593330501E-2</v>
      </c>
      <c r="N112" s="161">
        <f>M112*(1+Inputs!N394)</f>
        <v>3.2700128239263805E-2</v>
      </c>
      <c r="O112" s="161">
        <f>N112*(1+Inputs!O394)</f>
        <v>3.3027129521656443E-2</v>
      </c>
      <c r="P112" s="161">
        <f>O112*(1+Inputs!P394)</f>
        <v>3.3357400816873009E-2</v>
      </c>
      <c r="Q112" s="161">
        <f>P112*(1+Inputs!Q394)</f>
        <v>3.3690974825041742E-2</v>
      </c>
      <c r="R112" s="161">
        <f>Q112*(1+Inputs!R394)</f>
        <v>3.4027884573292158E-2</v>
      </c>
      <c r="S112" s="161">
        <f>R112*(1+Inputs!S394)</f>
        <v>3.4368163419025079E-2</v>
      </c>
      <c r="T112" s="161">
        <f>S112*(1+Inputs!T394)</f>
        <v>3.4711845053215333E-2</v>
      </c>
    </row>
    <row r="113" spans="2:20" x14ac:dyDescent="0.25">
      <c r="B113" s="23" t="s">
        <v>2141</v>
      </c>
      <c r="C113" s="28" t="s">
        <v>493</v>
      </c>
      <c r="D113" s="164" t="s">
        <v>2084</v>
      </c>
      <c r="G113" s="161">
        <f>Inputs!$E$395*Inputs!$F$395</f>
        <v>5.0327157329999997E-2</v>
      </c>
      <c r="H113" s="161">
        <f>G113*(1+Inputs!H395)</f>
        <v>5.0830428903299994E-2</v>
      </c>
      <c r="I113" s="161">
        <f>H113*(1+Inputs!I395)</f>
        <v>5.1338733192332994E-2</v>
      </c>
      <c r="J113" s="161">
        <f>I113*(1+Inputs!J395)</f>
        <v>5.1852120524256327E-2</v>
      </c>
      <c r="K113" s="161">
        <f>J113*(1+Inputs!K395)</f>
        <v>5.2370641729498894E-2</v>
      </c>
      <c r="L113" s="161">
        <f>K113*(1+Inputs!L395)</f>
        <v>5.2894348146793883E-2</v>
      </c>
      <c r="M113" s="161">
        <f>L113*(1+Inputs!M395)</f>
        <v>5.3423291628261822E-2</v>
      </c>
      <c r="N113" s="161">
        <f>M113*(1+Inputs!N395)</f>
        <v>5.3957524544544444E-2</v>
      </c>
      <c r="O113" s="161">
        <f>N113*(1+Inputs!O395)</f>
        <v>5.4497099789989886E-2</v>
      </c>
      <c r="P113" s="161">
        <f>O113*(1+Inputs!P395)</f>
        <v>5.5042070787889787E-2</v>
      </c>
      <c r="Q113" s="161">
        <f>P113*(1+Inputs!Q395)</f>
        <v>5.5592491495768684E-2</v>
      </c>
      <c r="R113" s="161">
        <f>Q113*(1+Inputs!R395)</f>
        <v>5.6148416410726369E-2</v>
      </c>
      <c r="S113" s="161">
        <f>R113*(1+Inputs!S395)</f>
        <v>5.6709900574833633E-2</v>
      </c>
      <c r="T113" s="161">
        <f>S113*(1+Inputs!T395)</f>
        <v>5.7276999580581966E-2</v>
      </c>
    </row>
    <row r="114" spans="2:20" x14ac:dyDescent="0.25">
      <c r="B114" s="23" t="s">
        <v>2142</v>
      </c>
      <c r="C114" s="28" t="s">
        <v>493</v>
      </c>
      <c r="D114" s="164" t="s">
        <v>2084</v>
      </c>
      <c r="G114" s="161">
        <f>Inputs!$E$396*Inputs!$F$396</f>
        <v>3.8320400000000001E-3</v>
      </c>
      <c r="H114" s="161">
        <f>G114*(1+Inputs!H396)</f>
        <v>3.8703604000000003E-3</v>
      </c>
      <c r="I114" s="161">
        <f>H114*(1+Inputs!I396)</f>
        <v>3.9090640040000003E-3</v>
      </c>
      <c r="J114" s="161">
        <f>I114*(1+Inputs!J396)</f>
        <v>3.9481546440400007E-3</v>
      </c>
      <c r="K114" s="161">
        <f>J114*(1+Inputs!K396)</f>
        <v>3.9876361904804007E-3</v>
      </c>
      <c r="L114" s="161">
        <f>K114*(1+Inputs!L396)</f>
        <v>4.0275125523852049E-3</v>
      </c>
      <c r="M114" s="161">
        <f>L114*(1+Inputs!M396)</f>
        <v>4.0677876779090568E-3</v>
      </c>
      <c r="N114" s="161">
        <f>M114*(1+Inputs!N396)</f>
        <v>4.1084655546881474E-3</v>
      </c>
      <c r="O114" s="161">
        <f>N114*(1+Inputs!O396)</f>
        <v>4.1495502102350292E-3</v>
      </c>
      <c r="P114" s="161">
        <f>O114*(1+Inputs!P396)</f>
        <v>4.1910457123373792E-3</v>
      </c>
      <c r="Q114" s="161">
        <f>P114*(1+Inputs!Q396)</f>
        <v>4.2329561694607531E-3</v>
      </c>
      <c r="R114" s="161">
        <f>Q114*(1+Inputs!R396)</f>
        <v>4.2752857311553604E-3</v>
      </c>
      <c r="S114" s="161">
        <f>R114*(1+Inputs!S396)</f>
        <v>4.3180385884669138E-3</v>
      </c>
      <c r="T114" s="161">
        <f>S114*(1+Inputs!T396)</f>
        <v>4.361218974351583E-3</v>
      </c>
    </row>
    <row r="115" spans="2:20" x14ac:dyDescent="0.25">
      <c r="B115" s="23" t="s">
        <v>2143</v>
      </c>
      <c r="C115" s="28" t="s">
        <v>493</v>
      </c>
      <c r="D115" s="164" t="s">
        <v>2084</v>
      </c>
      <c r="G115" s="161">
        <f>Inputs!$E$397*Inputs!$F$397</f>
        <v>6.0000000000000001E-3</v>
      </c>
      <c r="H115" s="161">
        <f>G115*(1+Inputs!H397)</f>
        <v>6.0600000000000003E-3</v>
      </c>
      <c r="I115" s="161">
        <f>H115*(1+Inputs!I397)</f>
        <v>6.1206000000000003E-3</v>
      </c>
      <c r="J115" s="161">
        <f>I115*(1+Inputs!J397)</f>
        <v>6.1818060000000006E-3</v>
      </c>
      <c r="K115" s="161">
        <f>J115*(1+Inputs!K397)</f>
        <v>6.2436240600000003E-3</v>
      </c>
      <c r="L115" s="161">
        <f>K115*(1+Inputs!L397)</f>
        <v>6.3060603006000002E-3</v>
      </c>
      <c r="M115" s="161">
        <f>L115*(1+Inputs!M397)</f>
        <v>6.3691209036060006E-3</v>
      </c>
      <c r="N115" s="161">
        <f>M115*(1+Inputs!N397)</f>
        <v>6.432812112642061E-3</v>
      </c>
      <c r="O115" s="161">
        <f>N115*(1+Inputs!O397)</f>
        <v>6.4971402337684813E-3</v>
      </c>
      <c r="P115" s="161">
        <f>O115*(1+Inputs!P397)</f>
        <v>6.5621116361061658E-3</v>
      </c>
      <c r="Q115" s="161">
        <f>P115*(1+Inputs!Q397)</f>
        <v>6.6277327524672273E-3</v>
      </c>
      <c r="R115" s="161">
        <f>Q115*(1+Inputs!R397)</f>
        <v>6.6940100799918996E-3</v>
      </c>
      <c r="S115" s="161">
        <f>R115*(1+Inputs!S397)</f>
        <v>6.760950180791819E-3</v>
      </c>
      <c r="T115" s="161">
        <f>S115*(1+Inputs!T397)</f>
        <v>6.8285596825997368E-3</v>
      </c>
    </row>
    <row r="116" spans="2:20" x14ac:dyDescent="0.25">
      <c r="B116" s="23" t="s">
        <v>2144</v>
      </c>
      <c r="C116" s="28" t="s">
        <v>493</v>
      </c>
      <c r="D116" s="164" t="s">
        <v>2084</v>
      </c>
      <c r="G116" s="161">
        <f>Inputs!$E$398*Inputs!$F$398</f>
        <v>3.800000001E-2</v>
      </c>
      <c r="H116" s="161">
        <f>G116*(1+Inputs!H398)</f>
        <v>3.8380000010100002E-2</v>
      </c>
      <c r="I116" s="161">
        <f>H116*(1+Inputs!I398)</f>
        <v>3.8763800010201001E-2</v>
      </c>
      <c r="J116" s="161">
        <f>I116*(1+Inputs!J398)</f>
        <v>3.9151438010303012E-2</v>
      </c>
      <c r="K116" s="161">
        <f>J116*(1+Inputs!K398)</f>
        <v>3.954295239040604E-2</v>
      </c>
      <c r="L116" s="161">
        <f>K116*(1+Inputs!L398)</f>
        <v>3.9938381914310102E-2</v>
      </c>
      <c r="M116" s="161">
        <f>L116*(1+Inputs!M398)</f>
        <v>4.0337765733453206E-2</v>
      </c>
      <c r="N116" s="161">
        <f>M116*(1+Inputs!N398)</f>
        <v>4.0741143390787736E-2</v>
      </c>
      <c r="O116" s="161">
        <f>N116*(1+Inputs!O398)</f>
        <v>4.1148554824695614E-2</v>
      </c>
      <c r="P116" s="161">
        <f>O116*(1+Inputs!P398)</f>
        <v>4.1560040372942572E-2</v>
      </c>
      <c r="Q116" s="161">
        <f>P116*(1+Inputs!Q398)</f>
        <v>4.1975640776671999E-2</v>
      </c>
      <c r="R116" s="161">
        <f>Q116*(1+Inputs!R398)</f>
        <v>4.2395397184438723E-2</v>
      </c>
      <c r="S116" s="161">
        <f>R116*(1+Inputs!S398)</f>
        <v>4.281935115628311E-2</v>
      </c>
      <c r="T116" s="161">
        <f>S116*(1+Inputs!T398)</f>
        <v>4.3247544667845944E-2</v>
      </c>
    </row>
    <row r="117" spans="2:20" x14ac:dyDescent="0.25">
      <c r="B117" s="23" t="s">
        <v>2145</v>
      </c>
      <c r="C117" s="28" t="s">
        <v>493</v>
      </c>
      <c r="D117" s="164" t="s">
        <v>2084</v>
      </c>
      <c r="G117" s="161">
        <f>Inputs!$E$399*Inputs!$F$399</f>
        <v>1.8822505E-2</v>
      </c>
      <c r="H117" s="161">
        <f>G117*(1+Inputs!H399)</f>
        <v>1.9010730050000001E-2</v>
      </c>
      <c r="I117" s="161">
        <f>H117*(1+Inputs!I399)</f>
        <v>1.9200837350500002E-2</v>
      </c>
      <c r="J117" s="161">
        <f>I117*(1+Inputs!J399)</f>
        <v>1.9392845724005004E-2</v>
      </c>
      <c r="K117" s="161">
        <f>J117*(1+Inputs!K399)</f>
        <v>1.9586774181245055E-2</v>
      </c>
      <c r="L117" s="161">
        <f>K117*(1+Inputs!L399)</f>
        <v>1.9782641923057506E-2</v>
      </c>
      <c r="M117" s="161">
        <f>L117*(1+Inputs!M399)</f>
        <v>1.9980468342288081E-2</v>
      </c>
      <c r="N117" s="161">
        <f>M117*(1+Inputs!N399)</f>
        <v>2.0180273025710963E-2</v>
      </c>
      <c r="O117" s="161">
        <f>N117*(1+Inputs!O399)</f>
        <v>2.0382075755968072E-2</v>
      </c>
      <c r="P117" s="161">
        <f>O117*(1+Inputs!P399)</f>
        <v>2.0585896513527754E-2</v>
      </c>
      <c r="Q117" s="161">
        <f>P117*(1+Inputs!Q399)</f>
        <v>2.0791755478663031E-2</v>
      </c>
      <c r="R117" s="161">
        <f>Q117*(1+Inputs!R399)</f>
        <v>2.0999673033449663E-2</v>
      </c>
      <c r="S117" s="161">
        <f>R117*(1+Inputs!S399)</f>
        <v>2.1209669763784161E-2</v>
      </c>
      <c r="T117" s="161">
        <f>S117*(1+Inputs!T399)</f>
        <v>2.1421766461422003E-2</v>
      </c>
    </row>
    <row r="118" spans="2:20" x14ac:dyDescent="0.25">
      <c r="B118" s="23" t="s">
        <v>2146</v>
      </c>
      <c r="C118" s="28" t="s">
        <v>493</v>
      </c>
      <c r="D118" s="164" t="s">
        <v>2084</v>
      </c>
      <c r="G118" s="161">
        <f>Inputs!$E$400*Inputs!$F$400</f>
        <v>1.5713000670000001E-2</v>
      </c>
      <c r="H118" s="161">
        <f>G118*(1+Inputs!H400)</f>
        <v>1.5870130676700001E-2</v>
      </c>
      <c r="I118" s="161">
        <f>H118*(1+Inputs!I400)</f>
        <v>1.6028831983467003E-2</v>
      </c>
      <c r="J118" s="161">
        <f>I118*(1+Inputs!J400)</f>
        <v>1.6189120303301673E-2</v>
      </c>
      <c r="K118" s="161">
        <f>J118*(1+Inputs!K400)</f>
        <v>1.6351011506334692E-2</v>
      </c>
      <c r="L118" s="161">
        <f>K118*(1+Inputs!L400)</f>
        <v>1.6514521621398038E-2</v>
      </c>
      <c r="M118" s="161">
        <f>L118*(1+Inputs!M400)</f>
        <v>1.6679666837612017E-2</v>
      </c>
      <c r="N118" s="161">
        <f>M118*(1+Inputs!N400)</f>
        <v>1.6846463505988136E-2</v>
      </c>
      <c r="O118" s="161">
        <f>N118*(1+Inputs!O400)</f>
        <v>1.7014928141048016E-2</v>
      </c>
      <c r="P118" s="161">
        <f>O118*(1+Inputs!P400)</f>
        <v>1.7185077422458495E-2</v>
      </c>
      <c r="Q118" s="161">
        <f>P118*(1+Inputs!Q400)</f>
        <v>1.735692819668308E-2</v>
      </c>
      <c r="R118" s="161">
        <f>Q118*(1+Inputs!R400)</f>
        <v>1.753049747864991E-2</v>
      </c>
      <c r="S118" s="161">
        <f>R118*(1+Inputs!S400)</f>
        <v>1.770580245343641E-2</v>
      </c>
      <c r="T118" s="161">
        <f>S118*(1+Inputs!T400)</f>
        <v>1.7882860477970774E-2</v>
      </c>
    </row>
    <row r="119" spans="2:20" x14ac:dyDescent="0.25">
      <c r="B119" s="23" t="s">
        <v>2147</v>
      </c>
      <c r="C119" s="28" t="s">
        <v>493</v>
      </c>
      <c r="D119" s="164" t="s">
        <v>2084</v>
      </c>
      <c r="G119" s="161">
        <f>Inputs!$E$401*Inputs!$F$401</f>
        <v>9.3991999999999999E-3</v>
      </c>
      <c r="H119" s="161">
        <f>G119*(1+Inputs!H401)</f>
        <v>9.4931919999999993E-3</v>
      </c>
      <c r="I119" s="161">
        <f>H119*(1+Inputs!I401)</f>
        <v>9.5881239199999985E-3</v>
      </c>
      <c r="J119" s="161">
        <f>I119*(1+Inputs!J401)</f>
        <v>9.6840051591999994E-3</v>
      </c>
      <c r="K119" s="161">
        <f>J119*(1+Inputs!K401)</f>
        <v>9.780845210792E-3</v>
      </c>
      <c r="L119" s="161">
        <f>K119*(1+Inputs!L401)</f>
        <v>9.8786536628999201E-3</v>
      </c>
      <c r="M119" s="161">
        <f>L119*(1+Inputs!M401)</f>
        <v>9.97744019952892E-3</v>
      </c>
      <c r="N119" s="161">
        <f>M119*(1+Inputs!N401)</f>
        <v>1.007721460152421E-2</v>
      </c>
      <c r="O119" s="161">
        <f>N119*(1+Inputs!O401)</f>
        <v>1.0177986747539452E-2</v>
      </c>
      <c r="P119" s="161">
        <f>O119*(1+Inputs!P401)</f>
        <v>1.0279766615014847E-2</v>
      </c>
      <c r="Q119" s="161">
        <f>P119*(1+Inputs!Q401)</f>
        <v>1.0382564281164996E-2</v>
      </c>
      <c r="R119" s="161">
        <f>Q119*(1+Inputs!R401)</f>
        <v>1.0486389923976646E-2</v>
      </c>
      <c r="S119" s="161">
        <f>R119*(1+Inputs!S401)</f>
        <v>1.0591253823216412E-2</v>
      </c>
      <c r="T119" s="161">
        <f>S119*(1+Inputs!T401)</f>
        <v>1.0697166361448575E-2</v>
      </c>
    </row>
    <row r="120" spans="2:20" x14ac:dyDescent="0.25">
      <c r="B120" s="23" t="s">
        <v>2148</v>
      </c>
      <c r="C120" s="28" t="s">
        <v>493</v>
      </c>
      <c r="D120" s="164" t="s">
        <v>2084</v>
      </c>
      <c r="G120" s="161">
        <f>Inputs!$E$402*Inputs!$F$402</f>
        <v>2.5705493999999999E-2</v>
      </c>
      <c r="H120" s="161">
        <f>G120*(1+Inputs!H402)</f>
        <v>2.596254894E-2</v>
      </c>
      <c r="I120" s="161">
        <f>H120*(1+Inputs!I402)</f>
        <v>2.6222174429399999E-2</v>
      </c>
      <c r="J120" s="161">
        <f>I120*(1+Inputs!J402)</f>
        <v>2.6484396173694E-2</v>
      </c>
      <c r="K120" s="161">
        <f>J120*(1+Inputs!K402)</f>
        <v>2.6749240135430941E-2</v>
      </c>
      <c r="L120" s="161">
        <f>K120*(1+Inputs!L402)</f>
        <v>2.701673253678525E-2</v>
      </c>
      <c r="M120" s="161">
        <f>L120*(1+Inputs!M402)</f>
        <v>2.7286899862153102E-2</v>
      </c>
      <c r="N120" s="161">
        <f>M120*(1+Inputs!N402)</f>
        <v>2.7559768860774634E-2</v>
      </c>
      <c r="O120" s="161">
        <f>N120*(1+Inputs!O402)</f>
        <v>2.783536654938238E-2</v>
      </c>
      <c r="P120" s="161">
        <f>O120*(1+Inputs!P402)</f>
        <v>2.8113720214876205E-2</v>
      </c>
      <c r="Q120" s="161">
        <f>P120*(1+Inputs!Q402)</f>
        <v>2.8394857417024969E-2</v>
      </c>
      <c r="R120" s="161">
        <f>Q120*(1+Inputs!R402)</f>
        <v>2.8678805991195218E-2</v>
      </c>
      <c r="S120" s="161">
        <f>R120*(1+Inputs!S402)</f>
        <v>2.8965594051107171E-2</v>
      </c>
      <c r="T120" s="161">
        <f>S120*(1+Inputs!T402)</f>
        <v>2.9255249991618243E-2</v>
      </c>
    </row>
    <row r="121" spans="2:20" x14ac:dyDescent="0.25">
      <c r="B121" s="23" t="s">
        <v>2149</v>
      </c>
      <c r="C121" s="28" t="s">
        <v>493</v>
      </c>
      <c r="D121" s="164" t="s">
        <v>2084</v>
      </c>
      <c r="G121" s="161">
        <f>Inputs!$E$403*Inputs!$F$403</f>
        <v>0.20696752500000001</v>
      </c>
      <c r="H121" s="161">
        <f>G121*(1+Inputs!H403)</f>
        <v>0.20903720025000003</v>
      </c>
      <c r="I121" s="161">
        <f>H121*(1+Inputs!I403)</f>
        <v>0.21112757225250003</v>
      </c>
      <c r="J121" s="161">
        <f>I121*(1+Inputs!J403)</f>
        <v>0.21323884797502504</v>
      </c>
      <c r="K121" s="161">
        <f>J121*(1+Inputs!K403)</f>
        <v>0.21537123645477529</v>
      </c>
      <c r="L121" s="161">
        <f>K121*(1+Inputs!L403)</f>
        <v>0.21752494881932305</v>
      </c>
      <c r="M121" s="161">
        <f>L121*(1+Inputs!M403)</f>
        <v>0.21970019830751628</v>
      </c>
      <c r="N121" s="161">
        <f>M121*(1+Inputs!N403)</f>
        <v>0.22189720029059143</v>
      </c>
      <c r="O121" s="161">
        <f>N121*(1+Inputs!O403)</f>
        <v>0.22411617229349734</v>
      </c>
      <c r="P121" s="161">
        <f>O121*(1+Inputs!P403)</f>
        <v>0.22635733401643232</v>
      </c>
      <c r="Q121" s="161">
        <f>P121*(1+Inputs!Q403)</f>
        <v>0.22862090735659665</v>
      </c>
      <c r="R121" s="161">
        <f>Q121*(1+Inputs!R403)</f>
        <v>0.23090711643016262</v>
      </c>
      <c r="S121" s="161">
        <f>R121*(1+Inputs!S403)</f>
        <v>0.23321618759446425</v>
      </c>
      <c r="T121" s="161">
        <f>S121*(1+Inputs!T403)</f>
        <v>0.2355483494704089</v>
      </c>
    </row>
    <row r="122" spans="2:20" x14ac:dyDescent="0.25">
      <c r="B122" s="23" t="s">
        <v>2150</v>
      </c>
      <c r="C122" s="28" t="s">
        <v>493</v>
      </c>
      <c r="D122" s="164" t="s">
        <v>2084</v>
      </c>
      <c r="G122" s="161">
        <f>Inputs!$E$404*Inputs!$F$404</f>
        <v>3.3630008000000003E-2</v>
      </c>
      <c r="H122" s="161">
        <f>G122*(1+Inputs!H404)</f>
        <v>3.396630808E-2</v>
      </c>
      <c r="I122" s="161">
        <f>H122*(1+Inputs!I404)</f>
        <v>3.4305971160800003E-2</v>
      </c>
      <c r="J122" s="161">
        <f>I122*(1+Inputs!J404)</f>
        <v>3.4649030872408004E-2</v>
      </c>
      <c r="K122" s="161">
        <f>J122*(1+Inputs!K404)</f>
        <v>3.4995521181132083E-2</v>
      </c>
      <c r="L122" s="161">
        <f>K122*(1+Inputs!L404)</f>
        <v>3.5345476392943408E-2</v>
      </c>
      <c r="M122" s="161">
        <f>L122*(1+Inputs!M404)</f>
        <v>3.5698931156872844E-2</v>
      </c>
      <c r="N122" s="161">
        <f>M122*(1+Inputs!N404)</f>
        <v>3.6055920468441575E-2</v>
      </c>
      <c r="O122" s="161">
        <f>N122*(1+Inputs!O404)</f>
        <v>3.6416479673125994E-2</v>
      </c>
      <c r="P122" s="161">
        <f>O122*(1+Inputs!P404)</f>
        <v>3.6780644469857252E-2</v>
      </c>
      <c r="Q122" s="161">
        <f>P122*(1+Inputs!Q404)</f>
        <v>3.7148450914555826E-2</v>
      </c>
      <c r="R122" s="161">
        <f>Q122*(1+Inputs!R404)</f>
        <v>3.7519935423701384E-2</v>
      </c>
      <c r="S122" s="161">
        <f>R122*(1+Inputs!S404)</f>
        <v>3.7895134777938398E-2</v>
      </c>
      <c r="T122" s="161">
        <f>S122*(1+Inputs!T404)</f>
        <v>3.8274086125717782E-2</v>
      </c>
    </row>
    <row r="123" spans="2:20" x14ac:dyDescent="0.25">
      <c r="B123" s="23" t="s">
        <v>2151</v>
      </c>
      <c r="C123" s="28" t="s">
        <v>493</v>
      </c>
      <c r="D123" s="164" t="s">
        <v>2084</v>
      </c>
      <c r="G123" s="161">
        <f>Inputs!$E$405*Inputs!$F$405</f>
        <v>9.6439427130000005E-2</v>
      </c>
      <c r="H123" s="161">
        <f>G123*(1+Inputs!H405)</f>
        <v>9.7403821401300009E-2</v>
      </c>
      <c r="I123" s="161">
        <f>H123*(1+Inputs!I405)</f>
        <v>9.8377859615313007E-2</v>
      </c>
      <c r="J123" s="161">
        <f>I123*(1+Inputs!J405)</f>
        <v>9.9361638211466138E-2</v>
      </c>
      <c r="K123" s="161">
        <f>J123*(1+Inputs!K405)</f>
        <v>0.1003552545935808</v>
      </c>
      <c r="L123" s="161">
        <f>K123*(1+Inputs!L405)</f>
        <v>0.10135880713951662</v>
      </c>
      <c r="M123" s="161">
        <f>L123*(1+Inputs!M405)</f>
        <v>0.10237239521091178</v>
      </c>
      <c r="N123" s="161">
        <f>M123*(1+Inputs!N405)</f>
        <v>0.1033961191630209</v>
      </c>
      <c r="O123" s="161">
        <f>N123*(1+Inputs!O405)</f>
        <v>0.10443008035465111</v>
      </c>
      <c r="P123" s="161">
        <f>O123*(1+Inputs!P405)</f>
        <v>0.10547438115819761</v>
      </c>
      <c r="Q123" s="161">
        <f>P123*(1+Inputs!Q405)</f>
        <v>0.10652912496977959</v>
      </c>
      <c r="R123" s="161">
        <f>Q123*(1+Inputs!R405)</f>
        <v>0.10759441621947739</v>
      </c>
      <c r="S123" s="161">
        <f>R123*(1+Inputs!S405)</f>
        <v>0.10867036038167217</v>
      </c>
      <c r="T123" s="161">
        <f>S123*(1+Inputs!T405)</f>
        <v>0.1097570639854889</v>
      </c>
    </row>
    <row r="124" spans="2:20" x14ac:dyDescent="0.25">
      <c r="B124" s="23" t="s">
        <v>2152</v>
      </c>
      <c r="C124" s="28" t="s">
        <v>493</v>
      </c>
      <c r="D124" s="164" t="s">
        <v>2084</v>
      </c>
      <c r="G124" s="161">
        <f>Inputs!$E$406*Inputs!$F$406</f>
        <v>1.65E-3</v>
      </c>
      <c r="H124" s="161">
        <f>G124*(1+Inputs!H406)</f>
        <v>1.6665E-3</v>
      </c>
      <c r="I124" s="161">
        <f>H124*(1+Inputs!I406)</f>
        <v>1.6831649999999999E-3</v>
      </c>
      <c r="J124" s="161">
        <f>I124*(1+Inputs!J406)</f>
        <v>1.6999966499999998E-3</v>
      </c>
      <c r="K124" s="161">
        <f>J124*(1+Inputs!K406)</f>
        <v>1.7169966164999999E-3</v>
      </c>
      <c r="L124" s="161">
        <f>K124*(1+Inputs!L406)</f>
        <v>1.7341665826649999E-3</v>
      </c>
      <c r="M124" s="161">
        <f>L124*(1+Inputs!M406)</f>
        <v>1.7515082484916499E-3</v>
      </c>
      <c r="N124" s="161">
        <f>M124*(1+Inputs!N406)</f>
        <v>1.7690233309765665E-3</v>
      </c>
      <c r="O124" s="161">
        <f>N124*(1+Inputs!O406)</f>
        <v>1.7867135642863322E-3</v>
      </c>
      <c r="P124" s="161">
        <f>O124*(1+Inputs!P406)</f>
        <v>1.8045806999291954E-3</v>
      </c>
      <c r="Q124" s="161">
        <f>P124*(1+Inputs!Q406)</f>
        <v>1.8226265069284874E-3</v>
      </c>
      <c r="R124" s="161">
        <f>Q124*(1+Inputs!R406)</f>
        <v>1.8408527719977724E-3</v>
      </c>
      <c r="S124" s="161">
        <f>R124*(1+Inputs!S406)</f>
        <v>1.85926129971775E-3</v>
      </c>
      <c r="T124" s="161">
        <f>S124*(1+Inputs!T406)</f>
        <v>1.8778539127149276E-3</v>
      </c>
    </row>
    <row r="125" spans="2:20" x14ac:dyDescent="0.25">
      <c r="B125" s="23" t="s">
        <v>2153</v>
      </c>
      <c r="C125" s="28" t="s">
        <v>493</v>
      </c>
      <c r="D125" s="164" t="s">
        <v>2084</v>
      </c>
      <c r="G125" s="161">
        <f>Inputs!$E$407*Inputs!$F$407</f>
        <v>5.16E-2</v>
      </c>
      <c r="H125" s="161">
        <f>G125*(1+Inputs!H407)</f>
        <v>5.2116000000000003E-2</v>
      </c>
      <c r="I125" s="161">
        <f>H125*(1+Inputs!I407)</f>
        <v>5.2637160000000002E-2</v>
      </c>
      <c r="J125" s="161">
        <f>I125*(1+Inputs!J407)</f>
        <v>5.3163531600000001E-2</v>
      </c>
      <c r="K125" s="161">
        <f>J125*(1+Inputs!K407)</f>
        <v>5.3695166916000001E-2</v>
      </c>
      <c r="L125" s="161">
        <f>K125*(1+Inputs!L407)</f>
        <v>5.423211858516E-2</v>
      </c>
      <c r="M125" s="161">
        <f>L125*(1+Inputs!M407)</f>
        <v>5.4774439771011603E-2</v>
      </c>
      <c r="N125" s="161">
        <f>M125*(1+Inputs!N407)</f>
        <v>5.5322184168721721E-2</v>
      </c>
      <c r="O125" s="161">
        <f>N125*(1+Inputs!O407)</f>
        <v>5.587540601040894E-2</v>
      </c>
      <c r="P125" s="161">
        <f>O125*(1+Inputs!P407)</f>
        <v>5.643416007051303E-2</v>
      </c>
      <c r="Q125" s="161">
        <f>P125*(1+Inputs!Q407)</f>
        <v>5.6998501671218157E-2</v>
      </c>
      <c r="R125" s="161">
        <f>Q125*(1+Inputs!R407)</f>
        <v>5.756848668793034E-2</v>
      </c>
      <c r="S125" s="161">
        <f>R125*(1+Inputs!S407)</f>
        <v>5.8144171554809644E-2</v>
      </c>
      <c r="T125" s="161">
        <f>S125*(1+Inputs!T407)</f>
        <v>5.8725613270357739E-2</v>
      </c>
    </row>
    <row r="126" spans="2:20" ht="26.25" customHeight="1" x14ac:dyDescent="0.25">
      <c r="B126" s="64" t="s">
        <v>2154</v>
      </c>
      <c r="C126" s="28" t="s">
        <v>493</v>
      </c>
      <c r="H126" s="159">
        <f>('Revenue Calculation'!H88*Inputs!H420+'Revenue Calculation'!H70*Inputs!H421+'Revenue Calculation'!H71*Inputs!H422+'Revenue Calculation'!H72*Inputs!H423+'Revenue Calculation'!H73*Inputs!H424+'Revenue Calculation'!H74*Inputs!H425+Inputs!H417*'Revenue Calculation'!H89+Inputs!H418*'Revenue Calculation'!H90+Inputs!H419*'Revenue Calculation'!H91)*Inputs!$E$54</f>
        <v>67.02974997182281</v>
      </c>
      <c r="I126" s="159">
        <f>('Revenue Calculation'!I88*Inputs!I420+'Revenue Calculation'!I70*Inputs!I421+'Revenue Calculation'!I71*Inputs!I422+'Revenue Calculation'!I72*Inputs!I423+'Revenue Calculation'!I73*Inputs!I424+'Revenue Calculation'!I74*Inputs!I425+Inputs!I417*'Revenue Calculation'!I89+Inputs!I418*'Revenue Calculation'!I90+Inputs!I419*'Revenue Calculation'!I91)*Inputs!$E$54</f>
        <v>44.82583696950357</v>
      </c>
      <c r="J126" s="159">
        <f>('Revenue Calculation'!J88*Inputs!J420+'Revenue Calculation'!J70*Inputs!J421+'Revenue Calculation'!J71*Inputs!J422+'Revenue Calculation'!J72*Inputs!J423+'Revenue Calculation'!J73*Inputs!J424+'Revenue Calculation'!J74*Inputs!J425+Inputs!J417*'Revenue Calculation'!J89+Inputs!J418*'Revenue Calculation'!J90+Inputs!J419*'Revenue Calculation'!J91)*Inputs!$E$54</f>
        <v>38.506138162763463</v>
      </c>
      <c r="K126" s="159">
        <f>('Revenue Calculation'!K88*Inputs!K420+'Revenue Calculation'!K70*Inputs!K421+'Revenue Calculation'!K71*Inputs!K422+'Revenue Calculation'!K72*Inputs!K423+'Revenue Calculation'!K73*Inputs!K424+'Revenue Calculation'!K74*Inputs!K425+Inputs!K417*'Revenue Calculation'!K89+Inputs!K418*'Revenue Calculation'!K90+Inputs!K419*'Revenue Calculation'!K91)*Inputs!$E$54</f>
        <v>41.489849445499715</v>
      </c>
      <c r="L126" s="159">
        <f>('Revenue Calculation'!L88*Inputs!L420+'Revenue Calculation'!L70*Inputs!L421+'Revenue Calculation'!L71*Inputs!L422+'Revenue Calculation'!L72*Inputs!L423+'Revenue Calculation'!L73*Inputs!L424+'Revenue Calculation'!L74*Inputs!L425+Inputs!L417*'Revenue Calculation'!L89+Inputs!L418*'Revenue Calculation'!L90+Inputs!L419*'Revenue Calculation'!L91)*Inputs!$E$54</f>
        <v>44.705730022578884</v>
      </c>
      <c r="M126" s="159">
        <f>('Revenue Calculation'!M88*Inputs!M420+'Revenue Calculation'!M70*Inputs!M421+'Revenue Calculation'!M71*Inputs!M422+'Revenue Calculation'!M72*Inputs!M423+'Revenue Calculation'!M73*Inputs!M424+'Revenue Calculation'!M74*Inputs!M425+Inputs!M417*'Revenue Calculation'!M89+Inputs!M418*'Revenue Calculation'!M90+Inputs!M419*'Revenue Calculation'!M91)*Inputs!$E$54</f>
        <v>48.171918265415712</v>
      </c>
      <c r="N126" s="159">
        <f>('Revenue Calculation'!N88*Inputs!N420+'Revenue Calculation'!N70*Inputs!N421+'Revenue Calculation'!N71*Inputs!N422+'Revenue Calculation'!N72*Inputs!N423+'Revenue Calculation'!N73*Inputs!N424+'Revenue Calculation'!N74*Inputs!N425+Inputs!N417*'Revenue Calculation'!N89+Inputs!N418*'Revenue Calculation'!N90+Inputs!N419*'Revenue Calculation'!N91)*Inputs!$E$54</f>
        <v>51.907975042758693</v>
      </c>
      <c r="O126" s="159">
        <f>('Revenue Calculation'!O88*Inputs!O420+'Revenue Calculation'!O70*Inputs!O421+'Revenue Calculation'!O71*Inputs!O422+'Revenue Calculation'!O72*Inputs!O423+'Revenue Calculation'!O73*Inputs!O424+'Revenue Calculation'!O74*Inputs!O425+Inputs!O417*'Revenue Calculation'!O89+Inputs!O418*'Revenue Calculation'!O90+Inputs!O419*'Revenue Calculation'!O91)*Inputs!$E$54</f>
        <v>55.934995682691387</v>
      </c>
      <c r="P126" s="159">
        <f>('Revenue Calculation'!P88*Inputs!P420+'Revenue Calculation'!P70*Inputs!P421+'Revenue Calculation'!P71*Inputs!P422+'Revenue Calculation'!P72*Inputs!P423+'Revenue Calculation'!P73*Inputs!P424+'Revenue Calculation'!P74*Inputs!P425+Inputs!P417*'Revenue Calculation'!P89+Inputs!P418*'Revenue Calculation'!P90+Inputs!P419*'Revenue Calculation'!P91)*Inputs!$E$54</f>
        <v>60.275730776763695</v>
      </c>
      <c r="Q126" s="159">
        <f>('Revenue Calculation'!Q88*Inputs!Q420+'Revenue Calculation'!Q70*Inputs!Q421+'Revenue Calculation'!Q71*Inputs!Q422+'Revenue Calculation'!Q72*Inputs!Q423+'Revenue Calculation'!Q73*Inputs!Q424+'Revenue Calculation'!Q74*Inputs!Q425+Inputs!Q417*'Revenue Calculation'!Q89+Inputs!Q418*'Revenue Calculation'!Q90+Inputs!Q419*'Revenue Calculation'!Q91)*Inputs!$E$54</f>
        <v>64.954716526753288</v>
      </c>
      <c r="R126" s="159">
        <f>('Revenue Calculation'!R88*Inputs!R420+'Revenue Calculation'!R70*Inputs!R421+'Revenue Calculation'!R71*Inputs!R422+'Revenue Calculation'!R72*Inputs!R423+'Revenue Calculation'!R73*Inputs!R424+'Revenue Calculation'!R74*Inputs!R425+Inputs!R417*'Revenue Calculation'!R89+Inputs!R418*'Revenue Calculation'!R90+Inputs!R419*'Revenue Calculation'!R91)*Inputs!$E$54</f>
        <v>53.647366564357512</v>
      </c>
      <c r="S126" s="159">
        <f>('Revenue Calculation'!S88*Inputs!S420+'Revenue Calculation'!S70*Inputs!S421+'Revenue Calculation'!S71*Inputs!S422+'Revenue Calculation'!S72*Inputs!S423+'Revenue Calculation'!S73*Inputs!S424+'Revenue Calculation'!S74*Inputs!S425+Inputs!S417*'Revenue Calculation'!S89+Inputs!S418*'Revenue Calculation'!S90+Inputs!S419*'Revenue Calculation'!S91)*Inputs!$E$54</f>
        <v>56.220318701780982</v>
      </c>
      <c r="T126" s="159">
        <f>('Revenue Calculation'!T88*Inputs!T420+'Revenue Calculation'!T70*Inputs!T421+'Revenue Calculation'!T71*Inputs!T422+'Revenue Calculation'!T72*Inputs!T423+'Revenue Calculation'!T73*Inputs!T424+'Revenue Calculation'!T74*Inputs!T425+Inputs!T417*'Revenue Calculation'!T89+Inputs!T418*'Revenue Calculation'!T90+Inputs!T419*'Revenue Calculation'!T91)*Inputs!$E$54</f>
        <v>58.91754179844385</v>
      </c>
    </row>
    <row r="127" spans="2:20" x14ac:dyDescent="0.25">
      <c r="B127" s="23" t="s">
        <v>2155</v>
      </c>
      <c r="C127" s="28" t="s">
        <v>493</v>
      </c>
      <c r="H127" s="159">
        <f>SUMIF($D$98:$D$125,"COGS fixed",H$98:H$125)*Inputs!$E$54</f>
        <v>4.1068204616589004</v>
      </c>
      <c r="I127" s="159">
        <f>SUMIF($D$98:$D$125,"COGS fixed",I$98:I$125)*Inputs!$E$54</f>
        <v>4.2500947505531856</v>
      </c>
      <c r="J127" s="159">
        <f>SUMIF($D$98:$D$125,"COGS fixed",J$98:J$125)*Inputs!$E$54</f>
        <v>4.3983814882423351</v>
      </c>
      <c r="K127" s="159">
        <f>SUMIF($D$98:$D$125,"COGS fixed",K$98:K$125)*Inputs!$E$54</f>
        <v>4.551856088921002</v>
      </c>
      <c r="L127" s="159">
        <f>SUMIF($D$98:$D$125,"COGS fixed",L$98:L$125)*Inputs!$E$54</f>
        <v>4.7107001060655227</v>
      </c>
      <c r="M127" s="159">
        <f>SUMIF($D$98:$D$125,"COGS fixed",M$98:M$125)*Inputs!$E$54</f>
        <v>4.8751014473066263</v>
      </c>
      <c r="N127" s="159">
        <f>SUMIF($D$98:$D$125,"COGS fixed",N$98:N$125)*Inputs!$E$54</f>
        <v>5.0452545968226543</v>
      </c>
      <c r="O127" s="159">
        <f>SUMIF($D$98:$D$125,"COGS fixed",O$98:O$125)*Inputs!$E$54</f>
        <v>5.2213608455165481</v>
      </c>
      <c r="P127" s="159">
        <f>SUMIF($D$98:$D$125,"COGS fixed",P$98:P$125)*Inputs!$E$54</f>
        <v>5.4036285292489783</v>
      </c>
      <c r="Q127" s="159">
        <f>SUMIF($D$98:$D$125,"COGS fixed",Q$98:Q$125)*Inputs!$E$54</f>
        <v>5.5922732754096387</v>
      </c>
      <c r="R127" s="159">
        <f>SUMIF($D$98:$D$125,"COGS fixed",R$98:R$125)*Inputs!$E$54</f>
        <v>5.7875182581184896</v>
      </c>
      <c r="S127" s="159">
        <f>SUMIF($D$98:$D$125,"COGS fixed",S$98:S$125)*Inputs!$E$54</f>
        <v>5.9895944623590465</v>
      </c>
      <c r="T127" s="159">
        <f>SUMIF($D$98:$D$125,"COGS fixed",T$98:T$125)*Inputs!$E$54</f>
        <v>6.1987409573562866</v>
      </c>
    </row>
    <row r="128" spans="2:20" x14ac:dyDescent="0.25">
      <c r="B128" s="23" t="s">
        <v>2156</v>
      </c>
      <c r="C128" s="28" t="s">
        <v>493</v>
      </c>
      <c r="H128" s="159">
        <f>(Inputs!H413*'Revenue Calculation'!H88+Inputs!H414*'Revenue Calculation'!H89+Inputs!H415*'Revenue Calculation'!H91+Inputs!H416*'Revenue Calculation'!H90)*Inputs!$E$54</f>
        <v>2.4836082715633121E-2</v>
      </c>
      <c r="I128" s="159">
        <f>(Inputs!I413*'Revenue Calculation'!I88+Inputs!I414*'Revenue Calculation'!I89+Inputs!I415*'Revenue Calculation'!I91+Inputs!I416*'Revenue Calculation'!I90)*Inputs!$E$54</f>
        <v>2.2250503376429864E-2</v>
      </c>
      <c r="J128" s="159">
        <f>(Inputs!J413*'Revenue Calculation'!J88+Inputs!J414*'Revenue Calculation'!J89+Inputs!J415*'Revenue Calculation'!J91+Inputs!J416*'Revenue Calculation'!J90)*Inputs!$E$54</f>
        <v>2.2094605649993729E-2</v>
      </c>
      <c r="K128" s="159">
        <f>(Inputs!K413*'Revenue Calculation'!K88+Inputs!K414*'Revenue Calculation'!K89+Inputs!K415*'Revenue Calculation'!K91+Inputs!K416*'Revenue Calculation'!K90)*Inputs!$E$54</f>
        <v>2.3691510336841394E-2</v>
      </c>
      <c r="L128" s="159">
        <f>(Inputs!L413*'Revenue Calculation'!L88+Inputs!L414*'Revenue Calculation'!L89+Inputs!L415*'Revenue Calculation'!L91+Inputs!L416*'Revenue Calculation'!L90)*Inputs!$E$54</f>
        <v>2.5404051791704903E-2</v>
      </c>
      <c r="M128" s="159">
        <f>(Inputs!M413*'Revenue Calculation'!M88+Inputs!M414*'Revenue Calculation'!M89+Inputs!M415*'Revenue Calculation'!M91+Inputs!M416*'Revenue Calculation'!M90)*Inputs!$E$54</f>
        <v>2.7240621230543455E-2</v>
      </c>
      <c r="N128" s="159">
        <f>(Inputs!N413*'Revenue Calculation'!N88+Inputs!N414*'Revenue Calculation'!N89+Inputs!N415*'Revenue Calculation'!N91+Inputs!N416*'Revenue Calculation'!N90)*Inputs!$E$54</f>
        <v>2.9210220190955791E-2</v>
      </c>
      <c r="O128" s="159">
        <f>(Inputs!O413*'Revenue Calculation'!O88+Inputs!O414*'Revenue Calculation'!O89+Inputs!O415*'Revenue Calculation'!O91+Inputs!O416*'Revenue Calculation'!O90)*Inputs!$E$54</f>
        <v>3.1322505035746434E-2</v>
      </c>
      <c r="P128" s="159">
        <f>(Inputs!P413*'Revenue Calculation'!P88+Inputs!P414*'Revenue Calculation'!P89+Inputs!P415*'Revenue Calculation'!P91+Inputs!P416*'Revenue Calculation'!P90)*Inputs!$E$54</f>
        <v>3.3587834710612531E-2</v>
      </c>
      <c r="Q128" s="159">
        <f>(Inputs!Q413*'Revenue Calculation'!Q88+Inputs!Q414*'Revenue Calculation'!Q89+Inputs!Q415*'Revenue Calculation'!Q91+Inputs!Q416*'Revenue Calculation'!Q90)*Inputs!$E$54</f>
        <v>3.6017321994609212E-2</v>
      </c>
      <c r="R128" s="159">
        <f>(Inputs!R413*'Revenue Calculation'!R88+Inputs!R414*'Revenue Calculation'!R89+Inputs!R415*'Revenue Calculation'!R91+Inputs!R416*'Revenue Calculation'!R90)*Inputs!$E$54</f>
        <v>1.8622972031048006E-2</v>
      </c>
      <c r="S128" s="159">
        <f>(Inputs!S413*'Revenue Calculation'!S88+Inputs!S414*'Revenue Calculation'!S89+Inputs!S415*'Revenue Calculation'!S91+Inputs!S416*'Revenue Calculation'!S90)*Inputs!$E$54</f>
        <v>1.9409822793782668E-2</v>
      </c>
      <c r="T128" s="159">
        <f>(Inputs!T413*'Revenue Calculation'!T88+Inputs!T414*'Revenue Calculation'!T89+Inputs!T415*'Revenue Calculation'!T91+Inputs!T416*'Revenue Calculation'!T90)*Inputs!$E$54</f>
        <v>2.0230244181101351E-2</v>
      </c>
    </row>
    <row r="129" spans="2:20" x14ac:dyDescent="0.25">
      <c r="B129" s="21" t="s">
        <v>2157</v>
      </c>
      <c r="C129" s="28" t="s">
        <v>493</v>
      </c>
      <c r="H129" s="160">
        <f t="shared" ref="H129:T129" si="6">H126+H127+H128</f>
        <v>71.161406516197346</v>
      </c>
      <c r="I129" s="160">
        <f t="shared" si="6"/>
        <v>49.098182223433184</v>
      </c>
      <c r="J129" s="160">
        <f t="shared" si="6"/>
        <v>42.926614256655796</v>
      </c>
      <c r="K129" s="160">
        <f t="shared" si="6"/>
        <v>46.065397044757553</v>
      </c>
      <c r="L129" s="160">
        <f t="shared" si="6"/>
        <v>49.441834180436111</v>
      </c>
      <c r="M129" s="160">
        <f t="shared" si="6"/>
        <v>53.074260333952886</v>
      </c>
      <c r="N129" s="160">
        <f t="shared" si="6"/>
        <v>56.982439859772299</v>
      </c>
      <c r="O129" s="160">
        <f t="shared" si="6"/>
        <v>61.187679033243683</v>
      </c>
      <c r="P129" s="160">
        <f t="shared" si="6"/>
        <v>65.712947140723287</v>
      </c>
      <c r="Q129" s="160">
        <f t="shared" si="6"/>
        <v>70.583007124157533</v>
      </c>
      <c r="R129" s="160">
        <f t="shared" si="6"/>
        <v>59.453507794507047</v>
      </c>
      <c r="S129" s="160">
        <f t="shared" si="6"/>
        <v>62.229322986933809</v>
      </c>
      <c r="T129" s="160">
        <f t="shared" si="6"/>
        <v>65.13651299998125</v>
      </c>
    </row>
    <row r="130" spans="2:20" x14ac:dyDescent="0.25">
      <c r="B130" s="21" t="s">
        <v>2158</v>
      </c>
      <c r="C130" s="28" t="s">
        <v>493</v>
      </c>
      <c r="H130" s="160">
        <f>SUMIF($D$98:$D$125,"Opex",H$98:H$125)*Inputs!$E$54</f>
        <v>2.2917843231525996</v>
      </c>
      <c r="I130" s="160">
        <f>SUMIF($D$98:$D$125,"Opex",I$98:I$125)*Inputs!$E$54</f>
        <v>2.3147021663841261</v>
      </c>
      <c r="J130" s="160">
        <f>SUMIF($D$98:$D$125,"Opex",J$98:J$125)*Inputs!$E$54</f>
        <v>2.3378491880479673</v>
      </c>
      <c r="K130" s="160">
        <f>SUMIF($D$98:$D$125,"Opex",K$98:K$125)*Inputs!$E$54</f>
        <v>2.3612276799284464</v>
      </c>
      <c r="L130" s="160">
        <f>SUMIF($D$98:$D$125,"Opex",L$98:L$125)*Inputs!$E$54</f>
        <v>2.3848399567277312</v>
      </c>
      <c r="M130" s="160">
        <f>SUMIF($D$98:$D$125,"Opex",M$98:M$125)*Inputs!$E$54</f>
        <v>2.4086883562950097</v>
      </c>
      <c r="N130" s="160">
        <f>SUMIF($D$98:$D$125,"Opex",N$98:N$125)*Inputs!$E$54</f>
        <v>2.4327752398579596</v>
      </c>
      <c r="O130" s="160">
        <f>SUMIF($D$98:$D$125,"Opex",O$98:O$125)*Inputs!$E$54</f>
        <v>2.4571029922565391</v>
      </c>
      <c r="P130" s="160">
        <f>SUMIF($D$98:$D$125,"Opex",P$98:P$125)*Inputs!$E$54</f>
        <v>2.4816740221791038</v>
      </c>
      <c r="Q130" s="160">
        <f>SUMIF($D$98:$D$125,"Opex",Q$98:Q$125)*Inputs!$E$54</f>
        <v>2.5064907624008939</v>
      </c>
      <c r="R130" s="160">
        <f>SUMIF($D$98:$D$125,"Opex",R$98:R$125)*Inputs!$E$54</f>
        <v>2.531555670024904</v>
      </c>
      <c r="S130" s="160">
        <f>SUMIF($D$98:$D$125,"Opex",S$98:S$125)*Inputs!$E$54</f>
        <v>2.5568712267251534</v>
      </c>
      <c r="T130" s="160">
        <f>SUMIF($D$98:$D$125,"Opex",T$98:T$125)*Inputs!$E$54</f>
        <v>2.5824399389924042</v>
      </c>
    </row>
    <row r="131" spans="2:20" x14ac:dyDescent="0.25">
      <c r="B131" s="21" t="s">
        <v>2159</v>
      </c>
      <c r="C131" s="28" t="s">
        <v>493</v>
      </c>
      <c r="G131" s="157"/>
      <c r="H131" s="158">
        <f>'Revenue Calculation'!H92-H129-H130</f>
        <v>14.495481521403958</v>
      </c>
      <c r="I131" s="158">
        <f>'Revenue Calculation'!I92-I129-I130</f>
        <v>13.9457566433103</v>
      </c>
      <c r="J131" s="158">
        <f>'Revenue Calculation'!J92-J129-J130</f>
        <v>16.725265380831338</v>
      </c>
      <c r="K131" s="158">
        <f>'Revenue Calculation'!K92-K129-K130</f>
        <v>18.431080713474763</v>
      </c>
      <c r="L131" s="158">
        <f>'Revenue Calculation'!L92-L129-L130</f>
        <v>20.282633943941626</v>
      </c>
      <c r="M131" s="158">
        <f>'Revenue Calculation'!M92-M129-M130</f>
        <v>22.29191986426342</v>
      </c>
      <c r="N131" s="158">
        <f>'Revenue Calculation'!N92-N129-N130</f>
        <v>24.471909119642945</v>
      </c>
      <c r="O131" s="158">
        <f>'Revenue Calculation'!O92-O129-O130</f>
        <v>26.836627291295855</v>
      </c>
      <c r="P131" s="158">
        <f>'Revenue Calculation'!P92-P129-P130</f>
        <v>29.401240381388735</v>
      </c>
      <c r="Q131" s="158">
        <f>'Revenue Calculation'!Q92-Q129-Q130</f>
        <v>32.182147218382731</v>
      </c>
      <c r="R131" s="158">
        <f>'Revenue Calculation'!R92-R129-R130</f>
        <v>31.202778490080913</v>
      </c>
      <c r="S131" s="158">
        <f>'Revenue Calculation'!S92-S129-S130</f>
        <v>32.930632855251332</v>
      </c>
      <c r="T131" s="158">
        <f>'Revenue Calculation'!T92-T129-T130</f>
        <v>34.748092220611589</v>
      </c>
    </row>
    <row r="133" spans="2:20" x14ac:dyDescent="0.25">
      <c r="B133" s="58" t="s">
        <v>2160</v>
      </c>
      <c r="C133" s="19"/>
      <c r="D133" s="19"/>
      <c r="E133" s="19"/>
      <c r="F133" s="19"/>
      <c r="G133" s="19"/>
      <c r="H133" s="19"/>
      <c r="I133" s="19"/>
      <c r="J133" s="19"/>
      <c r="K133" s="19"/>
      <c r="L133" s="19"/>
      <c r="M133" s="19"/>
      <c r="N133" s="19"/>
      <c r="O133" s="19"/>
      <c r="P133" s="19"/>
      <c r="Q133" s="19"/>
      <c r="R133" s="19"/>
      <c r="S133" s="19"/>
      <c r="T133" s="19"/>
    </row>
    <row r="134" spans="2:20" x14ac:dyDescent="0.25">
      <c r="B134" s="154" t="s">
        <v>534</v>
      </c>
    </row>
    <row r="135" spans="2:20" ht="38.25" customHeight="1" x14ac:dyDescent="0.25">
      <c r="B135" s="133" t="s">
        <v>2161</v>
      </c>
      <c r="C135" s="28" t="s">
        <v>493</v>
      </c>
      <c r="H135" s="160">
        <f>((H41+H44+H43)*'Revenue Calculation'!H97/1000000000+Inputs!H195*'Capex &amp; Depreciation'!$E$8*Inputs!H95/1000*'Revenue Calculation'!H10)*Inputs!$E$54</f>
        <v>0</v>
      </c>
      <c r="I135" s="160">
        <f>((I41+I44+I43)*'Revenue Calculation'!I97/1000000000+Inputs!I195*'Capex &amp; Depreciation'!$E$8*Inputs!I95/1000*'Revenue Calculation'!I10)*Inputs!$E$54</f>
        <v>9.514942716380725</v>
      </c>
      <c r="J135" s="160">
        <f>((J41+J44+J43)*'Revenue Calculation'!J97/1000000000+Inputs!J195*'Capex &amp; Depreciation'!$E$8*Inputs!J95/1000*'Revenue Calculation'!J10)*Inputs!$E$54</f>
        <v>10.03100826380831</v>
      </c>
      <c r="K135" s="160">
        <f>((K41+K44+K43)*'Revenue Calculation'!K97/1000000000+Inputs!K195*'Capex &amp; Depreciation'!$E$8*Inputs!K95/1000*'Revenue Calculation'!K10)*Inputs!$E$54</f>
        <v>10.578502203074237</v>
      </c>
      <c r="L135" s="160">
        <f>((L41+L44+L43)*'Revenue Calculation'!L97/1000000000+Inputs!L195*'Capex &amp; Depreciation'!$E$8*Inputs!L95/1000*'Revenue Calculation'!L10)*Inputs!$E$54</f>
        <v>11.159338523241457</v>
      </c>
      <c r="M135" s="160">
        <f>((M41+M44+M43)*'Revenue Calculation'!M97/1000000000+Inputs!M195*'Capex &amp; Depreciation'!$E$8*Inputs!M95/1000*'Revenue Calculation'!M10)*Inputs!$E$54</f>
        <v>11.775547775306864</v>
      </c>
      <c r="N135" s="160">
        <f>((N41+N44+N43)*'Revenue Calculation'!N97/1000000000+Inputs!N195*'Capex &amp; Depreciation'!$E$8*Inputs!N95/1000*'Revenue Calculation'!N10)*Inputs!$E$54</f>
        <v>12.429284170823051</v>
      </c>
      <c r="O135" s="160">
        <f>((O41+O44+O43)*'Revenue Calculation'!O97/1000000000+Inputs!O195*'Capex &amp; Depreciation'!$E$8*Inputs!O95/1000*'Revenue Calculation'!O10)*Inputs!$E$54</f>
        <v>13.122833112826179</v>
      </c>
      <c r="P135" s="160">
        <f>((P41+P44+P43)*'Revenue Calculation'!P97/1000000000+Inputs!P195*'Capex &amp; Depreciation'!$E$8*Inputs!P95/1000*'Revenue Calculation'!P10)*Inputs!$E$54</f>
        <v>13.85861918539729</v>
      </c>
      <c r="Q135" s="160">
        <f>((Q41+Q44+Q43)*'Revenue Calculation'!Q97/1000000000+Inputs!Q195*'Capex &amp; Depreciation'!$E$8*Inputs!Q95/1000*'Revenue Calculation'!Q10)*Inputs!$E$54</f>
        <v>14.639214629787986</v>
      </c>
      <c r="R135" s="160">
        <f>((R41+R44+R43)*'Revenue Calculation'!R97/1000000000+Inputs!R195*'Capex &amp; Depreciation'!$E$8*Inputs!R95/1000*'Revenue Calculation'!R10)*Inputs!$E$54</f>
        <v>15.467348336742077</v>
      </c>
      <c r="S135" s="160">
        <f>((S41+S44+S43)*'Revenue Calculation'!S97/1000000000+Inputs!S195*'Capex &amp; Depreciation'!$E$8*Inputs!S95/1000*'Revenue Calculation'!S10)*Inputs!$E$54</f>
        <v>16.345915386449668</v>
      </c>
      <c r="T135" s="160">
        <f>((T41+T44+T43)*'Revenue Calculation'!T97/1000000000+Inputs!T195*'Capex &amp; Depreciation'!$E$8*Inputs!T95/1000*'Revenue Calculation'!T10)*Inputs!$E$54</f>
        <v>17.277987169484454</v>
      </c>
    </row>
    <row r="136" spans="2:20" x14ac:dyDescent="0.25">
      <c r="B136" s="21" t="s">
        <v>2162</v>
      </c>
      <c r="C136" s="28" t="s">
        <v>493</v>
      </c>
      <c r="H136" s="160">
        <f>Inputs!H194*'Revenue Calculation'!H99*Inputs!$E$54</f>
        <v>0</v>
      </c>
      <c r="I136" s="160">
        <f>Inputs!I194*'Revenue Calculation'!I99*Inputs!$E$54</f>
        <v>20.062441819238401</v>
      </c>
      <c r="J136" s="160">
        <f>Inputs!J194*'Revenue Calculation'!J99*Inputs!$E$54</f>
        <v>20.664315073815555</v>
      </c>
      <c r="K136" s="160">
        <f>Inputs!K194*'Revenue Calculation'!K99*Inputs!$E$54</f>
        <v>25.541093431236025</v>
      </c>
      <c r="L136" s="160">
        <f>Inputs!L194*'Revenue Calculation'!L99*Inputs!$E$54</f>
        <v>26.307326234173104</v>
      </c>
      <c r="M136" s="160">
        <f>Inputs!M194*'Revenue Calculation'!M99*Inputs!$E$54</f>
        <v>29.806200623318126</v>
      </c>
      <c r="N136" s="160">
        <f>Inputs!N194*'Revenue Calculation'!N99*Inputs!$E$54</f>
        <v>30.700386642017669</v>
      </c>
      <c r="O136" s="160">
        <f>Inputs!O194*'Revenue Calculation'!O99*Inputs!$E$54</f>
        <v>33.518682135754894</v>
      </c>
      <c r="P136" s="160">
        <f>Inputs!P194*'Revenue Calculation'!P99*Inputs!$E$54</f>
        <v>34.524242599827538</v>
      </c>
      <c r="Q136" s="160">
        <f>Inputs!Q194*'Revenue Calculation'!Q99*Inputs!$E$54</f>
        <v>37.693568070491715</v>
      </c>
      <c r="R136" s="160">
        <f>Inputs!R194*'Revenue Calculation'!R99*Inputs!$E$54</f>
        <v>38.824375112606475</v>
      </c>
      <c r="S136" s="160">
        <f>Inputs!S194*'Revenue Calculation'!S99*Inputs!$E$54</f>
        <v>39.989106365984661</v>
      </c>
      <c r="T136" s="160">
        <f>Inputs!T194*'Revenue Calculation'!T99*Inputs!$E$54</f>
        <v>41.188779556964199</v>
      </c>
    </row>
    <row r="137" spans="2:20" x14ac:dyDescent="0.25">
      <c r="B137" s="21" t="s">
        <v>2163</v>
      </c>
      <c r="C137" s="28" t="s">
        <v>493</v>
      </c>
      <c r="G137" s="157"/>
      <c r="H137" s="158">
        <f>'Revenue Calculation'!H99-H135-H136</f>
        <v>0</v>
      </c>
      <c r="I137" s="158">
        <f>'Revenue Calculation'!I99-I135-I136</f>
        <v>70.734824560572875</v>
      </c>
      <c r="J137" s="158">
        <f>'Revenue Calculation'!J99-J135-J136</f>
        <v>72.626252031453888</v>
      </c>
      <c r="K137" s="158">
        <f>'Revenue Calculation'!K99-K135-K136</f>
        <v>91.585871521869862</v>
      </c>
      <c r="L137" s="158">
        <f>'Revenue Calculation'!L99-L135-L136</f>
        <v>94.069966413450956</v>
      </c>
      <c r="M137" s="158">
        <f>'Revenue Calculation'!M99-M135-M136</f>
        <v>107.44925471796563</v>
      </c>
      <c r="N137" s="158">
        <f>'Revenue Calculation'!N99-N135-N136</f>
        <v>110.37226239724762</v>
      </c>
      <c r="O137" s="158">
        <f>'Revenue Calculation'!O99-O135-O136</f>
        <v>120.95189543019339</v>
      </c>
      <c r="P137" s="158">
        <f>'Revenue Calculation'!P99-P135-P136</f>
        <v>124.23835121391286</v>
      </c>
      <c r="Q137" s="158">
        <f>'Revenue Calculation'!Q99-Q135-Q136</f>
        <v>136.13505765217883</v>
      </c>
      <c r="R137" s="158">
        <f>'Revenue Calculation'!R99-R135-R136</f>
        <v>139.83015211368379</v>
      </c>
      <c r="S137" s="158">
        <f>'Revenue Calculation'!S99-S135-S136</f>
        <v>143.61051007748895</v>
      </c>
      <c r="T137" s="158">
        <f>'Revenue Calculation'!T99-T135-T136</f>
        <v>147.47713105837235</v>
      </c>
    </row>
    <row r="138" spans="2:20" x14ac:dyDescent="0.25">
      <c r="B138" s="154" t="s">
        <v>539</v>
      </c>
    </row>
    <row r="139" spans="2:20" ht="26.25" customHeight="1" x14ac:dyDescent="0.25">
      <c r="B139" s="133" t="s">
        <v>2164</v>
      </c>
      <c r="C139" s="28" t="s">
        <v>493</v>
      </c>
      <c r="H139" s="160">
        <f>((H41*Inputs!H207+H43*Inputs!H208)*'Revenue Calculation'!H102/1000000000+Inputs!H209*'Capex &amp; Depreciation'!$E$9*Inputs!H95/1000*'Revenue Calculation'!H11)*Inputs!$E$54</f>
        <v>0</v>
      </c>
      <c r="I139" s="160">
        <f>((I41*Inputs!I207+I43*Inputs!I208)*'Revenue Calculation'!I102/1000000000+Inputs!I209*'Capex &amp; Depreciation'!$E$9*Inputs!I95/1000*'Revenue Calculation'!I11)*Inputs!$E$54</f>
        <v>2.4271241506568551</v>
      </c>
      <c r="J139" s="160">
        <f>((J41*Inputs!J207+J43*Inputs!J208)*'Revenue Calculation'!J102/1000000000+Inputs!J209*'Capex &amp; Depreciation'!$E$9*Inputs!J95/1000*'Revenue Calculation'!J11)*Inputs!$E$54</f>
        <v>2.5353144714318572</v>
      </c>
      <c r="K139" s="160">
        <f>((K41*Inputs!K207+K43*Inputs!K208)*'Revenue Calculation'!K102/1000000000+Inputs!K209*'Capex &amp; Depreciation'!$E$9*Inputs!K95/1000*'Revenue Calculation'!K11)*Inputs!$E$54</f>
        <v>2.6500935827420573</v>
      </c>
      <c r="L139" s="160">
        <f>((L41*Inputs!L207+L43*Inputs!L208)*'Revenue Calculation'!L102/1000000000+Inputs!L209*'Capex &amp; Depreciation'!$E$9*Inputs!L95/1000*'Revenue Calculation'!L11)*Inputs!$E$54</f>
        <v>2.7718627419310486</v>
      </c>
      <c r="M139" s="160">
        <f>((M41*Inputs!M207+M43*Inputs!M208)*'Revenue Calculation'!M102/1000000000+Inputs!M209*'Capex &amp; Depreciation'!$E$9*Inputs!M95/1000*'Revenue Calculation'!M11)*Inputs!$E$54</f>
        <v>2.9010476429146497</v>
      </c>
      <c r="N139" s="160">
        <f>((N41*Inputs!N207+N43*Inputs!N208)*'Revenue Calculation'!N102/1000000000+Inputs!N209*'Capex &amp; Depreciation'!$E$9*Inputs!N95/1000*'Revenue Calculation'!N11)*Inputs!$E$54</f>
        <v>3.0380999043681518</v>
      </c>
      <c r="O139" s="160">
        <f>((O41*Inputs!O207+O43*Inputs!O208)*'Revenue Calculation'!O102/1000000000+Inputs!O209*'Capex &amp; Depreciation'!$E$9*Inputs!O95/1000*'Revenue Calculation'!O11)*Inputs!$E$54</f>
        <v>3.1834986485441732</v>
      </c>
      <c r="P139" s="160">
        <f>((P41*Inputs!P207+P43*Inputs!P208)*'Revenue Calculation'!P102/1000000000+Inputs!P209*'Capex &amp; Depreciation'!$E$9*Inputs!P95/1000*'Revenue Calculation'!P11)*Inputs!$E$54</f>
        <v>3.3377521762405129</v>
      </c>
      <c r="Q139" s="160">
        <f>((Q41*Inputs!Q207+Q43*Inputs!Q208)*'Revenue Calculation'!Q102/1000000000+Inputs!Q209*'Capex &amp; Depreciation'!$E$9*Inputs!Q95/1000*'Revenue Calculation'!Q11)*Inputs!$E$54</f>
        <v>3.5013997437735602</v>
      </c>
      <c r="R139" s="160">
        <f>((R41*Inputs!R207+R43*Inputs!R208)*'Revenue Calculation'!R102/1000000000+Inputs!R209*'Capex &amp; Depreciation'!$E$9*Inputs!R95/1000*'Revenue Calculation'!R11)*Inputs!$E$54</f>
        <v>3.6750134481693699</v>
      </c>
      <c r="S139" s="160">
        <f>((S41*Inputs!S207+S43*Inputs!S208)*'Revenue Calculation'!S102/1000000000+Inputs!S209*'Capex &amp; Depreciation'!$E$9*Inputs!S95/1000*'Revenue Calculation'!S11)*Inputs!$E$54</f>
        <v>3.8592002271628854</v>
      </c>
      <c r="T139" s="160">
        <f>((T41*Inputs!T207+T43*Inputs!T208)*'Revenue Calculation'!T102/1000000000+Inputs!T209*'Capex &amp; Depreciation'!$E$9*Inputs!T95/1000*'Revenue Calculation'!T11)*Inputs!$E$54</f>
        <v>4.0546039809971051</v>
      </c>
    </row>
    <row r="140" spans="2:20" x14ac:dyDescent="0.25">
      <c r="B140" s="21" t="s">
        <v>2165</v>
      </c>
      <c r="C140" s="28" t="s">
        <v>493</v>
      </c>
      <c r="H140" s="160">
        <f>0</f>
        <v>0</v>
      </c>
      <c r="I140" s="160">
        <f>0</f>
        <v>0</v>
      </c>
      <c r="J140" s="160">
        <f>0</f>
        <v>0</v>
      </c>
      <c r="K140" s="160">
        <f>0</f>
        <v>0</v>
      </c>
      <c r="L140" s="160">
        <f>0</f>
        <v>0</v>
      </c>
      <c r="M140" s="160">
        <f>0</f>
        <v>0</v>
      </c>
      <c r="N140" s="160">
        <f>0</f>
        <v>0</v>
      </c>
      <c r="O140" s="160">
        <f>0</f>
        <v>0</v>
      </c>
      <c r="P140" s="160">
        <f>0</f>
        <v>0</v>
      </c>
      <c r="Q140" s="160">
        <f>0</f>
        <v>0</v>
      </c>
      <c r="R140" s="160">
        <f>0</f>
        <v>0</v>
      </c>
      <c r="S140" s="160">
        <f>0</f>
        <v>0</v>
      </c>
      <c r="T140" s="160">
        <f>0</f>
        <v>0</v>
      </c>
    </row>
    <row r="141" spans="2:20" x14ac:dyDescent="0.25">
      <c r="B141" s="21" t="s">
        <v>2166</v>
      </c>
      <c r="C141" s="28" t="s">
        <v>493</v>
      </c>
      <c r="G141" s="157"/>
      <c r="H141" s="158">
        <f>'Revenue Calculation'!H104-H139-H140</f>
        <v>0</v>
      </c>
      <c r="I141" s="158">
        <f>'Revenue Calculation'!I104-I139-I140</f>
        <v>29.072875849343145</v>
      </c>
      <c r="J141" s="158">
        <f>'Revenue Calculation'!J104-J139-J140</f>
        <v>29.909685528568144</v>
      </c>
      <c r="K141" s="158">
        <f>'Revenue Calculation'!K104-K139-K140</f>
        <v>30.768256417257938</v>
      </c>
      <c r="L141" s="158">
        <f>'Revenue Calculation'!L104-L139-L140</f>
        <v>31.649037758068953</v>
      </c>
      <c r="M141" s="158">
        <f>'Revenue Calculation'!M104-M139-M140</f>
        <v>32.55247987208535</v>
      </c>
      <c r="N141" s="158">
        <f>'Revenue Calculation'!N104-N139-N140</f>
        <v>33.479033436081849</v>
      </c>
      <c r="O141" s="158">
        <f>'Revenue Calculation'!O104-O139-O140</f>
        <v>34.429148692119327</v>
      </c>
      <c r="P141" s="158">
        <f>'Revenue Calculation'!P104-P139-P140</f>
        <v>35.403274584642901</v>
      </c>
      <c r="Q141" s="158">
        <f>'Revenue Calculation'!Q104-Q139-Q140</f>
        <v>36.401857819936353</v>
      </c>
      <c r="R141" s="158">
        <f>'Revenue Calculation'!R104-R139-R140</f>
        <v>37.425341842451843</v>
      </c>
      <c r="S141" s="158">
        <f>'Revenue Calculation'!S104-S139-S140</f>
        <v>38.474165722176963</v>
      </c>
      <c r="T141" s="158">
        <f>'Revenue Calculation'!T104-T139-T140</f>
        <v>39.54876294682294</v>
      </c>
    </row>
    <row r="142" spans="2:20" x14ac:dyDescent="0.25">
      <c r="B142" s="154" t="s">
        <v>2167</v>
      </c>
    </row>
    <row r="143" spans="2:20" x14ac:dyDescent="0.25">
      <c r="B143" s="21" t="s">
        <v>2168</v>
      </c>
      <c r="C143" s="28" t="s">
        <v>493</v>
      </c>
      <c r="H143" s="160">
        <f>Inputs!H223*'Revenue Calculation'!H111*Inputs!$E$54</f>
        <v>0</v>
      </c>
      <c r="I143" s="160">
        <f>Inputs!I223*'Revenue Calculation'!I111*Inputs!$E$54</f>
        <v>0</v>
      </c>
      <c r="J143" s="160">
        <f>Inputs!J223*'Revenue Calculation'!J111*Inputs!$E$54</f>
        <v>0</v>
      </c>
      <c r="K143" s="160">
        <f>Inputs!K223*'Revenue Calculation'!K111*Inputs!$E$54</f>
        <v>5.3023781999999997</v>
      </c>
      <c r="L143" s="160">
        <f>Inputs!L223*'Revenue Calculation'!L111*Inputs!$E$54</f>
        <v>5.4614495459999999</v>
      </c>
      <c r="M143" s="160">
        <f>Inputs!M223*'Revenue Calculation'!M111*Inputs!$E$54</f>
        <v>5.625293032380001</v>
      </c>
      <c r="N143" s="160">
        <f>Inputs!N223*'Revenue Calculation'!N111*Inputs!$E$54</f>
        <v>5.7940518233514</v>
      </c>
      <c r="O143" s="160">
        <f>Inputs!O223*'Revenue Calculation'!O111*Inputs!$E$54</f>
        <v>5.9678733780519435</v>
      </c>
      <c r="P143" s="160">
        <f>Inputs!P223*'Revenue Calculation'!P111*Inputs!$E$54</f>
        <v>6.1469095793935011</v>
      </c>
      <c r="Q143" s="160">
        <f>Inputs!Q223*'Revenue Calculation'!Q111*Inputs!$E$54</f>
        <v>6.3313168667753068</v>
      </c>
      <c r="R143" s="160">
        <f>Inputs!R223*'Revenue Calculation'!R111*Inputs!$E$54</f>
        <v>6.5212563727785655</v>
      </c>
      <c r="S143" s="160">
        <f>Inputs!S223*'Revenue Calculation'!S111*Inputs!$E$54</f>
        <v>6.7168940639619237</v>
      </c>
      <c r="T143" s="160">
        <f>Inputs!T223*'Revenue Calculation'!T111*Inputs!$E$54</f>
        <v>6.9184008858807804</v>
      </c>
    </row>
    <row r="144" spans="2:20" x14ac:dyDescent="0.25">
      <c r="B144" s="21" t="s">
        <v>2169</v>
      </c>
      <c r="C144" s="28" t="s">
        <v>493</v>
      </c>
      <c r="H144" s="160">
        <f>Inputs!H224*'Revenue Calculation'!H111*Inputs!$E$54</f>
        <v>0</v>
      </c>
      <c r="I144" s="160">
        <f>Inputs!I224*'Revenue Calculation'!I111*Inputs!$E$54</f>
        <v>0</v>
      </c>
      <c r="J144" s="160">
        <f>Inputs!J224*'Revenue Calculation'!J111*Inputs!$E$54</f>
        <v>0</v>
      </c>
      <c r="K144" s="160">
        <f>Inputs!K224*'Revenue Calculation'!K111*Inputs!$E$54</f>
        <v>26.511890999999999</v>
      </c>
      <c r="L144" s="160">
        <f>Inputs!L224*'Revenue Calculation'!L111*Inputs!$E$54</f>
        <v>27.307247729999997</v>
      </c>
      <c r="M144" s="160">
        <f>Inputs!M224*'Revenue Calculation'!M111*Inputs!$E$54</f>
        <v>28.126465161900004</v>
      </c>
      <c r="N144" s="160">
        <f>Inputs!N224*'Revenue Calculation'!N111*Inputs!$E$54</f>
        <v>28.970259116756999</v>
      </c>
      <c r="O144" s="160">
        <f>Inputs!O224*'Revenue Calculation'!O111*Inputs!$E$54</f>
        <v>29.839366890259715</v>
      </c>
      <c r="P144" s="160">
        <f>Inputs!P224*'Revenue Calculation'!P111*Inputs!$E$54</f>
        <v>30.734547896967506</v>
      </c>
      <c r="Q144" s="160">
        <f>Inputs!Q224*'Revenue Calculation'!Q111*Inputs!$E$54</f>
        <v>31.656584333876534</v>
      </c>
      <c r="R144" s="160">
        <f>Inputs!R224*'Revenue Calculation'!R111*Inputs!$E$54</f>
        <v>32.606281863892825</v>
      </c>
      <c r="S144" s="160">
        <f>Inputs!S224*'Revenue Calculation'!S111*Inputs!$E$54</f>
        <v>33.584470319809618</v>
      </c>
      <c r="T144" s="160">
        <f>Inputs!T224*'Revenue Calculation'!T111*Inputs!$E$54</f>
        <v>34.5920044294039</v>
      </c>
    </row>
    <row r="145" spans="2:20" x14ac:dyDescent="0.25">
      <c r="B145" s="21" t="s">
        <v>2170</v>
      </c>
      <c r="C145" s="28" t="s">
        <v>493</v>
      </c>
      <c r="G145" s="157"/>
      <c r="H145" s="158">
        <f>'Revenue Calculation'!H111-H143-H144</f>
        <v>0</v>
      </c>
      <c r="I145" s="158">
        <f>'Revenue Calculation'!I111-I143-I144</f>
        <v>0</v>
      </c>
      <c r="J145" s="158">
        <f>'Revenue Calculation'!J111-J143-J144</f>
        <v>0</v>
      </c>
      <c r="K145" s="158">
        <f>'Revenue Calculation'!K111-K143-K144</f>
        <v>21.209512799999999</v>
      </c>
      <c r="L145" s="158">
        <f>'Revenue Calculation'!L111-L143-L144</f>
        <v>21.845798184</v>
      </c>
      <c r="M145" s="158">
        <f>'Revenue Calculation'!M111-M143-M144</f>
        <v>22.501172129520004</v>
      </c>
      <c r="N145" s="158">
        <f>'Revenue Calculation'!N111-N143-N144</f>
        <v>23.176207293405596</v>
      </c>
      <c r="O145" s="158">
        <f>'Revenue Calculation'!O111-O143-O144</f>
        <v>23.871493512207774</v>
      </c>
      <c r="P145" s="158">
        <f>'Revenue Calculation'!P111-P143-P144</f>
        <v>24.587638317574005</v>
      </c>
      <c r="Q145" s="158">
        <f>'Revenue Calculation'!Q111-Q143-Q144</f>
        <v>25.325267467101231</v>
      </c>
      <c r="R145" s="158">
        <f>'Revenue Calculation'!R111-R143-R144</f>
        <v>26.085025491114259</v>
      </c>
      <c r="S145" s="158">
        <f>'Revenue Calculation'!S111-S143-S144</f>
        <v>26.867576255847695</v>
      </c>
      <c r="T145" s="158">
        <f>'Revenue Calculation'!T111-T143-T144</f>
        <v>27.673603543523122</v>
      </c>
    </row>
    <row r="146" spans="2:20" x14ac:dyDescent="0.25">
      <c r="B146" s="154" t="s">
        <v>547</v>
      </c>
    </row>
    <row r="147" spans="2:20" x14ac:dyDescent="0.25">
      <c r="B147" s="21" t="s">
        <v>2171</v>
      </c>
      <c r="C147" s="28" t="s">
        <v>493</v>
      </c>
      <c r="H147" s="160">
        <f>0</f>
        <v>0</v>
      </c>
      <c r="I147" s="160">
        <f>0</f>
        <v>0</v>
      </c>
      <c r="J147" s="160">
        <f>0</f>
        <v>0</v>
      </c>
      <c r="K147" s="160">
        <f>0</f>
        <v>0</v>
      </c>
      <c r="L147" s="160">
        <f>0</f>
        <v>0</v>
      </c>
      <c r="M147" s="160">
        <f>0</f>
        <v>0</v>
      </c>
      <c r="N147" s="160">
        <f>0</f>
        <v>0</v>
      </c>
      <c r="O147" s="160">
        <f>0</f>
        <v>0</v>
      </c>
      <c r="P147" s="160">
        <f>0</f>
        <v>0</v>
      </c>
      <c r="Q147" s="160">
        <f>0</f>
        <v>0</v>
      </c>
      <c r="R147" s="160">
        <f>0</f>
        <v>0</v>
      </c>
      <c r="S147" s="160">
        <f>0</f>
        <v>0</v>
      </c>
      <c r="T147" s="160">
        <f>0</f>
        <v>0</v>
      </c>
    </row>
    <row r="148" spans="2:20" ht="26.25" customHeight="1" x14ac:dyDescent="0.25">
      <c r="B148" s="133" t="s">
        <v>2172</v>
      </c>
      <c r="C148" s="28" t="s">
        <v>493</v>
      </c>
      <c r="H148" s="160">
        <f>Inputs!H236*'Revenue Calculation'!H113*12/1000000000*Inputs!$E$54</f>
        <v>0</v>
      </c>
      <c r="I148" s="160">
        <f>Inputs!I236*'Revenue Calculation'!I113*12/1000000000*Inputs!$E$54</f>
        <v>0</v>
      </c>
      <c r="J148" s="160">
        <f>Inputs!J236*'Revenue Calculation'!J113*12/1000000000*Inputs!$E$54</f>
        <v>0</v>
      </c>
      <c r="K148" s="160">
        <f>Inputs!K236*'Revenue Calculation'!K113*12/1000000000*Inputs!$E$54</f>
        <v>6.1199999999999997E-2</v>
      </c>
      <c r="L148" s="160">
        <f>Inputs!L236*'Revenue Calculation'!L113*12/1000000000*Inputs!$E$54</f>
        <v>6.1199999999999997E-2</v>
      </c>
      <c r="M148" s="160">
        <f>Inputs!M236*'Revenue Calculation'!M113*12/1000000000*Inputs!$E$54</f>
        <v>6.1199999999999997E-2</v>
      </c>
      <c r="N148" s="160">
        <f>Inputs!N236*'Revenue Calculation'!N113*12/1000000000*Inputs!$E$54</f>
        <v>6.1199999999999997E-2</v>
      </c>
      <c r="O148" s="160">
        <f>Inputs!O236*'Revenue Calculation'!O113*12/1000000000*Inputs!$E$54</f>
        <v>6.1199999999999997E-2</v>
      </c>
      <c r="P148" s="160">
        <f>Inputs!P236*'Revenue Calculation'!P113*12/1000000000*Inputs!$E$54</f>
        <v>6.1199999999999997E-2</v>
      </c>
      <c r="Q148" s="160">
        <f>Inputs!Q236*'Revenue Calculation'!Q113*12/1000000000*Inputs!$E$54</f>
        <v>6.1199999999999997E-2</v>
      </c>
      <c r="R148" s="160">
        <f>Inputs!R236*'Revenue Calculation'!R113*12/1000000000*Inputs!$E$54</f>
        <v>6.1199999999999997E-2</v>
      </c>
      <c r="S148" s="160">
        <f>Inputs!S236*'Revenue Calculation'!S113*12/1000000000*Inputs!$E$54</f>
        <v>6.1199999999999997E-2</v>
      </c>
      <c r="T148" s="160">
        <f>Inputs!T236*'Revenue Calculation'!T113*12/1000000000*Inputs!$E$54</f>
        <v>6.1199999999999997E-2</v>
      </c>
    </row>
    <row r="149" spans="2:20" x14ac:dyDescent="0.25">
      <c r="B149" s="21" t="s">
        <v>2173</v>
      </c>
      <c r="C149" s="28" t="s">
        <v>493</v>
      </c>
      <c r="G149" s="157"/>
      <c r="H149" s="158">
        <f>'Revenue Calculation'!H115-H147-H148</f>
        <v>0</v>
      </c>
      <c r="I149" s="158">
        <f>'Revenue Calculation'!I115-I147-I148</f>
        <v>0</v>
      </c>
      <c r="J149" s="158">
        <f>'Revenue Calculation'!J115-J147-J148</f>
        <v>0</v>
      </c>
      <c r="K149" s="158">
        <f>'Revenue Calculation'!K115-K147-K148</f>
        <v>13.1988</v>
      </c>
      <c r="L149" s="158">
        <f>'Revenue Calculation'!L115-L147-L148</f>
        <v>13.1988</v>
      </c>
      <c r="M149" s="158">
        <f>'Revenue Calculation'!M115-M147-M148</f>
        <v>13.1988</v>
      </c>
      <c r="N149" s="158">
        <f>'Revenue Calculation'!N115-N147-N148</f>
        <v>13.1988</v>
      </c>
      <c r="O149" s="158">
        <f>'Revenue Calculation'!O115-O147-O148</f>
        <v>13.1988</v>
      </c>
      <c r="P149" s="158">
        <f>'Revenue Calculation'!P115-P147-P148</f>
        <v>13.1988</v>
      </c>
      <c r="Q149" s="158">
        <f>'Revenue Calculation'!Q115-Q147-Q148</f>
        <v>13.1988</v>
      </c>
      <c r="R149" s="158">
        <f>'Revenue Calculation'!R115-R147-R148</f>
        <v>13.1988</v>
      </c>
      <c r="S149" s="158">
        <f>'Revenue Calculation'!S115-S147-S148</f>
        <v>13.1988</v>
      </c>
      <c r="T149" s="158">
        <f>'Revenue Calculation'!T115-T147-T148</f>
        <v>13.1988</v>
      </c>
    </row>
    <row r="150" spans="2:20" x14ac:dyDescent="0.25">
      <c r="B150" s="154" t="s">
        <v>550</v>
      </c>
    </row>
    <row r="151" spans="2:20" x14ac:dyDescent="0.25">
      <c r="B151" s="21" t="s">
        <v>2174</v>
      </c>
      <c r="C151" s="28" t="s">
        <v>493</v>
      </c>
      <c r="H151" s="160">
        <f>0</f>
        <v>0</v>
      </c>
      <c r="I151" s="160">
        <f>0</f>
        <v>0</v>
      </c>
      <c r="J151" s="160">
        <f>0</f>
        <v>0</v>
      </c>
      <c r="K151" s="160">
        <f>0</f>
        <v>0</v>
      </c>
      <c r="L151" s="160">
        <f>0</f>
        <v>0</v>
      </c>
      <c r="M151" s="160">
        <f>0</f>
        <v>0</v>
      </c>
      <c r="N151" s="160">
        <f>0</f>
        <v>0</v>
      </c>
      <c r="O151" s="160">
        <f>0</f>
        <v>0</v>
      </c>
      <c r="P151" s="160">
        <f>0</f>
        <v>0</v>
      </c>
      <c r="Q151" s="160">
        <f>0</f>
        <v>0</v>
      </c>
      <c r="R151" s="160">
        <f>0</f>
        <v>0</v>
      </c>
      <c r="S151" s="160">
        <f>0</f>
        <v>0</v>
      </c>
      <c r="T151" s="160">
        <f>0</f>
        <v>0</v>
      </c>
    </row>
    <row r="152" spans="2:20" ht="26.25" customHeight="1" x14ac:dyDescent="0.25">
      <c r="B152" s="133" t="s">
        <v>2175</v>
      </c>
      <c r="C152" s="28" t="s">
        <v>493</v>
      </c>
      <c r="H152" s="160">
        <f>(Inputs!H249*'Capex &amp; Depreciation'!$E$12*Inputs!H95/1000*'Revenue Calculation'!H14+'Revenue Calculation'!H120*IF('Revenue Calculation'!H7-'Revenue Calculation'!$F$14&lt;2024,0,INDEX(Inputs!$H$247:$T$247,1,'Revenue Calculation'!H7-'Revenue Calculation'!$F$14-2023))+'Revenue Calculation'!H121*IF('Revenue Calculation'!H7-'Revenue Calculation'!$F$14&lt;2024,0,INDEX(Inputs!$H$248:$T$248,1,'Revenue Calculation'!H7-'Revenue Calculation'!$F$14-2023)))*Inputs!$E$54</f>
        <v>0</v>
      </c>
      <c r="I152" s="160">
        <f>(Inputs!I249*'Capex &amp; Depreciation'!$E$12*Inputs!I95/1000*'Revenue Calculation'!I14+'Revenue Calculation'!I120*IF('Revenue Calculation'!I7-'Revenue Calculation'!$F$14&lt;2024,0,INDEX(Inputs!$H$247:$T$247,1,'Revenue Calculation'!I7-'Revenue Calculation'!$F$14-2023))+'Revenue Calculation'!I121*IF('Revenue Calculation'!I7-'Revenue Calculation'!$F$14&lt;2024,0,INDEX(Inputs!$H$248:$T$248,1,'Revenue Calculation'!I7-'Revenue Calculation'!$F$14-2023)))*Inputs!$E$54</f>
        <v>0</v>
      </c>
      <c r="J152" s="160">
        <f>(Inputs!J249*'Capex &amp; Depreciation'!$E$12*Inputs!J95/1000*'Revenue Calculation'!J14+'Revenue Calculation'!J120*IF('Revenue Calculation'!J7-'Revenue Calculation'!$F$14&lt;2024,0,INDEX(Inputs!$H$247:$T$247,1,'Revenue Calculation'!J7-'Revenue Calculation'!$F$14-2023))+'Revenue Calculation'!J121*IF('Revenue Calculation'!J7-'Revenue Calculation'!$F$14&lt;2024,0,INDEX(Inputs!$H$248:$T$248,1,'Revenue Calculation'!J7-'Revenue Calculation'!$F$14-2023)))*Inputs!$E$54</f>
        <v>22.349182568122753</v>
      </c>
      <c r="K152" s="160">
        <f>(Inputs!K249*'Capex &amp; Depreciation'!$E$12*Inputs!K95/1000*'Revenue Calculation'!K14+'Revenue Calculation'!K120*IF('Revenue Calculation'!K7-'Revenue Calculation'!$F$14&lt;2024,0,INDEX(Inputs!$H$247:$T$247,1,'Revenue Calculation'!K7-'Revenue Calculation'!$F$14-2023))+'Revenue Calculation'!K121*IF('Revenue Calculation'!K7-'Revenue Calculation'!$F$14&lt;2024,0,INDEX(Inputs!$H$248:$T$248,1,'Revenue Calculation'!K7-'Revenue Calculation'!$F$14-2023)))*Inputs!$E$54</f>
        <v>22.860856571580246</v>
      </c>
      <c r="L152" s="160">
        <f>(Inputs!L249*'Capex &amp; Depreciation'!$E$12*Inputs!L95/1000*'Revenue Calculation'!L14+'Revenue Calculation'!L120*IF('Revenue Calculation'!L7-'Revenue Calculation'!$F$14&lt;2024,0,INDEX(Inputs!$H$247:$T$247,1,'Revenue Calculation'!L7-'Revenue Calculation'!$F$14-2023))+'Revenue Calculation'!L121*IF('Revenue Calculation'!L7-'Revenue Calculation'!$F$14&lt;2024,0,INDEX(Inputs!$H$248:$T$248,1,'Revenue Calculation'!L7-'Revenue Calculation'!$F$14-2023)))*Inputs!$E$54</f>
        <v>23.385322425124158</v>
      </c>
      <c r="M152" s="160">
        <f>(Inputs!M249*'Capex &amp; Depreciation'!$E$12*Inputs!M95/1000*'Revenue Calculation'!M14+'Revenue Calculation'!M120*IF('Revenue Calculation'!M7-'Revenue Calculation'!$F$14&lt;2024,0,INDEX(Inputs!$H$247:$T$247,1,'Revenue Calculation'!M7-'Revenue Calculation'!$F$14-2023))+'Revenue Calculation'!M121*IF('Revenue Calculation'!M7-'Revenue Calculation'!$F$14&lt;2024,0,INDEX(Inputs!$H$248:$T$248,1,'Revenue Calculation'!M7-'Revenue Calculation'!$F$14-2023)))*Inputs!$E$54</f>
        <v>24.368177184432536</v>
      </c>
      <c r="N152" s="160">
        <f>(Inputs!N249*'Capex &amp; Depreciation'!$E$12*Inputs!N95/1000*'Revenue Calculation'!N14+'Revenue Calculation'!N120*IF('Revenue Calculation'!N7-'Revenue Calculation'!$F$14&lt;2024,0,INDEX(Inputs!$H$247:$T$247,1,'Revenue Calculation'!N7-'Revenue Calculation'!$F$14-2023))+'Revenue Calculation'!N121*IF('Revenue Calculation'!N7-'Revenue Calculation'!$F$14&lt;2024,0,INDEX(Inputs!$H$248:$T$248,1,'Revenue Calculation'!N7-'Revenue Calculation'!$F$14-2023)))*Inputs!$E$54</f>
        <v>25.366275592338283</v>
      </c>
      <c r="O152" s="160">
        <f>(Inputs!O249*'Capex &amp; Depreciation'!$E$12*Inputs!O95/1000*'Revenue Calculation'!O14+'Revenue Calculation'!O120*IF('Revenue Calculation'!O7-'Revenue Calculation'!$F$14&lt;2024,0,INDEX(Inputs!$H$247:$T$247,1,'Revenue Calculation'!O7-'Revenue Calculation'!$F$14-2023))+'Revenue Calculation'!O121*IF('Revenue Calculation'!O7-'Revenue Calculation'!$F$14&lt;2024,0,INDEX(Inputs!$H$248:$T$248,1,'Revenue Calculation'!O7-'Revenue Calculation'!$F$14-2023)))*Inputs!$E$54</f>
        <v>25.721335378404895</v>
      </c>
      <c r="P152" s="160">
        <f>(Inputs!P249*'Capex &amp; Depreciation'!$E$12*Inputs!P95/1000*'Revenue Calculation'!P14+'Revenue Calculation'!P120*IF('Revenue Calculation'!P7-'Revenue Calculation'!$F$14&lt;2024,0,INDEX(Inputs!$H$247:$T$247,1,'Revenue Calculation'!P7-'Revenue Calculation'!$F$14-2023))+'Revenue Calculation'!P121*IF('Revenue Calculation'!P7-'Revenue Calculation'!$F$14&lt;2024,0,INDEX(Inputs!$H$248:$T$248,1,'Revenue Calculation'!P7-'Revenue Calculation'!$F$14-2023)))*Inputs!$E$54</f>
        <v>26.309760465381427</v>
      </c>
      <c r="Q152" s="160">
        <f>(Inputs!Q249*'Capex &amp; Depreciation'!$E$12*Inputs!Q95/1000*'Revenue Calculation'!Q14+'Revenue Calculation'!Q120*IF('Revenue Calculation'!Q7-'Revenue Calculation'!$F$14&lt;2024,0,INDEX(Inputs!$H$247:$T$247,1,'Revenue Calculation'!Q7-'Revenue Calculation'!$F$14-2023))+'Revenue Calculation'!Q121*IF('Revenue Calculation'!Q7-'Revenue Calculation'!$F$14&lt;2024,0,INDEX(Inputs!$H$248:$T$248,1,'Revenue Calculation'!Q7-'Revenue Calculation'!$F$14-2023)))*Inputs!$E$54</f>
        <v>27.41367594071637</v>
      </c>
      <c r="R152" s="160">
        <f>(Inputs!R249*'Capex &amp; Depreciation'!$E$12*Inputs!R95/1000*'Revenue Calculation'!R14+'Revenue Calculation'!R120*IF('Revenue Calculation'!R7-'Revenue Calculation'!$F$14&lt;2024,0,INDEX(Inputs!$H$247:$T$247,1,'Revenue Calculation'!R7-'Revenue Calculation'!$F$14-2023))+'Revenue Calculation'!R121*IF('Revenue Calculation'!R7-'Revenue Calculation'!$F$14&lt;2024,0,INDEX(Inputs!$H$248:$T$248,1,'Revenue Calculation'!R7-'Revenue Calculation'!$F$14-2023)))*Inputs!$E$54</f>
        <v>28.042184391550673</v>
      </c>
      <c r="S152" s="160">
        <f>(Inputs!S249*'Capex &amp; Depreciation'!$E$12*Inputs!S95/1000*'Revenue Calculation'!S14+'Revenue Calculation'!S120*IF('Revenue Calculation'!S7-'Revenue Calculation'!$F$14&lt;2024,0,INDEX(Inputs!$H$247:$T$247,1,'Revenue Calculation'!S7-'Revenue Calculation'!$F$14-2023))+'Revenue Calculation'!S121*IF('Revenue Calculation'!S7-'Revenue Calculation'!$F$14&lt;2024,0,INDEX(Inputs!$H$248:$T$248,1,'Revenue Calculation'!S7-'Revenue Calculation'!$F$14-2023)))*Inputs!$E$54</f>
        <v>29.124593172696311</v>
      </c>
      <c r="T152" s="160">
        <f>(Inputs!T249*'Capex &amp; Depreciation'!$E$12*Inputs!T95/1000*'Revenue Calculation'!T14+'Revenue Calculation'!T120*IF('Revenue Calculation'!T7-'Revenue Calculation'!$F$14&lt;2024,0,INDEX(Inputs!$H$247:$T$247,1,'Revenue Calculation'!T7-'Revenue Calculation'!$F$14-2023))+'Revenue Calculation'!T121*IF('Revenue Calculation'!T7-'Revenue Calculation'!$F$14&lt;2024,0,INDEX(Inputs!$H$248:$T$248,1,'Revenue Calculation'!T7-'Revenue Calculation'!$F$14-2023)))*Inputs!$E$54</f>
        <v>29.390551006717725</v>
      </c>
    </row>
    <row r="153" spans="2:20" x14ac:dyDescent="0.25">
      <c r="B153" s="21" t="s">
        <v>2176</v>
      </c>
      <c r="C153" s="28" t="s">
        <v>493</v>
      </c>
      <c r="G153" s="157"/>
      <c r="H153" s="158">
        <f>'Revenue Calculation'!H122-H151-H152</f>
        <v>0</v>
      </c>
      <c r="I153" s="158">
        <f>'Revenue Calculation'!I122-I151-I152</f>
        <v>0</v>
      </c>
      <c r="J153" s="158">
        <f>'Revenue Calculation'!J122-J151-J152</f>
        <v>25.750817431877248</v>
      </c>
      <c r="K153" s="158">
        <f>'Revenue Calculation'!K122-K151-K152</f>
        <v>25.239143428419755</v>
      </c>
      <c r="L153" s="158">
        <f>'Revenue Calculation'!L122-L151-L152</f>
        <v>24.714677574875843</v>
      </c>
      <c r="M153" s="158">
        <f>'Revenue Calculation'!M122-M151-M152</f>
        <v>27.049422815567464</v>
      </c>
      <c r="N153" s="158">
        <f>'Revenue Calculation'!N122-N151-N152</f>
        <v>26.051324407661717</v>
      </c>
      <c r="O153" s="158">
        <f>'Revenue Calculation'!O122-O151-O152</f>
        <v>25.696264621595105</v>
      </c>
      <c r="P153" s="158">
        <f>'Revenue Calculation'!P122-P151-P152</f>
        <v>25.107839534618574</v>
      </c>
      <c r="Q153" s="158">
        <f>'Revenue Calculation'!Q122-Q151-Q152</f>
        <v>27.554523579283629</v>
      </c>
      <c r="R153" s="158">
        <f>'Revenue Calculation'!R122-R151-R152</f>
        <v>26.926015128449325</v>
      </c>
      <c r="S153" s="158">
        <f>'Revenue Calculation'!S122-S151-S152</f>
        <v>25.843606347303687</v>
      </c>
      <c r="T153" s="158">
        <f>'Revenue Calculation'!T122-T151-T152</f>
        <v>25.577648513282274</v>
      </c>
    </row>
    <row r="154" spans="2:20" x14ac:dyDescent="0.25">
      <c r="B154" s="154" t="s">
        <v>2177</v>
      </c>
    </row>
    <row r="155" spans="2:20" ht="26.25" customHeight="1" x14ac:dyDescent="0.25">
      <c r="B155" s="133" t="s">
        <v>2178</v>
      </c>
      <c r="C155" s="28" t="s">
        <v>493</v>
      </c>
      <c r="H155" s="160">
        <f>'Revenue Calculation'!H129*IF('Revenue Calculation'!H47=0,0,H64/'Revenue Calculation'!H47)</f>
        <v>0</v>
      </c>
      <c r="I155" s="160">
        <f>'Revenue Calculation'!I129*IF('Revenue Calculation'!I47=0,0,I64/'Revenue Calculation'!I47)</f>
        <v>0</v>
      </c>
      <c r="J155" s="160">
        <f>'Revenue Calculation'!J129*IF('Revenue Calculation'!J47=0,0,J64/'Revenue Calculation'!J47)</f>
        <v>0</v>
      </c>
      <c r="K155" s="160">
        <f>'Revenue Calculation'!K129*IF('Revenue Calculation'!K47=0,0,K64/'Revenue Calculation'!K47)</f>
        <v>0</v>
      </c>
      <c r="L155" s="160">
        <f>'Revenue Calculation'!L129*IF('Revenue Calculation'!L47=0,0,L64/'Revenue Calculation'!L47)</f>
        <v>15.060366036570924</v>
      </c>
      <c r="M155" s="160">
        <f>'Revenue Calculation'!M129*IF('Revenue Calculation'!M47=0,0,M64/'Revenue Calculation'!M47)</f>
        <v>18.293330967567442</v>
      </c>
      <c r="N155" s="160">
        <f>'Revenue Calculation'!N129*IF('Revenue Calculation'!N47=0,0,N64/'Revenue Calculation'!N47)</f>
        <v>20.331384195423436</v>
      </c>
      <c r="O155" s="160">
        <f>'Revenue Calculation'!O129*IF('Revenue Calculation'!O47=0,0,O64/'Revenue Calculation'!O47)</f>
        <v>23.455629098209837</v>
      </c>
      <c r="P155" s="160">
        <f>'Revenue Calculation'!P129*IF('Revenue Calculation'!P47=0,0,P64/'Revenue Calculation'!P47)</f>
        <v>25.179645829240791</v>
      </c>
      <c r="Q155" s="160">
        <f>'Revenue Calculation'!Q129*IF('Revenue Calculation'!Q47=0,0,Q64/'Revenue Calculation'!Q47)</f>
        <v>26.987302524079226</v>
      </c>
      <c r="R155" s="160">
        <f>'Revenue Calculation'!R129*IF('Revenue Calculation'!R47=0,0,R64/'Revenue Calculation'!R47)</f>
        <v>28.932476872844543</v>
      </c>
      <c r="S155" s="160">
        <f>'Revenue Calculation'!S129*IF('Revenue Calculation'!S47=0,0,S64/'Revenue Calculation'!S47)</f>
        <v>32.887630952372412</v>
      </c>
      <c r="T155" s="160">
        <f>'Revenue Calculation'!T129*IF('Revenue Calculation'!T47=0,0,T64/'Revenue Calculation'!T47)</f>
        <v>35.276654045694144</v>
      </c>
    </row>
    <row r="156" spans="2:20" ht="26.25" customHeight="1" x14ac:dyDescent="0.25">
      <c r="B156" s="133" t="s">
        <v>2179</v>
      </c>
      <c r="C156" s="28" t="s">
        <v>493</v>
      </c>
      <c r="H156" s="160">
        <f>'Revenue Calculation'!H129*IF('Revenue Calculation'!H47=0,0,(H65+H67)/'Revenue Calculation'!H47)</f>
        <v>0</v>
      </c>
      <c r="I156" s="160">
        <f>'Revenue Calculation'!I129*IF('Revenue Calculation'!I47=0,0,(I65+I67)/'Revenue Calculation'!I47)</f>
        <v>0</v>
      </c>
      <c r="J156" s="160">
        <f>'Revenue Calculation'!J129*IF('Revenue Calculation'!J47=0,0,(J65+J67)/'Revenue Calculation'!J47)</f>
        <v>0</v>
      </c>
      <c r="K156" s="160">
        <f>'Revenue Calculation'!K129*IF('Revenue Calculation'!K47=0,0,(K65+K67)/'Revenue Calculation'!K47)</f>
        <v>0</v>
      </c>
      <c r="L156" s="160">
        <f>'Revenue Calculation'!L129*IF('Revenue Calculation'!L47=0,0,(L65+L67)/'Revenue Calculation'!L47)</f>
        <v>10.091454118495877</v>
      </c>
      <c r="M156" s="160">
        <f>'Revenue Calculation'!M129*IF('Revenue Calculation'!M47=0,0,(M65+M67)/'Revenue Calculation'!M47)</f>
        <v>12.135871994283461</v>
      </c>
      <c r="N156" s="160">
        <f>'Revenue Calculation'!N129*IF('Revenue Calculation'!N47=0,0,(N65+N67)/'Revenue Calculation'!N47)</f>
        <v>13.378373539314355</v>
      </c>
      <c r="O156" s="160">
        <f>'Revenue Calculation'!O129*IF('Revenue Calculation'!O47=0,0,(O65+O67)/'Revenue Calculation'!O47)</f>
        <v>15.304745477403898</v>
      </c>
      <c r="P156" s="160">
        <f>'Revenue Calculation'!P129*IF('Revenue Calculation'!P47=0,0,(P65+P67)/'Revenue Calculation'!P47)</f>
        <v>16.258440915252198</v>
      </c>
      <c r="Q156" s="160">
        <f>'Revenue Calculation'!Q129*IF('Revenue Calculation'!Q47=0,0,(Q65+Q67)/'Revenue Calculation'!Q47)</f>
        <v>17.271708621838521</v>
      </c>
      <c r="R156" s="160">
        <f>'Revenue Calculation'!R129*IF('Revenue Calculation'!R47=0,0,(R65+R67)/'Revenue Calculation'!R47)</f>
        <v>18.348278232607907</v>
      </c>
      <c r="S156" s="160">
        <f>'Revenue Calculation'!S129*IF('Revenue Calculation'!S47=0,0,(S65+S67)/'Revenue Calculation'!S47)</f>
        <v>20.661640189328775</v>
      </c>
      <c r="T156" s="160">
        <f>'Revenue Calculation'!T129*IF('Revenue Calculation'!T47=0,0,(T65+T67)/'Revenue Calculation'!T47)</f>
        <v>21.949872022071517</v>
      </c>
    </row>
    <row r="157" spans="2:20" x14ac:dyDescent="0.25">
      <c r="B157" s="21" t="s">
        <v>2180</v>
      </c>
      <c r="C157" s="28" t="s">
        <v>493</v>
      </c>
      <c r="G157" s="157"/>
      <c r="H157" s="158">
        <f>'Revenue Calculation'!H129-H155-H156</f>
        <v>0</v>
      </c>
      <c r="I157" s="158">
        <f>'Revenue Calculation'!I129-I155-I156</f>
        <v>0</v>
      </c>
      <c r="J157" s="158">
        <f>'Revenue Calculation'!J129-J155-J156</f>
        <v>0</v>
      </c>
      <c r="K157" s="158">
        <f>'Revenue Calculation'!K129-K155-K156</f>
        <v>0</v>
      </c>
      <c r="L157" s="158">
        <f>'Revenue Calculation'!L129-L155-L156</f>
        <v>33.106019432767596</v>
      </c>
      <c r="M157" s="158">
        <f>'Revenue Calculation'!M129-M155-M156</f>
        <v>46.471145294090704</v>
      </c>
      <c r="N157" s="158">
        <f>'Revenue Calculation'!N129-N155-N156</f>
        <v>50.880625346797956</v>
      </c>
      <c r="O157" s="158">
        <f>'Revenue Calculation'!O129-O155-O156</f>
        <v>63.593988953044331</v>
      </c>
      <c r="P157" s="158">
        <f>'Revenue Calculation'!P129-P155-P156</f>
        <v>67.057538595884594</v>
      </c>
      <c r="Q157" s="158">
        <f>'Revenue Calculation'!Q129-Q155-Q156</f>
        <v>77.646673486530489</v>
      </c>
      <c r="R157" s="158">
        <f>'Revenue Calculation'!R129-R155-R156</f>
        <v>81.939270604942706</v>
      </c>
      <c r="S157" s="158">
        <f>'Revenue Calculation'!S129-S155-S156</f>
        <v>91.642349746498894</v>
      </c>
      <c r="T157" s="158">
        <f>'Revenue Calculation'!T129-T155-T156</f>
        <v>96.676592073726425</v>
      </c>
    </row>
    <row r="158" spans="2:20" x14ac:dyDescent="0.25">
      <c r="B158" s="154" t="s">
        <v>2181</v>
      </c>
    </row>
    <row r="159" spans="2:20" ht="38.25" customHeight="1" x14ac:dyDescent="0.25">
      <c r="B159" s="133" t="s">
        <v>2182</v>
      </c>
      <c r="C159" s="28" t="s">
        <v>493</v>
      </c>
      <c r="H159" s="160">
        <f>(H88*'Revenue Calculation'!H132/1000000000+Inputs!H412*'Revenue Calculation'!H133+Inputs!H270*'Capex &amp; Depreciation'!$E$14*Inputs!H95/1000*'Revenue Calculation'!H16)*Inputs!$E$54</f>
        <v>0</v>
      </c>
      <c r="I159" s="160">
        <f>(I88*'Revenue Calculation'!I132/1000000000+Inputs!I412*'Revenue Calculation'!I133+Inputs!I270*'Capex &amp; Depreciation'!$E$14*Inputs!I95/1000*'Revenue Calculation'!I16)*Inputs!$E$54</f>
        <v>0</v>
      </c>
      <c r="J159" s="160">
        <f>(J88*'Revenue Calculation'!J132/1000000000+Inputs!J412*'Revenue Calculation'!J133+Inputs!J270*'Capex &amp; Depreciation'!$E$14*Inputs!J95/1000*'Revenue Calculation'!J16)*Inputs!$E$54</f>
        <v>0.45621999999999979</v>
      </c>
      <c r="K159" s="160">
        <f>(K88*'Revenue Calculation'!K132/1000000000+Inputs!K412*'Revenue Calculation'!K133+Inputs!K270*'Capex &amp; Depreciation'!$E$14*Inputs!K95/1000*'Revenue Calculation'!K16)*Inputs!$E$54</f>
        <v>1.265716970099966</v>
      </c>
      <c r="L159" s="160">
        <f>(L88*'Revenue Calculation'!L132/1000000000+Inputs!L412*'Revenue Calculation'!L133+Inputs!L270*'Capex &amp; Depreciation'!$E$14*Inputs!L95/1000*'Revenue Calculation'!L16)*Inputs!$E$54</f>
        <v>1.4988468745802355</v>
      </c>
      <c r="M159" s="160">
        <f>(M88*'Revenue Calculation'!M132/1000000000+Inputs!M412*'Revenue Calculation'!M133+Inputs!M270*'Capex &amp; Depreciation'!$E$14*Inputs!M95/1000*'Revenue Calculation'!M16)*Inputs!$E$54</f>
        <v>1.7454030277472206</v>
      </c>
      <c r="N159" s="160">
        <f>(N88*'Revenue Calculation'!N132/1000000000+Inputs!N412*'Revenue Calculation'!N133+Inputs!N270*'Capex &amp; Depreciation'!$E$14*Inputs!N95/1000*'Revenue Calculation'!N16)*Inputs!$E$54</f>
        <v>2.0059874461762481</v>
      </c>
      <c r="O159" s="160">
        <f>(O88*'Revenue Calculation'!O132/1000000000+Inputs!O412*'Revenue Calculation'!O133+Inputs!O270*'Capex &amp; Depreciation'!$E$14*Inputs!O95/1000*'Revenue Calculation'!O16)*Inputs!$E$54</f>
        <v>2.2812264173360459</v>
      </c>
      <c r="P159" s="160">
        <f>(P88*'Revenue Calculation'!P132/1000000000+Inputs!P412*'Revenue Calculation'!P133+Inputs!P270*'Capex &amp; Depreciation'!$E$14*Inputs!P95/1000*'Revenue Calculation'!P16)*Inputs!$E$54</f>
        <v>2.5717714227072737</v>
      </c>
      <c r="Q159" s="160">
        <f>(Q88*'Revenue Calculation'!Q132/1000000000+Inputs!Q412*'Revenue Calculation'!Q133+Inputs!Q270*'Capex &amp; Depreciation'!$E$14*Inputs!Q95/1000*'Revenue Calculation'!Q16)*Inputs!$E$54</f>
        <v>2.8783000947658786</v>
      </c>
      <c r="R159" s="160">
        <f>(R88*'Revenue Calculation'!R132/1000000000+Inputs!R412*'Revenue Calculation'!R133+Inputs!R270*'Capex &amp; Depreciation'!$E$14*Inputs!R95/1000*'Revenue Calculation'!R16)*Inputs!$E$54</f>
        <v>3.2015172090442521</v>
      </c>
      <c r="S159" s="160">
        <f>(S88*'Revenue Calculation'!S132/1000000000+Inputs!S412*'Revenue Calculation'!S133+Inputs!S270*'Capex &amp; Depreciation'!$E$14*Inputs!S95/1000*'Revenue Calculation'!S16)*Inputs!$E$54</f>
        <v>0.45621999999999979</v>
      </c>
      <c r="T159" s="160">
        <f>(T88*'Revenue Calculation'!T132/1000000000+Inputs!T412*'Revenue Calculation'!T133+Inputs!T270*'Capex &amp; Depreciation'!$E$14*Inputs!T95/1000*'Revenue Calculation'!T16)*Inputs!$E$54</f>
        <v>0.45621999999999979</v>
      </c>
    </row>
    <row r="160" spans="2:20" x14ac:dyDescent="0.25">
      <c r="B160" s="21" t="s">
        <v>2183</v>
      </c>
      <c r="C160" s="28" t="s">
        <v>493</v>
      </c>
      <c r="H160" s="160">
        <f>0</f>
        <v>0</v>
      </c>
      <c r="I160" s="160">
        <f>0</f>
        <v>0</v>
      </c>
      <c r="J160" s="160">
        <f>0</f>
        <v>0</v>
      </c>
      <c r="K160" s="160">
        <f>0</f>
        <v>0</v>
      </c>
      <c r="L160" s="160">
        <f>0</f>
        <v>0</v>
      </c>
      <c r="M160" s="160">
        <f>0</f>
        <v>0</v>
      </c>
      <c r="N160" s="160">
        <f>0</f>
        <v>0</v>
      </c>
      <c r="O160" s="160">
        <f>0</f>
        <v>0</v>
      </c>
      <c r="P160" s="160">
        <f>0</f>
        <v>0</v>
      </c>
      <c r="Q160" s="160">
        <f>0</f>
        <v>0</v>
      </c>
      <c r="R160" s="160">
        <f>0</f>
        <v>0</v>
      </c>
      <c r="S160" s="160">
        <f>0</f>
        <v>0</v>
      </c>
      <c r="T160" s="160">
        <f>0</f>
        <v>0</v>
      </c>
    </row>
    <row r="161" spans="2:20" x14ac:dyDescent="0.25">
      <c r="B161" s="21" t="s">
        <v>2184</v>
      </c>
      <c r="C161" s="28" t="s">
        <v>493</v>
      </c>
      <c r="G161" s="157"/>
      <c r="H161" s="158">
        <f>'Revenue Calculation'!H133-H159-H160</f>
        <v>0</v>
      </c>
      <c r="I161" s="158">
        <f>'Revenue Calculation'!I133-I159-I160</f>
        <v>0</v>
      </c>
      <c r="J161" s="158">
        <f>'Revenue Calculation'!J133-J159-J160</f>
        <v>-0.45621999999999979</v>
      </c>
      <c r="K161" s="158">
        <f>'Revenue Calculation'!K133-K159-K160</f>
        <v>7.5237830299000343</v>
      </c>
      <c r="L161" s="158">
        <f>'Revenue Calculation'!L133-L159-L160</f>
        <v>9.8176343754197646</v>
      </c>
      <c r="M161" s="158">
        <f>'Revenue Calculation'!M133-M159-M160</f>
        <v>12.241767797252779</v>
      </c>
      <c r="N161" s="158">
        <f>'Revenue Calculation'!N133-N159-N160</f>
        <v>14.801929495198753</v>
      </c>
      <c r="O161" s="158">
        <f>'Revenue Calculation'!O133-O159-O160</f>
        <v>17.504092953653952</v>
      </c>
      <c r="P161" s="158">
        <f>'Revenue Calculation'!P133-P159-P160</f>
        <v>20.35446739842741</v>
      </c>
      <c r="Q161" s="158">
        <f>'Revenue Calculation'!Q133-Q159-Q160</f>
        <v>23.359506556088224</v>
      </c>
      <c r="R161" s="158">
        <f>'Revenue Calculation'!R133-R159-R160</f>
        <v>26.525917726373475</v>
      </c>
      <c r="S161" s="158">
        <f>'Revenue Calculation'!S133-S159-S160</f>
        <v>-0.45621999999999979</v>
      </c>
      <c r="T161" s="158">
        <f>'Revenue Calculation'!T133-T159-T160</f>
        <v>-0.45621999999999979</v>
      </c>
    </row>
    <row r="162" spans="2:20" x14ac:dyDescent="0.25">
      <c r="B162" s="154" t="s">
        <v>2185</v>
      </c>
    </row>
    <row r="163" spans="2:20" x14ac:dyDescent="0.25">
      <c r="B163" s="23" t="s">
        <v>2186</v>
      </c>
      <c r="C163" s="28" t="s">
        <v>493</v>
      </c>
      <c r="H163" s="159">
        <f>0</f>
        <v>0</v>
      </c>
      <c r="I163" s="159">
        <f>0</f>
        <v>0</v>
      </c>
      <c r="J163" s="159">
        <f>0</f>
        <v>0</v>
      </c>
      <c r="K163" s="159">
        <f>0</f>
        <v>0</v>
      </c>
      <c r="L163" s="159">
        <f>0</f>
        <v>0</v>
      </c>
      <c r="M163" s="159">
        <f>0</f>
        <v>0</v>
      </c>
      <c r="N163" s="159">
        <f>0</f>
        <v>0</v>
      </c>
      <c r="O163" s="159">
        <f>0</f>
        <v>0</v>
      </c>
      <c r="P163" s="159">
        <f>0</f>
        <v>0</v>
      </c>
      <c r="Q163" s="159">
        <f>0</f>
        <v>0</v>
      </c>
      <c r="R163" s="159">
        <f>0</f>
        <v>0</v>
      </c>
      <c r="S163" s="159">
        <f>0</f>
        <v>0</v>
      </c>
      <c r="T163" s="159">
        <f>0</f>
        <v>0</v>
      </c>
    </row>
    <row r="164" spans="2:20" x14ac:dyDescent="0.25">
      <c r="B164" s="23" t="s">
        <v>2187</v>
      </c>
      <c r="C164" s="28" t="s">
        <v>493</v>
      </c>
      <c r="H164" s="159">
        <f>Inputs!H289*'Revenue Calculation'!H137*Inputs!$E$54</f>
        <v>0</v>
      </c>
      <c r="I164" s="159">
        <f>Inputs!I289*'Revenue Calculation'!I137*Inputs!$E$54</f>
        <v>0</v>
      </c>
      <c r="J164" s="159">
        <f>Inputs!J289*'Revenue Calculation'!J137*Inputs!$E$54</f>
        <v>0</v>
      </c>
      <c r="K164" s="159">
        <f>Inputs!K289*'Revenue Calculation'!K137*Inputs!$E$54</f>
        <v>0.14824733388670611</v>
      </c>
      <c r="L164" s="159">
        <f>Inputs!L289*'Revenue Calculation'!L137*Inputs!$E$54</f>
        <v>0.15305475390330728</v>
      </c>
      <c r="M164" s="159">
        <f>Inputs!M289*'Revenue Calculation'!M137*Inputs!$E$54</f>
        <v>0.15800639652040652</v>
      </c>
      <c r="N164" s="159">
        <f>Inputs!N289*'Revenue Calculation'!N137*Inputs!$E$54</f>
        <v>0.16310658841601874</v>
      </c>
      <c r="O164" s="159">
        <f>Inputs!O289*'Revenue Calculation'!O137*Inputs!$E$54</f>
        <v>0.16835978606849933</v>
      </c>
      <c r="P164" s="159">
        <f>Inputs!P289*'Revenue Calculation'!P137*Inputs!$E$54</f>
        <v>0.17377057965055426</v>
      </c>
      <c r="Q164" s="159">
        <f>Inputs!Q289*'Revenue Calculation'!Q137*Inputs!$E$54</f>
        <v>0.17934369704007092</v>
      </c>
      <c r="R164" s="159">
        <f>Inputs!R289*'Revenue Calculation'!R137*Inputs!$E$54</f>
        <v>0.18508400795127303</v>
      </c>
      <c r="S164" s="159">
        <f>Inputs!S289*'Revenue Calculation'!S137*Inputs!$E$54</f>
        <v>0.19099652818981119</v>
      </c>
      <c r="T164" s="159">
        <f>Inputs!T289*'Revenue Calculation'!T137*Inputs!$E$54</f>
        <v>0.19708642403550553</v>
      </c>
    </row>
    <row r="165" spans="2:20" x14ac:dyDescent="0.25">
      <c r="B165" s="21" t="s">
        <v>2188</v>
      </c>
      <c r="C165" s="28" t="s">
        <v>493</v>
      </c>
      <c r="H165" s="160">
        <f>'Revenue Calculation'!H137-H163-H164</f>
        <v>0</v>
      </c>
      <c r="I165" s="160">
        <f>'Revenue Calculation'!I137-I163-I164</f>
        <v>0</v>
      </c>
      <c r="J165" s="160">
        <f>'Revenue Calculation'!J137-J163-J164</f>
        <v>0</v>
      </c>
      <c r="K165" s="160">
        <f>'Revenue Calculation'!K137-K163-K164</f>
        <v>0.59298933554682443</v>
      </c>
      <c r="L165" s="160">
        <f>'Revenue Calculation'!L137-L163-L164</f>
        <v>0.61221901561322911</v>
      </c>
      <c r="M165" s="160">
        <f>'Revenue Calculation'!M137-M163-M164</f>
        <v>0.63202558608162607</v>
      </c>
      <c r="N165" s="160">
        <f>'Revenue Calculation'!N137-N163-N164</f>
        <v>0.65242635366407487</v>
      </c>
      <c r="O165" s="160">
        <f>'Revenue Calculation'!O137-O163-O164</f>
        <v>0.6734391442739972</v>
      </c>
      <c r="P165" s="160">
        <f>'Revenue Calculation'!P137-P163-P164</f>
        <v>0.69508231860221703</v>
      </c>
      <c r="Q165" s="160">
        <f>'Revenue Calculation'!Q137-Q163-Q164</f>
        <v>0.71737478816028355</v>
      </c>
      <c r="R165" s="160">
        <f>'Revenue Calculation'!R137-R163-R164</f>
        <v>0.74033603180509211</v>
      </c>
      <c r="S165" s="160">
        <f>'Revenue Calculation'!S137-S163-S164</f>
        <v>0.76398611275924477</v>
      </c>
      <c r="T165" s="160">
        <f>'Revenue Calculation'!T137-T163-T164</f>
        <v>0.7883456961420221</v>
      </c>
    </row>
    <row r="166" spans="2:20" x14ac:dyDescent="0.25">
      <c r="B166" s="23" t="s">
        <v>2189</v>
      </c>
      <c r="C166" s="28" t="s">
        <v>493</v>
      </c>
      <c r="H166" s="159">
        <f>0</f>
        <v>0</v>
      </c>
      <c r="I166" s="159">
        <f>0</f>
        <v>0</v>
      </c>
      <c r="J166" s="159">
        <f>0</f>
        <v>0</v>
      </c>
      <c r="K166" s="159">
        <f>0</f>
        <v>0</v>
      </c>
      <c r="L166" s="159">
        <f>0</f>
        <v>0</v>
      </c>
      <c r="M166" s="159">
        <f>0</f>
        <v>0</v>
      </c>
      <c r="N166" s="159">
        <f>0</f>
        <v>0</v>
      </c>
      <c r="O166" s="159">
        <f>0</f>
        <v>0</v>
      </c>
      <c r="P166" s="159">
        <f>0</f>
        <v>0</v>
      </c>
      <c r="Q166" s="159">
        <f>0</f>
        <v>0</v>
      </c>
      <c r="R166" s="159">
        <f>0</f>
        <v>0</v>
      </c>
      <c r="S166" s="159">
        <f>0</f>
        <v>0</v>
      </c>
      <c r="T166" s="159">
        <f>0</f>
        <v>0</v>
      </c>
    </row>
    <row r="167" spans="2:20" x14ac:dyDescent="0.25">
      <c r="B167" s="23" t="s">
        <v>2190</v>
      </c>
      <c r="C167" s="28" t="s">
        <v>493</v>
      </c>
      <c r="H167" s="159">
        <f>Inputs!H289*'Revenue Calculation'!H140*Inputs!$E$54</f>
        <v>0</v>
      </c>
      <c r="I167" s="159">
        <f>Inputs!I289*'Revenue Calculation'!I140*Inputs!$E$54</f>
        <v>0</v>
      </c>
      <c r="J167" s="159">
        <f>Inputs!J289*'Revenue Calculation'!J140*Inputs!$E$54</f>
        <v>0</v>
      </c>
      <c r="K167" s="159">
        <f>Inputs!K289*'Revenue Calculation'!K140*Inputs!$E$54</f>
        <v>0.31208283120000002</v>
      </c>
      <c r="L167" s="159">
        <f>Inputs!L289*'Revenue Calculation'!L140*Inputs!$E$54</f>
        <v>0.32144531613600008</v>
      </c>
      <c r="M167" s="159">
        <f>Inputs!M289*'Revenue Calculation'!M140*Inputs!$E$54</f>
        <v>0.3310886756200801</v>
      </c>
      <c r="N167" s="159">
        <f>Inputs!N289*'Revenue Calculation'!N140*Inputs!$E$54</f>
        <v>0.34102133588868244</v>
      </c>
      <c r="O167" s="159">
        <f>Inputs!O289*'Revenue Calculation'!O140*Inputs!$E$54</f>
        <v>0.35125197596534297</v>
      </c>
      <c r="P167" s="159">
        <f>Inputs!P289*'Revenue Calculation'!P140*Inputs!$E$54</f>
        <v>0.36178953524430324</v>
      </c>
      <c r="Q167" s="159">
        <f>Inputs!Q289*'Revenue Calculation'!Q140*Inputs!$E$54</f>
        <v>0.37264322130163235</v>
      </c>
      <c r="R167" s="159">
        <f>Inputs!R289*'Revenue Calculation'!R140*Inputs!$E$54</f>
        <v>0.38382251794068134</v>
      </c>
      <c r="S167" s="159">
        <f>Inputs!S289*'Revenue Calculation'!S140*Inputs!$E$54</f>
        <v>0.39533719347890178</v>
      </c>
      <c r="T167" s="159">
        <f>Inputs!T289*'Revenue Calculation'!T140*Inputs!$E$54</f>
        <v>0.4071973092832688</v>
      </c>
    </row>
    <row r="168" spans="2:20" x14ac:dyDescent="0.25">
      <c r="B168" s="21" t="s">
        <v>2191</v>
      </c>
      <c r="C168" s="28" t="s">
        <v>493</v>
      </c>
      <c r="H168" s="160">
        <f>'Revenue Calculation'!H140-H166-H167</f>
        <v>0</v>
      </c>
      <c r="I168" s="160">
        <f>'Revenue Calculation'!I140-I166-I167</f>
        <v>0</v>
      </c>
      <c r="J168" s="160">
        <f>'Revenue Calculation'!J140-J166-J167</f>
        <v>0</v>
      </c>
      <c r="K168" s="160">
        <f>'Revenue Calculation'!K140-K166-K167</f>
        <v>1.2483313248000001</v>
      </c>
      <c r="L168" s="160">
        <f>'Revenue Calculation'!L140-L166-L167</f>
        <v>1.2857812645440003</v>
      </c>
      <c r="M168" s="160">
        <f>'Revenue Calculation'!M140-M166-M167</f>
        <v>1.3243547024803202</v>
      </c>
      <c r="N168" s="160">
        <f>'Revenue Calculation'!N140-N166-N167</f>
        <v>1.3640853435547298</v>
      </c>
      <c r="O168" s="160">
        <f>'Revenue Calculation'!O140-O166-O167</f>
        <v>1.4050079038613719</v>
      </c>
      <c r="P168" s="160">
        <f>'Revenue Calculation'!P140-P166-P167</f>
        <v>1.447158140977213</v>
      </c>
      <c r="Q168" s="160">
        <f>'Revenue Calculation'!Q140-Q166-Q167</f>
        <v>1.4905728852065292</v>
      </c>
      <c r="R168" s="160">
        <f>'Revenue Calculation'!R140-R166-R167</f>
        <v>1.5352900717627251</v>
      </c>
      <c r="S168" s="160">
        <f>'Revenue Calculation'!S140-S166-S167</f>
        <v>1.5813487739156069</v>
      </c>
      <c r="T168" s="160">
        <f>'Revenue Calculation'!T140-T166-T167</f>
        <v>1.6287892371330752</v>
      </c>
    </row>
    <row r="169" spans="2:20" x14ac:dyDescent="0.25">
      <c r="B169" s="23" t="s">
        <v>2192</v>
      </c>
      <c r="C169" s="28" t="s">
        <v>493</v>
      </c>
      <c r="H169" s="159">
        <f>0</f>
        <v>0</v>
      </c>
      <c r="I169" s="159">
        <f>0</f>
        <v>0</v>
      </c>
      <c r="J169" s="159">
        <f>0</f>
        <v>0</v>
      </c>
      <c r="K169" s="159">
        <f>0</f>
        <v>0</v>
      </c>
      <c r="L169" s="159">
        <f>0</f>
        <v>0</v>
      </c>
      <c r="M169" s="159">
        <f>0</f>
        <v>0</v>
      </c>
      <c r="N169" s="159">
        <f>0</f>
        <v>0</v>
      </c>
      <c r="O169" s="159">
        <f>0</f>
        <v>0</v>
      </c>
      <c r="P169" s="159">
        <f>0</f>
        <v>0</v>
      </c>
      <c r="Q169" s="159">
        <f>0</f>
        <v>0</v>
      </c>
      <c r="R169" s="159">
        <f>0</f>
        <v>0</v>
      </c>
      <c r="S169" s="159">
        <f>0</f>
        <v>0</v>
      </c>
      <c r="T169" s="159">
        <f>0</f>
        <v>0</v>
      </c>
    </row>
    <row r="170" spans="2:20" x14ac:dyDescent="0.25">
      <c r="B170" s="23" t="s">
        <v>2193</v>
      </c>
      <c r="C170" s="28" t="s">
        <v>493</v>
      </c>
      <c r="H170" s="159">
        <f>Inputs!H289*'Revenue Calculation'!H143*Inputs!$E$54</f>
        <v>0</v>
      </c>
      <c r="I170" s="159">
        <f>Inputs!I289*'Revenue Calculation'!I143*Inputs!$E$54</f>
        <v>0</v>
      </c>
      <c r="J170" s="159">
        <f>Inputs!J289*'Revenue Calculation'!J143*Inputs!$E$54</f>
        <v>0</v>
      </c>
      <c r="K170" s="159">
        <f>Inputs!K289*'Revenue Calculation'!K143*Inputs!$E$54</f>
        <v>0</v>
      </c>
      <c r="L170" s="159">
        <f>Inputs!L289*'Revenue Calculation'!L143*Inputs!$E$54</f>
        <v>9.2800000000000007E-2</v>
      </c>
      <c r="M170" s="159">
        <f>Inputs!M289*'Revenue Calculation'!M143*Inputs!$E$54</f>
        <v>0.10208000000000002</v>
      </c>
      <c r="N170" s="159">
        <f>Inputs!N289*'Revenue Calculation'!N143*Inputs!$E$54</f>
        <v>0.11228800000000004</v>
      </c>
      <c r="O170" s="159">
        <f>Inputs!O289*'Revenue Calculation'!O143*Inputs!$E$54</f>
        <v>0.12351680000000004</v>
      </c>
      <c r="P170" s="159">
        <f>Inputs!P289*'Revenue Calculation'!P143*Inputs!$E$54</f>
        <v>0.13092780800000006</v>
      </c>
      <c r="Q170" s="159">
        <f>Inputs!Q289*'Revenue Calculation'!Q143*Inputs!$E$54</f>
        <v>0.13878347648000008</v>
      </c>
      <c r="R170" s="159">
        <f>Inputs!R289*'Revenue Calculation'!R143*Inputs!$E$54</f>
        <v>0.14711048506880006</v>
      </c>
      <c r="S170" s="159">
        <f>Inputs!S289*'Revenue Calculation'!S143*Inputs!$E$54</f>
        <v>0.1559371141729281</v>
      </c>
      <c r="T170" s="159">
        <f>Inputs!T289*'Revenue Calculation'!T143*Inputs!$E$54</f>
        <v>0.16529334102330381</v>
      </c>
    </row>
    <row r="171" spans="2:20" x14ac:dyDescent="0.25">
      <c r="B171" s="21" t="s">
        <v>2194</v>
      </c>
      <c r="C171" s="28" t="s">
        <v>493</v>
      </c>
      <c r="H171" s="160">
        <f>'Revenue Calculation'!H143-H169-H170</f>
        <v>0</v>
      </c>
      <c r="I171" s="160">
        <f>'Revenue Calculation'!I143-I169-I170</f>
        <v>0</v>
      </c>
      <c r="J171" s="160">
        <f>'Revenue Calculation'!J143-J169-J170</f>
        <v>0</v>
      </c>
      <c r="K171" s="160">
        <f>'Revenue Calculation'!K143-K169-K170</f>
        <v>0</v>
      </c>
      <c r="L171" s="160">
        <f>'Revenue Calculation'!L143-L169-L170</f>
        <v>0.37120000000000003</v>
      </c>
      <c r="M171" s="160">
        <f>'Revenue Calculation'!M143-M169-M170</f>
        <v>0.40832000000000007</v>
      </c>
      <c r="N171" s="160">
        <f>'Revenue Calculation'!N143-N169-N170</f>
        <v>0.44915200000000011</v>
      </c>
      <c r="O171" s="160">
        <f>'Revenue Calculation'!O143-O169-O170</f>
        <v>0.4940672000000001</v>
      </c>
      <c r="P171" s="160">
        <f>'Revenue Calculation'!P143-P169-P170</f>
        <v>0.52371123200000025</v>
      </c>
      <c r="Q171" s="160">
        <f>'Revenue Calculation'!Q143-Q169-Q170</f>
        <v>0.55513390592000023</v>
      </c>
      <c r="R171" s="160">
        <f>'Revenue Calculation'!R143-R169-R170</f>
        <v>0.58844194027520025</v>
      </c>
      <c r="S171" s="160">
        <f>'Revenue Calculation'!S143-S169-S170</f>
        <v>0.62374845669171231</v>
      </c>
      <c r="T171" s="160">
        <f>'Revenue Calculation'!T143-T169-T170</f>
        <v>0.66117336409321514</v>
      </c>
    </row>
    <row r="172" spans="2:20" x14ac:dyDescent="0.25">
      <c r="B172" s="23" t="s">
        <v>2195</v>
      </c>
      <c r="C172" s="28" t="s">
        <v>493</v>
      </c>
      <c r="H172" s="159">
        <f>0</f>
        <v>0</v>
      </c>
      <c r="I172" s="159">
        <f>0</f>
        <v>0</v>
      </c>
      <c r="J172" s="159">
        <f>0</f>
        <v>0</v>
      </c>
      <c r="K172" s="159">
        <f>0</f>
        <v>0</v>
      </c>
      <c r="L172" s="159">
        <f>0</f>
        <v>0</v>
      </c>
      <c r="M172" s="159">
        <f>0</f>
        <v>0</v>
      </c>
      <c r="N172" s="159">
        <f>0</f>
        <v>0</v>
      </c>
      <c r="O172" s="159">
        <f>0</f>
        <v>0</v>
      </c>
      <c r="P172" s="159">
        <f>0</f>
        <v>0</v>
      </c>
      <c r="Q172" s="159">
        <f>0</f>
        <v>0</v>
      </c>
      <c r="R172" s="159">
        <f>0</f>
        <v>0</v>
      </c>
      <c r="S172" s="159">
        <f>0</f>
        <v>0</v>
      </c>
      <c r="T172" s="159">
        <f>0</f>
        <v>0</v>
      </c>
    </row>
    <row r="173" spans="2:20" x14ac:dyDescent="0.25">
      <c r="B173" s="23" t="s">
        <v>2196</v>
      </c>
      <c r="C173" s="28" t="s">
        <v>493</v>
      </c>
      <c r="H173" s="159">
        <f>Inputs!H289*'Revenue Calculation'!H146*Inputs!$E$54</f>
        <v>0</v>
      </c>
      <c r="I173" s="159">
        <f>Inputs!I289*'Revenue Calculation'!I146*Inputs!$E$54</f>
        <v>0</v>
      </c>
      <c r="J173" s="159">
        <f>Inputs!J289*'Revenue Calculation'!J146*Inputs!$E$54</f>
        <v>0</v>
      </c>
      <c r="K173" s="159">
        <f>Inputs!K289*'Revenue Calculation'!K146*Inputs!$E$54</f>
        <v>9.0149977499999992E-2</v>
      </c>
      <c r="L173" s="159">
        <f>Inputs!L289*'Revenue Calculation'!L146*Inputs!$E$54</f>
        <v>9.2854476825000032E-2</v>
      </c>
      <c r="M173" s="159">
        <f>Inputs!M289*'Revenue Calculation'!M146*Inputs!$E$54</f>
        <v>9.5640111129750016E-2</v>
      </c>
      <c r="N173" s="159">
        <f>Inputs!N289*'Revenue Calculation'!N146*Inputs!$E$54</f>
        <v>9.8509314463642528E-2</v>
      </c>
      <c r="O173" s="159">
        <f>Inputs!O289*'Revenue Calculation'!O146*Inputs!$E$54</f>
        <v>0.1014645938975518</v>
      </c>
      <c r="P173" s="159">
        <f>Inputs!P289*'Revenue Calculation'!P146*Inputs!$E$54</f>
        <v>0.10450853171447837</v>
      </c>
      <c r="Q173" s="159">
        <f>Inputs!Q289*'Revenue Calculation'!Q146*Inputs!$E$54</f>
        <v>0.1076437876659127</v>
      </c>
      <c r="R173" s="159">
        <f>Inputs!R289*'Revenue Calculation'!R146*Inputs!$E$54</f>
        <v>0.11087310129589008</v>
      </c>
      <c r="S173" s="159">
        <f>Inputs!S289*'Revenue Calculation'!S146*Inputs!$E$54</f>
        <v>0.11419929433476679</v>
      </c>
      <c r="T173" s="159">
        <f>Inputs!T289*'Revenue Calculation'!T146*Inputs!$E$54</f>
        <v>0.11762527316480982</v>
      </c>
    </row>
    <row r="174" spans="2:20" x14ac:dyDescent="0.25">
      <c r="B174" s="21" t="s">
        <v>2197</v>
      </c>
      <c r="C174" s="28" t="s">
        <v>493</v>
      </c>
      <c r="H174" s="160">
        <f>'Revenue Calculation'!H146-H172-H173</f>
        <v>0</v>
      </c>
      <c r="I174" s="160">
        <f>'Revenue Calculation'!I146-I172-I173</f>
        <v>0</v>
      </c>
      <c r="J174" s="160">
        <f>'Revenue Calculation'!J146-J172-J173</f>
        <v>0</v>
      </c>
      <c r="K174" s="160">
        <f>'Revenue Calculation'!K146-K172-K173</f>
        <v>0.36059990999999997</v>
      </c>
      <c r="L174" s="160">
        <f>'Revenue Calculation'!L146-L172-L173</f>
        <v>0.37141790730000007</v>
      </c>
      <c r="M174" s="160">
        <f>'Revenue Calculation'!M146-M172-M173</f>
        <v>0.38256044451900006</v>
      </c>
      <c r="N174" s="160">
        <f>'Revenue Calculation'!N146-N172-N173</f>
        <v>0.39403725785457006</v>
      </c>
      <c r="O174" s="160">
        <f>'Revenue Calculation'!O146-O172-O173</f>
        <v>0.40585837559020721</v>
      </c>
      <c r="P174" s="160">
        <f>'Revenue Calculation'!P146-P172-P173</f>
        <v>0.41803412685791341</v>
      </c>
      <c r="Q174" s="160">
        <f>'Revenue Calculation'!Q146-Q172-Q173</f>
        <v>0.43057515066365076</v>
      </c>
      <c r="R174" s="160">
        <f>'Revenue Calculation'!R146-R172-R173</f>
        <v>0.44349240518356031</v>
      </c>
      <c r="S174" s="160">
        <f>'Revenue Calculation'!S146-S172-S173</f>
        <v>0.45679717733906716</v>
      </c>
      <c r="T174" s="160">
        <f>'Revenue Calculation'!T146-T172-T173</f>
        <v>0.47050109265923928</v>
      </c>
    </row>
    <row r="175" spans="2:20" x14ac:dyDescent="0.25">
      <c r="B175" s="154" t="s">
        <v>2198</v>
      </c>
    </row>
    <row r="176" spans="2:20" ht="26.25" customHeight="1" x14ac:dyDescent="0.25">
      <c r="B176" s="133" t="s">
        <v>2199</v>
      </c>
      <c r="C176" s="28" t="s">
        <v>493</v>
      </c>
      <c r="H176" s="160">
        <f>Inputs!H305*('Revenue Calculation'!H154+'Revenue Calculation'!H155)*Inputs!$E$54+'Revenue Calculation'!H156*IF('Revenue Calculation'!H41=0,0,H33/'Revenue Calculation'!H41)</f>
        <v>0</v>
      </c>
      <c r="I176" s="160">
        <f>Inputs!I305*('Revenue Calculation'!I154+'Revenue Calculation'!I155)*Inputs!$E$54+'Revenue Calculation'!I156*IF('Revenue Calculation'!I41=0,0,I33/'Revenue Calculation'!I41)</f>
        <v>0</v>
      </c>
      <c r="J176" s="160">
        <f>Inputs!J305*('Revenue Calculation'!J154+'Revenue Calculation'!J155)*Inputs!$E$54+'Revenue Calculation'!J156*IF('Revenue Calculation'!J41=0,0,J33/'Revenue Calculation'!J41)</f>
        <v>0</v>
      </c>
      <c r="K176" s="160">
        <f>Inputs!K305*('Revenue Calculation'!K154+'Revenue Calculation'!K155)*Inputs!$E$54+'Revenue Calculation'!K156*IF('Revenue Calculation'!K41=0,0,K33/'Revenue Calculation'!K41)</f>
        <v>0</v>
      </c>
      <c r="L176" s="160">
        <f>Inputs!L305*('Revenue Calculation'!L154+'Revenue Calculation'!L155)*Inputs!$E$54+'Revenue Calculation'!L156*IF('Revenue Calculation'!L41=0,0,L33/'Revenue Calculation'!L41)</f>
        <v>0</v>
      </c>
      <c r="M176" s="160">
        <f>Inputs!M305*('Revenue Calculation'!M154+'Revenue Calculation'!M155)*Inputs!$E$54+'Revenue Calculation'!M156*IF('Revenue Calculation'!M41=0,0,M33/'Revenue Calculation'!M41)</f>
        <v>0</v>
      </c>
      <c r="N176" s="160">
        <f>Inputs!N305*('Revenue Calculation'!N154+'Revenue Calculation'!N155)*Inputs!$E$54+'Revenue Calculation'!N156*IF('Revenue Calculation'!N41=0,0,N33/'Revenue Calculation'!N41)</f>
        <v>0</v>
      </c>
      <c r="O176" s="160">
        <f>Inputs!O305*('Revenue Calculation'!O154+'Revenue Calculation'!O155)*Inputs!$E$54+'Revenue Calculation'!O156*IF('Revenue Calculation'!O41=0,0,O33/'Revenue Calculation'!O41)</f>
        <v>0</v>
      </c>
      <c r="P176" s="160">
        <f>Inputs!P305*('Revenue Calculation'!P154+'Revenue Calculation'!P155)*Inputs!$E$54+'Revenue Calculation'!P156*IF('Revenue Calculation'!P41=0,0,P33/'Revenue Calculation'!P41)</f>
        <v>0</v>
      </c>
      <c r="Q176" s="160">
        <f>Inputs!Q305*('Revenue Calculation'!Q154+'Revenue Calculation'!Q155)*Inputs!$E$54+'Revenue Calculation'!Q156*IF('Revenue Calculation'!Q41=0,0,Q33/'Revenue Calculation'!Q41)</f>
        <v>0</v>
      </c>
      <c r="R176" s="160">
        <f>Inputs!R305*('Revenue Calculation'!R154+'Revenue Calculation'!R155)*Inputs!$E$54+'Revenue Calculation'!R156*IF('Revenue Calculation'!R41=0,0,R33/'Revenue Calculation'!R41)</f>
        <v>0</v>
      </c>
      <c r="S176" s="160">
        <f>Inputs!S305*('Revenue Calculation'!S154+'Revenue Calculation'!S155)*Inputs!$E$54+'Revenue Calculation'!S156*IF('Revenue Calculation'!S41=0,0,S33/'Revenue Calculation'!S41)</f>
        <v>0</v>
      </c>
      <c r="T176" s="160">
        <f>Inputs!T305*('Revenue Calculation'!T154+'Revenue Calculation'!T155)*Inputs!$E$54+'Revenue Calculation'!T156*IF('Revenue Calculation'!T41=0,0,T33/'Revenue Calculation'!T41)</f>
        <v>0</v>
      </c>
    </row>
    <row r="177" spans="2:20" x14ac:dyDescent="0.25">
      <c r="B177" s="21" t="s">
        <v>2200</v>
      </c>
      <c r="C177" s="28" t="s">
        <v>493</v>
      </c>
      <c r="H177" s="160">
        <f>Inputs!H306*'Revenue Calculation'!H157*Inputs!$E$54</f>
        <v>0</v>
      </c>
      <c r="I177" s="160">
        <f>Inputs!I306*'Revenue Calculation'!I157*Inputs!$E$54</f>
        <v>0</v>
      </c>
      <c r="J177" s="160">
        <f>Inputs!J306*'Revenue Calculation'!J157*Inputs!$E$54</f>
        <v>0</v>
      </c>
      <c r="K177" s="160">
        <f>Inputs!K306*'Revenue Calculation'!K157*Inputs!$E$54</f>
        <v>0</v>
      </c>
      <c r="L177" s="160">
        <f>Inputs!L306*'Revenue Calculation'!L157*Inputs!$E$54</f>
        <v>0</v>
      </c>
      <c r="M177" s="160">
        <f>Inputs!M306*'Revenue Calculation'!M157*Inputs!$E$54</f>
        <v>0</v>
      </c>
      <c r="N177" s="160">
        <f>Inputs!N306*'Revenue Calculation'!N157*Inputs!$E$54</f>
        <v>0</v>
      </c>
      <c r="O177" s="160">
        <f>Inputs!O306*'Revenue Calculation'!O157*Inputs!$E$54</f>
        <v>0</v>
      </c>
      <c r="P177" s="160">
        <f>Inputs!P306*'Revenue Calculation'!P157*Inputs!$E$54</f>
        <v>0</v>
      </c>
      <c r="Q177" s="160">
        <f>Inputs!Q306*'Revenue Calculation'!Q157*Inputs!$E$54</f>
        <v>0</v>
      </c>
      <c r="R177" s="160">
        <f>Inputs!R306*'Revenue Calculation'!R157*Inputs!$E$54</f>
        <v>0</v>
      </c>
      <c r="S177" s="160">
        <f>Inputs!S306*'Revenue Calculation'!S157*Inputs!$E$54</f>
        <v>0</v>
      </c>
      <c r="T177" s="160">
        <f>Inputs!T306*'Revenue Calculation'!T157*Inputs!$E$54</f>
        <v>0</v>
      </c>
    </row>
    <row r="178" spans="2:20" x14ac:dyDescent="0.25">
      <c r="B178" s="21" t="s">
        <v>2201</v>
      </c>
      <c r="C178" s="28" t="s">
        <v>493</v>
      </c>
      <c r="G178" s="157"/>
      <c r="H178" s="158">
        <f>'Revenue Calculation'!H157-H176-H177</f>
        <v>0</v>
      </c>
      <c r="I178" s="158">
        <f>'Revenue Calculation'!I157-I176-I177</f>
        <v>0</v>
      </c>
      <c r="J178" s="158">
        <f>'Revenue Calculation'!J157-J176-J177</f>
        <v>0</v>
      </c>
      <c r="K178" s="158">
        <f>'Revenue Calculation'!K157-K176-K177</f>
        <v>0</v>
      </c>
      <c r="L178" s="158">
        <f>'Revenue Calculation'!L157-L176-L177</f>
        <v>0</v>
      </c>
      <c r="M178" s="158">
        <f>'Revenue Calculation'!M157-M176-M177</f>
        <v>0</v>
      </c>
      <c r="N178" s="158">
        <f>'Revenue Calculation'!N157-N176-N177</f>
        <v>0</v>
      </c>
      <c r="O178" s="158">
        <f>'Revenue Calculation'!O157-O176-O177</f>
        <v>0</v>
      </c>
      <c r="P178" s="158">
        <f>'Revenue Calculation'!P157-P176-P177</f>
        <v>0</v>
      </c>
      <c r="Q178" s="158">
        <f>'Revenue Calculation'!Q157-Q176-Q177</f>
        <v>0</v>
      </c>
      <c r="R178" s="158">
        <f>'Revenue Calculation'!R157-R176-R177</f>
        <v>0</v>
      </c>
      <c r="S178" s="158">
        <f>'Revenue Calculation'!S157-S176-S177</f>
        <v>0</v>
      </c>
      <c r="T178" s="158">
        <f>'Revenue Calculation'!T157-T176-T177</f>
        <v>0</v>
      </c>
    </row>
    <row r="180" spans="2:20" x14ac:dyDescent="0.25">
      <c r="B180" s="58" t="s">
        <v>2202</v>
      </c>
      <c r="C180" s="19"/>
      <c r="D180" s="19"/>
      <c r="E180" s="19"/>
      <c r="F180" s="19"/>
      <c r="G180" s="19"/>
      <c r="H180" s="19"/>
      <c r="I180" s="19"/>
      <c r="J180" s="19"/>
      <c r="K180" s="19"/>
      <c r="L180" s="19"/>
      <c r="M180" s="19"/>
      <c r="N180" s="19"/>
      <c r="O180" s="19"/>
      <c r="P180" s="19"/>
      <c r="Q180" s="19"/>
      <c r="R180" s="19"/>
      <c r="S180" s="19"/>
      <c r="T180" s="19"/>
    </row>
    <row r="181" spans="2:20" x14ac:dyDescent="0.25">
      <c r="B181" s="154" t="str">
        <f>"P16  "&amp;Inputs!$E$605&amp;"  (placeholder)"</f>
        <v>P16  Lampung  (placeholder)</v>
      </c>
    </row>
    <row r="182" spans="2:20" x14ac:dyDescent="0.25">
      <c r="B182" s="23" t="s">
        <v>2203</v>
      </c>
      <c r="C182" s="28" t="s">
        <v>493</v>
      </c>
      <c r="H182" s="159">
        <f>'Revenue Calculation'!H161*N(Inputs!H617)/1000000000*Inputs!$E$54</f>
        <v>0</v>
      </c>
      <c r="I182" s="159">
        <f>'Revenue Calculation'!I161*N(Inputs!I617)/1000000000*Inputs!$E$54</f>
        <v>0</v>
      </c>
      <c r="J182" s="159">
        <f>'Revenue Calculation'!J161*N(Inputs!J617)/1000000000*Inputs!$E$54</f>
        <v>0</v>
      </c>
      <c r="K182" s="159">
        <f>'Revenue Calculation'!K161*N(Inputs!K617)/1000000000*Inputs!$E$54</f>
        <v>0</v>
      </c>
      <c r="L182" s="159">
        <f>'Revenue Calculation'!L161*N(Inputs!L617)/1000000000*Inputs!$E$54</f>
        <v>0</v>
      </c>
      <c r="M182" s="159">
        <f>'Revenue Calculation'!M161*N(Inputs!M617)/1000000000*Inputs!$E$54</f>
        <v>0</v>
      </c>
      <c r="N182" s="159">
        <f>'Revenue Calculation'!N161*N(Inputs!N617)/1000000000*Inputs!$E$54</f>
        <v>0</v>
      </c>
      <c r="O182" s="159">
        <f>'Revenue Calculation'!O161*N(Inputs!O617)/1000000000*Inputs!$E$54</f>
        <v>0</v>
      </c>
      <c r="P182" s="159">
        <f>'Revenue Calculation'!P161*N(Inputs!P617)/1000000000*Inputs!$E$54</f>
        <v>0</v>
      </c>
      <c r="Q182" s="159">
        <f>'Revenue Calculation'!Q161*N(Inputs!Q617)/1000000000*Inputs!$E$54</f>
        <v>0</v>
      </c>
      <c r="R182" s="159">
        <f>'Revenue Calculation'!R161*N(Inputs!R617)/1000000000*Inputs!$E$54</f>
        <v>0</v>
      </c>
      <c r="S182" s="159">
        <f>'Revenue Calculation'!S161*N(Inputs!S617)/1000000000*Inputs!$E$54</f>
        <v>0</v>
      </c>
      <c r="T182" s="159">
        <f>'Revenue Calculation'!T161*N(Inputs!T617)/1000000000*Inputs!$E$54</f>
        <v>0</v>
      </c>
    </row>
    <row r="183" spans="2:20" x14ac:dyDescent="0.25">
      <c r="B183" s="23" t="s">
        <v>2204</v>
      </c>
      <c r="C183" s="28" t="s">
        <v>493</v>
      </c>
      <c r="H183" s="159">
        <f>N(Inputs!H618)*'Revenue Calculation'!H25*Inputs!$E$54</f>
        <v>0</v>
      </c>
      <c r="I183" s="159">
        <f>N(Inputs!I618)*'Revenue Calculation'!I25*Inputs!$E$54</f>
        <v>0</v>
      </c>
      <c r="J183" s="159">
        <f>N(Inputs!J618)*'Revenue Calculation'!J25*Inputs!$E$54</f>
        <v>0</v>
      </c>
      <c r="K183" s="159">
        <f>N(Inputs!K618)*'Revenue Calculation'!K25*Inputs!$E$54</f>
        <v>0</v>
      </c>
      <c r="L183" s="159">
        <f>N(Inputs!L618)*'Revenue Calculation'!L25*Inputs!$E$54</f>
        <v>0</v>
      </c>
      <c r="M183" s="159">
        <f>N(Inputs!M618)*'Revenue Calculation'!M25*Inputs!$E$54</f>
        <v>0</v>
      </c>
      <c r="N183" s="159">
        <f>N(Inputs!N618)*'Revenue Calculation'!N25*Inputs!$E$54</f>
        <v>0</v>
      </c>
      <c r="O183" s="159">
        <f>N(Inputs!O618)*'Revenue Calculation'!O25*Inputs!$E$54</f>
        <v>0</v>
      </c>
      <c r="P183" s="159">
        <f>N(Inputs!P618)*'Revenue Calculation'!P25*Inputs!$E$54</f>
        <v>0</v>
      </c>
      <c r="Q183" s="159">
        <f>N(Inputs!Q618)*'Revenue Calculation'!Q25*Inputs!$E$54</f>
        <v>0</v>
      </c>
      <c r="R183" s="159">
        <f>N(Inputs!R618)*'Revenue Calculation'!R25*Inputs!$E$54</f>
        <v>0</v>
      </c>
      <c r="S183" s="159">
        <f>N(Inputs!S618)*'Revenue Calculation'!S25*Inputs!$E$54</f>
        <v>0</v>
      </c>
      <c r="T183" s="159">
        <f>N(Inputs!T618)*'Revenue Calculation'!T25*Inputs!$E$54</f>
        <v>0</v>
      </c>
    </row>
    <row r="184" spans="2:20" x14ac:dyDescent="0.25">
      <c r="B184" s="21" t="s">
        <v>2205</v>
      </c>
      <c r="C184" s="28" t="s">
        <v>493</v>
      </c>
      <c r="H184" s="160">
        <f t="shared" ref="H184:T184" si="7">H182+H183</f>
        <v>0</v>
      </c>
      <c r="I184" s="160">
        <f t="shared" si="7"/>
        <v>0</v>
      </c>
      <c r="J184" s="160">
        <f t="shared" si="7"/>
        <v>0</v>
      </c>
      <c r="K184" s="160">
        <f t="shared" si="7"/>
        <v>0</v>
      </c>
      <c r="L184" s="160">
        <f t="shared" si="7"/>
        <v>0</v>
      </c>
      <c r="M184" s="160">
        <f t="shared" si="7"/>
        <v>0</v>
      </c>
      <c r="N184" s="160">
        <f t="shared" si="7"/>
        <v>0</v>
      </c>
      <c r="O184" s="160">
        <f t="shared" si="7"/>
        <v>0</v>
      </c>
      <c r="P184" s="160">
        <f t="shared" si="7"/>
        <v>0</v>
      </c>
      <c r="Q184" s="160">
        <f t="shared" si="7"/>
        <v>0</v>
      </c>
      <c r="R184" s="160">
        <f t="shared" si="7"/>
        <v>0</v>
      </c>
      <c r="S184" s="160">
        <f t="shared" si="7"/>
        <v>0</v>
      </c>
      <c r="T184" s="160">
        <f t="shared" si="7"/>
        <v>0</v>
      </c>
    </row>
    <row r="185" spans="2:20" x14ac:dyDescent="0.25">
      <c r="B185" s="23" t="s">
        <v>2206</v>
      </c>
      <c r="C185" s="28" t="s">
        <v>493</v>
      </c>
      <c r="H185" s="159">
        <f>0</f>
        <v>0</v>
      </c>
      <c r="I185" s="159">
        <f>0</f>
        <v>0</v>
      </c>
      <c r="J185" s="159">
        <f>0</f>
        <v>0</v>
      </c>
      <c r="K185" s="159">
        <f>0</f>
        <v>0</v>
      </c>
      <c r="L185" s="159">
        <f>0</f>
        <v>0</v>
      </c>
      <c r="M185" s="159">
        <f>0</f>
        <v>0</v>
      </c>
      <c r="N185" s="159">
        <f>0</f>
        <v>0</v>
      </c>
      <c r="O185" s="159">
        <f>0</f>
        <v>0</v>
      </c>
      <c r="P185" s="159">
        <f>0</f>
        <v>0</v>
      </c>
      <c r="Q185" s="159">
        <f>0</f>
        <v>0</v>
      </c>
      <c r="R185" s="159">
        <f>0</f>
        <v>0</v>
      </c>
      <c r="S185" s="159">
        <f>0</f>
        <v>0</v>
      </c>
      <c r="T185" s="159">
        <f>0</f>
        <v>0</v>
      </c>
    </row>
    <row r="186" spans="2:20" x14ac:dyDescent="0.25">
      <c r="B186" s="21" t="s">
        <v>2207</v>
      </c>
      <c r="C186" s="28" t="s">
        <v>493</v>
      </c>
      <c r="G186" s="157"/>
      <c r="H186" s="158">
        <f>'Revenue Calculation'!H163-H184-H185</f>
        <v>0</v>
      </c>
      <c r="I186" s="158">
        <f>'Revenue Calculation'!I163-I184-I185</f>
        <v>0</v>
      </c>
      <c r="J186" s="158">
        <f>'Revenue Calculation'!J163-J184-J185</f>
        <v>0</v>
      </c>
      <c r="K186" s="158">
        <f>'Revenue Calculation'!K163-K184-K185</f>
        <v>0</v>
      </c>
      <c r="L186" s="158">
        <f>'Revenue Calculation'!L163-L184-L185</f>
        <v>0</v>
      </c>
      <c r="M186" s="158">
        <f>'Revenue Calculation'!M163-M184-M185</f>
        <v>0</v>
      </c>
      <c r="N186" s="158">
        <f>'Revenue Calculation'!N163-N184-N185</f>
        <v>0</v>
      </c>
      <c r="O186" s="158">
        <f>'Revenue Calculation'!O163-O184-O185</f>
        <v>0</v>
      </c>
      <c r="P186" s="158">
        <f>'Revenue Calculation'!P163-P184-P185</f>
        <v>0</v>
      </c>
      <c r="Q186" s="158">
        <f>'Revenue Calculation'!Q163-Q184-Q185</f>
        <v>0</v>
      </c>
      <c r="R186" s="158">
        <f>'Revenue Calculation'!R163-R184-R185</f>
        <v>0</v>
      </c>
      <c r="S186" s="158">
        <f>'Revenue Calculation'!S163-S184-S185</f>
        <v>0</v>
      </c>
      <c r="T186" s="158">
        <f>'Revenue Calculation'!T163-T184-T185</f>
        <v>0</v>
      </c>
    </row>
    <row r="187" spans="2:20" x14ac:dyDescent="0.25">
      <c r="B187" s="154" t="str">
        <f>"P17  "&amp;Inputs!$E$639&amp;"  (placeholder)"</f>
        <v>P17  Pipeline Project 2  (placeholder)</v>
      </c>
    </row>
    <row r="188" spans="2:20" x14ac:dyDescent="0.25">
      <c r="B188" s="23" t="s">
        <v>2203</v>
      </c>
      <c r="C188" s="28" t="s">
        <v>493</v>
      </c>
      <c r="H188" s="159">
        <f>'Revenue Calculation'!H165*N(Inputs!H651)/1000000000*Inputs!$E$54</f>
        <v>0</v>
      </c>
      <c r="I188" s="159">
        <f>'Revenue Calculation'!I165*N(Inputs!I651)/1000000000*Inputs!$E$54</f>
        <v>0</v>
      </c>
      <c r="J188" s="159">
        <f>'Revenue Calculation'!J165*N(Inputs!J651)/1000000000*Inputs!$E$54</f>
        <v>0</v>
      </c>
      <c r="K188" s="159">
        <f>'Revenue Calculation'!K165*N(Inputs!K651)/1000000000*Inputs!$E$54</f>
        <v>0</v>
      </c>
      <c r="L188" s="159">
        <f>'Revenue Calculation'!L165*N(Inputs!L651)/1000000000*Inputs!$E$54</f>
        <v>0</v>
      </c>
      <c r="M188" s="159">
        <f>'Revenue Calculation'!M165*N(Inputs!M651)/1000000000*Inputs!$E$54</f>
        <v>0</v>
      </c>
      <c r="N188" s="159">
        <f>'Revenue Calculation'!N165*N(Inputs!N651)/1000000000*Inputs!$E$54</f>
        <v>0</v>
      </c>
      <c r="O188" s="159">
        <f>'Revenue Calculation'!O165*N(Inputs!O651)/1000000000*Inputs!$E$54</f>
        <v>0</v>
      </c>
      <c r="P188" s="159">
        <f>'Revenue Calculation'!P165*N(Inputs!P651)/1000000000*Inputs!$E$54</f>
        <v>0</v>
      </c>
      <c r="Q188" s="159">
        <f>'Revenue Calculation'!Q165*N(Inputs!Q651)/1000000000*Inputs!$E$54</f>
        <v>0</v>
      </c>
      <c r="R188" s="159">
        <f>'Revenue Calculation'!R165*N(Inputs!R651)/1000000000*Inputs!$E$54</f>
        <v>0</v>
      </c>
      <c r="S188" s="159">
        <f>'Revenue Calculation'!S165*N(Inputs!S651)/1000000000*Inputs!$E$54</f>
        <v>0</v>
      </c>
      <c r="T188" s="159">
        <f>'Revenue Calculation'!T165*N(Inputs!T651)/1000000000*Inputs!$E$54</f>
        <v>0</v>
      </c>
    </row>
    <row r="189" spans="2:20" x14ac:dyDescent="0.25">
      <c r="B189" s="23" t="s">
        <v>2204</v>
      </c>
      <c r="C189" s="28" t="s">
        <v>493</v>
      </c>
      <c r="H189" s="159">
        <f>N(Inputs!H652)*'Revenue Calculation'!H26*Inputs!$E$54</f>
        <v>0</v>
      </c>
      <c r="I189" s="159">
        <f>N(Inputs!I652)*'Revenue Calculation'!I26*Inputs!$E$54</f>
        <v>0</v>
      </c>
      <c r="J189" s="159">
        <f>N(Inputs!J652)*'Revenue Calculation'!J26*Inputs!$E$54</f>
        <v>0</v>
      </c>
      <c r="K189" s="159">
        <f>N(Inputs!K652)*'Revenue Calculation'!K26*Inputs!$E$54</f>
        <v>0</v>
      </c>
      <c r="L189" s="159">
        <f>N(Inputs!L652)*'Revenue Calculation'!L26*Inputs!$E$54</f>
        <v>0</v>
      </c>
      <c r="M189" s="159">
        <f>N(Inputs!M652)*'Revenue Calculation'!M26*Inputs!$E$54</f>
        <v>0</v>
      </c>
      <c r="N189" s="159">
        <f>N(Inputs!N652)*'Revenue Calculation'!N26*Inputs!$E$54</f>
        <v>0</v>
      </c>
      <c r="O189" s="159">
        <f>N(Inputs!O652)*'Revenue Calculation'!O26*Inputs!$E$54</f>
        <v>0</v>
      </c>
      <c r="P189" s="159">
        <f>N(Inputs!P652)*'Revenue Calculation'!P26*Inputs!$E$54</f>
        <v>0</v>
      </c>
      <c r="Q189" s="159">
        <f>N(Inputs!Q652)*'Revenue Calculation'!Q26*Inputs!$E$54</f>
        <v>0</v>
      </c>
      <c r="R189" s="159">
        <f>N(Inputs!R652)*'Revenue Calculation'!R26*Inputs!$E$54</f>
        <v>0</v>
      </c>
      <c r="S189" s="159">
        <f>N(Inputs!S652)*'Revenue Calculation'!S26*Inputs!$E$54</f>
        <v>0</v>
      </c>
      <c r="T189" s="159">
        <f>N(Inputs!T652)*'Revenue Calculation'!T26*Inputs!$E$54</f>
        <v>0</v>
      </c>
    </row>
    <row r="190" spans="2:20" x14ac:dyDescent="0.25">
      <c r="B190" s="21" t="s">
        <v>2208</v>
      </c>
      <c r="C190" s="28" t="s">
        <v>493</v>
      </c>
      <c r="H190" s="160">
        <f t="shared" ref="H190:T190" si="8">H188+H189</f>
        <v>0</v>
      </c>
      <c r="I190" s="160">
        <f t="shared" si="8"/>
        <v>0</v>
      </c>
      <c r="J190" s="160">
        <f t="shared" si="8"/>
        <v>0</v>
      </c>
      <c r="K190" s="160">
        <f t="shared" si="8"/>
        <v>0</v>
      </c>
      <c r="L190" s="160">
        <f t="shared" si="8"/>
        <v>0</v>
      </c>
      <c r="M190" s="160">
        <f t="shared" si="8"/>
        <v>0</v>
      </c>
      <c r="N190" s="160">
        <f t="shared" si="8"/>
        <v>0</v>
      </c>
      <c r="O190" s="160">
        <f t="shared" si="8"/>
        <v>0</v>
      </c>
      <c r="P190" s="160">
        <f t="shared" si="8"/>
        <v>0</v>
      </c>
      <c r="Q190" s="160">
        <f t="shared" si="8"/>
        <v>0</v>
      </c>
      <c r="R190" s="160">
        <f t="shared" si="8"/>
        <v>0</v>
      </c>
      <c r="S190" s="160">
        <f t="shared" si="8"/>
        <v>0</v>
      </c>
      <c r="T190" s="160">
        <f t="shared" si="8"/>
        <v>0</v>
      </c>
    </row>
    <row r="191" spans="2:20" x14ac:dyDescent="0.25">
      <c r="B191" s="23" t="s">
        <v>2209</v>
      </c>
      <c r="C191" s="28" t="s">
        <v>493</v>
      </c>
      <c r="H191" s="159">
        <f>0</f>
        <v>0</v>
      </c>
      <c r="I191" s="159">
        <f>0</f>
        <v>0</v>
      </c>
      <c r="J191" s="159">
        <f>0</f>
        <v>0</v>
      </c>
      <c r="K191" s="159">
        <f>0</f>
        <v>0</v>
      </c>
      <c r="L191" s="159">
        <f>0</f>
        <v>0</v>
      </c>
      <c r="M191" s="159">
        <f>0</f>
        <v>0</v>
      </c>
      <c r="N191" s="159">
        <f>0</f>
        <v>0</v>
      </c>
      <c r="O191" s="159">
        <f>0</f>
        <v>0</v>
      </c>
      <c r="P191" s="159">
        <f>0</f>
        <v>0</v>
      </c>
      <c r="Q191" s="159">
        <f>0</f>
        <v>0</v>
      </c>
      <c r="R191" s="159">
        <f>0</f>
        <v>0</v>
      </c>
      <c r="S191" s="159">
        <f>0</f>
        <v>0</v>
      </c>
      <c r="T191" s="159">
        <f>0</f>
        <v>0</v>
      </c>
    </row>
    <row r="192" spans="2:20" x14ac:dyDescent="0.25">
      <c r="B192" s="21" t="s">
        <v>2210</v>
      </c>
      <c r="C192" s="28" t="s">
        <v>493</v>
      </c>
      <c r="G192" s="157"/>
      <c r="H192" s="158">
        <f>'Revenue Calculation'!H167-H190-H191</f>
        <v>0</v>
      </c>
      <c r="I192" s="158">
        <f>'Revenue Calculation'!I167-I190-I191</f>
        <v>0</v>
      </c>
      <c r="J192" s="158">
        <f>'Revenue Calculation'!J167-J190-J191</f>
        <v>0</v>
      </c>
      <c r="K192" s="158">
        <f>'Revenue Calculation'!K167-K190-K191</f>
        <v>0</v>
      </c>
      <c r="L192" s="158">
        <f>'Revenue Calculation'!L167-L190-L191</f>
        <v>0</v>
      </c>
      <c r="M192" s="158">
        <f>'Revenue Calculation'!M167-M190-M191</f>
        <v>0</v>
      </c>
      <c r="N192" s="158">
        <f>'Revenue Calculation'!N167-N190-N191</f>
        <v>0</v>
      </c>
      <c r="O192" s="158">
        <f>'Revenue Calculation'!O167-O190-O191</f>
        <v>0</v>
      </c>
      <c r="P192" s="158">
        <f>'Revenue Calculation'!P167-P190-P191</f>
        <v>0</v>
      </c>
      <c r="Q192" s="158">
        <f>'Revenue Calculation'!Q167-Q190-Q191</f>
        <v>0</v>
      </c>
      <c r="R192" s="158">
        <f>'Revenue Calculation'!R167-R190-R191</f>
        <v>0</v>
      </c>
      <c r="S192" s="158">
        <f>'Revenue Calculation'!S167-S190-S191</f>
        <v>0</v>
      </c>
      <c r="T192" s="158">
        <f>'Revenue Calculation'!T167-T190-T191</f>
        <v>0</v>
      </c>
    </row>
    <row r="193" spans="2:20" x14ac:dyDescent="0.25">
      <c r="B193" s="154" t="str">
        <f>"P18  "&amp;Inputs!$E$673&amp;"  (placeholder)"</f>
        <v>P18  Pipeline Project 3  (placeholder)</v>
      </c>
    </row>
    <row r="194" spans="2:20" x14ac:dyDescent="0.25">
      <c r="B194" s="23" t="s">
        <v>2203</v>
      </c>
      <c r="C194" s="28" t="s">
        <v>493</v>
      </c>
      <c r="H194" s="159">
        <f>'Revenue Calculation'!H169*N(Inputs!H685)/1000000000*Inputs!$E$54</f>
        <v>0</v>
      </c>
      <c r="I194" s="159">
        <f>'Revenue Calculation'!I169*N(Inputs!I685)/1000000000*Inputs!$E$54</f>
        <v>0</v>
      </c>
      <c r="J194" s="159">
        <f>'Revenue Calculation'!J169*N(Inputs!J685)/1000000000*Inputs!$E$54</f>
        <v>0</v>
      </c>
      <c r="K194" s="159">
        <f>'Revenue Calculation'!K169*N(Inputs!K685)/1000000000*Inputs!$E$54</f>
        <v>0</v>
      </c>
      <c r="L194" s="159">
        <f>'Revenue Calculation'!L169*N(Inputs!L685)/1000000000*Inputs!$E$54</f>
        <v>0</v>
      </c>
      <c r="M194" s="159">
        <f>'Revenue Calculation'!M169*N(Inputs!M685)/1000000000*Inputs!$E$54</f>
        <v>0</v>
      </c>
      <c r="N194" s="159">
        <f>'Revenue Calculation'!N169*N(Inputs!N685)/1000000000*Inputs!$E$54</f>
        <v>0</v>
      </c>
      <c r="O194" s="159">
        <f>'Revenue Calculation'!O169*N(Inputs!O685)/1000000000*Inputs!$E$54</f>
        <v>0</v>
      </c>
      <c r="P194" s="159">
        <f>'Revenue Calculation'!P169*N(Inputs!P685)/1000000000*Inputs!$E$54</f>
        <v>0</v>
      </c>
      <c r="Q194" s="159">
        <f>'Revenue Calculation'!Q169*N(Inputs!Q685)/1000000000*Inputs!$E$54</f>
        <v>0</v>
      </c>
      <c r="R194" s="159">
        <f>'Revenue Calculation'!R169*N(Inputs!R685)/1000000000*Inputs!$E$54</f>
        <v>0</v>
      </c>
      <c r="S194" s="159">
        <f>'Revenue Calculation'!S169*N(Inputs!S685)/1000000000*Inputs!$E$54</f>
        <v>0</v>
      </c>
      <c r="T194" s="159">
        <f>'Revenue Calculation'!T169*N(Inputs!T685)/1000000000*Inputs!$E$54</f>
        <v>0</v>
      </c>
    </row>
    <row r="195" spans="2:20" x14ac:dyDescent="0.25">
      <c r="B195" s="23" t="s">
        <v>2204</v>
      </c>
      <c r="C195" s="28" t="s">
        <v>493</v>
      </c>
      <c r="H195" s="159">
        <f>N(Inputs!H686)*'Revenue Calculation'!H27*Inputs!$E$54</f>
        <v>0</v>
      </c>
      <c r="I195" s="159">
        <f>N(Inputs!I686)*'Revenue Calculation'!I27*Inputs!$E$54</f>
        <v>0</v>
      </c>
      <c r="J195" s="159">
        <f>N(Inputs!J686)*'Revenue Calculation'!J27*Inputs!$E$54</f>
        <v>0</v>
      </c>
      <c r="K195" s="159">
        <f>N(Inputs!K686)*'Revenue Calculation'!K27*Inputs!$E$54</f>
        <v>0</v>
      </c>
      <c r="L195" s="159">
        <f>N(Inputs!L686)*'Revenue Calculation'!L27*Inputs!$E$54</f>
        <v>0</v>
      </c>
      <c r="M195" s="159">
        <f>N(Inputs!M686)*'Revenue Calculation'!M27*Inputs!$E$54</f>
        <v>0</v>
      </c>
      <c r="N195" s="159">
        <f>N(Inputs!N686)*'Revenue Calculation'!N27*Inputs!$E$54</f>
        <v>0</v>
      </c>
      <c r="O195" s="159">
        <f>N(Inputs!O686)*'Revenue Calculation'!O27*Inputs!$E$54</f>
        <v>0</v>
      </c>
      <c r="P195" s="159">
        <f>N(Inputs!P686)*'Revenue Calculation'!P27*Inputs!$E$54</f>
        <v>0</v>
      </c>
      <c r="Q195" s="159">
        <f>N(Inputs!Q686)*'Revenue Calculation'!Q27*Inputs!$E$54</f>
        <v>0</v>
      </c>
      <c r="R195" s="159">
        <f>N(Inputs!R686)*'Revenue Calculation'!R27*Inputs!$E$54</f>
        <v>0</v>
      </c>
      <c r="S195" s="159">
        <f>N(Inputs!S686)*'Revenue Calculation'!S27*Inputs!$E$54</f>
        <v>0</v>
      </c>
      <c r="T195" s="159">
        <f>N(Inputs!T686)*'Revenue Calculation'!T27*Inputs!$E$54</f>
        <v>0</v>
      </c>
    </row>
    <row r="196" spans="2:20" x14ac:dyDescent="0.25">
      <c r="B196" s="21" t="s">
        <v>2211</v>
      </c>
      <c r="C196" s="28" t="s">
        <v>493</v>
      </c>
      <c r="H196" s="160">
        <f t="shared" ref="H196:T196" si="9">H194+H195</f>
        <v>0</v>
      </c>
      <c r="I196" s="160">
        <f t="shared" si="9"/>
        <v>0</v>
      </c>
      <c r="J196" s="160">
        <f t="shared" si="9"/>
        <v>0</v>
      </c>
      <c r="K196" s="160">
        <f t="shared" si="9"/>
        <v>0</v>
      </c>
      <c r="L196" s="160">
        <f t="shared" si="9"/>
        <v>0</v>
      </c>
      <c r="M196" s="160">
        <f t="shared" si="9"/>
        <v>0</v>
      </c>
      <c r="N196" s="160">
        <f t="shared" si="9"/>
        <v>0</v>
      </c>
      <c r="O196" s="160">
        <f t="shared" si="9"/>
        <v>0</v>
      </c>
      <c r="P196" s="160">
        <f t="shared" si="9"/>
        <v>0</v>
      </c>
      <c r="Q196" s="160">
        <f t="shared" si="9"/>
        <v>0</v>
      </c>
      <c r="R196" s="160">
        <f t="shared" si="9"/>
        <v>0</v>
      </c>
      <c r="S196" s="160">
        <f t="shared" si="9"/>
        <v>0</v>
      </c>
      <c r="T196" s="160">
        <f t="shared" si="9"/>
        <v>0</v>
      </c>
    </row>
    <row r="197" spans="2:20" x14ac:dyDescent="0.25">
      <c r="B197" s="23" t="s">
        <v>2212</v>
      </c>
      <c r="C197" s="28" t="s">
        <v>493</v>
      </c>
      <c r="H197" s="159">
        <f>0</f>
        <v>0</v>
      </c>
      <c r="I197" s="159">
        <f>0</f>
        <v>0</v>
      </c>
      <c r="J197" s="159">
        <f>0</f>
        <v>0</v>
      </c>
      <c r="K197" s="159">
        <f>0</f>
        <v>0</v>
      </c>
      <c r="L197" s="159">
        <f>0</f>
        <v>0</v>
      </c>
      <c r="M197" s="159">
        <f>0</f>
        <v>0</v>
      </c>
      <c r="N197" s="159">
        <f>0</f>
        <v>0</v>
      </c>
      <c r="O197" s="159">
        <f>0</f>
        <v>0</v>
      </c>
      <c r="P197" s="159">
        <f>0</f>
        <v>0</v>
      </c>
      <c r="Q197" s="159">
        <f>0</f>
        <v>0</v>
      </c>
      <c r="R197" s="159">
        <f>0</f>
        <v>0</v>
      </c>
      <c r="S197" s="159">
        <f>0</f>
        <v>0</v>
      </c>
      <c r="T197" s="159">
        <f>0</f>
        <v>0</v>
      </c>
    </row>
    <row r="198" spans="2:20" x14ac:dyDescent="0.25">
      <c r="B198" s="21" t="s">
        <v>2213</v>
      </c>
      <c r="C198" s="28" t="s">
        <v>493</v>
      </c>
      <c r="G198" s="157"/>
      <c r="H198" s="158">
        <f>'Revenue Calculation'!H171-H196-H197</f>
        <v>0</v>
      </c>
      <c r="I198" s="158">
        <f>'Revenue Calculation'!I171-I196-I197</f>
        <v>0</v>
      </c>
      <c r="J198" s="158">
        <f>'Revenue Calculation'!J171-J196-J197</f>
        <v>0</v>
      </c>
      <c r="K198" s="158">
        <f>'Revenue Calculation'!K171-K196-K197</f>
        <v>0</v>
      </c>
      <c r="L198" s="158">
        <f>'Revenue Calculation'!L171-L196-L197</f>
        <v>0</v>
      </c>
      <c r="M198" s="158">
        <f>'Revenue Calculation'!M171-M196-M197</f>
        <v>0</v>
      </c>
      <c r="N198" s="158">
        <f>'Revenue Calculation'!N171-N196-N197</f>
        <v>0</v>
      </c>
      <c r="O198" s="158">
        <f>'Revenue Calculation'!O171-O196-O197</f>
        <v>0</v>
      </c>
      <c r="P198" s="158">
        <f>'Revenue Calculation'!P171-P196-P197</f>
        <v>0</v>
      </c>
      <c r="Q198" s="158">
        <f>'Revenue Calculation'!Q171-Q196-Q197</f>
        <v>0</v>
      </c>
      <c r="R198" s="158">
        <f>'Revenue Calculation'!R171-R196-R197</f>
        <v>0</v>
      </c>
      <c r="S198" s="158">
        <f>'Revenue Calculation'!S171-S196-S197</f>
        <v>0</v>
      </c>
      <c r="T198" s="158">
        <f>'Revenue Calculation'!T171-T196-T197</f>
        <v>0</v>
      </c>
    </row>
    <row r="200" spans="2:20" x14ac:dyDescent="0.25">
      <c r="B200" s="58" t="s">
        <v>2214</v>
      </c>
      <c r="C200" s="19"/>
      <c r="D200" s="19"/>
      <c r="E200" s="19"/>
      <c r="F200" s="19"/>
      <c r="G200" s="19"/>
      <c r="H200" s="19"/>
      <c r="I200" s="19"/>
      <c r="J200" s="19"/>
      <c r="K200" s="19"/>
      <c r="L200" s="19"/>
      <c r="M200" s="19"/>
      <c r="N200" s="19"/>
      <c r="O200" s="19"/>
      <c r="P200" s="19"/>
      <c r="Q200" s="19"/>
      <c r="R200" s="19"/>
      <c r="S200" s="19"/>
      <c r="T200" s="19"/>
    </row>
    <row r="201" spans="2:20" x14ac:dyDescent="0.25">
      <c r="B201" s="23" t="s">
        <v>2215</v>
      </c>
      <c r="C201" s="28" t="s">
        <v>493</v>
      </c>
      <c r="H201" s="159">
        <f>'Revenue Calculation'!H175*Inputs!H591/1000000000*Inputs!$E$54</f>
        <v>0</v>
      </c>
      <c r="I201" s="159">
        <f>'Revenue Calculation'!I175*Inputs!I591/1000000000*Inputs!$E$54</f>
        <v>0</v>
      </c>
      <c r="J201" s="159">
        <f>'Revenue Calculation'!J175*Inputs!J591/1000000000*Inputs!$E$54</f>
        <v>0</v>
      </c>
      <c r="K201" s="159">
        <f>'Revenue Calculation'!K175*Inputs!K591/1000000000*Inputs!$E$54</f>
        <v>0</v>
      </c>
      <c r="L201" s="159">
        <f>'Revenue Calculation'!L175*Inputs!L591/1000000000*Inputs!$E$54</f>
        <v>0</v>
      </c>
      <c r="M201" s="159">
        <f>'Revenue Calculation'!M175*Inputs!M591/1000000000*Inputs!$E$54</f>
        <v>4.6749999999999998</v>
      </c>
      <c r="N201" s="159">
        <f>'Revenue Calculation'!N175*Inputs!N591/1000000000*Inputs!$E$54</f>
        <v>5.95</v>
      </c>
      <c r="O201" s="159">
        <f>'Revenue Calculation'!O175*Inputs!O591/1000000000*Inputs!$E$54</f>
        <v>6.8</v>
      </c>
      <c r="P201" s="159">
        <f>'Revenue Calculation'!P175*Inputs!P591/1000000000*Inputs!$E$54</f>
        <v>7.2249999999999996</v>
      </c>
      <c r="Q201" s="159">
        <f>'Revenue Calculation'!Q175*Inputs!Q591/1000000000*Inputs!$E$54</f>
        <v>7.2249999999999996</v>
      </c>
      <c r="R201" s="159">
        <f>'Revenue Calculation'!R175*Inputs!R591/1000000000*Inputs!$E$54</f>
        <v>7.2249999999999996</v>
      </c>
      <c r="S201" s="159">
        <f>'Revenue Calculation'!S175*Inputs!S591/1000000000*Inputs!$E$54</f>
        <v>7.2249999999999996</v>
      </c>
      <c r="T201" s="159">
        <f>'Revenue Calculation'!T175*Inputs!T591/1000000000*Inputs!$E$54</f>
        <v>7.2249999999999996</v>
      </c>
    </row>
    <row r="202" spans="2:20" ht="26.25" customHeight="1" x14ac:dyDescent="0.25">
      <c r="B202" s="64" t="s">
        <v>2216</v>
      </c>
      <c r="C202" s="28" t="s">
        <v>493</v>
      </c>
      <c r="H202" s="159">
        <f>Inputs!H592*Inputs!H593/1000*'Revenue Calculation'!H28*Inputs!$E$54</f>
        <v>0</v>
      </c>
      <c r="I202" s="159">
        <f>Inputs!I592*Inputs!I593/1000*'Revenue Calculation'!I28*Inputs!$E$54</f>
        <v>0</v>
      </c>
      <c r="J202" s="159">
        <f>Inputs!J592*Inputs!J593/1000*'Revenue Calculation'!J28*Inputs!$E$54</f>
        <v>0</v>
      </c>
      <c r="K202" s="159">
        <f>Inputs!K592*Inputs!K593/1000*'Revenue Calculation'!K28*Inputs!$E$54</f>
        <v>0</v>
      </c>
      <c r="L202" s="159">
        <f>Inputs!L592*Inputs!L593/1000*'Revenue Calculation'!L28*Inputs!$E$54</f>
        <v>0</v>
      </c>
      <c r="M202" s="159">
        <f>Inputs!M592*Inputs!M593/1000*'Revenue Calculation'!M28*Inputs!$E$54</f>
        <v>6</v>
      </c>
      <c r="N202" s="159">
        <f>Inputs!N592*Inputs!N593/1000*'Revenue Calculation'!N28*Inputs!$E$54</f>
        <v>6</v>
      </c>
      <c r="O202" s="159">
        <f>Inputs!O592*Inputs!O593/1000*'Revenue Calculation'!O28*Inputs!$E$54</f>
        <v>6</v>
      </c>
      <c r="P202" s="159">
        <f>Inputs!P592*Inputs!P593/1000*'Revenue Calculation'!P28*Inputs!$E$54</f>
        <v>6</v>
      </c>
      <c r="Q202" s="159">
        <f>Inputs!Q592*Inputs!Q593/1000*'Revenue Calculation'!Q28*Inputs!$E$54</f>
        <v>6</v>
      </c>
      <c r="R202" s="159">
        <f>Inputs!R592*Inputs!R593/1000*'Revenue Calculation'!R28*Inputs!$E$54</f>
        <v>6</v>
      </c>
      <c r="S202" s="159">
        <f>Inputs!S592*Inputs!S593/1000*'Revenue Calculation'!S28*Inputs!$E$54</f>
        <v>6</v>
      </c>
      <c r="T202" s="159">
        <f>Inputs!T592*Inputs!T593/1000*'Revenue Calculation'!T28*Inputs!$E$54</f>
        <v>6</v>
      </c>
    </row>
    <row r="203" spans="2:20" ht="26.25" customHeight="1" x14ac:dyDescent="0.25">
      <c r="B203" s="64" t="s">
        <v>2217</v>
      </c>
      <c r="C203" s="28" t="s">
        <v>493</v>
      </c>
      <c r="H203" s="159">
        <f>Inputs!H595*'Capex &amp; Depreciation'!$E$27*Inputs!H95/1000*'Revenue Calculation'!H28*Inputs!$E$54</f>
        <v>0</v>
      </c>
      <c r="I203" s="159">
        <f>Inputs!I595*'Capex &amp; Depreciation'!$E$27*Inputs!I95/1000*'Revenue Calculation'!I28*Inputs!$E$54</f>
        <v>0</v>
      </c>
      <c r="J203" s="159">
        <f>Inputs!J595*'Capex &amp; Depreciation'!$E$27*Inputs!J95/1000*'Revenue Calculation'!J28*Inputs!$E$54</f>
        <v>0</v>
      </c>
      <c r="K203" s="159">
        <f>Inputs!K595*'Capex &amp; Depreciation'!$E$27*Inputs!K95/1000*'Revenue Calculation'!K28*Inputs!$E$54</f>
        <v>0</v>
      </c>
      <c r="L203" s="159">
        <f>Inputs!L595*'Capex &amp; Depreciation'!$E$27*Inputs!L95/1000*'Revenue Calculation'!L28*Inputs!$E$54</f>
        <v>0</v>
      </c>
      <c r="M203" s="159">
        <f>Inputs!M595*'Capex &amp; Depreciation'!$E$27*Inputs!M95/1000*'Revenue Calculation'!M28*Inputs!$E$54</f>
        <v>2.4397500000000001</v>
      </c>
      <c r="N203" s="159">
        <f>Inputs!N595*'Capex &amp; Depreciation'!$E$27*Inputs!N95/1000*'Revenue Calculation'!N28*Inputs!$E$54</f>
        <v>2.4397500000000001</v>
      </c>
      <c r="O203" s="159">
        <f>Inputs!O595*'Capex &amp; Depreciation'!$E$27*Inputs!O95/1000*'Revenue Calculation'!O28*Inputs!$E$54</f>
        <v>2.4397500000000001</v>
      </c>
      <c r="P203" s="159">
        <f>Inputs!P595*'Capex &amp; Depreciation'!$E$27*Inputs!P95/1000*'Revenue Calculation'!P28*Inputs!$E$54</f>
        <v>2.4397500000000001</v>
      </c>
      <c r="Q203" s="159">
        <f>Inputs!Q595*'Capex &amp; Depreciation'!$E$27*Inputs!Q95/1000*'Revenue Calculation'!Q28*Inputs!$E$54</f>
        <v>2.4397500000000001</v>
      </c>
      <c r="R203" s="159">
        <f>Inputs!R595*'Capex &amp; Depreciation'!$E$27*Inputs!R95/1000*'Revenue Calculation'!R28*Inputs!$E$54</f>
        <v>2.4397500000000001</v>
      </c>
      <c r="S203" s="159">
        <f>Inputs!S595*'Capex &amp; Depreciation'!$E$27*Inputs!S95/1000*'Revenue Calculation'!S28*Inputs!$E$54</f>
        <v>2.4397500000000001</v>
      </c>
      <c r="T203" s="159">
        <f>Inputs!T595*'Capex &amp; Depreciation'!$E$27*Inputs!T95/1000*'Revenue Calculation'!T28*Inputs!$E$54</f>
        <v>2.4397500000000001</v>
      </c>
    </row>
    <row r="204" spans="2:20" ht="26.25" customHeight="1" x14ac:dyDescent="0.25">
      <c r="B204" s="64" t="s">
        <v>2218</v>
      </c>
      <c r="C204" s="28" t="s">
        <v>493</v>
      </c>
      <c r="H204" s="159">
        <f>Inputs!H596*'Capex &amp; Depreciation'!$E$27*Inputs!H95/1000*'Revenue Calculation'!H28*Inputs!$E$54</f>
        <v>0</v>
      </c>
      <c r="I204" s="159">
        <f>Inputs!I596*'Capex &amp; Depreciation'!$E$27*Inputs!I95/1000*'Revenue Calculation'!I28*Inputs!$E$54</f>
        <v>0</v>
      </c>
      <c r="J204" s="159">
        <f>Inputs!J596*'Capex &amp; Depreciation'!$E$27*Inputs!J95/1000*'Revenue Calculation'!J28*Inputs!$E$54</f>
        <v>0</v>
      </c>
      <c r="K204" s="159">
        <f>Inputs!K596*'Capex &amp; Depreciation'!$E$27*Inputs!K95/1000*'Revenue Calculation'!K28*Inputs!$E$54</f>
        <v>0</v>
      </c>
      <c r="L204" s="159">
        <f>Inputs!L596*'Capex &amp; Depreciation'!$E$27*Inputs!L95/1000*'Revenue Calculation'!L28*Inputs!$E$54</f>
        <v>0</v>
      </c>
      <c r="M204" s="159">
        <f>Inputs!M596*'Capex &amp; Depreciation'!$E$27*Inputs!M95/1000*'Revenue Calculation'!M28*Inputs!$E$54</f>
        <v>0.81325000000000003</v>
      </c>
      <c r="N204" s="159">
        <f>Inputs!N596*'Capex &amp; Depreciation'!$E$27*Inputs!N95/1000*'Revenue Calculation'!N28*Inputs!$E$54</f>
        <v>0.81325000000000003</v>
      </c>
      <c r="O204" s="159">
        <f>Inputs!O596*'Capex &amp; Depreciation'!$E$27*Inputs!O95/1000*'Revenue Calculation'!O28*Inputs!$E$54</f>
        <v>0.81325000000000003</v>
      </c>
      <c r="P204" s="159">
        <f>Inputs!P596*'Capex &amp; Depreciation'!$E$27*Inputs!P95/1000*'Revenue Calculation'!P28*Inputs!$E$54</f>
        <v>0.81325000000000003</v>
      </c>
      <c r="Q204" s="159">
        <f>Inputs!Q596*'Capex &amp; Depreciation'!$E$27*Inputs!Q95/1000*'Revenue Calculation'!Q28*Inputs!$E$54</f>
        <v>0.81325000000000003</v>
      </c>
      <c r="R204" s="159">
        <f>Inputs!R596*'Capex &amp; Depreciation'!$E$27*Inputs!R95/1000*'Revenue Calculation'!R28*Inputs!$E$54</f>
        <v>0.81325000000000003</v>
      </c>
      <c r="S204" s="159">
        <f>Inputs!S596*'Capex &amp; Depreciation'!$E$27*Inputs!S95/1000*'Revenue Calculation'!S28*Inputs!$E$54</f>
        <v>0.81325000000000003</v>
      </c>
      <c r="T204" s="159">
        <f>Inputs!T596*'Capex &amp; Depreciation'!$E$27*Inputs!T95/1000*'Revenue Calculation'!T28*Inputs!$E$54</f>
        <v>0.81325000000000003</v>
      </c>
    </row>
    <row r="205" spans="2:20" x14ac:dyDescent="0.25">
      <c r="B205" s="23" t="s">
        <v>2219</v>
      </c>
      <c r="C205" s="28" t="s">
        <v>493</v>
      </c>
      <c r="H205" s="159">
        <f>Inputs!H597*'Revenue Calculation'!H185*Inputs!$E$54</f>
        <v>0</v>
      </c>
      <c r="I205" s="159">
        <f>Inputs!I597*'Revenue Calculation'!I185*Inputs!$E$54</f>
        <v>0</v>
      </c>
      <c r="J205" s="159">
        <f>Inputs!J597*'Revenue Calculation'!J185*Inputs!$E$54</f>
        <v>0</v>
      </c>
      <c r="K205" s="159">
        <f>Inputs!K597*'Revenue Calculation'!K185*Inputs!$E$54</f>
        <v>0</v>
      </c>
      <c r="L205" s="159">
        <f>Inputs!L597*'Revenue Calculation'!L185*Inputs!$E$54</f>
        <v>0</v>
      </c>
      <c r="M205" s="159">
        <f>Inputs!M597*'Revenue Calculation'!M185*Inputs!$E$54</f>
        <v>1.55925</v>
      </c>
      <c r="N205" s="159">
        <f>Inputs!N597*'Revenue Calculation'!N185*Inputs!$E$54</f>
        <v>1.9844999999999999</v>
      </c>
      <c r="O205" s="159">
        <f>Inputs!O597*'Revenue Calculation'!O185*Inputs!$E$54</f>
        <v>2.2680000000000002</v>
      </c>
      <c r="P205" s="159">
        <f>Inputs!P597*'Revenue Calculation'!P185*Inputs!$E$54</f>
        <v>2.4097500000000003</v>
      </c>
      <c r="Q205" s="159">
        <f>Inputs!Q597*'Revenue Calculation'!Q185*Inputs!$E$54</f>
        <v>2.4097500000000003</v>
      </c>
      <c r="R205" s="159">
        <f>Inputs!R597*'Revenue Calculation'!R185*Inputs!$E$54</f>
        <v>2.4097500000000003</v>
      </c>
      <c r="S205" s="159">
        <f>Inputs!S597*'Revenue Calculation'!S185*Inputs!$E$54</f>
        <v>2.4097500000000003</v>
      </c>
      <c r="T205" s="159">
        <f>Inputs!T597*'Revenue Calculation'!T185*Inputs!$E$54</f>
        <v>2.4097500000000003</v>
      </c>
    </row>
    <row r="206" spans="2:20" x14ac:dyDescent="0.25">
      <c r="B206" s="21" t="s">
        <v>2220</v>
      </c>
      <c r="C206" s="28" t="s">
        <v>493</v>
      </c>
      <c r="H206" s="160">
        <f t="shared" ref="H206:T206" si="10">H201+H202+H203+H204+H205</f>
        <v>0</v>
      </c>
      <c r="I206" s="160">
        <f t="shared" si="10"/>
        <v>0</v>
      </c>
      <c r="J206" s="160">
        <f t="shared" si="10"/>
        <v>0</v>
      </c>
      <c r="K206" s="160">
        <f t="shared" si="10"/>
        <v>0</v>
      </c>
      <c r="L206" s="160">
        <f t="shared" si="10"/>
        <v>0</v>
      </c>
      <c r="M206" s="160">
        <f t="shared" si="10"/>
        <v>15.487250000000001</v>
      </c>
      <c r="N206" s="160">
        <f t="shared" si="10"/>
        <v>17.1875</v>
      </c>
      <c r="O206" s="160">
        <f t="shared" si="10"/>
        <v>18.321000000000002</v>
      </c>
      <c r="P206" s="160">
        <f t="shared" si="10"/>
        <v>18.88775</v>
      </c>
      <c r="Q206" s="160">
        <f t="shared" si="10"/>
        <v>18.88775</v>
      </c>
      <c r="R206" s="160">
        <f t="shared" si="10"/>
        <v>18.88775</v>
      </c>
      <c r="S206" s="160">
        <f t="shared" si="10"/>
        <v>18.88775</v>
      </c>
      <c r="T206" s="160">
        <f t="shared" si="10"/>
        <v>18.88775</v>
      </c>
    </row>
    <row r="207" spans="2:20" x14ac:dyDescent="0.25">
      <c r="B207" s="23" t="s">
        <v>2221</v>
      </c>
      <c r="C207" s="28" t="s">
        <v>493</v>
      </c>
      <c r="H207" s="159">
        <f>Inputs!H594*'Revenue Calculation'!H28*Inputs!$E$54</f>
        <v>0</v>
      </c>
      <c r="I207" s="159">
        <f>Inputs!I594*'Revenue Calculation'!I28*Inputs!$E$54</f>
        <v>0</v>
      </c>
      <c r="J207" s="159">
        <f>Inputs!J594*'Revenue Calculation'!J28*Inputs!$E$54</f>
        <v>0</v>
      </c>
      <c r="K207" s="159">
        <f>Inputs!K594*'Revenue Calculation'!K28*Inputs!$E$54</f>
        <v>0</v>
      </c>
      <c r="L207" s="159">
        <f>Inputs!L594*'Revenue Calculation'!L28*Inputs!$E$54</f>
        <v>0</v>
      </c>
      <c r="M207" s="159">
        <f>Inputs!M594*'Revenue Calculation'!M28*Inputs!$E$54</f>
        <v>2.5</v>
      </c>
      <c r="N207" s="159">
        <f>Inputs!N594*'Revenue Calculation'!N28*Inputs!$E$54</f>
        <v>2.5</v>
      </c>
      <c r="O207" s="159">
        <f>Inputs!O594*'Revenue Calculation'!O28*Inputs!$E$54</f>
        <v>2.5</v>
      </c>
      <c r="P207" s="159">
        <f>Inputs!P594*'Revenue Calculation'!P28*Inputs!$E$54</f>
        <v>2.5</v>
      </c>
      <c r="Q207" s="159">
        <f>Inputs!Q594*'Revenue Calculation'!Q28*Inputs!$E$54</f>
        <v>2.5</v>
      </c>
      <c r="R207" s="159">
        <f>Inputs!R594*'Revenue Calculation'!R28*Inputs!$E$54</f>
        <v>2.5</v>
      </c>
      <c r="S207" s="159">
        <f>Inputs!S594*'Revenue Calculation'!S28*Inputs!$E$54</f>
        <v>2.5</v>
      </c>
      <c r="T207" s="159">
        <f>Inputs!T594*'Revenue Calculation'!T28*Inputs!$E$54</f>
        <v>2.5</v>
      </c>
    </row>
    <row r="208" spans="2:20" ht="26.25" customHeight="1" x14ac:dyDescent="0.25">
      <c r="B208" s="64" t="s">
        <v>2222</v>
      </c>
      <c r="C208" s="28" t="s">
        <v>493</v>
      </c>
      <c r="H208" s="159">
        <f>IF('Revenue Calculation'!H7=YEAR(Inputs!$E$571)-1,Inputs!$E$576,0)*Inputs!$E$54</f>
        <v>0</v>
      </c>
      <c r="I208" s="159">
        <f>IF('Revenue Calculation'!I7=YEAR(Inputs!$E$571)-1,Inputs!$E$576,0)*Inputs!$E$54</f>
        <v>0</v>
      </c>
      <c r="J208" s="159">
        <f>IF('Revenue Calculation'!J7=YEAR(Inputs!$E$571)-1,Inputs!$E$576,0)*Inputs!$E$54</f>
        <v>0</v>
      </c>
      <c r="K208" s="159">
        <f>IF('Revenue Calculation'!K7=YEAR(Inputs!$E$571)-1,Inputs!$E$576,0)*Inputs!$E$54</f>
        <v>0</v>
      </c>
      <c r="L208" s="159">
        <f>IF('Revenue Calculation'!L7=YEAR(Inputs!$E$571)-1,Inputs!$E$576,0)*Inputs!$E$54</f>
        <v>1.5</v>
      </c>
      <c r="M208" s="159">
        <f>IF('Revenue Calculation'!M7=YEAR(Inputs!$E$571)-1,Inputs!$E$576,0)*Inputs!$E$54</f>
        <v>0</v>
      </c>
      <c r="N208" s="159">
        <f>IF('Revenue Calculation'!N7=YEAR(Inputs!$E$571)-1,Inputs!$E$576,0)*Inputs!$E$54</f>
        <v>0</v>
      </c>
      <c r="O208" s="159">
        <f>IF('Revenue Calculation'!O7=YEAR(Inputs!$E$571)-1,Inputs!$E$576,0)*Inputs!$E$54</f>
        <v>0</v>
      </c>
      <c r="P208" s="159">
        <f>IF('Revenue Calculation'!P7=YEAR(Inputs!$E$571)-1,Inputs!$E$576,0)*Inputs!$E$54</f>
        <v>0</v>
      </c>
      <c r="Q208" s="159">
        <f>IF('Revenue Calculation'!Q7=YEAR(Inputs!$E$571)-1,Inputs!$E$576,0)*Inputs!$E$54</f>
        <v>0</v>
      </c>
      <c r="R208" s="159">
        <f>IF('Revenue Calculation'!R7=YEAR(Inputs!$E$571)-1,Inputs!$E$576,0)*Inputs!$E$54</f>
        <v>0</v>
      </c>
      <c r="S208" s="159">
        <f>IF('Revenue Calculation'!S7=YEAR(Inputs!$E$571)-1,Inputs!$E$576,0)*Inputs!$E$54</f>
        <v>0</v>
      </c>
      <c r="T208" s="159">
        <f>IF('Revenue Calculation'!T7=YEAR(Inputs!$E$571)-1,Inputs!$E$576,0)*Inputs!$E$54</f>
        <v>0</v>
      </c>
    </row>
    <row r="209" spans="2:20" x14ac:dyDescent="0.25">
      <c r="B209" s="21" t="s">
        <v>2223</v>
      </c>
      <c r="C209" s="28" t="s">
        <v>493</v>
      </c>
      <c r="H209" s="160">
        <f t="shared" ref="H209:T209" si="11">H207+H208</f>
        <v>0</v>
      </c>
      <c r="I209" s="160">
        <f t="shared" si="11"/>
        <v>0</v>
      </c>
      <c r="J209" s="160">
        <f t="shared" si="11"/>
        <v>0</v>
      </c>
      <c r="K209" s="160">
        <f t="shared" si="11"/>
        <v>0</v>
      </c>
      <c r="L209" s="160">
        <f t="shared" si="11"/>
        <v>1.5</v>
      </c>
      <c r="M209" s="160">
        <f t="shared" si="11"/>
        <v>2.5</v>
      </c>
      <c r="N209" s="160">
        <f t="shared" si="11"/>
        <v>2.5</v>
      </c>
      <c r="O209" s="160">
        <f t="shared" si="11"/>
        <v>2.5</v>
      </c>
      <c r="P209" s="160">
        <f t="shared" si="11"/>
        <v>2.5</v>
      </c>
      <c r="Q209" s="160">
        <f t="shared" si="11"/>
        <v>2.5</v>
      </c>
      <c r="R209" s="160">
        <f t="shared" si="11"/>
        <v>2.5</v>
      </c>
      <c r="S209" s="160">
        <f t="shared" si="11"/>
        <v>2.5</v>
      </c>
      <c r="T209" s="160">
        <f t="shared" si="11"/>
        <v>2.5</v>
      </c>
    </row>
    <row r="210" spans="2:20" x14ac:dyDescent="0.25">
      <c r="B210" s="21" t="s">
        <v>2224</v>
      </c>
      <c r="C210" s="28" t="s">
        <v>493</v>
      </c>
      <c r="G210" s="157"/>
      <c r="H210" s="158">
        <f>'Revenue Calculation'!H185-H206-H209</f>
        <v>0</v>
      </c>
      <c r="I210" s="158">
        <f>'Revenue Calculation'!I185-I206-I209</f>
        <v>0</v>
      </c>
      <c r="J210" s="158">
        <f>'Revenue Calculation'!J185-J206-J209</f>
        <v>0</v>
      </c>
      <c r="K210" s="158">
        <f>'Revenue Calculation'!K185-K206-K209</f>
        <v>0</v>
      </c>
      <c r="L210" s="158">
        <f>'Revenue Calculation'!L185-L206-L209</f>
        <v>-1.5</v>
      </c>
      <c r="M210" s="158">
        <f>'Revenue Calculation'!M185-M206-M209</f>
        <v>13.197749999999997</v>
      </c>
      <c r="N210" s="158">
        <f>'Revenue Calculation'!N185-N206-N209</f>
        <v>20.002499999999998</v>
      </c>
      <c r="O210" s="158">
        <f>'Revenue Calculation'!O185-O206-O209</f>
        <v>24.538999999999998</v>
      </c>
      <c r="P210" s="158">
        <f>'Revenue Calculation'!P185-P206-P209</f>
        <v>26.80725</v>
      </c>
      <c r="Q210" s="158">
        <f>'Revenue Calculation'!Q185-Q206-Q209</f>
        <v>26.80725</v>
      </c>
      <c r="R210" s="158">
        <f>'Revenue Calculation'!R185-R206-R209</f>
        <v>26.80725</v>
      </c>
      <c r="S210" s="158">
        <f>'Revenue Calculation'!S185-S206-S209</f>
        <v>26.80725</v>
      </c>
      <c r="T210" s="158">
        <f>'Revenue Calculation'!T185-T206-T209</f>
        <v>26.80725</v>
      </c>
    </row>
    <row r="211" spans="2:20" x14ac:dyDescent="0.25">
      <c r="B211" s="23" t="s">
        <v>2225</v>
      </c>
      <c r="C211" s="28" t="s">
        <v>292</v>
      </c>
      <c r="H211" s="105">
        <f>IF('Revenue Calculation'!H185=0,0,H210/'Revenue Calculation'!H185)</f>
        <v>0</v>
      </c>
      <c r="I211" s="105">
        <f>IF('Revenue Calculation'!I185=0,0,I210/'Revenue Calculation'!I185)</f>
        <v>0</v>
      </c>
      <c r="J211" s="105">
        <f>IF('Revenue Calculation'!J185=0,0,J210/'Revenue Calculation'!J185)</f>
        <v>0</v>
      </c>
      <c r="K211" s="105">
        <f>IF('Revenue Calculation'!K185=0,0,K210/'Revenue Calculation'!K185)</f>
        <v>0</v>
      </c>
      <c r="L211" s="105">
        <f>IF('Revenue Calculation'!L185=0,0,L210/'Revenue Calculation'!L185)</f>
        <v>0</v>
      </c>
      <c r="M211" s="105">
        <f>IF('Revenue Calculation'!M185=0,0,M210/'Revenue Calculation'!M185)</f>
        <v>0.42320827320827314</v>
      </c>
      <c r="N211" s="105">
        <f>IF('Revenue Calculation'!N185=0,0,N210/'Revenue Calculation'!N185)</f>
        <v>0.50396825396825395</v>
      </c>
      <c r="O211" s="105">
        <f>IF('Revenue Calculation'!O185=0,0,O210/'Revenue Calculation'!O185)</f>
        <v>0.54098324514991181</v>
      </c>
      <c r="P211" s="105">
        <f>IF('Revenue Calculation'!P185=0,0,P210/'Revenue Calculation'!P185)</f>
        <v>0.55622471210706503</v>
      </c>
      <c r="Q211" s="105">
        <f>IF('Revenue Calculation'!Q185=0,0,Q210/'Revenue Calculation'!Q185)</f>
        <v>0.55622471210706503</v>
      </c>
      <c r="R211" s="105">
        <f>IF('Revenue Calculation'!R185=0,0,R210/'Revenue Calculation'!R185)</f>
        <v>0.55622471210706503</v>
      </c>
      <c r="S211" s="105">
        <f>IF('Revenue Calculation'!S185=0,0,S210/'Revenue Calculation'!S185)</f>
        <v>0.55622471210706503</v>
      </c>
      <c r="T211" s="105">
        <f>IF('Revenue Calculation'!T185=0,0,T210/'Revenue Calculation'!T185)</f>
        <v>0.55622471210706503</v>
      </c>
    </row>
    <row r="212" spans="2:20" x14ac:dyDescent="0.25">
      <c r="B212" s="23" t="s">
        <v>2226</v>
      </c>
      <c r="C212" s="28" t="s">
        <v>493</v>
      </c>
      <c r="H212" s="159">
        <f>H206*Inputs!$H$82</f>
        <v>0</v>
      </c>
      <c r="I212" s="159">
        <f>I206*Inputs!$H$82</f>
        <v>0</v>
      </c>
      <c r="J212" s="159">
        <f>J206*Inputs!$H$82</f>
        <v>0</v>
      </c>
      <c r="K212" s="159">
        <f>K206*Inputs!$H$82</f>
        <v>0</v>
      </c>
      <c r="L212" s="159">
        <f>L206*Inputs!$H$82</f>
        <v>0</v>
      </c>
      <c r="M212" s="159">
        <f>M206*Inputs!$H$82</f>
        <v>15.487250000000001</v>
      </c>
      <c r="N212" s="159">
        <f>N206*Inputs!$H$82</f>
        <v>17.1875</v>
      </c>
      <c r="O212" s="159">
        <f>O206*Inputs!$H$82</f>
        <v>18.321000000000002</v>
      </c>
      <c r="P212" s="159">
        <f>P206*Inputs!$H$82</f>
        <v>18.88775</v>
      </c>
      <c r="Q212" s="159">
        <f>Q206*Inputs!$H$82</f>
        <v>18.88775</v>
      </c>
      <c r="R212" s="159">
        <f>R206*Inputs!$H$82</f>
        <v>18.88775</v>
      </c>
      <c r="S212" s="159">
        <f>S206*Inputs!$H$82</f>
        <v>18.88775</v>
      </c>
      <c r="T212" s="159">
        <f>T206*Inputs!$H$82</f>
        <v>18.88775</v>
      </c>
    </row>
    <row r="213" spans="2:20" x14ac:dyDescent="0.25">
      <c r="B213" s="23" t="s">
        <v>2227</v>
      </c>
      <c r="C213" s="28" t="s">
        <v>493</v>
      </c>
      <c r="H213" s="159">
        <f>H209*Inputs!$H$82</f>
        <v>0</v>
      </c>
      <c r="I213" s="159">
        <f>I209*Inputs!$H$82</f>
        <v>0</v>
      </c>
      <c r="J213" s="159">
        <f>J209*Inputs!$H$82</f>
        <v>0</v>
      </c>
      <c r="K213" s="159">
        <f>K209*Inputs!$H$82</f>
        <v>0</v>
      </c>
      <c r="L213" s="159">
        <f>L209*Inputs!$H$82</f>
        <v>1.5</v>
      </c>
      <c r="M213" s="159">
        <f>M209*Inputs!$H$82</f>
        <v>2.5</v>
      </c>
      <c r="N213" s="159">
        <f>N209*Inputs!$H$82</f>
        <v>2.5</v>
      </c>
      <c r="O213" s="159">
        <f>O209*Inputs!$H$82</f>
        <v>2.5</v>
      </c>
      <c r="P213" s="159">
        <f>P209*Inputs!$H$82</f>
        <v>2.5</v>
      </c>
      <c r="Q213" s="159">
        <f>Q209*Inputs!$H$82</f>
        <v>2.5</v>
      </c>
      <c r="R213" s="159">
        <f>R209*Inputs!$H$82</f>
        <v>2.5</v>
      </c>
      <c r="S213" s="159">
        <f>S209*Inputs!$H$82</f>
        <v>2.5</v>
      </c>
      <c r="T213" s="159">
        <f>T209*Inputs!$H$82</f>
        <v>2.5</v>
      </c>
    </row>
    <row r="214" spans="2:20" x14ac:dyDescent="0.25">
      <c r="B214" s="21" t="s">
        <v>2228</v>
      </c>
      <c r="C214" s="28" t="s">
        <v>493</v>
      </c>
      <c r="G214" s="157"/>
      <c r="H214" s="158">
        <f>'Revenue Calculation'!H186-H212-H213</f>
        <v>0</v>
      </c>
      <c r="I214" s="158">
        <f>'Revenue Calculation'!I186-I212-I213</f>
        <v>0</v>
      </c>
      <c r="J214" s="158">
        <f>'Revenue Calculation'!J186-J212-J213</f>
        <v>0</v>
      </c>
      <c r="K214" s="158">
        <f>'Revenue Calculation'!K186-K212-K213</f>
        <v>0</v>
      </c>
      <c r="L214" s="158">
        <f>'Revenue Calculation'!L186-L212-L213</f>
        <v>-1.5</v>
      </c>
      <c r="M214" s="158">
        <f>'Revenue Calculation'!M186-M212-M213</f>
        <v>13.197749999999997</v>
      </c>
      <c r="N214" s="158">
        <f>'Revenue Calculation'!N186-N212-N213</f>
        <v>20.002499999999998</v>
      </c>
      <c r="O214" s="158">
        <f>'Revenue Calculation'!O186-O212-O213</f>
        <v>24.538999999999998</v>
      </c>
      <c r="P214" s="158">
        <f>'Revenue Calculation'!P186-P212-P213</f>
        <v>26.80725</v>
      </c>
      <c r="Q214" s="158">
        <f>'Revenue Calculation'!Q186-Q212-Q213</f>
        <v>26.80725</v>
      </c>
      <c r="R214" s="158">
        <f>'Revenue Calculation'!R186-R212-R213</f>
        <v>26.80725</v>
      </c>
      <c r="S214" s="158">
        <f>'Revenue Calculation'!S186-S212-S213</f>
        <v>26.80725</v>
      </c>
      <c r="T214" s="158">
        <f>'Revenue Calculation'!T186-T212-T213</f>
        <v>26.80725</v>
      </c>
    </row>
    <row r="216" spans="2:20" x14ac:dyDescent="0.25">
      <c r="B216" s="58" t="s">
        <v>2229</v>
      </c>
      <c r="C216" s="19"/>
      <c r="D216" s="19"/>
      <c r="E216" s="19"/>
      <c r="F216" s="19"/>
      <c r="G216" s="19"/>
      <c r="H216" s="19"/>
      <c r="I216" s="19"/>
      <c r="J216" s="19"/>
      <c r="K216" s="19"/>
      <c r="L216" s="19"/>
      <c r="M216" s="19"/>
      <c r="N216" s="19"/>
      <c r="O216" s="19"/>
      <c r="P216" s="19"/>
      <c r="Q216" s="19"/>
      <c r="R216" s="19"/>
      <c r="S216" s="19"/>
      <c r="T216" s="19"/>
    </row>
    <row r="217" spans="2:20" x14ac:dyDescent="0.25">
      <c r="B217" s="154" t="s">
        <v>2230</v>
      </c>
    </row>
    <row r="218" spans="2:20" x14ac:dyDescent="0.25">
      <c r="B218" s="23" t="s">
        <v>2031</v>
      </c>
      <c r="C218" s="28" t="s">
        <v>493</v>
      </c>
      <c r="E218" s="44" t="s">
        <v>517</v>
      </c>
      <c r="H218" s="159">
        <f t="shared" ref="H218:T218" si="12">H33</f>
        <v>29.933805281840399</v>
      </c>
      <c r="I218" s="159">
        <f t="shared" si="12"/>
        <v>31.312242106439154</v>
      </c>
      <c r="J218" s="159">
        <f t="shared" si="12"/>
        <v>32.782572849455804</v>
      </c>
      <c r="K218" s="159">
        <f t="shared" si="12"/>
        <v>34.306045674162604</v>
      </c>
      <c r="L218" s="159">
        <f t="shared" si="12"/>
        <v>35.908036070326666</v>
      </c>
      <c r="M218" s="159">
        <f t="shared" si="12"/>
        <v>37.61415295892467</v>
      </c>
      <c r="N218" s="159">
        <f t="shared" si="12"/>
        <v>39.386345581558281</v>
      </c>
      <c r="O218" s="159">
        <f t="shared" si="12"/>
        <v>41.250731961836813</v>
      </c>
      <c r="P218" s="159">
        <f t="shared" si="12"/>
        <v>43.23370751086707</v>
      </c>
      <c r="Q218" s="159">
        <f t="shared" si="12"/>
        <v>45.298054570196072</v>
      </c>
      <c r="R218" s="159">
        <f t="shared" si="12"/>
        <v>47.4707736888776</v>
      </c>
      <c r="S218" s="159">
        <f t="shared" si="12"/>
        <v>49.75789291241454</v>
      </c>
      <c r="T218" s="159">
        <f t="shared" si="12"/>
        <v>52.165789713765669</v>
      </c>
    </row>
    <row r="219" spans="2:20" x14ac:dyDescent="0.25">
      <c r="B219" s="23" t="s">
        <v>2032</v>
      </c>
      <c r="C219" s="28" t="s">
        <v>493</v>
      </c>
      <c r="E219" s="44" t="s">
        <v>526</v>
      </c>
      <c r="H219" s="159">
        <f t="shared" ref="H219:T219" si="13">H64</f>
        <v>13.421705547235684</v>
      </c>
      <c r="I219" s="159">
        <f t="shared" si="13"/>
        <v>13.950545135917951</v>
      </c>
      <c r="J219" s="159">
        <f t="shared" si="13"/>
        <v>14.537513823246513</v>
      </c>
      <c r="K219" s="159">
        <f t="shared" si="13"/>
        <v>15.117541872077078</v>
      </c>
      <c r="L219" s="159">
        <f t="shared" si="13"/>
        <v>15.725130220837485</v>
      </c>
      <c r="M219" s="159">
        <f t="shared" si="13"/>
        <v>16.394851740185835</v>
      </c>
      <c r="N219" s="159">
        <f t="shared" si="13"/>
        <v>17.061852712242114</v>
      </c>
      <c r="O219" s="159">
        <f t="shared" si="13"/>
        <v>17.760862275827428</v>
      </c>
      <c r="P219" s="159">
        <f t="shared" si="13"/>
        <v>18.526694391194045</v>
      </c>
      <c r="Q219" s="159">
        <f t="shared" si="13"/>
        <v>19.294750069310869</v>
      </c>
      <c r="R219" s="159">
        <f t="shared" si="13"/>
        <v>20.100027611659119</v>
      </c>
      <c r="S219" s="159">
        <f t="shared" si="13"/>
        <v>20.944457891111341</v>
      </c>
      <c r="T219" s="159">
        <f t="shared" si="13"/>
        <v>21.830077575291654</v>
      </c>
    </row>
    <row r="220" spans="2:20" x14ac:dyDescent="0.25">
      <c r="B220" s="23" t="s">
        <v>2033</v>
      </c>
      <c r="C220" s="28" t="s">
        <v>493</v>
      </c>
      <c r="E220" s="44" t="s">
        <v>529</v>
      </c>
      <c r="H220" s="159">
        <f t="shared" ref="H220:T220" si="14">H92</f>
        <v>8.0261410826860775</v>
      </c>
      <c r="I220" s="159">
        <f t="shared" si="14"/>
        <v>8.3557264915942984</v>
      </c>
      <c r="J220" s="159">
        <f t="shared" si="14"/>
        <v>8.9557230636882625</v>
      </c>
      <c r="K220" s="159">
        <f t="shared" si="14"/>
        <v>9.2954599553179769</v>
      </c>
      <c r="L220" s="159">
        <f t="shared" si="14"/>
        <v>9.7080628742998769</v>
      </c>
      <c r="M220" s="159">
        <f t="shared" si="14"/>
        <v>10.140463027036542</v>
      </c>
      <c r="N220" s="159">
        <f t="shared" si="14"/>
        <v>10.593682271741043</v>
      </c>
      <c r="O220" s="159">
        <f t="shared" si="14"/>
        <v>11.068798447760443</v>
      </c>
      <c r="P220" s="159">
        <f t="shared" si="14"/>
        <v>11.566948578145427</v>
      </c>
      <c r="Q220" s="159">
        <f t="shared" si="14"/>
        <v>12.089332260819733</v>
      </c>
      <c r="R220" s="159">
        <f t="shared" si="14"/>
        <v>12.637215259662611</v>
      </c>
      <c r="S220" s="159">
        <f t="shared" si="14"/>
        <v>13.211933307503624</v>
      </c>
      <c r="T220" s="159">
        <f t="shared" si="14"/>
        <v>13.814896133757834</v>
      </c>
    </row>
    <row r="221" spans="2:20" x14ac:dyDescent="0.25">
      <c r="B221" s="23" t="s">
        <v>2034</v>
      </c>
      <c r="C221" s="28" t="s">
        <v>493</v>
      </c>
      <c r="E221" s="44" t="s">
        <v>532</v>
      </c>
      <c r="H221" s="159">
        <f t="shared" ref="H221:T221" si="15">H129</f>
        <v>71.161406516197346</v>
      </c>
      <c r="I221" s="159">
        <f t="shared" si="15"/>
        <v>49.098182223433184</v>
      </c>
      <c r="J221" s="159">
        <f t="shared" si="15"/>
        <v>42.926614256655796</v>
      </c>
      <c r="K221" s="159">
        <f t="shared" si="15"/>
        <v>46.065397044757553</v>
      </c>
      <c r="L221" s="159">
        <f t="shared" si="15"/>
        <v>49.441834180436111</v>
      </c>
      <c r="M221" s="159">
        <f t="shared" si="15"/>
        <v>53.074260333952886</v>
      </c>
      <c r="N221" s="159">
        <f t="shared" si="15"/>
        <v>56.982439859772299</v>
      </c>
      <c r="O221" s="159">
        <f t="shared" si="15"/>
        <v>61.187679033243683</v>
      </c>
      <c r="P221" s="159">
        <f t="shared" si="15"/>
        <v>65.712947140723287</v>
      </c>
      <c r="Q221" s="159">
        <f t="shared" si="15"/>
        <v>70.583007124157533</v>
      </c>
      <c r="R221" s="159">
        <f t="shared" si="15"/>
        <v>59.453507794507047</v>
      </c>
      <c r="S221" s="159">
        <f t="shared" si="15"/>
        <v>62.229322986933809</v>
      </c>
      <c r="T221" s="159">
        <f t="shared" si="15"/>
        <v>65.13651299998125</v>
      </c>
    </row>
    <row r="222" spans="2:20" x14ac:dyDescent="0.25">
      <c r="B222" s="23" t="s">
        <v>2035</v>
      </c>
      <c r="C222" s="28" t="s">
        <v>493</v>
      </c>
      <c r="E222" s="44" t="s">
        <v>526</v>
      </c>
      <c r="H222" s="159">
        <f t="shared" ref="H222:T222" si="16">H135</f>
        <v>0</v>
      </c>
      <c r="I222" s="159">
        <f t="shared" si="16"/>
        <v>9.514942716380725</v>
      </c>
      <c r="J222" s="159">
        <f t="shared" si="16"/>
        <v>10.03100826380831</v>
      </c>
      <c r="K222" s="159">
        <f t="shared" si="16"/>
        <v>10.578502203074237</v>
      </c>
      <c r="L222" s="159">
        <f t="shared" si="16"/>
        <v>11.159338523241457</v>
      </c>
      <c r="M222" s="159">
        <f t="shared" si="16"/>
        <v>11.775547775306864</v>
      </c>
      <c r="N222" s="159">
        <f t="shared" si="16"/>
        <v>12.429284170823051</v>
      </c>
      <c r="O222" s="159">
        <f t="shared" si="16"/>
        <v>13.122833112826179</v>
      </c>
      <c r="P222" s="159">
        <f t="shared" si="16"/>
        <v>13.85861918539729</v>
      </c>
      <c r="Q222" s="159">
        <f t="shared" si="16"/>
        <v>14.639214629787986</v>
      </c>
      <c r="R222" s="159">
        <f t="shared" si="16"/>
        <v>15.467348336742077</v>
      </c>
      <c r="S222" s="159">
        <f t="shared" si="16"/>
        <v>16.345915386449668</v>
      </c>
      <c r="T222" s="159">
        <f t="shared" si="16"/>
        <v>17.277987169484454</v>
      </c>
    </row>
    <row r="223" spans="2:20" x14ac:dyDescent="0.25">
      <c r="B223" s="23" t="s">
        <v>2036</v>
      </c>
      <c r="C223" s="28" t="s">
        <v>493</v>
      </c>
      <c r="E223" s="44" t="s">
        <v>526</v>
      </c>
      <c r="H223" s="159">
        <f t="shared" ref="H223:T223" si="17">H139</f>
        <v>0</v>
      </c>
      <c r="I223" s="159">
        <f t="shared" si="17"/>
        <v>2.4271241506568551</v>
      </c>
      <c r="J223" s="159">
        <f t="shared" si="17"/>
        <v>2.5353144714318572</v>
      </c>
      <c r="K223" s="159">
        <f t="shared" si="17"/>
        <v>2.6500935827420573</v>
      </c>
      <c r="L223" s="159">
        <f t="shared" si="17"/>
        <v>2.7718627419310486</v>
      </c>
      <c r="M223" s="159">
        <f t="shared" si="17"/>
        <v>2.9010476429146497</v>
      </c>
      <c r="N223" s="159">
        <f t="shared" si="17"/>
        <v>3.0380999043681518</v>
      </c>
      <c r="O223" s="159">
        <f t="shared" si="17"/>
        <v>3.1834986485441732</v>
      </c>
      <c r="P223" s="159">
        <f t="shared" si="17"/>
        <v>3.3377521762405129</v>
      </c>
      <c r="Q223" s="159">
        <f t="shared" si="17"/>
        <v>3.5013997437735602</v>
      </c>
      <c r="R223" s="159">
        <f t="shared" si="17"/>
        <v>3.6750134481693699</v>
      </c>
      <c r="S223" s="159">
        <f t="shared" si="17"/>
        <v>3.8592002271628854</v>
      </c>
      <c r="T223" s="159">
        <f t="shared" si="17"/>
        <v>4.0546039809971051</v>
      </c>
    </row>
    <row r="224" spans="2:20" x14ac:dyDescent="0.25">
      <c r="B224" s="23" t="s">
        <v>2037</v>
      </c>
      <c r="C224" s="28" t="s">
        <v>493</v>
      </c>
      <c r="E224" s="44" t="s">
        <v>526</v>
      </c>
      <c r="H224" s="159">
        <f t="shared" ref="H224:T224" si="18">H143</f>
        <v>0</v>
      </c>
      <c r="I224" s="159">
        <f t="shared" si="18"/>
        <v>0</v>
      </c>
      <c r="J224" s="159">
        <f t="shared" si="18"/>
        <v>0</v>
      </c>
      <c r="K224" s="159">
        <f t="shared" si="18"/>
        <v>5.3023781999999997</v>
      </c>
      <c r="L224" s="159">
        <f t="shared" si="18"/>
        <v>5.4614495459999999</v>
      </c>
      <c r="M224" s="159">
        <f t="shared" si="18"/>
        <v>5.625293032380001</v>
      </c>
      <c r="N224" s="159">
        <f t="shared" si="18"/>
        <v>5.7940518233514</v>
      </c>
      <c r="O224" s="159">
        <f t="shared" si="18"/>
        <v>5.9678733780519435</v>
      </c>
      <c r="P224" s="159">
        <f t="shared" si="18"/>
        <v>6.1469095793935011</v>
      </c>
      <c r="Q224" s="159">
        <f t="shared" si="18"/>
        <v>6.3313168667753068</v>
      </c>
      <c r="R224" s="159">
        <f t="shared" si="18"/>
        <v>6.5212563727785655</v>
      </c>
      <c r="S224" s="159">
        <f t="shared" si="18"/>
        <v>6.7168940639619237</v>
      </c>
      <c r="T224" s="159">
        <f t="shared" si="18"/>
        <v>6.9184008858807804</v>
      </c>
    </row>
    <row r="225" spans="2:20" x14ac:dyDescent="0.25">
      <c r="B225" s="23" t="s">
        <v>2038</v>
      </c>
      <c r="C225" s="28" t="s">
        <v>493</v>
      </c>
      <c r="E225" s="44" t="s">
        <v>517</v>
      </c>
      <c r="H225" s="159">
        <f t="shared" ref="H225:T225" si="19">H147</f>
        <v>0</v>
      </c>
      <c r="I225" s="159">
        <f t="shared" si="19"/>
        <v>0</v>
      </c>
      <c r="J225" s="159">
        <f t="shared" si="19"/>
        <v>0</v>
      </c>
      <c r="K225" s="159">
        <f t="shared" si="19"/>
        <v>0</v>
      </c>
      <c r="L225" s="159">
        <f t="shared" si="19"/>
        <v>0</v>
      </c>
      <c r="M225" s="159">
        <f t="shared" si="19"/>
        <v>0</v>
      </c>
      <c r="N225" s="159">
        <f t="shared" si="19"/>
        <v>0</v>
      </c>
      <c r="O225" s="159">
        <f t="shared" si="19"/>
        <v>0</v>
      </c>
      <c r="P225" s="159">
        <f t="shared" si="19"/>
        <v>0</v>
      </c>
      <c r="Q225" s="159">
        <f t="shared" si="19"/>
        <v>0</v>
      </c>
      <c r="R225" s="159">
        <f t="shared" si="19"/>
        <v>0</v>
      </c>
      <c r="S225" s="159">
        <f t="shared" si="19"/>
        <v>0</v>
      </c>
      <c r="T225" s="159">
        <f t="shared" si="19"/>
        <v>0</v>
      </c>
    </row>
    <row r="226" spans="2:20" x14ac:dyDescent="0.25">
      <c r="B226" s="23" t="s">
        <v>2039</v>
      </c>
      <c r="C226" s="28" t="s">
        <v>493</v>
      </c>
      <c r="E226" s="44" t="s">
        <v>551</v>
      </c>
      <c r="H226" s="159">
        <f t="shared" ref="H226:T226" si="20">H151</f>
        <v>0</v>
      </c>
      <c r="I226" s="159">
        <f t="shared" si="20"/>
        <v>0</v>
      </c>
      <c r="J226" s="159">
        <f t="shared" si="20"/>
        <v>0</v>
      </c>
      <c r="K226" s="159">
        <f t="shared" si="20"/>
        <v>0</v>
      </c>
      <c r="L226" s="159">
        <f t="shared" si="20"/>
        <v>0</v>
      </c>
      <c r="M226" s="159">
        <f t="shared" si="20"/>
        <v>0</v>
      </c>
      <c r="N226" s="159">
        <f t="shared" si="20"/>
        <v>0</v>
      </c>
      <c r="O226" s="159">
        <f t="shared" si="20"/>
        <v>0</v>
      </c>
      <c r="P226" s="159">
        <f t="shared" si="20"/>
        <v>0</v>
      </c>
      <c r="Q226" s="159">
        <f t="shared" si="20"/>
        <v>0</v>
      </c>
      <c r="R226" s="159">
        <f t="shared" si="20"/>
        <v>0</v>
      </c>
      <c r="S226" s="159">
        <f t="shared" si="20"/>
        <v>0</v>
      </c>
      <c r="T226" s="159">
        <f t="shared" si="20"/>
        <v>0</v>
      </c>
    </row>
    <row r="227" spans="2:20" x14ac:dyDescent="0.25">
      <c r="B227" s="23" t="s">
        <v>2040</v>
      </c>
      <c r="C227" s="28" t="s">
        <v>493</v>
      </c>
      <c r="E227" s="44" t="s">
        <v>556</v>
      </c>
      <c r="H227" s="159">
        <f t="shared" ref="H227:T227" si="21">H155</f>
        <v>0</v>
      </c>
      <c r="I227" s="159">
        <f t="shared" si="21"/>
        <v>0</v>
      </c>
      <c r="J227" s="159">
        <f t="shared" si="21"/>
        <v>0</v>
      </c>
      <c r="K227" s="159">
        <f t="shared" si="21"/>
        <v>0</v>
      </c>
      <c r="L227" s="159">
        <f t="shared" si="21"/>
        <v>15.060366036570924</v>
      </c>
      <c r="M227" s="159">
        <f t="shared" si="21"/>
        <v>18.293330967567442</v>
      </c>
      <c r="N227" s="159">
        <f t="shared" si="21"/>
        <v>20.331384195423436</v>
      </c>
      <c r="O227" s="159">
        <f t="shared" si="21"/>
        <v>23.455629098209837</v>
      </c>
      <c r="P227" s="159">
        <f t="shared" si="21"/>
        <v>25.179645829240791</v>
      </c>
      <c r="Q227" s="159">
        <f t="shared" si="21"/>
        <v>26.987302524079226</v>
      </c>
      <c r="R227" s="159">
        <f t="shared" si="21"/>
        <v>28.932476872844543</v>
      </c>
      <c r="S227" s="159">
        <f t="shared" si="21"/>
        <v>32.887630952372412</v>
      </c>
      <c r="T227" s="159">
        <f t="shared" si="21"/>
        <v>35.276654045694144</v>
      </c>
    </row>
    <row r="228" spans="2:20" x14ac:dyDescent="0.25">
      <c r="B228" s="23" t="s">
        <v>2041</v>
      </c>
      <c r="C228" s="28" t="s">
        <v>493</v>
      </c>
      <c r="E228" s="44" t="s">
        <v>529</v>
      </c>
      <c r="H228" s="159">
        <f t="shared" ref="H228:T228" si="22">H159</f>
        <v>0</v>
      </c>
      <c r="I228" s="159">
        <f t="shared" si="22"/>
        <v>0</v>
      </c>
      <c r="J228" s="159">
        <f t="shared" si="22"/>
        <v>0.45621999999999979</v>
      </c>
      <c r="K228" s="159">
        <f t="shared" si="22"/>
        <v>1.265716970099966</v>
      </c>
      <c r="L228" s="159">
        <f t="shared" si="22"/>
        <v>1.4988468745802355</v>
      </c>
      <c r="M228" s="159">
        <f t="shared" si="22"/>
        <v>1.7454030277472206</v>
      </c>
      <c r="N228" s="159">
        <f t="shared" si="22"/>
        <v>2.0059874461762481</v>
      </c>
      <c r="O228" s="159">
        <f t="shared" si="22"/>
        <v>2.2812264173360459</v>
      </c>
      <c r="P228" s="159">
        <f t="shared" si="22"/>
        <v>2.5717714227072737</v>
      </c>
      <c r="Q228" s="159">
        <f t="shared" si="22"/>
        <v>2.8783000947658786</v>
      </c>
      <c r="R228" s="159">
        <f t="shared" si="22"/>
        <v>3.2015172090442521</v>
      </c>
      <c r="S228" s="159">
        <f t="shared" si="22"/>
        <v>0.45621999999999979</v>
      </c>
      <c r="T228" s="159">
        <f t="shared" si="22"/>
        <v>0.45621999999999979</v>
      </c>
    </row>
    <row r="229" spans="2:20" x14ac:dyDescent="0.25">
      <c r="B229" s="23" t="s">
        <v>2042</v>
      </c>
      <c r="C229" s="28" t="s">
        <v>493</v>
      </c>
      <c r="E229" s="44" t="s">
        <v>517</v>
      </c>
      <c r="H229" s="159">
        <f t="shared" ref="H229:T229" si="23">H163</f>
        <v>0</v>
      </c>
      <c r="I229" s="159">
        <f t="shared" si="23"/>
        <v>0</v>
      </c>
      <c r="J229" s="159">
        <f t="shared" si="23"/>
        <v>0</v>
      </c>
      <c r="K229" s="159">
        <f t="shared" si="23"/>
        <v>0</v>
      </c>
      <c r="L229" s="159">
        <f t="shared" si="23"/>
        <v>0</v>
      </c>
      <c r="M229" s="159">
        <f t="shared" si="23"/>
        <v>0</v>
      </c>
      <c r="N229" s="159">
        <f t="shared" si="23"/>
        <v>0</v>
      </c>
      <c r="O229" s="159">
        <f t="shared" si="23"/>
        <v>0</v>
      </c>
      <c r="P229" s="159">
        <f t="shared" si="23"/>
        <v>0</v>
      </c>
      <c r="Q229" s="159">
        <f t="shared" si="23"/>
        <v>0</v>
      </c>
      <c r="R229" s="159">
        <f t="shared" si="23"/>
        <v>0</v>
      </c>
      <c r="S229" s="159">
        <f t="shared" si="23"/>
        <v>0</v>
      </c>
      <c r="T229" s="159">
        <f t="shared" si="23"/>
        <v>0</v>
      </c>
    </row>
    <row r="230" spans="2:20" x14ac:dyDescent="0.25">
      <c r="B230" s="23" t="s">
        <v>2043</v>
      </c>
      <c r="C230" s="28" t="s">
        <v>493</v>
      </c>
      <c r="E230" s="44" t="s">
        <v>526</v>
      </c>
      <c r="H230" s="159">
        <f t="shared" ref="H230:T230" si="24">H166</f>
        <v>0</v>
      </c>
      <c r="I230" s="159">
        <f t="shared" si="24"/>
        <v>0</v>
      </c>
      <c r="J230" s="159">
        <f t="shared" si="24"/>
        <v>0</v>
      </c>
      <c r="K230" s="159">
        <f t="shared" si="24"/>
        <v>0</v>
      </c>
      <c r="L230" s="159">
        <f t="shared" si="24"/>
        <v>0</v>
      </c>
      <c r="M230" s="159">
        <f t="shared" si="24"/>
        <v>0</v>
      </c>
      <c r="N230" s="159">
        <f t="shared" si="24"/>
        <v>0</v>
      </c>
      <c r="O230" s="159">
        <f t="shared" si="24"/>
        <v>0</v>
      </c>
      <c r="P230" s="159">
        <f t="shared" si="24"/>
        <v>0</v>
      </c>
      <c r="Q230" s="159">
        <f t="shared" si="24"/>
        <v>0</v>
      </c>
      <c r="R230" s="159">
        <f t="shared" si="24"/>
        <v>0</v>
      </c>
      <c r="S230" s="159">
        <f t="shared" si="24"/>
        <v>0</v>
      </c>
      <c r="T230" s="159">
        <f t="shared" si="24"/>
        <v>0</v>
      </c>
    </row>
    <row r="231" spans="2:20" x14ac:dyDescent="0.25">
      <c r="B231" s="23" t="s">
        <v>2044</v>
      </c>
      <c r="C231" s="28" t="s">
        <v>493</v>
      </c>
      <c r="E231" s="44" t="s">
        <v>556</v>
      </c>
      <c r="H231" s="159">
        <f t="shared" ref="H231:T231" si="25">H169</f>
        <v>0</v>
      </c>
      <c r="I231" s="159">
        <f t="shared" si="25"/>
        <v>0</v>
      </c>
      <c r="J231" s="159">
        <f t="shared" si="25"/>
        <v>0</v>
      </c>
      <c r="K231" s="159">
        <f t="shared" si="25"/>
        <v>0</v>
      </c>
      <c r="L231" s="159">
        <f t="shared" si="25"/>
        <v>0</v>
      </c>
      <c r="M231" s="159">
        <f t="shared" si="25"/>
        <v>0</v>
      </c>
      <c r="N231" s="159">
        <f t="shared" si="25"/>
        <v>0</v>
      </c>
      <c r="O231" s="159">
        <f t="shared" si="25"/>
        <v>0</v>
      </c>
      <c r="P231" s="159">
        <f t="shared" si="25"/>
        <v>0</v>
      </c>
      <c r="Q231" s="159">
        <f t="shared" si="25"/>
        <v>0</v>
      </c>
      <c r="R231" s="159">
        <f t="shared" si="25"/>
        <v>0</v>
      </c>
      <c r="S231" s="159">
        <f t="shared" si="25"/>
        <v>0</v>
      </c>
      <c r="T231" s="159">
        <f t="shared" si="25"/>
        <v>0</v>
      </c>
    </row>
    <row r="232" spans="2:20" x14ac:dyDescent="0.25">
      <c r="B232" s="23" t="s">
        <v>2045</v>
      </c>
      <c r="C232" s="28" t="s">
        <v>493</v>
      </c>
      <c r="E232" s="44" t="s">
        <v>529</v>
      </c>
      <c r="H232" s="159">
        <f t="shared" ref="H232:T232" si="26">H172</f>
        <v>0</v>
      </c>
      <c r="I232" s="159">
        <f t="shared" si="26"/>
        <v>0</v>
      </c>
      <c r="J232" s="159">
        <f t="shared" si="26"/>
        <v>0</v>
      </c>
      <c r="K232" s="159">
        <f t="shared" si="26"/>
        <v>0</v>
      </c>
      <c r="L232" s="159">
        <f t="shared" si="26"/>
        <v>0</v>
      </c>
      <c r="M232" s="159">
        <f t="shared" si="26"/>
        <v>0</v>
      </c>
      <c r="N232" s="159">
        <f t="shared" si="26"/>
        <v>0</v>
      </c>
      <c r="O232" s="159">
        <f t="shared" si="26"/>
        <v>0</v>
      </c>
      <c r="P232" s="159">
        <f t="shared" si="26"/>
        <v>0</v>
      </c>
      <c r="Q232" s="159">
        <f t="shared" si="26"/>
        <v>0</v>
      </c>
      <c r="R232" s="159">
        <f t="shared" si="26"/>
        <v>0</v>
      </c>
      <c r="S232" s="159">
        <f t="shared" si="26"/>
        <v>0</v>
      </c>
      <c r="T232" s="159">
        <f t="shared" si="26"/>
        <v>0</v>
      </c>
    </row>
    <row r="233" spans="2:20" x14ac:dyDescent="0.25">
      <c r="B233" s="23" t="s">
        <v>2046</v>
      </c>
      <c r="C233" s="28" t="s">
        <v>493</v>
      </c>
      <c r="E233" s="44" t="s">
        <v>517</v>
      </c>
      <c r="H233" s="29">
        <f>'BUMN Synergy Calculation'!H35</f>
        <v>0</v>
      </c>
      <c r="I233" s="29">
        <f>'BUMN Synergy Calculation'!I35</f>
        <v>0</v>
      </c>
      <c r="J233" s="29">
        <f>'BUMN Synergy Calculation'!J35</f>
        <v>0</v>
      </c>
      <c r="K233" s="29">
        <f>'BUMN Synergy Calculation'!K35</f>
        <v>0</v>
      </c>
      <c r="L233" s="29">
        <f>'BUMN Synergy Calculation'!L35</f>
        <v>0</v>
      </c>
      <c r="M233" s="29">
        <f>'BUMN Synergy Calculation'!M35</f>
        <v>0</v>
      </c>
      <c r="N233" s="29">
        <f>'BUMN Synergy Calculation'!N35</f>
        <v>0</v>
      </c>
      <c r="O233" s="29">
        <f>'BUMN Synergy Calculation'!O35</f>
        <v>0</v>
      </c>
      <c r="P233" s="29">
        <f>'BUMN Synergy Calculation'!P35</f>
        <v>0</v>
      </c>
      <c r="Q233" s="29">
        <f>'BUMN Synergy Calculation'!Q35</f>
        <v>0</v>
      </c>
      <c r="R233" s="29">
        <f>'BUMN Synergy Calculation'!R35</f>
        <v>0</v>
      </c>
      <c r="S233" s="29">
        <f>'BUMN Synergy Calculation'!S35</f>
        <v>0</v>
      </c>
      <c r="T233" s="29">
        <f>'BUMN Synergy Calculation'!T35</f>
        <v>0</v>
      </c>
    </row>
    <row r="234" spans="2:20" x14ac:dyDescent="0.25">
      <c r="B234" s="23" t="s">
        <v>2047</v>
      </c>
      <c r="C234" s="28" t="s">
        <v>493</v>
      </c>
      <c r="E234" s="44" t="s">
        <v>526</v>
      </c>
      <c r="H234" s="29">
        <f>'BUMN Synergy Calculation'!H60</f>
        <v>0</v>
      </c>
      <c r="I234" s="29">
        <f>'BUMN Synergy Calculation'!I60</f>
        <v>0</v>
      </c>
      <c r="J234" s="29">
        <f>'BUMN Synergy Calculation'!J60</f>
        <v>0</v>
      </c>
      <c r="K234" s="29">
        <f>'BUMN Synergy Calculation'!K60</f>
        <v>0</v>
      </c>
      <c r="L234" s="29">
        <f>'BUMN Synergy Calculation'!L60</f>
        <v>0</v>
      </c>
      <c r="M234" s="29">
        <f>'BUMN Synergy Calculation'!M60</f>
        <v>0</v>
      </c>
      <c r="N234" s="29">
        <f>'BUMN Synergy Calculation'!N60</f>
        <v>0</v>
      </c>
      <c r="O234" s="29">
        <f>'BUMN Synergy Calculation'!O60</f>
        <v>0</v>
      </c>
      <c r="P234" s="29">
        <f>'BUMN Synergy Calculation'!P60</f>
        <v>0</v>
      </c>
      <c r="Q234" s="29">
        <f>'BUMN Synergy Calculation'!Q60</f>
        <v>0</v>
      </c>
      <c r="R234" s="29">
        <f>'BUMN Synergy Calculation'!R60</f>
        <v>0</v>
      </c>
      <c r="S234" s="29">
        <f>'BUMN Synergy Calculation'!S60</f>
        <v>0</v>
      </c>
      <c r="T234" s="29">
        <f>'BUMN Synergy Calculation'!T60</f>
        <v>0</v>
      </c>
    </row>
    <row r="235" spans="2:20" x14ac:dyDescent="0.25">
      <c r="B235" s="23" t="s">
        <v>2048</v>
      </c>
      <c r="C235" s="28" t="s">
        <v>493</v>
      </c>
      <c r="E235" s="44" t="s">
        <v>529</v>
      </c>
      <c r="H235" s="29">
        <f>'BUMN Synergy Calculation'!H82</f>
        <v>0</v>
      </c>
      <c r="I235" s="29">
        <f>'BUMN Synergy Calculation'!I82</f>
        <v>0</v>
      </c>
      <c r="J235" s="29">
        <f>'BUMN Synergy Calculation'!J82</f>
        <v>0</v>
      </c>
      <c r="K235" s="29">
        <f>'BUMN Synergy Calculation'!K82</f>
        <v>0</v>
      </c>
      <c r="L235" s="29">
        <f>'BUMN Synergy Calculation'!L82</f>
        <v>0</v>
      </c>
      <c r="M235" s="29">
        <f>'BUMN Synergy Calculation'!M82</f>
        <v>0</v>
      </c>
      <c r="N235" s="29">
        <f>'BUMN Synergy Calculation'!N82</f>
        <v>0</v>
      </c>
      <c r="O235" s="29">
        <f>'BUMN Synergy Calculation'!O82</f>
        <v>0</v>
      </c>
      <c r="P235" s="29">
        <f>'BUMN Synergy Calculation'!P82</f>
        <v>0</v>
      </c>
      <c r="Q235" s="29">
        <f>'BUMN Synergy Calculation'!Q82</f>
        <v>0</v>
      </c>
      <c r="R235" s="29">
        <f>'BUMN Synergy Calculation'!R82</f>
        <v>0</v>
      </c>
      <c r="S235" s="29">
        <f>'BUMN Synergy Calculation'!S82</f>
        <v>0</v>
      </c>
      <c r="T235" s="29">
        <f>'BUMN Synergy Calculation'!T82</f>
        <v>0</v>
      </c>
    </row>
    <row r="236" spans="2:20" x14ac:dyDescent="0.25">
      <c r="B236" s="23" t="s">
        <v>2049</v>
      </c>
      <c r="C236" s="28" t="s">
        <v>493</v>
      </c>
      <c r="E236" s="44" t="s">
        <v>583</v>
      </c>
      <c r="H236" s="159">
        <f t="shared" ref="H236:T236" si="27">H176</f>
        <v>0</v>
      </c>
      <c r="I236" s="159">
        <f t="shared" si="27"/>
        <v>0</v>
      </c>
      <c r="J236" s="159">
        <f t="shared" si="27"/>
        <v>0</v>
      </c>
      <c r="K236" s="159">
        <f t="shared" si="27"/>
        <v>0</v>
      </c>
      <c r="L236" s="159">
        <f t="shared" si="27"/>
        <v>0</v>
      </c>
      <c r="M236" s="159">
        <f t="shared" si="27"/>
        <v>0</v>
      </c>
      <c r="N236" s="159">
        <f t="shared" si="27"/>
        <v>0</v>
      </c>
      <c r="O236" s="159">
        <f t="shared" si="27"/>
        <v>0</v>
      </c>
      <c r="P236" s="159">
        <f t="shared" si="27"/>
        <v>0</v>
      </c>
      <c r="Q236" s="159">
        <f t="shared" si="27"/>
        <v>0</v>
      </c>
      <c r="R236" s="159">
        <f t="shared" si="27"/>
        <v>0</v>
      </c>
      <c r="S236" s="159">
        <f t="shared" si="27"/>
        <v>0</v>
      </c>
      <c r="T236" s="159">
        <f t="shared" si="27"/>
        <v>0</v>
      </c>
    </row>
    <row r="237" spans="2:20" x14ac:dyDescent="0.25">
      <c r="B237" s="23" t="str">
        <f>"P16  "&amp;Inputs!$E$605</f>
        <v>P16  Lampung</v>
      </c>
      <c r="C237" s="28" t="s">
        <v>493</v>
      </c>
      <c r="E237" s="44" t="s">
        <v>587</v>
      </c>
      <c r="H237" s="159">
        <f t="shared" ref="H237:T237" si="28">H184</f>
        <v>0</v>
      </c>
      <c r="I237" s="159">
        <f t="shared" si="28"/>
        <v>0</v>
      </c>
      <c r="J237" s="159">
        <f t="shared" si="28"/>
        <v>0</v>
      </c>
      <c r="K237" s="159">
        <f t="shared" si="28"/>
        <v>0</v>
      </c>
      <c r="L237" s="159">
        <f t="shared" si="28"/>
        <v>0</v>
      </c>
      <c r="M237" s="159">
        <f t="shared" si="28"/>
        <v>0</v>
      </c>
      <c r="N237" s="159">
        <f t="shared" si="28"/>
        <v>0</v>
      </c>
      <c r="O237" s="159">
        <f t="shared" si="28"/>
        <v>0</v>
      </c>
      <c r="P237" s="159">
        <f t="shared" si="28"/>
        <v>0</v>
      </c>
      <c r="Q237" s="159">
        <f t="shared" si="28"/>
        <v>0</v>
      </c>
      <c r="R237" s="159">
        <f t="shared" si="28"/>
        <v>0</v>
      </c>
      <c r="S237" s="159">
        <f t="shared" si="28"/>
        <v>0</v>
      </c>
      <c r="T237" s="159">
        <f t="shared" si="28"/>
        <v>0</v>
      </c>
    </row>
    <row r="238" spans="2:20" x14ac:dyDescent="0.25">
      <c r="B238" s="23" t="str">
        <f>"P17  "&amp;Inputs!$E$639</f>
        <v>P17  Pipeline Project 2</v>
      </c>
      <c r="C238" s="28" t="s">
        <v>493</v>
      </c>
      <c r="E238" s="44" t="s">
        <v>590</v>
      </c>
      <c r="H238" s="159">
        <f t="shared" ref="H238:T238" si="29">H190</f>
        <v>0</v>
      </c>
      <c r="I238" s="159">
        <f t="shared" si="29"/>
        <v>0</v>
      </c>
      <c r="J238" s="159">
        <f t="shared" si="29"/>
        <v>0</v>
      </c>
      <c r="K238" s="159">
        <f t="shared" si="29"/>
        <v>0</v>
      </c>
      <c r="L238" s="159">
        <f t="shared" si="29"/>
        <v>0</v>
      </c>
      <c r="M238" s="159">
        <f t="shared" si="29"/>
        <v>0</v>
      </c>
      <c r="N238" s="159">
        <f t="shared" si="29"/>
        <v>0</v>
      </c>
      <c r="O238" s="159">
        <f t="shared" si="29"/>
        <v>0</v>
      </c>
      <c r="P238" s="159">
        <f t="shared" si="29"/>
        <v>0</v>
      </c>
      <c r="Q238" s="159">
        <f t="shared" si="29"/>
        <v>0</v>
      </c>
      <c r="R238" s="159">
        <f t="shared" si="29"/>
        <v>0</v>
      </c>
      <c r="S238" s="159">
        <f t="shared" si="29"/>
        <v>0</v>
      </c>
      <c r="T238" s="159">
        <f t="shared" si="29"/>
        <v>0</v>
      </c>
    </row>
    <row r="239" spans="2:20" x14ac:dyDescent="0.25">
      <c r="B239" s="23" t="str">
        <f>"P18  "&amp;Inputs!$E$673</f>
        <v>P18  Pipeline Project 3</v>
      </c>
      <c r="C239" s="28" t="s">
        <v>493</v>
      </c>
      <c r="E239" s="44" t="s">
        <v>592</v>
      </c>
      <c r="H239" s="159">
        <f t="shared" ref="H239:T239" si="30">H196</f>
        <v>0</v>
      </c>
      <c r="I239" s="159">
        <f t="shared" si="30"/>
        <v>0</v>
      </c>
      <c r="J239" s="159">
        <f t="shared" si="30"/>
        <v>0</v>
      </c>
      <c r="K239" s="159">
        <f t="shared" si="30"/>
        <v>0</v>
      </c>
      <c r="L239" s="159">
        <f t="shared" si="30"/>
        <v>0</v>
      </c>
      <c r="M239" s="159">
        <f t="shared" si="30"/>
        <v>0</v>
      </c>
      <c r="N239" s="159">
        <f t="shared" si="30"/>
        <v>0</v>
      </c>
      <c r="O239" s="159">
        <f t="shared" si="30"/>
        <v>0</v>
      </c>
      <c r="P239" s="159">
        <f t="shared" si="30"/>
        <v>0</v>
      </c>
      <c r="Q239" s="159">
        <f t="shared" si="30"/>
        <v>0</v>
      </c>
      <c r="R239" s="159">
        <f t="shared" si="30"/>
        <v>0</v>
      </c>
      <c r="S239" s="159">
        <f t="shared" si="30"/>
        <v>0</v>
      </c>
      <c r="T239" s="159">
        <f t="shared" si="30"/>
        <v>0</v>
      </c>
    </row>
    <row r="240" spans="2:20" x14ac:dyDescent="0.25">
      <c r="B240" s="23" t="s">
        <v>2050</v>
      </c>
      <c r="C240" s="28" t="s">
        <v>493</v>
      </c>
      <c r="E240" s="44" t="s">
        <v>596</v>
      </c>
      <c r="H240" s="159">
        <f t="shared" ref="H240:T240" si="31">H212</f>
        <v>0</v>
      </c>
      <c r="I240" s="159">
        <f t="shared" si="31"/>
        <v>0</v>
      </c>
      <c r="J240" s="159">
        <f t="shared" si="31"/>
        <v>0</v>
      </c>
      <c r="K240" s="159">
        <f t="shared" si="31"/>
        <v>0</v>
      </c>
      <c r="L240" s="159">
        <f t="shared" si="31"/>
        <v>0</v>
      </c>
      <c r="M240" s="159">
        <f t="shared" si="31"/>
        <v>15.487250000000001</v>
      </c>
      <c r="N240" s="159">
        <f t="shared" si="31"/>
        <v>17.1875</v>
      </c>
      <c r="O240" s="159">
        <f t="shared" si="31"/>
        <v>18.321000000000002</v>
      </c>
      <c r="P240" s="159">
        <f t="shared" si="31"/>
        <v>18.88775</v>
      </c>
      <c r="Q240" s="159">
        <f t="shared" si="31"/>
        <v>18.88775</v>
      </c>
      <c r="R240" s="159">
        <f t="shared" si="31"/>
        <v>18.88775</v>
      </c>
      <c r="S240" s="159">
        <f t="shared" si="31"/>
        <v>18.88775</v>
      </c>
      <c r="T240" s="159">
        <f t="shared" si="31"/>
        <v>18.88775</v>
      </c>
    </row>
    <row r="241" spans="2:20" x14ac:dyDescent="0.25">
      <c r="B241" s="21" t="s">
        <v>2231</v>
      </c>
      <c r="C241" s="28" t="s">
        <v>493</v>
      </c>
      <c r="G241" s="157"/>
      <c r="H241" s="158">
        <f t="shared" ref="H241:T241" si="32">H218+H219+H220+H221+H222+H223+H224+H225+H226+H227+H228+H229+H230+H231+H232+H236+H237+H238+H239+H240</f>
        <v>122.54305842795951</v>
      </c>
      <c r="I241" s="158">
        <f t="shared" si="32"/>
        <v>114.65876282442217</v>
      </c>
      <c r="J241" s="158">
        <f t="shared" si="32"/>
        <v>112.22496672828655</v>
      </c>
      <c r="K241" s="158">
        <f t="shared" si="32"/>
        <v>124.58113550223146</v>
      </c>
      <c r="L241" s="158">
        <f t="shared" si="32"/>
        <v>146.73492706822378</v>
      </c>
      <c r="M241" s="158">
        <f t="shared" si="32"/>
        <v>173.05160050601611</v>
      </c>
      <c r="N241" s="158">
        <f t="shared" si="32"/>
        <v>184.81062796545601</v>
      </c>
      <c r="O241" s="158">
        <f t="shared" si="32"/>
        <v>197.60013237363654</v>
      </c>
      <c r="P241" s="158">
        <f t="shared" si="32"/>
        <v>209.02274581390924</v>
      </c>
      <c r="Q241" s="158">
        <f t="shared" si="32"/>
        <v>220.49042788366614</v>
      </c>
      <c r="R241" s="158">
        <f t="shared" si="32"/>
        <v>216.34688659428522</v>
      </c>
      <c r="S241" s="158">
        <f t="shared" si="32"/>
        <v>225.29721772791021</v>
      </c>
      <c r="T241" s="158">
        <f t="shared" si="32"/>
        <v>235.8188925048529</v>
      </c>
    </row>
    <row r="242" spans="2:20" ht="26.25" customHeight="1" x14ac:dyDescent="0.25">
      <c r="B242" s="133" t="s">
        <v>2232</v>
      </c>
      <c r="C242" s="28" t="s">
        <v>493</v>
      </c>
      <c r="H242" s="160">
        <f t="shared" ref="H242:T242" si="33">H233+H234+H235</f>
        <v>0</v>
      </c>
      <c r="I242" s="160">
        <f t="shared" si="33"/>
        <v>0</v>
      </c>
      <c r="J242" s="160">
        <f t="shared" si="33"/>
        <v>0</v>
      </c>
      <c r="K242" s="160">
        <f t="shared" si="33"/>
        <v>0</v>
      </c>
      <c r="L242" s="160">
        <f t="shared" si="33"/>
        <v>0</v>
      </c>
      <c r="M242" s="160">
        <f t="shared" si="33"/>
        <v>0</v>
      </c>
      <c r="N242" s="160">
        <f t="shared" si="33"/>
        <v>0</v>
      </c>
      <c r="O242" s="160">
        <f t="shared" si="33"/>
        <v>0</v>
      </c>
      <c r="P242" s="160">
        <f t="shared" si="33"/>
        <v>0</v>
      </c>
      <c r="Q242" s="160">
        <f t="shared" si="33"/>
        <v>0</v>
      </c>
      <c r="R242" s="160">
        <f t="shared" si="33"/>
        <v>0</v>
      </c>
      <c r="S242" s="160">
        <f t="shared" si="33"/>
        <v>0</v>
      </c>
      <c r="T242" s="160">
        <f t="shared" si="33"/>
        <v>0</v>
      </c>
    </row>
    <row r="243" spans="2:20" x14ac:dyDescent="0.25">
      <c r="B243" s="21" t="s">
        <v>2233</v>
      </c>
      <c r="C243" s="28" t="s">
        <v>493</v>
      </c>
      <c r="G243" s="157"/>
      <c r="H243" s="158">
        <f t="shared" ref="H243:T243" si="34">H241+H242</f>
        <v>122.54305842795951</v>
      </c>
      <c r="I243" s="158">
        <f t="shared" si="34"/>
        <v>114.65876282442217</v>
      </c>
      <c r="J243" s="158">
        <f t="shared" si="34"/>
        <v>112.22496672828655</v>
      </c>
      <c r="K243" s="158">
        <f t="shared" si="34"/>
        <v>124.58113550223146</v>
      </c>
      <c r="L243" s="158">
        <f t="shared" si="34"/>
        <v>146.73492706822378</v>
      </c>
      <c r="M243" s="158">
        <f t="shared" si="34"/>
        <v>173.05160050601611</v>
      </c>
      <c r="N243" s="158">
        <f t="shared" si="34"/>
        <v>184.81062796545601</v>
      </c>
      <c r="O243" s="158">
        <f t="shared" si="34"/>
        <v>197.60013237363654</v>
      </c>
      <c r="P243" s="158">
        <f t="shared" si="34"/>
        <v>209.02274581390924</v>
      </c>
      <c r="Q243" s="158">
        <f t="shared" si="34"/>
        <v>220.49042788366614</v>
      </c>
      <c r="R243" s="158">
        <f t="shared" si="34"/>
        <v>216.34688659428522</v>
      </c>
      <c r="S243" s="158">
        <f t="shared" si="34"/>
        <v>225.29721772791021</v>
      </c>
      <c r="T243" s="158">
        <f t="shared" si="34"/>
        <v>235.8188925048529</v>
      </c>
    </row>
    <row r="244" spans="2:20" x14ac:dyDescent="0.25">
      <c r="B244" s="154" t="s">
        <v>2234</v>
      </c>
    </row>
    <row r="245" spans="2:20" x14ac:dyDescent="0.25">
      <c r="B245" s="23" t="s">
        <v>2031</v>
      </c>
      <c r="C245" s="28" t="s">
        <v>493</v>
      </c>
      <c r="E245" s="44" t="s">
        <v>517</v>
      </c>
      <c r="H245" s="159">
        <f t="shared" ref="H245:T245" si="35">H34</f>
        <v>13.993896484164592</v>
      </c>
      <c r="I245" s="159">
        <f t="shared" si="35"/>
        <v>14.400581615140439</v>
      </c>
      <c r="J245" s="159">
        <f t="shared" si="35"/>
        <v>14.819204664774587</v>
      </c>
      <c r="K245" s="159">
        <f t="shared" si="35"/>
        <v>15.250118517921356</v>
      </c>
      <c r="L245" s="159">
        <f t="shared" si="35"/>
        <v>15.693686540926597</v>
      </c>
      <c r="M245" s="159">
        <f t="shared" si="35"/>
        <v>16.150282893971351</v>
      </c>
      <c r="N245" s="159">
        <f t="shared" si="35"/>
        <v>16.620292852743781</v>
      </c>
      <c r="O245" s="159">
        <f t="shared" si="35"/>
        <v>17.104113139718446</v>
      </c>
      <c r="P245" s="159">
        <f t="shared" si="35"/>
        <v>17.602152265330204</v>
      </c>
      <c r="Q245" s="159">
        <f t="shared" si="35"/>
        <v>18.114830879338726</v>
      </c>
      <c r="R245" s="159">
        <f t="shared" si="35"/>
        <v>18.642582132688467</v>
      </c>
      <c r="S245" s="159">
        <f t="shared" si="35"/>
        <v>19.185852050178095</v>
      </c>
      <c r="T245" s="159">
        <f t="shared" si="35"/>
        <v>19.7450999142626</v>
      </c>
    </row>
    <row r="246" spans="2:20" x14ac:dyDescent="0.25">
      <c r="B246" s="23" t="s">
        <v>2032</v>
      </c>
      <c r="C246" s="28" t="s">
        <v>493</v>
      </c>
      <c r="E246" s="44" t="s">
        <v>526</v>
      </c>
      <c r="H246" s="159">
        <f t="shared" ref="H246:T246" si="36">H65</f>
        <v>9.1526681838109827</v>
      </c>
      <c r="I246" s="159">
        <f t="shared" si="36"/>
        <v>9.4488472204361091</v>
      </c>
      <c r="J246" s="159">
        <f t="shared" si="36"/>
        <v>9.7546753384197089</v>
      </c>
      <c r="K246" s="159">
        <f t="shared" si="36"/>
        <v>10.07046889497304</v>
      </c>
      <c r="L246" s="159">
        <f t="shared" si="36"/>
        <v>10.396554682088897</v>
      </c>
      <c r="M246" s="159">
        <f t="shared" si="36"/>
        <v>10.733270272689301</v>
      </c>
      <c r="N246" s="159">
        <f t="shared" si="36"/>
        <v>11.080964378317507</v>
      </c>
      <c r="O246" s="159">
        <f t="shared" si="36"/>
        <v>11.439997218761297</v>
      </c>
      <c r="P246" s="159">
        <f t="shared" si="36"/>
        <v>11.810740904007492</v>
      </c>
      <c r="Q246" s="159">
        <f t="shared" si="36"/>
        <v>12.1935798289412</v>
      </c>
      <c r="R246" s="159">
        <f t="shared" si="36"/>
        <v>12.588911081217127</v>
      </c>
      <c r="S246" s="159">
        <f t="shared" si="36"/>
        <v>12.997144862744747</v>
      </c>
      <c r="T246" s="159">
        <f t="shared" si="36"/>
        <v>13.418704925244016</v>
      </c>
    </row>
    <row r="247" spans="2:20" x14ac:dyDescent="0.25">
      <c r="B247" s="23" t="s">
        <v>2033</v>
      </c>
      <c r="C247" s="28" t="s">
        <v>493</v>
      </c>
      <c r="E247" s="44" t="s">
        <v>529</v>
      </c>
      <c r="H247" s="159">
        <f t="shared" ref="H247:T247" si="37">H93</f>
        <v>3.0717537533632</v>
      </c>
      <c r="I247" s="159">
        <f t="shared" si="37"/>
        <v>3.1589970459708732</v>
      </c>
      <c r="J247" s="159">
        <f t="shared" si="37"/>
        <v>3.2487703955550713</v>
      </c>
      <c r="K247" s="159">
        <f t="shared" si="37"/>
        <v>3.341148342049991</v>
      </c>
      <c r="L247" s="159">
        <f t="shared" si="37"/>
        <v>3.4362076477594869</v>
      </c>
      <c r="M247" s="159">
        <f t="shared" si="37"/>
        <v>3.5340273642208411</v>
      </c>
      <c r="N247" s="159">
        <f t="shared" si="37"/>
        <v>3.6346889010947288</v>
      </c>
      <c r="O247" s="159">
        <f t="shared" si="37"/>
        <v>3.7382760971431312</v>
      </c>
      <c r="P247" s="159">
        <f t="shared" si="37"/>
        <v>3.8448752933588799</v>
      </c>
      <c r="Q247" s="159">
        <f t="shared" si="37"/>
        <v>3.9545754083124063</v>
      </c>
      <c r="R247" s="159">
        <f t="shared" si="37"/>
        <v>4.0674680157833558</v>
      </c>
      <c r="S247" s="159">
        <f t="shared" si="37"/>
        <v>4.183647424746729</v>
      </c>
      <c r="T247" s="159">
        <f t="shared" si="37"/>
        <v>4.3032107617854001</v>
      </c>
    </row>
    <row r="248" spans="2:20" x14ac:dyDescent="0.25">
      <c r="B248" s="23" t="s">
        <v>2034</v>
      </c>
      <c r="C248" s="28" t="s">
        <v>493</v>
      </c>
      <c r="E248" s="44" t="s">
        <v>532</v>
      </c>
      <c r="H248" s="159">
        <f t="shared" ref="H248:T248" si="38">H130</f>
        <v>2.2917843231525996</v>
      </c>
      <c r="I248" s="159">
        <f t="shared" si="38"/>
        <v>2.3147021663841261</v>
      </c>
      <c r="J248" s="159">
        <f t="shared" si="38"/>
        <v>2.3378491880479673</v>
      </c>
      <c r="K248" s="159">
        <f t="shared" si="38"/>
        <v>2.3612276799284464</v>
      </c>
      <c r="L248" s="159">
        <f t="shared" si="38"/>
        <v>2.3848399567277312</v>
      </c>
      <c r="M248" s="159">
        <f t="shared" si="38"/>
        <v>2.4086883562950097</v>
      </c>
      <c r="N248" s="159">
        <f t="shared" si="38"/>
        <v>2.4327752398579596</v>
      </c>
      <c r="O248" s="159">
        <f t="shared" si="38"/>
        <v>2.4571029922565391</v>
      </c>
      <c r="P248" s="159">
        <f t="shared" si="38"/>
        <v>2.4816740221791038</v>
      </c>
      <c r="Q248" s="159">
        <f t="shared" si="38"/>
        <v>2.5064907624008939</v>
      </c>
      <c r="R248" s="159">
        <f t="shared" si="38"/>
        <v>2.531555670024904</v>
      </c>
      <c r="S248" s="159">
        <f t="shared" si="38"/>
        <v>2.5568712267251534</v>
      </c>
      <c r="T248" s="159">
        <f t="shared" si="38"/>
        <v>2.5824399389924042</v>
      </c>
    </row>
    <row r="249" spans="2:20" x14ac:dyDescent="0.25">
      <c r="B249" s="23" t="s">
        <v>2035</v>
      </c>
      <c r="C249" s="28" t="s">
        <v>493</v>
      </c>
      <c r="E249" s="44" t="s">
        <v>526</v>
      </c>
      <c r="H249" s="159">
        <f t="shared" ref="H249:T249" si="39">H136</f>
        <v>0</v>
      </c>
      <c r="I249" s="159">
        <f t="shared" si="39"/>
        <v>20.062441819238401</v>
      </c>
      <c r="J249" s="159">
        <f t="shared" si="39"/>
        <v>20.664315073815555</v>
      </c>
      <c r="K249" s="159">
        <f t="shared" si="39"/>
        <v>25.541093431236025</v>
      </c>
      <c r="L249" s="159">
        <f t="shared" si="39"/>
        <v>26.307326234173104</v>
      </c>
      <c r="M249" s="159">
        <f t="shared" si="39"/>
        <v>29.806200623318126</v>
      </c>
      <c r="N249" s="159">
        <f t="shared" si="39"/>
        <v>30.700386642017669</v>
      </c>
      <c r="O249" s="159">
        <f t="shared" si="39"/>
        <v>33.518682135754894</v>
      </c>
      <c r="P249" s="159">
        <f t="shared" si="39"/>
        <v>34.524242599827538</v>
      </c>
      <c r="Q249" s="159">
        <f t="shared" si="39"/>
        <v>37.693568070491715</v>
      </c>
      <c r="R249" s="159">
        <f t="shared" si="39"/>
        <v>38.824375112606475</v>
      </c>
      <c r="S249" s="159">
        <f t="shared" si="39"/>
        <v>39.989106365984661</v>
      </c>
      <c r="T249" s="159">
        <f t="shared" si="39"/>
        <v>41.188779556964199</v>
      </c>
    </row>
    <row r="250" spans="2:20" x14ac:dyDescent="0.25">
      <c r="B250" s="23" t="s">
        <v>2036</v>
      </c>
      <c r="C250" s="28" t="s">
        <v>493</v>
      </c>
      <c r="E250" s="44" t="s">
        <v>526</v>
      </c>
      <c r="H250" s="159">
        <f t="shared" ref="H250:T250" si="40">H140</f>
        <v>0</v>
      </c>
      <c r="I250" s="159">
        <f t="shared" si="40"/>
        <v>0</v>
      </c>
      <c r="J250" s="159">
        <f t="shared" si="40"/>
        <v>0</v>
      </c>
      <c r="K250" s="159">
        <f t="shared" si="40"/>
        <v>0</v>
      </c>
      <c r="L250" s="159">
        <f t="shared" si="40"/>
        <v>0</v>
      </c>
      <c r="M250" s="159">
        <f t="shared" si="40"/>
        <v>0</v>
      </c>
      <c r="N250" s="159">
        <f t="shared" si="40"/>
        <v>0</v>
      </c>
      <c r="O250" s="159">
        <f t="shared" si="40"/>
        <v>0</v>
      </c>
      <c r="P250" s="159">
        <f t="shared" si="40"/>
        <v>0</v>
      </c>
      <c r="Q250" s="159">
        <f t="shared" si="40"/>
        <v>0</v>
      </c>
      <c r="R250" s="159">
        <f t="shared" si="40"/>
        <v>0</v>
      </c>
      <c r="S250" s="159">
        <f t="shared" si="40"/>
        <v>0</v>
      </c>
      <c r="T250" s="159">
        <f t="shared" si="40"/>
        <v>0</v>
      </c>
    </row>
    <row r="251" spans="2:20" x14ac:dyDescent="0.25">
      <c r="B251" s="23" t="s">
        <v>2037</v>
      </c>
      <c r="C251" s="28" t="s">
        <v>493</v>
      </c>
      <c r="E251" s="44" t="s">
        <v>526</v>
      </c>
      <c r="H251" s="159">
        <f t="shared" ref="H251:T251" si="41">H144</f>
        <v>0</v>
      </c>
      <c r="I251" s="159">
        <f t="shared" si="41"/>
        <v>0</v>
      </c>
      <c r="J251" s="159">
        <f t="shared" si="41"/>
        <v>0</v>
      </c>
      <c r="K251" s="159">
        <f t="shared" si="41"/>
        <v>26.511890999999999</v>
      </c>
      <c r="L251" s="159">
        <f t="shared" si="41"/>
        <v>27.307247729999997</v>
      </c>
      <c r="M251" s="159">
        <f t="shared" si="41"/>
        <v>28.126465161900004</v>
      </c>
      <c r="N251" s="159">
        <f t="shared" si="41"/>
        <v>28.970259116756999</v>
      </c>
      <c r="O251" s="159">
        <f t="shared" si="41"/>
        <v>29.839366890259715</v>
      </c>
      <c r="P251" s="159">
        <f t="shared" si="41"/>
        <v>30.734547896967506</v>
      </c>
      <c r="Q251" s="159">
        <f t="shared" si="41"/>
        <v>31.656584333876534</v>
      </c>
      <c r="R251" s="159">
        <f t="shared" si="41"/>
        <v>32.606281863892825</v>
      </c>
      <c r="S251" s="159">
        <f t="shared" si="41"/>
        <v>33.584470319809618</v>
      </c>
      <c r="T251" s="159">
        <f t="shared" si="41"/>
        <v>34.5920044294039</v>
      </c>
    </row>
    <row r="252" spans="2:20" x14ac:dyDescent="0.25">
      <c r="B252" s="23" t="s">
        <v>2038</v>
      </c>
      <c r="C252" s="28" t="s">
        <v>493</v>
      </c>
      <c r="E252" s="44" t="s">
        <v>517</v>
      </c>
      <c r="H252" s="159">
        <f t="shared" ref="H252:T252" si="42">H148</f>
        <v>0</v>
      </c>
      <c r="I252" s="159">
        <f t="shared" si="42"/>
        <v>0</v>
      </c>
      <c r="J252" s="159">
        <f t="shared" si="42"/>
        <v>0</v>
      </c>
      <c r="K252" s="159">
        <f t="shared" si="42"/>
        <v>6.1199999999999997E-2</v>
      </c>
      <c r="L252" s="159">
        <f t="shared" si="42"/>
        <v>6.1199999999999997E-2</v>
      </c>
      <c r="M252" s="159">
        <f t="shared" si="42"/>
        <v>6.1199999999999997E-2</v>
      </c>
      <c r="N252" s="159">
        <f t="shared" si="42"/>
        <v>6.1199999999999997E-2</v>
      </c>
      <c r="O252" s="159">
        <f t="shared" si="42"/>
        <v>6.1199999999999997E-2</v>
      </c>
      <c r="P252" s="159">
        <f t="shared" si="42"/>
        <v>6.1199999999999997E-2</v>
      </c>
      <c r="Q252" s="159">
        <f t="shared" si="42"/>
        <v>6.1199999999999997E-2</v>
      </c>
      <c r="R252" s="159">
        <f t="shared" si="42"/>
        <v>6.1199999999999997E-2</v>
      </c>
      <c r="S252" s="159">
        <f t="shared" si="42"/>
        <v>6.1199999999999997E-2</v>
      </c>
      <c r="T252" s="159">
        <f t="shared" si="42"/>
        <v>6.1199999999999997E-2</v>
      </c>
    </row>
    <row r="253" spans="2:20" x14ac:dyDescent="0.25">
      <c r="B253" s="23" t="s">
        <v>2039</v>
      </c>
      <c r="C253" s="28" t="s">
        <v>493</v>
      </c>
      <c r="E253" s="44" t="s">
        <v>551</v>
      </c>
      <c r="H253" s="159">
        <f t="shared" ref="H253:T253" si="43">H152</f>
        <v>0</v>
      </c>
      <c r="I253" s="159">
        <f t="shared" si="43"/>
        <v>0</v>
      </c>
      <c r="J253" s="159">
        <f t="shared" si="43"/>
        <v>22.349182568122753</v>
      </c>
      <c r="K253" s="159">
        <f t="shared" si="43"/>
        <v>22.860856571580246</v>
      </c>
      <c r="L253" s="159">
        <f t="shared" si="43"/>
        <v>23.385322425124158</v>
      </c>
      <c r="M253" s="159">
        <f t="shared" si="43"/>
        <v>24.368177184432536</v>
      </c>
      <c r="N253" s="159">
        <f t="shared" si="43"/>
        <v>25.366275592338283</v>
      </c>
      <c r="O253" s="159">
        <f t="shared" si="43"/>
        <v>25.721335378404895</v>
      </c>
      <c r="P253" s="159">
        <f t="shared" si="43"/>
        <v>26.309760465381427</v>
      </c>
      <c r="Q253" s="159">
        <f t="shared" si="43"/>
        <v>27.41367594071637</v>
      </c>
      <c r="R253" s="159">
        <f t="shared" si="43"/>
        <v>28.042184391550673</v>
      </c>
      <c r="S253" s="159">
        <f t="shared" si="43"/>
        <v>29.124593172696311</v>
      </c>
      <c r="T253" s="159">
        <f t="shared" si="43"/>
        <v>29.390551006717725</v>
      </c>
    </row>
    <row r="254" spans="2:20" x14ac:dyDescent="0.25">
      <c r="B254" s="23" t="s">
        <v>2040</v>
      </c>
      <c r="C254" s="28" t="s">
        <v>493</v>
      </c>
      <c r="E254" s="44" t="s">
        <v>556</v>
      </c>
      <c r="H254" s="159">
        <f t="shared" ref="H254:T254" si="44">H156</f>
        <v>0</v>
      </c>
      <c r="I254" s="159">
        <f t="shared" si="44"/>
        <v>0</v>
      </c>
      <c r="J254" s="159">
        <f t="shared" si="44"/>
        <v>0</v>
      </c>
      <c r="K254" s="159">
        <f t="shared" si="44"/>
        <v>0</v>
      </c>
      <c r="L254" s="159">
        <f t="shared" si="44"/>
        <v>10.091454118495877</v>
      </c>
      <c r="M254" s="159">
        <f t="shared" si="44"/>
        <v>12.135871994283461</v>
      </c>
      <c r="N254" s="159">
        <f t="shared" si="44"/>
        <v>13.378373539314355</v>
      </c>
      <c r="O254" s="159">
        <f t="shared" si="44"/>
        <v>15.304745477403898</v>
      </c>
      <c r="P254" s="159">
        <f t="shared" si="44"/>
        <v>16.258440915252198</v>
      </c>
      <c r="Q254" s="159">
        <f t="shared" si="44"/>
        <v>17.271708621838521</v>
      </c>
      <c r="R254" s="159">
        <f t="shared" si="44"/>
        <v>18.348278232607907</v>
      </c>
      <c r="S254" s="159">
        <f t="shared" si="44"/>
        <v>20.661640189328775</v>
      </c>
      <c r="T254" s="159">
        <f t="shared" si="44"/>
        <v>21.949872022071517</v>
      </c>
    </row>
    <row r="255" spans="2:20" x14ac:dyDescent="0.25">
      <c r="B255" s="23" t="s">
        <v>2041</v>
      </c>
      <c r="C255" s="28" t="s">
        <v>493</v>
      </c>
      <c r="E255" s="44" t="s">
        <v>529</v>
      </c>
      <c r="H255" s="159">
        <f t="shared" ref="H255:T255" si="45">H160</f>
        <v>0</v>
      </c>
      <c r="I255" s="159">
        <f t="shared" si="45"/>
        <v>0</v>
      </c>
      <c r="J255" s="159">
        <f t="shared" si="45"/>
        <v>0</v>
      </c>
      <c r="K255" s="159">
        <f t="shared" si="45"/>
        <v>0</v>
      </c>
      <c r="L255" s="159">
        <f t="shared" si="45"/>
        <v>0</v>
      </c>
      <c r="M255" s="159">
        <f t="shared" si="45"/>
        <v>0</v>
      </c>
      <c r="N255" s="159">
        <f t="shared" si="45"/>
        <v>0</v>
      </c>
      <c r="O255" s="159">
        <f t="shared" si="45"/>
        <v>0</v>
      </c>
      <c r="P255" s="159">
        <f t="shared" si="45"/>
        <v>0</v>
      </c>
      <c r="Q255" s="159">
        <f t="shared" si="45"/>
        <v>0</v>
      </c>
      <c r="R255" s="159">
        <f t="shared" si="45"/>
        <v>0</v>
      </c>
      <c r="S255" s="159">
        <f t="shared" si="45"/>
        <v>0</v>
      </c>
      <c r="T255" s="159">
        <f t="shared" si="45"/>
        <v>0</v>
      </c>
    </row>
    <row r="256" spans="2:20" x14ac:dyDescent="0.25">
      <c r="B256" s="23" t="s">
        <v>2042</v>
      </c>
      <c r="C256" s="28" t="s">
        <v>493</v>
      </c>
      <c r="E256" s="44" t="s">
        <v>517</v>
      </c>
      <c r="H256" s="159">
        <f t="shared" ref="H256:T256" si="46">H164</f>
        <v>0</v>
      </c>
      <c r="I256" s="159">
        <f t="shared" si="46"/>
        <v>0</v>
      </c>
      <c r="J256" s="159">
        <f t="shared" si="46"/>
        <v>0</v>
      </c>
      <c r="K256" s="159">
        <f t="shared" si="46"/>
        <v>0.14824733388670611</v>
      </c>
      <c r="L256" s="159">
        <f t="shared" si="46"/>
        <v>0.15305475390330728</v>
      </c>
      <c r="M256" s="159">
        <f t="shared" si="46"/>
        <v>0.15800639652040652</v>
      </c>
      <c r="N256" s="159">
        <f t="shared" si="46"/>
        <v>0.16310658841601874</v>
      </c>
      <c r="O256" s="159">
        <f t="shared" si="46"/>
        <v>0.16835978606849933</v>
      </c>
      <c r="P256" s="159">
        <f t="shared" si="46"/>
        <v>0.17377057965055426</v>
      </c>
      <c r="Q256" s="159">
        <f t="shared" si="46"/>
        <v>0.17934369704007092</v>
      </c>
      <c r="R256" s="159">
        <f t="shared" si="46"/>
        <v>0.18508400795127303</v>
      </c>
      <c r="S256" s="159">
        <f t="shared" si="46"/>
        <v>0.19099652818981119</v>
      </c>
      <c r="T256" s="159">
        <f t="shared" si="46"/>
        <v>0.19708642403550553</v>
      </c>
    </row>
    <row r="257" spans="2:20" x14ac:dyDescent="0.25">
      <c r="B257" s="23" t="s">
        <v>2043</v>
      </c>
      <c r="C257" s="28" t="s">
        <v>493</v>
      </c>
      <c r="E257" s="44" t="s">
        <v>526</v>
      </c>
      <c r="H257" s="159">
        <f t="shared" ref="H257:T257" si="47">H167</f>
        <v>0</v>
      </c>
      <c r="I257" s="159">
        <f t="shared" si="47"/>
        <v>0</v>
      </c>
      <c r="J257" s="159">
        <f t="shared" si="47"/>
        <v>0</v>
      </c>
      <c r="K257" s="159">
        <f t="shared" si="47"/>
        <v>0.31208283120000002</v>
      </c>
      <c r="L257" s="159">
        <f t="shared" si="47"/>
        <v>0.32144531613600008</v>
      </c>
      <c r="M257" s="159">
        <f t="shared" si="47"/>
        <v>0.3310886756200801</v>
      </c>
      <c r="N257" s="159">
        <f t="shared" si="47"/>
        <v>0.34102133588868244</v>
      </c>
      <c r="O257" s="159">
        <f t="shared" si="47"/>
        <v>0.35125197596534297</v>
      </c>
      <c r="P257" s="159">
        <f t="shared" si="47"/>
        <v>0.36178953524430324</v>
      </c>
      <c r="Q257" s="159">
        <f t="shared" si="47"/>
        <v>0.37264322130163235</v>
      </c>
      <c r="R257" s="159">
        <f t="shared" si="47"/>
        <v>0.38382251794068134</v>
      </c>
      <c r="S257" s="159">
        <f t="shared" si="47"/>
        <v>0.39533719347890178</v>
      </c>
      <c r="T257" s="159">
        <f t="shared" si="47"/>
        <v>0.4071973092832688</v>
      </c>
    </row>
    <row r="258" spans="2:20" x14ac:dyDescent="0.25">
      <c r="B258" s="23" t="s">
        <v>2044</v>
      </c>
      <c r="C258" s="28" t="s">
        <v>493</v>
      </c>
      <c r="E258" s="44" t="s">
        <v>556</v>
      </c>
      <c r="H258" s="159">
        <f t="shared" ref="H258:T258" si="48">H170</f>
        <v>0</v>
      </c>
      <c r="I258" s="159">
        <f t="shared" si="48"/>
        <v>0</v>
      </c>
      <c r="J258" s="159">
        <f t="shared" si="48"/>
        <v>0</v>
      </c>
      <c r="K258" s="159">
        <f t="shared" si="48"/>
        <v>0</v>
      </c>
      <c r="L258" s="159">
        <f t="shared" si="48"/>
        <v>9.2800000000000007E-2</v>
      </c>
      <c r="M258" s="159">
        <f t="shared" si="48"/>
        <v>0.10208000000000002</v>
      </c>
      <c r="N258" s="159">
        <f t="shared" si="48"/>
        <v>0.11228800000000004</v>
      </c>
      <c r="O258" s="159">
        <f t="shared" si="48"/>
        <v>0.12351680000000004</v>
      </c>
      <c r="P258" s="159">
        <f t="shared" si="48"/>
        <v>0.13092780800000006</v>
      </c>
      <c r="Q258" s="159">
        <f t="shared" si="48"/>
        <v>0.13878347648000008</v>
      </c>
      <c r="R258" s="159">
        <f t="shared" si="48"/>
        <v>0.14711048506880006</v>
      </c>
      <c r="S258" s="159">
        <f t="shared" si="48"/>
        <v>0.1559371141729281</v>
      </c>
      <c r="T258" s="159">
        <f t="shared" si="48"/>
        <v>0.16529334102330381</v>
      </c>
    </row>
    <row r="259" spans="2:20" x14ac:dyDescent="0.25">
      <c r="B259" s="23" t="s">
        <v>2045</v>
      </c>
      <c r="C259" s="28" t="s">
        <v>493</v>
      </c>
      <c r="E259" s="44" t="s">
        <v>529</v>
      </c>
      <c r="H259" s="159">
        <f t="shared" ref="H259:T259" si="49">H173</f>
        <v>0</v>
      </c>
      <c r="I259" s="159">
        <f t="shared" si="49"/>
        <v>0</v>
      </c>
      <c r="J259" s="159">
        <f t="shared" si="49"/>
        <v>0</v>
      </c>
      <c r="K259" s="159">
        <f t="shared" si="49"/>
        <v>9.0149977499999992E-2</v>
      </c>
      <c r="L259" s="159">
        <f t="shared" si="49"/>
        <v>9.2854476825000032E-2</v>
      </c>
      <c r="M259" s="159">
        <f t="shared" si="49"/>
        <v>9.5640111129750016E-2</v>
      </c>
      <c r="N259" s="159">
        <f t="shared" si="49"/>
        <v>9.8509314463642528E-2</v>
      </c>
      <c r="O259" s="159">
        <f t="shared" si="49"/>
        <v>0.1014645938975518</v>
      </c>
      <c r="P259" s="159">
        <f t="shared" si="49"/>
        <v>0.10450853171447837</v>
      </c>
      <c r="Q259" s="159">
        <f t="shared" si="49"/>
        <v>0.1076437876659127</v>
      </c>
      <c r="R259" s="159">
        <f t="shared" si="49"/>
        <v>0.11087310129589008</v>
      </c>
      <c r="S259" s="159">
        <f t="shared" si="49"/>
        <v>0.11419929433476679</v>
      </c>
      <c r="T259" s="159">
        <f t="shared" si="49"/>
        <v>0.11762527316480982</v>
      </c>
    </row>
    <row r="260" spans="2:20" x14ac:dyDescent="0.25">
      <c r="B260" s="23" t="s">
        <v>2046</v>
      </c>
      <c r="C260" s="28" t="s">
        <v>493</v>
      </c>
      <c r="E260" s="44" t="s">
        <v>517</v>
      </c>
      <c r="H260" s="29">
        <f>'BUMN Synergy Calculation'!H36</f>
        <v>0</v>
      </c>
      <c r="I260" s="29">
        <f>'BUMN Synergy Calculation'!I36</f>
        <v>0</v>
      </c>
      <c r="J260" s="29">
        <f>'BUMN Synergy Calculation'!J36</f>
        <v>29.714605066419303</v>
      </c>
      <c r="K260" s="29">
        <f>'BUMN Synergy Calculation'!K36</f>
        <v>30.606043218411884</v>
      </c>
      <c r="L260" s="29">
        <f>'BUMN Synergy Calculation'!L36</f>
        <v>31.524224514964249</v>
      </c>
      <c r="M260" s="29">
        <f>'BUMN Synergy Calculation'!M36</f>
        <v>32.469951250413175</v>
      </c>
      <c r="N260" s="29">
        <f>'BUMN Synergy Calculation'!N36</f>
        <v>33.444049787925572</v>
      </c>
      <c r="O260" s="29">
        <f>'BUMN Synergy Calculation'!O36</f>
        <v>34.447371281563335</v>
      </c>
      <c r="P260" s="29">
        <f>'BUMN Synergy Calculation'!P36</f>
        <v>35.480792420010225</v>
      </c>
      <c r="Q260" s="29">
        <f>'BUMN Synergy Calculation'!Q36</f>
        <v>36.545216192610539</v>
      </c>
      <c r="R260" s="29">
        <f>'BUMN Synergy Calculation'!R36</f>
        <v>37.641572678388862</v>
      </c>
      <c r="S260" s="29">
        <f>'BUMN Synergy Calculation'!S36</f>
        <v>38.770819858740531</v>
      </c>
      <c r="T260" s="29">
        <f>'BUMN Synergy Calculation'!T36</f>
        <v>39.933944454502743</v>
      </c>
    </row>
    <row r="261" spans="2:20" x14ac:dyDescent="0.25">
      <c r="B261" s="23" t="s">
        <v>2047</v>
      </c>
      <c r="C261" s="28" t="s">
        <v>493</v>
      </c>
      <c r="E261" s="44" t="s">
        <v>526</v>
      </c>
      <c r="H261" s="29">
        <f>'BUMN Synergy Calculation'!H61</f>
        <v>0</v>
      </c>
      <c r="I261" s="29">
        <f>'BUMN Synergy Calculation'!I61</f>
        <v>0</v>
      </c>
      <c r="J261" s="29">
        <f>'BUMN Synergy Calculation'!J61</f>
        <v>32.163988746573892</v>
      </c>
      <c r="K261" s="29">
        <f>'BUMN Synergy Calculation'!K61</f>
        <v>33.128908408971107</v>
      </c>
      <c r="L261" s="29">
        <f>'BUMN Synergy Calculation'!L61</f>
        <v>34.12277566124024</v>
      </c>
      <c r="M261" s="29">
        <f>'BUMN Synergy Calculation'!M61</f>
        <v>35.146458931077454</v>
      </c>
      <c r="N261" s="29">
        <f>'BUMN Synergy Calculation'!N61</f>
        <v>36.200852699009772</v>
      </c>
      <c r="O261" s="29">
        <f>'BUMN Synergy Calculation'!O61</f>
        <v>37.286878279980066</v>
      </c>
      <c r="P261" s="29">
        <f>'BUMN Synergy Calculation'!P61</f>
        <v>38.405484628379469</v>
      </c>
      <c r="Q261" s="29">
        <f>'BUMN Synergy Calculation'!Q61</f>
        <v>39.557649167230863</v>
      </c>
      <c r="R261" s="29">
        <f>'BUMN Synergy Calculation'!R61</f>
        <v>40.744378642247788</v>
      </c>
      <c r="S261" s="29">
        <f>'BUMN Synergy Calculation'!S61</f>
        <v>41.96671000151521</v>
      </c>
      <c r="T261" s="29">
        <f>'BUMN Synergy Calculation'!T61</f>
        <v>43.225711301560679</v>
      </c>
    </row>
    <row r="262" spans="2:20" x14ac:dyDescent="0.25">
      <c r="B262" s="23" t="s">
        <v>2048</v>
      </c>
      <c r="C262" s="28" t="s">
        <v>493</v>
      </c>
      <c r="E262" s="44" t="s">
        <v>529</v>
      </c>
      <c r="H262" s="29">
        <f>'BUMN Synergy Calculation'!H83</f>
        <v>0</v>
      </c>
      <c r="I262" s="29">
        <f>'BUMN Synergy Calculation'!I83</f>
        <v>0</v>
      </c>
      <c r="J262" s="29">
        <f>'BUMN Synergy Calculation'!J83</f>
        <v>7.2970404853077211</v>
      </c>
      <c r="K262" s="29">
        <f>'BUMN Synergy Calculation'!K83</f>
        <v>9.3501278359294719</v>
      </c>
      <c r="L262" s="29">
        <f>'BUMN Synergy Calculation'!L83</f>
        <v>10.034150420941112</v>
      </c>
      <c r="M262" s="29">
        <f>'BUMN Synergy Calculation'!M83</f>
        <v>10.724937362482629</v>
      </c>
      <c r="N262" s="29">
        <f>'BUMN Synergy Calculation'!N83</f>
        <v>11.422691591249924</v>
      </c>
      <c r="O262" s="29">
        <f>'BUMN Synergy Calculation'!O83</f>
        <v>12.127622125859771</v>
      </c>
      <c r="P262" s="29">
        <f>'BUMN Synergy Calculation'!P83</f>
        <v>12.839944255487442</v>
      </c>
      <c r="Q262" s="29">
        <f>'BUMN Synergy Calculation'!Q83</f>
        <v>13.559879727983475</v>
      </c>
      <c r="R262" s="29">
        <f>'BUMN Synergy Calculation'!R83</f>
        <v>14.28765694363392</v>
      </c>
      <c r="S262" s="29">
        <f>'BUMN Synergy Calculation'!S83</f>
        <v>9.5209827465458545</v>
      </c>
      <c r="T262" s="29">
        <f>'BUMN Synergy Calculation'!T83</f>
        <v>9.8066122289422299</v>
      </c>
    </row>
    <row r="263" spans="2:20" x14ac:dyDescent="0.25">
      <c r="B263" s="23" t="s">
        <v>2049</v>
      </c>
      <c r="C263" s="28" t="s">
        <v>493</v>
      </c>
      <c r="E263" s="44" t="s">
        <v>583</v>
      </c>
      <c r="H263" s="159">
        <f t="shared" ref="H263:T263" si="50">H177</f>
        <v>0</v>
      </c>
      <c r="I263" s="159">
        <f t="shared" si="50"/>
        <v>0</v>
      </c>
      <c r="J263" s="159">
        <f t="shared" si="50"/>
        <v>0</v>
      </c>
      <c r="K263" s="159">
        <f t="shared" si="50"/>
        <v>0</v>
      </c>
      <c r="L263" s="159">
        <f t="shared" si="50"/>
        <v>0</v>
      </c>
      <c r="M263" s="159">
        <f t="shared" si="50"/>
        <v>0</v>
      </c>
      <c r="N263" s="159">
        <f t="shared" si="50"/>
        <v>0</v>
      </c>
      <c r="O263" s="159">
        <f t="shared" si="50"/>
        <v>0</v>
      </c>
      <c r="P263" s="159">
        <f t="shared" si="50"/>
        <v>0</v>
      </c>
      <c r="Q263" s="159">
        <f t="shared" si="50"/>
        <v>0</v>
      </c>
      <c r="R263" s="159">
        <f t="shared" si="50"/>
        <v>0</v>
      </c>
      <c r="S263" s="159">
        <f t="shared" si="50"/>
        <v>0</v>
      </c>
      <c r="T263" s="159">
        <f t="shared" si="50"/>
        <v>0</v>
      </c>
    </row>
    <row r="264" spans="2:20" x14ac:dyDescent="0.25">
      <c r="B264" s="23" t="str">
        <f>"P16  "&amp;Inputs!$E$605</f>
        <v>P16  Lampung</v>
      </c>
      <c r="C264" s="28" t="s">
        <v>493</v>
      </c>
      <c r="E264" s="44" t="s">
        <v>587</v>
      </c>
      <c r="H264" s="159">
        <f t="shared" ref="H264:T264" si="51">H185</f>
        <v>0</v>
      </c>
      <c r="I264" s="159">
        <f t="shared" si="51"/>
        <v>0</v>
      </c>
      <c r="J264" s="159">
        <f t="shared" si="51"/>
        <v>0</v>
      </c>
      <c r="K264" s="159">
        <f t="shared" si="51"/>
        <v>0</v>
      </c>
      <c r="L264" s="159">
        <f t="shared" si="51"/>
        <v>0</v>
      </c>
      <c r="M264" s="159">
        <f t="shared" si="51"/>
        <v>0</v>
      </c>
      <c r="N264" s="159">
        <f t="shared" si="51"/>
        <v>0</v>
      </c>
      <c r="O264" s="159">
        <f t="shared" si="51"/>
        <v>0</v>
      </c>
      <c r="P264" s="159">
        <f t="shared" si="51"/>
        <v>0</v>
      </c>
      <c r="Q264" s="159">
        <f t="shared" si="51"/>
        <v>0</v>
      </c>
      <c r="R264" s="159">
        <f t="shared" si="51"/>
        <v>0</v>
      </c>
      <c r="S264" s="159">
        <f t="shared" si="51"/>
        <v>0</v>
      </c>
      <c r="T264" s="159">
        <f t="shared" si="51"/>
        <v>0</v>
      </c>
    </row>
    <row r="265" spans="2:20" x14ac:dyDescent="0.25">
      <c r="B265" s="23" t="str">
        <f>"P17  "&amp;Inputs!$E$639</f>
        <v>P17  Pipeline Project 2</v>
      </c>
      <c r="C265" s="28" t="s">
        <v>493</v>
      </c>
      <c r="E265" s="44" t="s">
        <v>590</v>
      </c>
      <c r="H265" s="159">
        <f t="shared" ref="H265:T265" si="52">H191</f>
        <v>0</v>
      </c>
      <c r="I265" s="159">
        <f t="shared" si="52"/>
        <v>0</v>
      </c>
      <c r="J265" s="159">
        <f t="shared" si="52"/>
        <v>0</v>
      </c>
      <c r="K265" s="159">
        <f t="shared" si="52"/>
        <v>0</v>
      </c>
      <c r="L265" s="159">
        <f t="shared" si="52"/>
        <v>0</v>
      </c>
      <c r="M265" s="159">
        <f t="shared" si="52"/>
        <v>0</v>
      </c>
      <c r="N265" s="159">
        <f t="shared" si="52"/>
        <v>0</v>
      </c>
      <c r="O265" s="159">
        <f t="shared" si="52"/>
        <v>0</v>
      </c>
      <c r="P265" s="159">
        <f t="shared" si="52"/>
        <v>0</v>
      </c>
      <c r="Q265" s="159">
        <f t="shared" si="52"/>
        <v>0</v>
      </c>
      <c r="R265" s="159">
        <f t="shared" si="52"/>
        <v>0</v>
      </c>
      <c r="S265" s="159">
        <f t="shared" si="52"/>
        <v>0</v>
      </c>
      <c r="T265" s="159">
        <f t="shared" si="52"/>
        <v>0</v>
      </c>
    </row>
    <row r="266" spans="2:20" x14ac:dyDescent="0.25">
      <c r="B266" s="23" t="str">
        <f>"P18  "&amp;Inputs!$E$673</f>
        <v>P18  Pipeline Project 3</v>
      </c>
      <c r="C266" s="28" t="s">
        <v>493</v>
      </c>
      <c r="E266" s="44" t="s">
        <v>592</v>
      </c>
      <c r="H266" s="159">
        <f t="shared" ref="H266:T266" si="53">H197</f>
        <v>0</v>
      </c>
      <c r="I266" s="159">
        <f t="shared" si="53"/>
        <v>0</v>
      </c>
      <c r="J266" s="159">
        <f t="shared" si="53"/>
        <v>0</v>
      </c>
      <c r="K266" s="159">
        <f t="shared" si="53"/>
        <v>0</v>
      </c>
      <c r="L266" s="159">
        <f t="shared" si="53"/>
        <v>0</v>
      </c>
      <c r="M266" s="159">
        <f t="shared" si="53"/>
        <v>0</v>
      </c>
      <c r="N266" s="159">
        <f t="shared" si="53"/>
        <v>0</v>
      </c>
      <c r="O266" s="159">
        <f t="shared" si="53"/>
        <v>0</v>
      </c>
      <c r="P266" s="159">
        <f t="shared" si="53"/>
        <v>0</v>
      </c>
      <c r="Q266" s="159">
        <f t="shared" si="53"/>
        <v>0</v>
      </c>
      <c r="R266" s="159">
        <f t="shared" si="53"/>
        <v>0</v>
      </c>
      <c r="S266" s="159">
        <f t="shared" si="53"/>
        <v>0</v>
      </c>
      <c r="T266" s="159">
        <f t="shared" si="53"/>
        <v>0</v>
      </c>
    </row>
    <row r="267" spans="2:20" x14ac:dyDescent="0.25">
      <c r="B267" s="23" t="s">
        <v>2050</v>
      </c>
      <c r="C267" s="28" t="s">
        <v>493</v>
      </c>
      <c r="E267" s="44" t="s">
        <v>596</v>
      </c>
      <c r="H267" s="159">
        <f t="shared" ref="H267:T267" si="54">H213</f>
        <v>0</v>
      </c>
      <c r="I267" s="159">
        <f t="shared" si="54"/>
        <v>0</v>
      </c>
      <c r="J267" s="159">
        <f t="shared" si="54"/>
        <v>0</v>
      </c>
      <c r="K267" s="159">
        <f t="shared" si="54"/>
        <v>0</v>
      </c>
      <c r="L267" s="159">
        <f t="shared" si="54"/>
        <v>1.5</v>
      </c>
      <c r="M267" s="159">
        <f t="shared" si="54"/>
        <v>2.5</v>
      </c>
      <c r="N267" s="159">
        <f t="shared" si="54"/>
        <v>2.5</v>
      </c>
      <c r="O267" s="159">
        <f t="shared" si="54"/>
        <v>2.5</v>
      </c>
      <c r="P267" s="159">
        <f t="shared" si="54"/>
        <v>2.5</v>
      </c>
      <c r="Q267" s="159">
        <f t="shared" si="54"/>
        <v>2.5</v>
      </c>
      <c r="R267" s="159">
        <f t="shared" si="54"/>
        <v>2.5</v>
      </c>
      <c r="S267" s="159">
        <f t="shared" si="54"/>
        <v>2.5</v>
      </c>
      <c r="T267" s="159">
        <f t="shared" si="54"/>
        <v>2.5</v>
      </c>
    </row>
    <row r="268" spans="2:20" x14ac:dyDescent="0.25">
      <c r="B268" s="21" t="s">
        <v>2235</v>
      </c>
      <c r="C268" s="28" t="s">
        <v>493</v>
      </c>
      <c r="G268" s="157"/>
      <c r="H268" s="158">
        <f t="shared" ref="H268:T268" si="55">H245+H246+H247+H248+H249+H250+H251+H252+H253+H254+H255+H256+H257+H258+H259+H263+H264+H265+H266+H267</f>
        <v>28.510102744491377</v>
      </c>
      <c r="I268" s="158">
        <f t="shared" si="55"/>
        <v>49.385569867169949</v>
      </c>
      <c r="J268" s="158">
        <f t="shared" si="55"/>
        <v>73.173997228735644</v>
      </c>
      <c r="K268" s="158">
        <f t="shared" si="55"/>
        <v>106.54848458027581</v>
      </c>
      <c r="L268" s="158">
        <f t="shared" si="55"/>
        <v>121.22399388216016</v>
      </c>
      <c r="M268" s="158">
        <f t="shared" si="55"/>
        <v>130.51099903438086</v>
      </c>
      <c r="N268" s="158">
        <f t="shared" si="55"/>
        <v>135.46014150120965</v>
      </c>
      <c r="O268" s="158">
        <f t="shared" si="55"/>
        <v>142.4294124856342</v>
      </c>
      <c r="P268" s="158">
        <f t="shared" si="55"/>
        <v>146.89863081691368</v>
      </c>
      <c r="Q268" s="158">
        <f t="shared" si="55"/>
        <v>154.164628028404</v>
      </c>
      <c r="R268" s="158">
        <f t="shared" si="55"/>
        <v>159.03972661262833</v>
      </c>
      <c r="S268" s="158">
        <f t="shared" si="55"/>
        <v>165.70099574239049</v>
      </c>
      <c r="T268" s="158">
        <f t="shared" si="55"/>
        <v>170.61906490294865</v>
      </c>
    </row>
    <row r="269" spans="2:20" ht="26.25" customHeight="1" x14ac:dyDescent="0.25">
      <c r="B269" s="133" t="s">
        <v>2236</v>
      </c>
      <c r="C269" s="28" t="s">
        <v>493</v>
      </c>
      <c r="H269" s="160">
        <f t="shared" ref="H269:T269" si="56">H260+H261+H262</f>
        <v>0</v>
      </c>
      <c r="I269" s="160">
        <f t="shared" si="56"/>
        <v>0</v>
      </c>
      <c r="J269" s="160">
        <f t="shared" si="56"/>
        <v>69.17563429830092</v>
      </c>
      <c r="K269" s="160">
        <f t="shared" si="56"/>
        <v>73.085079463312468</v>
      </c>
      <c r="L269" s="160">
        <f t="shared" si="56"/>
        <v>75.681150597145603</v>
      </c>
      <c r="M269" s="160">
        <f t="shared" si="56"/>
        <v>78.341347543973271</v>
      </c>
      <c r="N269" s="160">
        <f t="shared" si="56"/>
        <v>81.067594078185266</v>
      </c>
      <c r="O269" s="160">
        <f t="shared" si="56"/>
        <v>83.86187168740318</v>
      </c>
      <c r="P269" s="160">
        <f t="shared" si="56"/>
        <v>86.726221303877139</v>
      </c>
      <c r="Q269" s="160">
        <f t="shared" si="56"/>
        <v>89.662745087824874</v>
      </c>
      <c r="R269" s="160">
        <f t="shared" si="56"/>
        <v>92.67360826427057</v>
      </c>
      <c r="S269" s="160">
        <f t="shared" si="56"/>
        <v>90.258512606801588</v>
      </c>
      <c r="T269" s="160">
        <f t="shared" si="56"/>
        <v>92.966267985005643</v>
      </c>
    </row>
    <row r="270" spans="2:20" x14ac:dyDescent="0.25">
      <c r="B270" s="21" t="s">
        <v>2237</v>
      </c>
      <c r="C270" s="28" t="s">
        <v>493</v>
      </c>
      <c r="G270" s="157"/>
      <c r="H270" s="158">
        <f t="shared" ref="H270:T270" si="57">H268+H269</f>
        <v>28.510102744491377</v>
      </c>
      <c r="I270" s="158">
        <f t="shared" si="57"/>
        <v>49.385569867169949</v>
      </c>
      <c r="J270" s="158">
        <f t="shared" si="57"/>
        <v>142.34963152703656</v>
      </c>
      <c r="K270" s="158">
        <f t="shared" si="57"/>
        <v>179.63356404358828</v>
      </c>
      <c r="L270" s="158">
        <f t="shared" si="57"/>
        <v>196.90514447930576</v>
      </c>
      <c r="M270" s="158">
        <f t="shared" si="57"/>
        <v>208.85234657835412</v>
      </c>
      <c r="N270" s="158">
        <f t="shared" si="57"/>
        <v>216.52773557939491</v>
      </c>
      <c r="O270" s="158">
        <f t="shared" si="57"/>
        <v>226.29128417303738</v>
      </c>
      <c r="P270" s="158">
        <f t="shared" si="57"/>
        <v>233.62485212079082</v>
      </c>
      <c r="Q270" s="158">
        <f t="shared" si="57"/>
        <v>243.82737311622887</v>
      </c>
      <c r="R270" s="158">
        <f t="shared" si="57"/>
        <v>251.7133348768989</v>
      </c>
      <c r="S270" s="158">
        <f t="shared" si="57"/>
        <v>255.95950834919208</v>
      </c>
      <c r="T270" s="158">
        <f t="shared" si="57"/>
        <v>263.58533288795428</v>
      </c>
    </row>
    <row r="271" spans="2:20" x14ac:dyDescent="0.25">
      <c r="B271" s="154" t="s">
        <v>2238</v>
      </c>
    </row>
    <row r="272" spans="2:20" x14ac:dyDescent="0.25">
      <c r="B272" s="23" t="s">
        <v>2031</v>
      </c>
      <c r="C272" s="28" t="s">
        <v>493</v>
      </c>
      <c r="E272" s="44" t="s">
        <v>517</v>
      </c>
      <c r="H272" s="159">
        <f t="shared" ref="H272:T272" si="58">H35</f>
        <v>112.51080244855501</v>
      </c>
      <c r="I272" s="159">
        <f t="shared" si="58"/>
        <v>115.41883561941721</v>
      </c>
      <c r="J272" s="159">
        <f t="shared" si="58"/>
        <v>118.36383160699631</v>
      </c>
      <c r="K272" s="159">
        <f t="shared" si="58"/>
        <v>121.38841320277953</v>
      </c>
      <c r="L272" s="159">
        <f t="shared" si="58"/>
        <v>124.47119210545617</v>
      </c>
      <c r="M272" s="159">
        <f t="shared" si="58"/>
        <v>133.031319370061</v>
      </c>
      <c r="N272" s="159">
        <f t="shared" si="58"/>
        <v>136.39298944534369</v>
      </c>
      <c r="O272" s="159">
        <f t="shared" si="58"/>
        <v>139.81677161447988</v>
      </c>
      <c r="P272" s="159">
        <f t="shared" si="58"/>
        <v>149.40440839784441</v>
      </c>
      <c r="Q272" s="159">
        <f t="shared" si="58"/>
        <v>153.13459076972811</v>
      </c>
      <c r="R272" s="159">
        <f t="shared" si="58"/>
        <v>156.93054468427476</v>
      </c>
      <c r="S272" s="159">
        <f t="shared" si="58"/>
        <v>160.79147255842341</v>
      </c>
      <c r="T272" s="159">
        <f t="shared" si="58"/>
        <v>164.71638441861828</v>
      </c>
    </row>
    <row r="273" spans="2:20" x14ac:dyDescent="0.25">
      <c r="B273" s="23" t="s">
        <v>2032</v>
      </c>
      <c r="C273" s="28" t="s">
        <v>493</v>
      </c>
      <c r="E273" s="44" t="s">
        <v>526</v>
      </c>
      <c r="H273" s="159">
        <f t="shared" ref="H273:T273" si="59">H66</f>
        <v>16.08358626895334</v>
      </c>
      <c r="I273" s="159">
        <f t="shared" si="59"/>
        <v>22.990159643645946</v>
      </c>
      <c r="J273" s="159">
        <f t="shared" si="59"/>
        <v>23.489049398333776</v>
      </c>
      <c r="K273" s="159">
        <f t="shared" si="59"/>
        <v>33.869600093109888</v>
      </c>
      <c r="L273" s="159">
        <f t="shared" si="59"/>
        <v>34.707654283038423</v>
      </c>
      <c r="M273" s="159">
        <f t="shared" si="59"/>
        <v>41.791519284822982</v>
      </c>
      <c r="N273" s="159">
        <f t="shared" si="59"/>
        <v>42.844413446069453</v>
      </c>
      <c r="O273" s="159">
        <f t="shared" si="59"/>
        <v>48.302998805302892</v>
      </c>
      <c r="P273" s="159">
        <f t="shared" si="59"/>
        <v>49.491538753686854</v>
      </c>
      <c r="Q273" s="159">
        <f t="shared" si="59"/>
        <v>55.668943968324257</v>
      </c>
      <c r="R273" s="159">
        <f t="shared" si="59"/>
        <v>57.083053389697362</v>
      </c>
      <c r="S273" s="159">
        <f t="shared" si="59"/>
        <v>58.523549091194738</v>
      </c>
      <c r="T273" s="159">
        <f t="shared" si="59"/>
        <v>59.990323899866681</v>
      </c>
    </row>
    <row r="274" spans="2:20" x14ac:dyDescent="0.25">
      <c r="B274" s="23" t="s">
        <v>2033</v>
      </c>
      <c r="C274" s="28" t="s">
        <v>493</v>
      </c>
      <c r="E274" s="44" t="s">
        <v>529</v>
      </c>
      <c r="H274" s="159">
        <f t="shared" ref="H274:T274" si="60">H94</f>
        <v>11.145605163950723</v>
      </c>
      <c r="I274" s="159">
        <f t="shared" si="60"/>
        <v>11.396081462434829</v>
      </c>
      <c r="J274" s="159">
        <f t="shared" si="60"/>
        <v>22.763433603256672</v>
      </c>
      <c r="K274" s="159">
        <f t="shared" si="60"/>
        <v>23.380356577007031</v>
      </c>
      <c r="L274" s="159">
        <f t="shared" si="60"/>
        <v>25.066127513165085</v>
      </c>
      <c r="M274" s="159">
        <f t="shared" si="60"/>
        <v>26.862920884312228</v>
      </c>
      <c r="N274" s="159">
        <f t="shared" si="60"/>
        <v>28.777768449416026</v>
      </c>
      <c r="O274" s="159">
        <f t="shared" si="60"/>
        <v>30.81813898034336</v>
      </c>
      <c r="P274" s="159">
        <f t="shared" si="60"/>
        <v>32.991965157430215</v>
      </c>
      <c r="Q274" s="159">
        <f t="shared" si="60"/>
        <v>35.307672111664424</v>
      </c>
      <c r="R274" s="159">
        <f t="shared" si="60"/>
        <v>37.774207714001157</v>
      </c>
      <c r="S274" s="159">
        <f t="shared" si="60"/>
        <v>40.401074718454119</v>
      </c>
      <c r="T274" s="159">
        <f t="shared" si="60"/>
        <v>43.198364872109067</v>
      </c>
    </row>
    <row r="275" spans="2:20" x14ac:dyDescent="0.25">
      <c r="B275" s="23" t="s">
        <v>2034</v>
      </c>
      <c r="C275" s="28" t="s">
        <v>493</v>
      </c>
      <c r="E275" s="44" t="s">
        <v>532</v>
      </c>
      <c r="H275" s="159">
        <f t="shared" ref="H275:T275" si="61">H131</f>
        <v>14.495481521403958</v>
      </c>
      <c r="I275" s="159">
        <f t="shared" si="61"/>
        <v>13.9457566433103</v>
      </c>
      <c r="J275" s="159">
        <f t="shared" si="61"/>
        <v>16.725265380831338</v>
      </c>
      <c r="K275" s="159">
        <f t="shared" si="61"/>
        <v>18.431080713474763</v>
      </c>
      <c r="L275" s="159">
        <f t="shared" si="61"/>
        <v>20.282633943941626</v>
      </c>
      <c r="M275" s="159">
        <f t="shared" si="61"/>
        <v>22.29191986426342</v>
      </c>
      <c r="N275" s="159">
        <f t="shared" si="61"/>
        <v>24.471909119642945</v>
      </c>
      <c r="O275" s="159">
        <f t="shared" si="61"/>
        <v>26.836627291295855</v>
      </c>
      <c r="P275" s="159">
        <f t="shared" si="61"/>
        <v>29.401240381388735</v>
      </c>
      <c r="Q275" s="159">
        <f t="shared" si="61"/>
        <v>32.182147218382731</v>
      </c>
      <c r="R275" s="159">
        <f t="shared" si="61"/>
        <v>31.202778490080913</v>
      </c>
      <c r="S275" s="159">
        <f t="shared" si="61"/>
        <v>32.930632855251332</v>
      </c>
      <c r="T275" s="159">
        <f t="shared" si="61"/>
        <v>34.748092220611589</v>
      </c>
    </row>
    <row r="276" spans="2:20" x14ac:dyDescent="0.25">
      <c r="B276" s="23" t="s">
        <v>2035</v>
      </c>
      <c r="C276" s="28" t="s">
        <v>493</v>
      </c>
      <c r="E276" s="44" t="s">
        <v>526</v>
      </c>
      <c r="H276" s="159">
        <f t="shared" ref="H276:T276" si="62">H137</f>
        <v>0</v>
      </c>
      <c r="I276" s="159">
        <f t="shared" si="62"/>
        <v>70.734824560572875</v>
      </c>
      <c r="J276" s="159">
        <f t="shared" si="62"/>
        <v>72.626252031453888</v>
      </c>
      <c r="K276" s="159">
        <f t="shared" si="62"/>
        <v>91.585871521869862</v>
      </c>
      <c r="L276" s="159">
        <f t="shared" si="62"/>
        <v>94.069966413450956</v>
      </c>
      <c r="M276" s="159">
        <f t="shared" si="62"/>
        <v>107.44925471796563</v>
      </c>
      <c r="N276" s="159">
        <f t="shared" si="62"/>
        <v>110.37226239724762</v>
      </c>
      <c r="O276" s="159">
        <f t="shared" si="62"/>
        <v>120.95189543019339</v>
      </c>
      <c r="P276" s="159">
        <f t="shared" si="62"/>
        <v>124.23835121391286</v>
      </c>
      <c r="Q276" s="159">
        <f t="shared" si="62"/>
        <v>136.13505765217883</v>
      </c>
      <c r="R276" s="159">
        <f t="shared" si="62"/>
        <v>139.83015211368379</v>
      </c>
      <c r="S276" s="159">
        <f t="shared" si="62"/>
        <v>143.61051007748895</v>
      </c>
      <c r="T276" s="159">
        <f t="shared" si="62"/>
        <v>147.47713105837235</v>
      </c>
    </row>
    <row r="277" spans="2:20" x14ac:dyDescent="0.25">
      <c r="B277" s="23" t="s">
        <v>2036</v>
      </c>
      <c r="C277" s="28" t="s">
        <v>493</v>
      </c>
      <c r="E277" s="44" t="s">
        <v>526</v>
      </c>
      <c r="H277" s="159">
        <f t="shared" ref="H277:T277" si="63">H141</f>
        <v>0</v>
      </c>
      <c r="I277" s="159">
        <f t="shared" si="63"/>
        <v>29.072875849343145</v>
      </c>
      <c r="J277" s="159">
        <f t="shared" si="63"/>
        <v>29.909685528568144</v>
      </c>
      <c r="K277" s="159">
        <f t="shared" si="63"/>
        <v>30.768256417257938</v>
      </c>
      <c r="L277" s="159">
        <f t="shared" si="63"/>
        <v>31.649037758068953</v>
      </c>
      <c r="M277" s="159">
        <f t="shared" si="63"/>
        <v>32.55247987208535</v>
      </c>
      <c r="N277" s="159">
        <f t="shared" si="63"/>
        <v>33.479033436081849</v>
      </c>
      <c r="O277" s="159">
        <f t="shared" si="63"/>
        <v>34.429148692119327</v>
      </c>
      <c r="P277" s="159">
        <f t="shared" si="63"/>
        <v>35.403274584642901</v>
      </c>
      <c r="Q277" s="159">
        <f t="shared" si="63"/>
        <v>36.401857819936353</v>
      </c>
      <c r="R277" s="159">
        <f t="shared" si="63"/>
        <v>37.425341842451843</v>
      </c>
      <c r="S277" s="159">
        <f t="shared" si="63"/>
        <v>38.474165722176963</v>
      </c>
      <c r="T277" s="159">
        <f t="shared" si="63"/>
        <v>39.54876294682294</v>
      </c>
    </row>
    <row r="278" spans="2:20" x14ac:dyDescent="0.25">
      <c r="B278" s="23" t="s">
        <v>2037</v>
      </c>
      <c r="C278" s="28" t="s">
        <v>493</v>
      </c>
      <c r="E278" s="44" t="s">
        <v>526</v>
      </c>
      <c r="H278" s="159">
        <f t="shared" ref="H278:T278" si="64">H145</f>
        <v>0</v>
      </c>
      <c r="I278" s="159">
        <f t="shared" si="64"/>
        <v>0</v>
      </c>
      <c r="J278" s="159">
        <f t="shared" si="64"/>
        <v>0</v>
      </c>
      <c r="K278" s="159">
        <f t="shared" si="64"/>
        <v>21.209512799999999</v>
      </c>
      <c r="L278" s="159">
        <f t="shared" si="64"/>
        <v>21.845798184</v>
      </c>
      <c r="M278" s="159">
        <f t="shared" si="64"/>
        <v>22.501172129520004</v>
      </c>
      <c r="N278" s="159">
        <f t="shared" si="64"/>
        <v>23.176207293405596</v>
      </c>
      <c r="O278" s="159">
        <f t="shared" si="64"/>
        <v>23.871493512207774</v>
      </c>
      <c r="P278" s="159">
        <f t="shared" si="64"/>
        <v>24.587638317574005</v>
      </c>
      <c r="Q278" s="159">
        <f t="shared" si="64"/>
        <v>25.325267467101231</v>
      </c>
      <c r="R278" s="159">
        <f t="shared" si="64"/>
        <v>26.085025491114259</v>
      </c>
      <c r="S278" s="159">
        <f t="shared" si="64"/>
        <v>26.867576255847695</v>
      </c>
      <c r="T278" s="159">
        <f t="shared" si="64"/>
        <v>27.673603543523122</v>
      </c>
    </row>
    <row r="279" spans="2:20" x14ac:dyDescent="0.25">
      <c r="B279" s="23" t="s">
        <v>2038</v>
      </c>
      <c r="C279" s="28" t="s">
        <v>493</v>
      </c>
      <c r="E279" s="44" t="s">
        <v>517</v>
      </c>
      <c r="H279" s="159">
        <f t="shared" ref="H279:T279" si="65">H149</f>
        <v>0</v>
      </c>
      <c r="I279" s="159">
        <f t="shared" si="65"/>
        <v>0</v>
      </c>
      <c r="J279" s="159">
        <f t="shared" si="65"/>
        <v>0</v>
      </c>
      <c r="K279" s="159">
        <f t="shared" si="65"/>
        <v>13.1988</v>
      </c>
      <c r="L279" s="159">
        <f t="shared" si="65"/>
        <v>13.1988</v>
      </c>
      <c r="M279" s="159">
        <f t="shared" si="65"/>
        <v>13.1988</v>
      </c>
      <c r="N279" s="159">
        <f t="shared" si="65"/>
        <v>13.1988</v>
      </c>
      <c r="O279" s="159">
        <f t="shared" si="65"/>
        <v>13.1988</v>
      </c>
      <c r="P279" s="159">
        <f t="shared" si="65"/>
        <v>13.1988</v>
      </c>
      <c r="Q279" s="159">
        <f t="shared" si="65"/>
        <v>13.1988</v>
      </c>
      <c r="R279" s="159">
        <f t="shared" si="65"/>
        <v>13.1988</v>
      </c>
      <c r="S279" s="159">
        <f t="shared" si="65"/>
        <v>13.1988</v>
      </c>
      <c r="T279" s="159">
        <f t="shared" si="65"/>
        <v>13.1988</v>
      </c>
    </row>
    <row r="280" spans="2:20" x14ac:dyDescent="0.25">
      <c r="B280" s="23" t="s">
        <v>2039</v>
      </c>
      <c r="C280" s="28" t="s">
        <v>493</v>
      </c>
      <c r="E280" s="44" t="s">
        <v>551</v>
      </c>
      <c r="H280" s="159">
        <f t="shared" ref="H280:T280" si="66">H153</f>
        <v>0</v>
      </c>
      <c r="I280" s="159">
        <f t="shared" si="66"/>
        <v>0</v>
      </c>
      <c r="J280" s="159">
        <f t="shared" si="66"/>
        <v>25.750817431877248</v>
      </c>
      <c r="K280" s="159">
        <f t="shared" si="66"/>
        <v>25.239143428419755</v>
      </c>
      <c r="L280" s="159">
        <f t="shared" si="66"/>
        <v>24.714677574875843</v>
      </c>
      <c r="M280" s="159">
        <f t="shared" si="66"/>
        <v>27.049422815567464</v>
      </c>
      <c r="N280" s="159">
        <f t="shared" si="66"/>
        <v>26.051324407661717</v>
      </c>
      <c r="O280" s="159">
        <f t="shared" si="66"/>
        <v>25.696264621595105</v>
      </c>
      <c r="P280" s="159">
        <f t="shared" si="66"/>
        <v>25.107839534618574</v>
      </c>
      <c r="Q280" s="159">
        <f t="shared" si="66"/>
        <v>27.554523579283629</v>
      </c>
      <c r="R280" s="159">
        <f t="shared" si="66"/>
        <v>26.926015128449325</v>
      </c>
      <c r="S280" s="159">
        <f t="shared" si="66"/>
        <v>25.843606347303687</v>
      </c>
      <c r="T280" s="159">
        <f t="shared" si="66"/>
        <v>25.577648513282274</v>
      </c>
    </row>
    <row r="281" spans="2:20" x14ac:dyDescent="0.25">
      <c r="B281" s="23" t="s">
        <v>2040</v>
      </c>
      <c r="C281" s="28" t="s">
        <v>493</v>
      </c>
      <c r="E281" s="44" t="s">
        <v>556</v>
      </c>
      <c r="H281" s="159">
        <f t="shared" ref="H281:T281" si="67">H157</f>
        <v>0</v>
      </c>
      <c r="I281" s="159">
        <f t="shared" si="67"/>
        <v>0</v>
      </c>
      <c r="J281" s="159">
        <f t="shared" si="67"/>
        <v>0</v>
      </c>
      <c r="K281" s="159">
        <f t="shared" si="67"/>
        <v>0</v>
      </c>
      <c r="L281" s="159">
        <f t="shared" si="67"/>
        <v>33.106019432767596</v>
      </c>
      <c r="M281" s="159">
        <f t="shared" si="67"/>
        <v>46.471145294090704</v>
      </c>
      <c r="N281" s="159">
        <f t="shared" si="67"/>
        <v>50.880625346797956</v>
      </c>
      <c r="O281" s="159">
        <f t="shared" si="67"/>
        <v>63.593988953044331</v>
      </c>
      <c r="P281" s="159">
        <f t="shared" si="67"/>
        <v>67.057538595884594</v>
      </c>
      <c r="Q281" s="159">
        <f t="shared" si="67"/>
        <v>77.646673486530489</v>
      </c>
      <c r="R281" s="159">
        <f t="shared" si="67"/>
        <v>81.939270604942706</v>
      </c>
      <c r="S281" s="159">
        <f t="shared" si="67"/>
        <v>91.642349746498894</v>
      </c>
      <c r="T281" s="159">
        <f t="shared" si="67"/>
        <v>96.676592073726425</v>
      </c>
    </row>
    <row r="282" spans="2:20" x14ac:dyDescent="0.25">
      <c r="B282" s="23" t="s">
        <v>2041</v>
      </c>
      <c r="C282" s="28" t="s">
        <v>493</v>
      </c>
      <c r="E282" s="44" t="s">
        <v>529</v>
      </c>
      <c r="H282" s="159">
        <f t="shared" ref="H282:T282" si="68">H161</f>
        <v>0</v>
      </c>
      <c r="I282" s="159">
        <f t="shared" si="68"/>
        <v>0</v>
      </c>
      <c r="J282" s="159">
        <f t="shared" si="68"/>
        <v>-0.45621999999999979</v>
      </c>
      <c r="K282" s="159">
        <f t="shared" si="68"/>
        <v>7.5237830299000343</v>
      </c>
      <c r="L282" s="159">
        <f t="shared" si="68"/>
        <v>9.8176343754197646</v>
      </c>
      <c r="M282" s="159">
        <f t="shared" si="68"/>
        <v>12.241767797252779</v>
      </c>
      <c r="N282" s="159">
        <f t="shared" si="68"/>
        <v>14.801929495198753</v>
      </c>
      <c r="O282" s="159">
        <f t="shared" si="68"/>
        <v>17.504092953653952</v>
      </c>
      <c r="P282" s="159">
        <f t="shared" si="68"/>
        <v>20.35446739842741</v>
      </c>
      <c r="Q282" s="159">
        <f t="shared" si="68"/>
        <v>23.359506556088224</v>
      </c>
      <c r="R282" s="159">
        <f t="shared" si="68"/>
        <v>26.525917726373475</v>
      </c>
      <c r="S282" s="159">
        <f t="shared" si="68"/>
        <v>-0.45621999999999979</v>
      </c>
      <c r="T282" s="159">
        <f t="shared" si="68"/>
        <v>-0.45621999999999979</v>
      </c>
    </row>
    <row r="283" spans="2:20" x14ac:dyDescent="0.25">
      <c r="B283" s="23" t="s">
        <v>2042</v>
      </c>
      <c r="C283" s="28" t="s">
        <v>493</v>
      </c>
      <c r="E283" s="44" t="s">
        <v>517</v>
      </c>
      <c r="H283" s="159">
        <f t="shared" ref="H283:T283" si="69">H165</f>
        <v>0</v>
      </c>
      <c r="I283" s="159">
        <f t="shared" si="69"/>
        <v>0</v>
      </c>
      <c r="J283" s="159">
        <f t="shared" si="69"/>
        <v>0</v>
      </c>
      <c r="K283" s="159">
        <f t="shared" si="69"/>
        <v>0.59298933554682443</v>
      </c>
      <c r="L283" s="159">
        <f t="shared" si="69"/>
        <v>0.61221901561322911</v>
      </c>
      <c r="M283" s="159">
        <f t="shared" si="69"/>
        <v>0.63202558608162607</v>
      </c>
      <c r="N283" s="159">
        <f t="shared" si="69"/>
        <v>0.65242635366407487</v>
      </c>
      <c r="O283" s="159">
        <f t="shared" si="69"/>
        <v>0.6734391442739972</v>
      </c>
      <c r="P283" s="159">
        <f t="shared" si="69"/>
        <v>0.69508231860221703</v>
      </c>
      <c r="Q283" s="159">
        <f t="shared" si="69"/>
        <v>0.71737478816028355</v>
      </c>
      <c r="R283" s="159">
        <f t="shared" si="69"/>
        <v>0.74033603180509211</v>
      </c>
      <c r="S283" s="159">
        <f t="shared" si="69"/>
        <v>0.76398611275924477</v>
      </c>
      <c r="T283" s="159">
        <f t="shared" si="69"/>
        <v>0.7883456961420221</v>
      </c>
    </row>
    <row r="284" spans="2:20" x14ac:dyDescent="0.25">
      <c r="B284" s="23" t="s">
        <v>2043</v>
      </c>
      <c r="C284" s="28" t="s">
        <v>493</v>
      </c>
      <c r="E284" s="44" t="s">
        <v>526</v>
      </c>
      <c r="H284" s="159">
        <f t="shared" ref="H284:T284" si="70">H168</f>
        <v>0</v>
      </c>
      <c r="I284" s="159">
        <f t="shared" si="70"/>
        <v>0</v>
      </c>
      <c r="J284" s="159">
        <f t="shared" si="70"/>
        <v>0</v>
      </c>
      <c r="K284" s="159">
        <f t="shared" si="70"/>
        <v>1.2483313248000001</v>
      </c>
      <c r="L284" s="159">
        <f t="shared" si="70"/>
        <v>1.2857812645440003</v>
      </c>
      <c r="M284" s="159">
        <f t="shared" si="70"/>
        <v>1.3243547024803202</v>
      </c>
      <c r="N284" s="159">
        <f t="shared" si="70"/>
        <v>1.3640853435547298</v>
      </c>
      <c r="O284" s="159">
        <f t="shared" si="70"/>
        <v>1.4050079038613719</v>
      </c>
      <c r="P284" s="159">
        <f t="shared" si="70"/>
        <v>1.447158140977213</v>
      </c>
      <c r="Q284" s="159">
        <f t="shared" si="70"/>
        <v>1.4905728852065292</v>
      </c>
      <c r="R284" s="159">
        <f t="shared" si="70"/>
        <v>1.5352900717627251</v>
      </c>
      <c r="S284" s="159">
        <f t="shared" si="70"/>
        <v>1.5813487739156069</v>
      </c>
      <c r="T284" s="159">
        <f t="shared" si="70"/>
        <v>1.6287892371330752</v>
      </c>
    </row>
    <row r="285" spans="2:20" x14ac:dyDescent="0.25">
      <c r="B285" s="23" t="s">
        <v>2044</v>
      </c>
      <c r="C285" s="28" t="s">
        <v>493</v>
      </c>
      <c r="E285" s="44" t="s">
        <v>556</v>
      </c>
      <c r="H285" s="159">
        <f t="shared" ref="H285:T285" si="71">H171</f>
        <v>0</v>
      </c>
      <c r="I285" s="159">
        <f t="shared" si="71"/>
        <v>0</v>
      </c>
      <c r="J285" s="159">
        <f t="shared" si="71"/>
        <v>0</v>
      </c>
      <c r="K285" s="159">
        <f t="shared" si="71"/>
        <v>0</v>
      </c>
      <c r="L285" s="159">
        <f t="shared" si="71"/>
        <v>0.37120000000000003</v>
      </c>
      <c r="M285" s="159">
        <f t="shared" si="71"/>
        <v>0.40832000000000007</v>
      </c>
      <c r="N285" s="159">
        <f t="shared" si="71"/>
        <v>0.44915200000000011</v>
      </c>
      <c r="O285" s="159">
        <f t="shared" si="71"/>
        <v>0.4940672000000001</v>
      </c>
      <c r="P285" s="159">
        <f t="shared" si="71"/>
        <v>0.52371123200000025</v>
      </c>
      <c r="Q285" s="159">
        <f t="shared" si="71"/>
        <v>0.55513390592000023</v>
      </c>
      <c r="R285" s="159">
        <f t="shared" si="71"/>
        <v>0.58844194027520025</v>
      </c>
      <c r="S285" s="159">
        <f t="shared" si="71"/>
        <v>0.62374845669171231</v>
      </c>
      <c r="T285" s="159">
        <f t="shared" si="71"/>
        <v>0.66117336409321514</v>
      </c>
    </row>
    <row r="286" spans="2:20" x14ac:dyDescent="0.25">
      <c r="B286" s="23" t="s">
        <v>2045</v>
      </c>
      <c r="C286" s="28" t="s">
        <v>493</v>
      </c>
      <c r="E286" s="44" t="s">
        <v>529</v>
      </c>
      <c r="H286" s="159">
        <f t="shared" ref="H286:T286" si="72">H174</f>
        <v>0</v>
      </c>
      <c r="I286" s="159">
        <f t="shared" si="72"/>
        <v>0</v>
      </c>
      <c r="J286" s="159">
        <f t="shared" si="72"/>
        <v>0</v>
      </c>
      <c r="K286" s="159">
        <f t="shared" si="72"/>
        <v>0.36059990999999997</v>
      </c>
      <c r="L286" s="159">
        <f t="shared" si="72"/>
        <v>0.37141790730000007</v>
      </c>
      <c r="M286" s="159">
        <f t="shared" si="72"/>
        <v>0.38256044451900006</v>
      </c>
      <c r="N286" s="159">
        <f t="shared" si="72"/>
        <v>0.39403725785457006</v>
      </c>
      <c r="O286" s="159">
        <f t="shared" si="72"/>
        <v>0.40585837559020721</v>
      </c>
      <c r="P286" s="159">
        <f t="shared" si="72"/>
        <v>0.41803412685791341</v>
      </c>
      <c r="Q286" s="159">
        <f t="shared" si="72"/>
        <v>0.43057515066365076</v>
      </c>
      <c r="R286" s="159">
        <f t="shared" si="72"/>
        <v>0.44349240518356031</v>
      </c>
      <c r="S286" s="159">
        <f t="shared" si="72"/>
        <v>0.45679717733906716</v>
      </c>
      <c r="T286" s="159">
        <f t="shared" si="72"/>
        <v>0.47050109265923928</v>
      </c>
    </row>
    <row r="287" spans="2:20" x14ac:dyDescent="0.25">
      <c r="B287" s="23" t="s">
        <v>2046</v>
      </c>
      <c r="C287" s="28" t="s">
        <v>493</v>
      </c>
      <c r="E287" s="44" t="s">
        <v>517</v>
      </c>
      <c r="H287" s="29">
        <f>'BUMN Synergy Calculation'!H37</f>
        <v>0</v>
      </c>
      <c r="I287" s="29">
        <f>'BUMN Synergy Calculation'!I37</f>
        <v>0</v>
      </c>
      <c r="J287" s="29">
        <f>'BUMN Synergy Calculation'!J37</f>
        <v>28.549326436363643</v>
      </c>
      <c r="K287" s="29">
        <f>'BUMN Synergy Calculation'!K37</f>
        <v>29.405806229454555</v>
      </c>
      <c r="L287" s="29">
        <f>'BUMN Synergy Calculation'!L37</f>
        <v>30.287980416338197</v>
      </c>
      <c r="M287" s="29">
        <f>'BUMN Synergy Calculation'!M37</f>
        <v>31.196619828828339</v>
      </c>
      <c r="N287" s="29">
        <f>'BUMN Synergy Calculation'!N37</f>
        <v>32.132518423693192</v>
      </c>
      <c r="O287" s="29">
        <f>'BUMN Synergy Calculation'!O37</f>
        <v>33.096493976403991</v>
      </c>
      <c r="P287" s="29">
        <f>'BUMN Synergy Calculation'!P37</f>
        <v>34.089388795696102</v>
      </c>
      <c r="Q287" s="29">
        <f>'BUMN Synergy Calculation'!Q37</f>
        <v>35.112070459566993</v>
      </c>
      <c r="R287" s="29">
        <f>'BUMN Synergy Calculation'!R37</f>
        <v>36.165432573354003</v>
      </c>
      <c r="S287" s="29">
        <f>'BUMN Synergy Calculation'!S37</f>
        <v>37.250395550554622</v>
      </c>
      <c r="T287" s="29">
        <f>'BUMN Synergy Calculation'!T37</f>
        <v>38.367907417071258</v>
      </c>
    </row>
    <row r="288" spans="2:20" x14ac:dyDescent="0.25">
      <c r="B288" s="23" t="s">
        <v>2047</v>
      </c>
      <c r="C288" s="28" t="s">
        <v>493</v>
      </c>
      <c r="E288" s="44" t="s">
        <v>526</v>
      </c>
      <c r="H288" s="29">
        <f>'BUMN Synergy Calculation'!H62</f>
        <v>0</v>
      </c>
      <c r="I288" s="29">
        <f>'BUMN Synergy Calculation'!I62</f>
        <v>0</v>
      </c>
      <c r="J288" s="29">
        <f>'BUMN Synergy Calculation'!J62</f>
        <v>24.264061686011878</v>
      </c>
      <c r="K288" s="29">
        <f>'BUMN Synergy Calculation'!K62</f>
        <v>24.991983536592237</v>
      </c>
      <c r="L288" s="29">
        <f>'BUMN Synergy Calculation'!L62</f>
        <v>25.741743042690004</v>
      </c>
      <c r="M288" s="29">
        <f>'BUMN Synergy Calculation'!M62</f>
        <v>26.513995333970705</v>
      </c>
      <c r="N288" s="29">
        <f>'BUMN Synergy Calculation'!N62</f>
        <v>27.309415193989821</v>
      </c>
      <c r="O288" s="29">
        <f>'BUMN Synergy Calculation'!O62</f>
        <v>28.128697649809517</v>
      </c>
      <c r="P288" s="29">
        <f>'BUMN Synergy Calculation'!P62</f>
        <v>28.972558579303808</v>
      </c>
      <c r="Q288" s="29">
        <f>'BUMN Synergy Calculation'!Q62</f>
        <v>29.84173533668293</v>
      </c>
      <c r="R288" s="29">
        <f>'BUMN Synergy Calculation'!R62</f>
        <v>30.736987396783412</v>
      </c>
      <c r="S288" s="29">
        <f>'BUMN Synergy Calculation'!S62</f>
        <v>31.659097018686907</v>
      </c>
      <c r="T288" s="29">
        <f>'BUMN Synergy Calculation'!T62</f>
        <v>32.608869929247518</v>
      </c>
    </row>
    <row r="289" spans="2:20" x14ac:dyDescent="0.25">
      <c r="B289" s="23" t="s">
        <v>2048</v>
      </c>
      <c r="C289" s="28" t="s">
        <v>493</v>
      </c>
      <c r="E289" s="44" t="s">
        <v>529</v>
      </c>
      <c r="H289" s="29">
        <f>'BUMN Synergy Calculation'!H84</f>
        <v>0</v>
      </c>
      <c r="I289" s="29">
        <f>'BUMN Synergy Calculation'!I84</f>
        <v>0</v>
      </c>
      <c r="J289" s="29">
        <f>'BUMN Synergy Calculation'!J84</f>
        <v>5.5047849275128415</v>
      </c>
      <c r="K289" s="29">
        <f>'BUMN Synergy Calculation'!K84</f>
        <v>7.0536052095608266</v>
      </c>
      <c r="L289" s="29">
        <f>'BUMN Synergy Calculation'!L84</f>
        <v>7.5696222473766266</v>
      </c>
      <c r="M289" s="29">
        <f>'BUMN Synergy Calculation'!M84</f>
        <v>8.0907422208202266</v>
      </c>
      <c r="N289" s="29">
        <f>'BUMN Synergy Calculation'!N84</f>
        <v>8.6171182179604653</v>
      </c>
      <c r="O289" s="29">
        <f>'BUMN Synergy Calculation'!O84</f>
        <v>9.148907919508245</v>
      </c>
      <c r="P289" s="29">
        <f>'BUMN Synergy Calculation'!P84</f>
        <v>9.6862737365957869</v>
      </c>
      <c r="Q289" s="29">
        <f>'BUMN Synergy Calculation'!Q84</f>
        <v>10.229382952689285</v>
      </c>
      <c r="R289" s="29">
        <f>'BUMN Synergy Calculation'!R84</f>
        <v>10.778407869758919</v>
      </c>
      <c r="S289" s="29">
        <f>'BUMN Synergy Calculation'!S84</f>
        <v>7.1824957561661691</v>
      </c>
      <c r="T289" s="29">
        <f>'BUMN Synergy Calculation'!T84</f>
        <v>7.3979706288511533</v>
      </c>
    </row>
    <row r="290" spans="2:20" x14ac:dyDescent="0.25">
      <c r="B290" s="23" t="s">
        <v>2049</v>
      </c>
      <c r="C290" s="28" t="s">
        <v>493</v>
      </c>
      <c r="E290" s="44" t="s">
        <v>583</v>
      </c>
      <c r="H290" s="159">
        <f t="shared" ref="H290:T290" si="73">H178</f>
        <v>0</v>
      </c>
      <c r="I290" s="159">
        <f t="shared" si="73"/>
        <v>0</v>
      </c>
      <c r="J290" s="159">
        <f t="shared" si="73"/>
        <v>0</v>
      </c>
      <c r="K290" s="159">
        <f t="shared" si="73"/>
        <v>0</v>
      </c>
      <c r="L290" s="159">
        <f t="shared" si="73"/>
        <v>0</v>
      </c>
      <c r="M290" s="159">
        <f t="shared" si="73"/>
        <v>0</v>
      </c>
      <c r="N290" s="159">
        <f t="shared" si="73"/>
        <v>0</v>
      </c>
      <c r="O290" s="159">
        <f t="shared" si="73"/>
        <v>0</v>
      </c>
      <c r="P290" s="159">
        <f t="shared" si="73"/>
        <v>0</v>
      </c>
      <c r="Q290" s="159">
        <f t="shared" si="73"/>
        <v>0</v>
      </c>
      <c r="R290" s="159">
        <f t="shared" si="73"/>
        <v>0</v>
      </c>
      <c r="S290" s="159">
        <f t="shared" si="73"/>
        <v>0</v>
      </c>
      <c r="T290" s="159">
        <f t="shared" si="73"/>
        <v>0</v>
      </c>
    </row>
    <row r="291" spans="2:20" x14ac:dyDescent="0.25">
      <c r="B291" s="23" t="str">
        <f>"P16  "&amp;Inputs!$E$605</f>
        <v>P16  Lampung</v>
      </c>
      <c r="C291" s="28" t="s">
        <v>493</v>
      </c>
      <c r="E291" s="44" t="s">
        <v>587</v>
      </c>
      <c r="H291" s="159">
        <f t="shared" ref="H291:T291" si="74">H186</f>
        <v>0</v>
      </c>
      <c r="I291" s="159">
        <f t="shared" si="74"/>
        <v>0</v>
      </c>
      <c r="J291" s="159">
        <f t="shared" si="74"/>
        <v>0</v>
      </c>
      <c r="K291" s="159">
        <f t="shared" si="74"/>
        <v>0</v>
      </c>
      <c r="L291" s="159">
        <f t="shared" si="74"/>
        <v>0</v>
      </c>
      <c r="M291" s="159">
        <f t="shared" si="74"/>
        <v>0</v>
      </c>
      <c r="N291" s="159">
        <f t="shared" si="74"/>
        <v>0</v>
      </c>
      <c r="O291" s="159">
        <f t="shared" si="74"/>
        <v>0</v>
      </c>
      <c r="P291" s="159">
        <f t="shared" si="74"/>
        <v>0</v>
      </c>
      <c r="Q291" s="159">
        <f t="shared" si="74"/>
        <v>0</v>
      </c>
      <c r="R291" s="159">
        <f t="shared" si="74"/>
        <v>0</v>
      </c>
      <c r="S291" s="159">
        <f t="shared" si="74"/>
        <v>0</v>
      </c>
      <c r="T291" s="159">
        <f t="shared" si="74"/>
        <v>0</v>
      </c>
    </row>
    <row r="292" spans="2:20" x14ac:dyDescent="0.25">
      <c r="B292" s="23" t="str">
        <f>"P17  "&amp;Inputs!$E$639</f>
        <v>P17  Pipeline Project 2</v>
      </c>
      <c r="C292" s="28" t="s">
        <v>493</v>
      </c>
      <c r="E292" s="44" t="s">
        <v>590</v>
      </c>
      <c r="H292" s="159">
        <f t="shared" ref="H292:T292" si="75">H192</f>
        <v>0</v>
      </c>
      <c r="I292" s="159">
        <f t="shared" si="75"/>
        <v>0</v>
      </c>
      <c r="J292" s="159">
        <f t="shared" si="75"/>
        <v>0</v>
      </c>
      <c r="K292" s="159">
        <f t="shared" si="75"/>
        <v>0</v>
      </c>
      <c r="L292" s="159">
        <f t="shared" si="75"/>
        <v>0</v>
      </c>
      <c r="M292" s="159">
        <f t="shared" si="75"/>
        <v>0</v>
      </c>
      <c r="N292" s="159">
        <f t="shared" si="75"/>
        <v>0</v>
      </c>
      <c r="O292" s="159">
        <f t="shared" si="75"/>
        <v>0</v>
      </c>
      <c r="P292" s="159">
        <f t="shared" si="75"/>
        <v>0</v>
      </c>
      <c r="Q292" s="159">
        <f t="shared" si="75"/>
        <v>0</v>
      </c>
      <c r="R292" s="159">
        <f t="shared" si="75"/>
        <v>0</v>
      </c>
      <c r="S292" s="159">
        <f t="shared" si="75"/>
        <v>0</v>
      </c>
      <c r="T292" s="159">
        <f t="shared" si="75"/>
        <v>0</v>
      </c>
    </row>
    <row r="293" spans="2:20" x14ac:dyDescent="0.25">
      <c r="B293" s="23" t="str">
        <f>"P18  "&amp;Inputs!$E$673</f>
        <v>P18  Pipeline Project 3</v>
      </c>
      <c r="C293" s="28" t="s">
        <v>493</v>
      </c>
      <c r="E293" s="44" t="s">
        <v>592</v>
      </c>
      <c r="H293" s="159">
        <f t="shared" ref="H293:T293" si="76">H198</f>
        <v>0</v>
      </c>
      <c r="I293" s="159">
        <f t="shared" si="76"/>
        <v>0</v>
      </c>
      <c r="J293" s="159">
        <f t="shared" si="76"/>
        <v>0</v>
      </c>
      <c r="K293" s="159">
        <f t="shared" si="76"/>
        <v>0</v>
      </c>
      <c r="L293" s="159">
        <f t="shared" si="76"/>
        <v>0</v>
      </c>
      <c r="M293" s="159">
        <f t="shared" si="76"/>
        <v>0</v>
      </c>
      <c r="N293" s="159">
        <f t="shared" si="76"/>
        <v>0</v>
      </c>
      <c r="O293" s="159">
        <f t="shared" si="76"/>
        <v>0</v>
      </c>
      <c r="P293" s="159">
        <f t="shared" si="76"/>
        <v>0</v>
      </c>
      <c r="Q293" s="159">
        <f t="shared" si="76"/>
        <v>0</v>
      </c>
      <c r="R293" s="159">
        <f t="shared" si="76"/>
        <v>0</v>
      </c>
      <c r="S293" s="159">
        <f t="shared" si="76"/>
        <v>0</v>
      </c>
      <c r="T293" s="159">
        <f t="shared" si="76"/>
        <v>0</v>
      </c>
    </row>
    <row r="294" spans="2:20" x14ac:dyDescent="0.25">
      <c r="B294" s="23" t="s">
        <v>2050</v>
      </c>
      <c r="C294" s="28" t="s">
        <v>493</v>
      </c>
      <c r="E294" s="44" t="s">
        <v>596</v>
      </c>
      <c r="H294" s="159">
        <f t="shared" ref="H294:T294" si="77">H214</f>
        <v>0</v>
      </c>
      <c r="I294" s="159">
        <f t="shared" si="77"/>
        <v>0</v>
      </c>
      <c r="J294" s="159">
        <f t="shared" si="77"/>
        <v>0</v>
      </c>
      <c r="K294" s="159">
        <f t="shared" si="77"/>
        <v>0</v>
      </c>
      <c r="L294" s="159">
        <f t="shared" si="77"/>
        <v>-1.5</v>
      </c>
      <c r="M294" s="159">
        <f t="shared" si="77"/>
        <v>13.197749999999997</v>
      </c>
      <c r="N294" s="159">
        <f t="shared" si="77"/>
        <v>20.002499999999998</v>
      </c>
      <c r="O294" s="159">
        <f t="shared" si="77"/>
        <v>24.538999999999998</v>
      </c>
      <c r="P294" s="159">
        <f t="shared" si="77"/>
        <v>26.80725</v>
      </c>
      <c r="Q294" s="159">
        <f t="shared" si="77"/>
        <v>26.80725</v>
      </c>
      <c r="R294" s="159">
        <f t="shared" si="77"/>
        <v>26.80725</v>
      </c>
      <c r="S294" s="159">
        <f t="shared" si="77"/>
        <v>26.80725</v>
      </c>
      <c r="T294" s="159">
        <f t="shared" si="77"/>
        <v>26.80725</v>
      </c>
    </row>
    <row r="295" spans="2:20" x14ac:dyDescent="0.25">
      <c r="B295" s="21" t="s">
        <v>2239</v>
      </c>
      <c r="C295" s="28" t="s">
        <v>493</v>
      </c>
      <c r="G295" s="157"/>
      <c r="H295" s="158">
        <f t="shared" ref="H295:T295" si="78">H272+H273+H274+H275+H276+H277+H278+H279+H280+H281+H282+H283+H284+H285+H286+H290+H291+H292+H293+H294</f>
        <v>154.23547540286305</v>
      </c>
      <c r="I295" s="158">
        <f t="shared" si="78"/>
        <v>263.55853377872427</v>
      </c>
      <c r="J295" s="158">
        <f t="shared" si="78"/>
        <v>309.17211498131741</v>
      </c>
      <c r="K295" s="158">
        <f t="shared" si="78"/>
        <v>388.7967383541656</v>
      </c>
      <c r="L295" s="158">
        <f t="shared" si="78"/>
        <v>434.07015977164167</v>
      </c>
      <c r="M295" s="158">
        <f t="shared" si="78"/>
        <v>501.38673276302256</v>
      </c>
      <c r="N295" s="158">
        <f t="shared" si="78"/>
        <v>527.30946379193892</v>
      </c>
      <c r="O295" s="158">
        <f t="shared" si="78"/>
        <v>572.53759347796142</v>
      </c>
      <c r="P295" s="158">
        <f t="shared" si="78"/>
        <v>601.12829815384794</v>
      </c>
      <c r="Q295" s="158">
        <f t="shared" si="78"/>
        <v>645.91594735916897</v>
      </c>
      <c r="R295" s="158">
        <f t="shared" si="78"/>
        <v>665.03591763409611</v>
      </c>
      <c r="S295" s="158">
        <f t="shared" si="78"/>
        <v>662.06064789334516</v>
      </c>
      <c r="T295" s="158">
        <f t="shared" si="78"/>
        <v>682.70554293696023</v>
      </c>
    </row>
    <row r="296" spans="2:20" ht="26.25" customHeight="1" x14ac:dyDescent="0.25">
      <c r="B296" s="133" t="s">
        <v>2240</v>
      </c>
      <c r="C296" s="28" t="s">
        <v>493</v>
      </c>
      <c r="H296" s="160">
        <f t="shared" ref="H296:T296" si="79">H287+H288+H289</f>
        <v>0</v>
      </c>
      <c r="I296" s="160">
        <f t="shared" si="79"/>
        <v>0</v>
      </c>
      <c r="J296" s="160">
        <f t="shared" si="79"/>
        <v>58.318173049888365</v>
      </c>
      <c r="K296" s="160">
        <f t="shared" si="79"/>
        <v>61.45139497560762</v>
      </c>
      <c r="L296" s="160">
        <f t="shared" si="79"/>
        <v>63.599345706404833</v>
      </c>
      <c r="M296" s="160">
        <f t="shared" si="79"/>
        <v>65.801357383619276</v>
      </c>
      <c r="N296" s="160">
        <f t="shared" si="79"/>
        <v>68.059051835643473</v>
      </c>
      <c r="O296" s="160">
        <f t="shared" si="79"/>
        <v>70.374099545721748</v>
      </c>
      <c r="P296" s="160">
        <f t="shared" si="79"/>
        <v>72.748221111595697</v>
      </c>
      <c r="Q296" s="160">
        <f t="shared" si="79"/>
        <v>75.183188748939216</v>
      </c>
      <c r="R296" s="160">
        <f t="shared" si="79"/>
        <v>77.680827839896338</v>
      </c>
      <c r="S296" s="160">
        <f t="shared" si="79"/>
        <v>76.091988325407698</v>
      </c>
      <c r="T296" s="160">
        <f t="shared" si="79"/>
        <v>78.374747975169939</v>
      </c>
    </row>
    <row r="297" spans="2:20" x14ac:dyDescent="0.25">
      <c r="B297" s="21" t="s">
        <v>2241</v>
      </c>
      <c r="C297" s="28" t="s">
        <v>493</v>
      </c>
      <c r="G297" s="157"/>
      <c r="H297" s="158">
        <f t="shared" ref="H297:T297" si="80">H295+H296</f>
        <v>154.23547540286305</v>
      </c>
      <c r="I297" s="158">
        <f t="shared" si="80"/>
        <v>263.55853377872427</v>
      </c>
      <c r="J297" s="158">
        <f t="shared" si="80"/>
        <v>367.49028803120575</v>
      </c>
      <c r="K297" s="158">
        <f t="shared" si="80"/>
        <v>450.24813332977322</v>
      </c>
      <c r="L297" s="158">
        <f t="shared" si="80"/>
        <v>497.66950547804652</v>
      </c>
      <c r="M297" s="158">
        <f t="shared" si="80"/>
        <v>567.1880901466418</v>
      </c>
      <c r="N297" s="158">
        <f t="shared" si="80"/>
        <v>595.36851562758238</v>
      </c>
      <c r="O297" s="158">
        <f t="shared" si="80"/>
        <v>642.91169302368314</v>
      </c>
      <c r="P297" s="158">
        <f t="shared" si="80"/>
        <v>673.87651926544368</v>
      </c>
      <c r="Q297" s="158">
        <f t="shared" si="80"/>
        <v>721.09913610810815</v>
      </c>
      <c r="R297" s="158">
        <f t="shared" si="80"/>
        <v>742.71674547399243</v>
      </c>
      <c r="S297" s="158">
        <f t="shared" si="80"/>
        <v>738.15263621875283</v>
      </c>
      <c r="T297" s="158">
        <f t="shared" si="80"/>
        <v>761.08029091213018</v>
      </c>
    </row>
    <row r="298" spans="2:20" x14ac:dyDescent="0.25">
      <c r="B298" s="154" t="s">
        <v>2242</v>
      </c>
    </row>
    <row r="299" spans="2:20" ht="26.25" customHeight="1" x14ac:dyDescent="0.25">
      <c r="B299" s="64" t="s">
        <v>2243</v>
      </c>
      <c r="C299" s="28" t="s">
        <v>493</v>
      </c>
      <c r="H299" s="159">
        <f>IF('Revenue Calculation'!H7=2024,Inputs!$E$481*((1-Inputs!$H$64)*Inputs!$E$196*(1-Inputs!G197)+(1-Inputs!$H$65)*Inputs!$E$210*(1-Inputs!G211))*Inputs!$E$55*Inputs!H95/1000,0)</f>
        <v>0</v>
      </c>
      <c r="I299" s="159">
        <f>IF('Revenue Calculation'!I7=2024,Inputs!$E$481*((1-Inputs!$H$64)*Inputs!$E$196*(1-Inputs!G197)+(1-Inputs!$H$65)*Inputs!$E$210*(1-Inputs!G211))*Inputs!$E$55*Inputs!I95/1000,0)</f>
        <v>0</v>
      </c>
      <c r="J299" s="159">
        <f>IF('Revenue Calculation'!J7=2024,Inputs!$E$481*((1-Inputs!$H$64)*Inputs!$E$196*(1-Inputs!G197)+(1-Inputs!$H$65)*Inputs!$E$210*(1-Inputs!G211))*Inputs!$E$55*Inputs!J95/1000,0)</f>
        <v>0</v>
      </c>
      <c r="K299" s="159">
        <f>IF('Revenue Calculation'!K7=2024,Inputs!$E$481*((1-Inputs!$H$64)*Inputs!$E$196*(1-Inputs!G197)+(1-Inputs!$H$65)*Inputs!$E$210*(1-Inputs!G211))*Inputs!$E$55*Inputs!K95/1000,0)</f>
        <v>0</v>
      </c>
      <c r="L299" s="159">
        <f>IF('Revenue Calculation'!L7=2024,Inputs!$E$481*((1-Inputs!$H$64)*Inputs!$E$196*(1-Inputs!G197)+(1-Inputs!$H$65)*Inputs!$E$210*(1-Inputs!G211))*Inputs!$E$55*Inputs!L95/1000,0)</f>
        <v>0</v>
      </c>
      <c r="M299" s="159">
        <f>IF('Revenue Calculation'!M7=2024,Inputs!$E$481*((1-Inputs!$H$64)*Inputs!$E$196*(1-Inputs!G197)+(1-Inputs!$H$65)*Inputs!$E$210*(1-Inputs!G211))*Inputs!$E$55*Inputs!M95/1000,0)</f>
        <v>0</v>
      </c>
      <c r="N299" s="159">
        <f>IF('Revenue Calculation'!N7=2024,Inputs!$E$481*((1-Inputs!$H$64)*Inputs!$E$196*(1-Inputs!G197)+(1-Inputs!$H$65)*Inputs!$E$210*(1-Inputs!G211))*Inputs!$E$55*Inputs!N95/1000,0)</f>
        <v>0</v>
      </c>
      <c r="O299" s="159">
        <f>IF('Revenue Calculation'!O7=2024,Inputs!$E$481*((1-Inputs!$H$64)*Inputs!$E$196*(1-Inputs!G197)+(1-Inputs!$H$65)*Inputs!$E$210*(1-Inputs!G211))*Inputs!$E$55*Inputs!O95/1000,0)</f>
        <v>0</v>
      </c>
      <c r="P299" s="159">
        <f>IF('Revenue Calculation'!P7=2024,Inputs!$E$481*((1-Inputs!$H$64)*Inputs!$E$196*(1-Inputs!G197)+(1-Inputs!$H$65)*Inputs!$E$210*(1-Inputs!G211))*Inputs!$E$55*Inputs!P95/1000,0)</f>
        <v>0</v>
      </c>
      <c r="Q299" s="159">
        <f>IF('Revenue Calculation'!Q7=2024,Inputs!$E$481*((1-Inputs!$H$64)*Inputs!$E$196*(1-Inputs!G197)+(1-Inputs!$H$65)*Inputs!$E$210*(1-Inputs!G211))*Inputs!$E$55*Inputs!Q95/1000,0)</f>
        <v>0</v>
      </c>
      <c r="R299" s="159">
        <f>IF('Revenue Calculation'!R7=2024,Inputs!$E$481*((1-Inputs!$H$64)*Inputs!$E$196*(1-Inputs!G197)+(1-Inputs!$H$65)*Inputs!$E$210*(1-Inputs!G211))*Inputs!$E$55*Inputs!R95/1000,0)</f>
        <v>0</v>
      </c>
      <c r="S299" s="159">
        <f>IF('Revenue Calculation'!S7=2024,Inputs!$E$481*((1-Inputs!$H$64)*Inputs!$E$196*(1-Inputs!G197)+(1-Inputs!$H$65)*Inputs!$E$210*(1-Inputs!G211))*Inputs!$E$55*Inputs!S95/1000,0)</f>
        <v>0</v>
      </c>
      <c r="T299" s="159">
        <f>IF('Revenue Calculation'!T7=2024,Inputs!$E$481*((1-Inputs!$H$64)*Inputs!$E$196*(1-Inputs!G197)+(1-Inputs!$H$65)*Inputs!$E$210*(1-Inputs!G211))*Inputs!$E$55*Inputs!T95/1000,0)</f>
        <v>0</v>
      </c>
    </row>
    <row r="300" spans="2:20" x14ac:dyDescent="0.25">
      <c r="B300" s="23" t="s">
        <v>2244</v>
      </c>
      <c r="C300" s="28" t="s">
        <v>493</v>
      </c>
      <c r="H300" s="161">
        <f>ROUND('Revenue Calculation'!H216-H243-H270-H297,6)</f>
        <v>0</v>
      </c>
      <c r="I300" s="161">
        <f>ROUND('Revenue Calculation'!I216-I243-I270-I297,6)</f>
        <v>0</v>
      </c>
      <c r="J300" s="161">
        <f>ROUND('Revenue Calculation'!J216-J243-J270-J297,6)</f>
        <v>0</v>
      </c>
      <c r="K300" s="161">
        <f>ROUND('Revenue Calculation'!K216-K243-K270-K297,6)</f>
        <v>0</v>
      </c>
      <c r="L300" s="161">
        <f>ROUND('Revenue Calculation'!L216-L243-L270-L297,6)</f>
        <v>0</v>
      </c>
      <c r="M300" s="161">
        <f>ROUND('Revenue Calculation'!M216-M243-M270-M297,6)</f>
        <v>0</v>
      </c>
      <c r="N300" s="161">
        <f>ROUND('Revenue Calculation'!N216-N243-N270-N297,6)</f>
        <v>0</v>
      </c>
      <c r="O300" s="161">
        <f>ROUND('Revenue Calculation'!O216-O243-O270-O297,6)</f>
        <v>0</v>
      </c>
      <c r="P300" s="161">
        <f>ROUND('Revenue Calculation'!P216-P243-P270-P297,6)</f>
        <v>0</v>
      </c>
      <c r="Q300" s="161">
        <f>ROUND('Revenue Calculation'!Q216-Q243-Q270-Q297,6)</f>
        <v>0</v>
      </c>
      <c r="R300" s="161">
        <f>ROUND('Revenue Calculation'!R216-R243-R270-R297,6)</f>
        <v>0</v>
      </c>
      <c r="S300" s="161">
        <f>ROUND('Revenue Calculation'!S216-S243-S270-S297,6)</f>
        <v>0</v>
      </c>
      <c r="T300" s="161">
        <f>ROUND('Revenue Calculation'!T216-T243-T270-T297,6)</f>
        <v>0</v>
      </c>
    </row>
  </sheetData>
  <hyperlinks>
    <hyperlink ref="C3" location="'Model Flow'!A1" display="Model Flow" xr:uid="{00000000-0004-0000-0400-000000000000}"/>
    <hyperlink ref="D3" location="Inputs!A1" display="Inputs" xr:uid="{00000000-0004-0000-0400-000001000000}"/>
    <hyperlink ref="E3" location="'FS Data Request'!A1" display="FS Request" xr:uid="{00000000-0004-0000-0400-000002000000}"/>
    <hyperlink ref="F3" location="'Revenue Calculation'!A1" display="Revenue" xr:uid="{00000000-0004-0000-0400-000003000000}"/>
    <hyperlink ref="H3" location="'BUMN Synergy Calculation'!A1" display="BUMN Synergy" xr:uid="{00000000-0004-0000-0400-000004000000}"/>
    <hyperlink ref="I3" location="'Capex &amp; Depreciation'!A1" display="Capex" xr:uid="{00000000-0004-0000-0400-000005000000}"/>
    <hyperlink ref="J3" location="'Working Capital'!A1" display="Work. cap." xr:uid="{00000000-0004-0000-0400-000006000000}"/>
    <hyperlink ref="K3" location="Financing!A1" display="Financing" xr:uid="{00000000-0004-0000-0400-000007000000}"/>
    <hyperlink ref="L3" location="'Funding Requirement'!A1" display="Funding" xr:uid="{00000000-0004-0000-0400-000008000000}"/>
    <hyperlink ref="M3" location="'FSL Output - Without BUMN'!A1" display="Out: w/o BUMN" xr:uid="{00000000-0004-0000-0400-000009000000}"/>
    <hyperlink ref="N3" location="'FSL Output - With BUMN'!A1" display="Out: With BUMN" xr:uid="{00000000-0004-0000-0400-00000A000000}"/>
    <hyperlink ref="O3" location="'Valuation — Without BUMN'!A1" display="Val: w/o BUMN" xr:uid="{00000000-0004-0000-0400-00000B000000}"/>
    <hyperlink ref="P3" location="'Valuation — With BUMN'!A1" display="Val: With BUMN" xr:uid="{00000000-0004-0000-0400-00000C000000}"/>
    <hyperlink ref="Q3" location="'Project Cash Flows'!A1" display="Proj. CF" xr:uid="{00000000-0004-0000-0400-00000D000000}"/>
    <hyperlink ref="R3" location="'Project Summary'!A1" display="Proj. Summary" xr:uid="{00000000-0004-0000-0400-00000E000000}"/>
    <hyperlink ref="S3" location="'Checks &amp; Reconciliation'!A1" display="Checks" xr:uid="{00000000-0004-0000-0400-00000F000000}"/>
    <hyperlink ref="T3" location="'Source Data'!A1" display="Source Data" xr:uid="{00000000-0004-0000-0400-000010000000}"/>
  </hyperlinks>
  <pageMargins left="0.4" right="0.4" top="0.5" bottom="0.5" header="0.511811023622047" footer="0.5"/>
  <pageSetup paperSize="9" fitToHeight="0" orientation="landscape" horizontalDpi="300" verticalDpi="300"/>
  <headerFooter>
    <oddFooter>&amp;L&amp;A&amp;RPage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30A0"/>
    <pageSetUpPr fitToPage="1"/>
  </sheetPr>
  <dimension ref="B1:U106"/>
  <sheetViews>
    <sheetView showGridLines="0" zoomScale="85" zoomScaleNormal="85" workbookViewId="0">
      <pane xSplit="6" ySplit="6" topLeftCell="G7" activePane="bottomRight" state="frozen"/>
      <selection pane="topRight" activeCell="G1" sqref="G1"/>
      <selection pane="bottomLeft" activeCell="A7" sqref="A7"/>
      <selection pane="bottomRight"/>
    </sheetView>
  </sheetViews>
  <sheetFormatPr defaultColWidth="8.7109375" defaultRowHeight="15" x14ac:dyDescent="0.25"/>
  <cols>
    <col min="1" max="1" width="1.5703125" customWidth="1"/>
    <col min="2" max="2" width="62" customWidth="1"/>
    <col min="3" max="3" width="10" customWidth="1"/>
    <col min="4" max="6" width="13" customWidth="1"/>
    <col min="7" max="20" width="10.5703125" customWidth="1"/>
    <col min="21" max="21" width="55" customWidth="1"/>
  </cols>
  <sheetData>
    <row r="1" spans="2:21" ht="18" x14ac:dyDescent="0.25">
      <c r="B1" s="13" t="s">
        <v>2245</v>
      </c>
    </row>
    <row r="2" spans="2:21" x14ac:dyDescent="0.25">
      <c r="B2" s="14" t="s">
        <v>2246</v>
      </c>
    </row>
    <row r="3" spans="2:21" x14ac:dyDescent="0.25">
      <c r="B3" s="15" t="s">
        <v>2</v>
      </c>
      <c r="C3" s="17" t="s">
        <v>422</v>
      </c>
      <c r="D3" s="17" t="s">
        <v>4</v>
      </c>
      <c r="E3" s="17" t="s">
        <v>5</v>
      </c>
      <c r="F3" s="17" t="s">
        <v>6</v>
      </c>
      <c r="G3" s="17" t="s">
        <v>7</v>
      </c>
      <c r="H3" s="16" t="s">
        <v>2247</v>
      </c>
      <c r="I3" s="17" t="s">
        <v>9</v>
      </c>
      <c r="J3" s="17" t="s">
        <v>10</v>
      </c>
      <c r="K3" s="17" t="s">
        <v>11</v>
      </c>
      <c r="L3" s="17" t="s">
        <v>12</v>
      </c>
      <c r="M3" s="17" t="s">
        <v>13</v>
      </c>
      <c r="N3" s="17" t="s">
        <v>14</v>
      </c>
      <c r="O3" s="17" t="s">
        <v>15</v>
      </c>
      <c r="P3" s="17" t="s">
        <v>16</v>
      </c>
      <c r="Q3" s="17" t="s">
        <v>17</v>
      </c>
      <c r="R3" s="17" t="s">
        <v>18</v>
      </c>
      <c r="S3" s="17" t="s">
        <v>19</v>
      </c>
      <c r="T3" s="17" t="s">
        <v>20</v>
      </c>
    </row>
    <row r="4" spans="2:21" x14ac:dyDescent="0.25">
      <c r="G4" s="77" t="s">
        <v>1878</v>
      </c>
      <c r="H4" s="77" t="s">
        <v>1879</v>
      </c>
      <c r="I4" s="77" t="s">
        <v>1879</v>
      </c>
      <c r="J4" s="77" t="s">
        <v>1879</v>
      </c>
      <c r="K4" s="77" t="s">
        <v>1879</v>
      </c>
      <c r="L4" s="77" t="s">
        <v>1879</v>
      </c>
      <c r="M4" s="77" t="s">
        <v>1879</v>
      </c>
      <c r="N4" s="77" t="s">
        <v>1879</v>
      </c>
      <c r="O4" s="77" t="s">
        <v>1879</v>
      </c>
      <c r="P4" s="77" t="s">
        <v>1879</v>
      </c>
      <c r="Q4" s="77" t="s">
        <v>1879</v>
      </c>
      <c r="R4" s="77" t="s">
        <v>1879</v>
      </c>
      <c r="S4" s="77" t="s">
        <v>1879</v>
      </c>
      <c r="T4" s="77" t="s">
        <v>1879</v>
      </c>
    </row>
    <row r="5" spans="2:21" x14ac:dyDescent="0.25">
      <c r="B5" s="150" t="s">
        <v>2248</v>
      </c>
      <c r="C5" s="150" t="s">
        <v>466</v>
      </c>
      <c r="D5" s="59" t="s">
        <v>1881</v>
      </c>
      <c r="E5" s="59" t="s">
        <v>468</v>
      </c>
      <c r="F5" s="60"/>
      <c r="G5" s="151">
        <v>2023</v>
      </c>
      <c r="H5" s="152">
        <v>2024</v>
      </c>
      <c r="I5" s="152">
        <v>2025</v>
      </c>
      <c r="J5" s="152">
        <v>2026</v>
      </c>
      <c r="K5" s="152">
        <v>2027</v>
      </c>
      <c r="L5" s="152">
        <v>2028</v>
      </c>
      <c r="M5" s="152">
        <v>2029</v>
      </c>
      <c r="N5" s="152">
        <v>2030</v>
      </c>
      <c r="O5" s="152">
        <v>2031</v>
      </c>
      <c r="P5" s="152">
        <v>2032</v>
      </c>
      <c r="Q5" s="152">
        <v>2033</v>
      </c>
      <c r="R5" s="152">
        <v>2034</v>
      </c>
      <c r="S5" s="152">
        <v>2035</v>
      </c>
      <c r="T5" s="152">
        <v>2036</v>
      </c>
      <c r="U5" s="59" t="s">
        <v>1882</v>
      </c>
    </row>
    <row r="6" spans="2:21" x14ac:dyDescent="0.25">
      <c r="B6" s="58" t="s">
        <v>2249</v>
      </c>
      <c r="C6" s="19"/>
      <c r="D6" s="19"/>
      <c r="E6" s="19"/>
      <c r="F6" s="19"/>
      <c r="G6" s="19"/>
      <c r="H6" s="19"/>
      <c r="I6" s="19"/>
      <c r="J6" s="19"/>
      <c r="K6" s="19"/>
      <c r="L6" s="19"/>
      <c r="M6" s="19"/>
      <c r="N6" s="19"/>
      <c r="O6" s="19"/>
      <c r="P6" s="19"/>
      <c r="Q6" s="19"/>
      <c r="R6" s="19"/>
      <c r="S6" s="19"/>
      <c r="T6" s="19"/>
    </row>
    <row r="7" spans="2:21" x14ac:dyDescent="0.25">
      <c r="B7" s="154" t="s">
        <v>2250</v>
      </c>
    </row>
    <row r="8" spans="2:21" x14ac:dyDescent="0.25">
      <c r="B8" s="23" t="s">
        <v>2251</v>
      </c>
      <c r="C8" s="28" t="s">
        <v>647</v>
      </c>
      <c r="H8" s="159">
        <f>Inputs!H431+Inputs!H432+Inputs!H433+Inputs!H434+Inputs!H435+Inputs!H436</f>
        <v>78259</v>
      </c>
      <c r="I8" s="159">
        <f>Inputs!I431+Inputs!I432+Inputs!I433+Inputs!I434+Inputs!I435+Inputs!I436</f>
        <v>78259</v>
      </c>
      <c r="J8" s="159">
        <f>Inputs!J431+Inputs!J432+Inputs!J433+Inputs!J434+Inputs!J435+Inputs!J436</f>
        <v>78259</v>
      </c>
      <c r="K8" s="159">
        <f>Inputs!K431+Inputs!K432+Inputs!K433+Inputs!K434+Inputs!K435+Inputs!K436</f>
        <v>78259</v>
      </c>
      <c r="L8" s="159">
        <f>Inputs!L431+Inputs!L432+Inputs!L433+Inputs!L434+Inputs!L435+Inputs!L436</f>
        <v>78259</v>
      </c>
      <c r="M8" s="159">
        <f>Inputs!M431+Inputs!M432+Inputs!M433+Inputs!M434+Inputs!M435+Inputs!M436</f>
        <v>78259</v>
      </c>
      <c r="N8" s="159">
        <f>Inputs!N431+Inputs!N432+Inputs!N433+Inputs!N434+Inputs!N435+Inputs!N436</f>
        <v>78259</v>
      </c>
      <c r="O8" s="159">
        <f>Inputs!O431+Inputs!O432+Inputs!O433+Inputs!O434+Inputs!O435+Inputs!O436</f>
        <v>78259</v>
      </c>
      <c r="P8" s="159">
        <f>Inputs!P431+Inputs!P432+Inputs!P433+Inputs!P434+Inputs!P435+Inputs!P436</f>
        <v>78259</v>
      </c>
      <c r="Q8" s="159">
        <f>Inputs!Q431+Inputs!Q432+Inputs!Q433+Inputs!Q434+Inputs!Q435+Inputs!Q436</f>
        <v>78259</v>
      </c>
      <c r="R8" s="159">
        <f>Inputs!R431+Inputs!R432+Inputs!R433+Inputs!R434+Inputs!R435+Inputs!R436</f>
        <v>78259</v>
      </c>
      <c r="S8" s="159">
        <f>Inputs!S431+Inputs!S432+Inputs!S433+Inputs!S434+Inputs!S435+Inputs!S436</f>
        <v>78259</v>
      </c>
      <c r="T8" s="159">
        <f>Inputs!T431+Inputs!T432+Inputs!T433+Inputs!T434+Inputs!T435+Inputs!T436</f>
        <v>78259</v>
      </c>
    </row>
    <row r="9" spans="2:21" x14ac:dyDescent="0.25">
      <c r="B9" s="23" t="s">
        <v>2252</v>
      </c>
      <c r="C9" s="28" t="s">
        <v>647</v>
      </c>
      <c r="H9" s="159">
        <f>H8*(1-Inputs!H430)</f>
        <v>57129.07</v>
      </c>
      <c r="I9" s="159">
        <f>I8*(1-Inputs!I430)</f>
        <v>57129.07</v>
      </c>
      <c r="J9" s="159">
        <f>J8*(1-Inputs!J430)</f>
        <v>57129.07</v>
      </c>
      <c r="K9" s="159">
        <f>K8*(1-Inputs!K430)</f>
        <v>57129.07</v>
      </c>
      <c r="L9" s="159">
        <f>L8*(1-Inputs!L430)</f>
        <v>57129.07</v>
      </c>
      <c r="M9" s="159">
        <f>M8*(1-Inputs!M430)</f>
        <v>57129.07</v>
      </c>
      <c r="N9" s="159">
        <f>N8*(1-Inputs!N430)</f>
        <v>57129.07</v>
      </c>
      <c r="O9" s="159">
        <f>O8*(1-Inputs!O430)</f>
        <v>57129.07</v>
      </c>
      <c r="P9" s="159">
        <f>P8*(1-Inputs!P430)</f>
        <v>57129.07</v>
      </c>
      <c r="Q9" s="159">
        <f>Q8*(1-Inputs!Q430)</f>
        <v>57129.07</v>
      </c>
      <c r="R9" s="159">
        <f>R8*(1-Inputs!R430)</f>
        <v>57129.07</v>
      </c>
      <c r="S9" s="159">
        <f>S8*(1-Inputs!S430)</f>
        <v>57129.07</v>
      </c>
      <c r="T9" s="159">
        <f>T8*(1-Inputs!T430)</f>
        <v>57129.07</v>
      </c>
    </row>
    <row r="10" spans="2:21" x14ac:dyDescent="0.25">
      <c r="B10" s="23" t="s">
        <v>2253</v>
      </c>
      <c r="C10" s="28" t="s">
        <v>647</v>
      </c>
      <c r="H10" s="159">
        <f>H9-Inputs!H443-Inputs!H444-Inputs!H445</f>
        <v>33624.52999999997</v>
      </c>
      <c r="I10" s="159">
        <f>I9-Inputs!I443-Inputs!I444-Inputs!I445</f>
        <v>33624.52999999997</v>
      </c>
      <c r="J10" s="159">
        <f>J9-Inputs!J443-Inputs!J444-Inputs!J445</f>
        <v>33624.52999999997</v>
      </c>
      <c r="K10" s="159">
        <f>K9-Inputs!K443-Inputs!K444-Inputs!K445</f>
        <v>33624.52999999997</v>
      </c>
      <c r="L10" s="159">
        <f>L9-Inputs!L443-Inputs!L444-Inputs!L445</f>
        <v>33624.52999999997</v>
      </c>
      <c r="M10" s="159">
        <f>M9-Inputs!M443-Inputs!M444-Inputs!M445</f>
        <v>33624.52999999997</v>
      </c>
      <c r="N10" s="159">
        <f>N9-Inputs!N443-Inputs!N444-Inputs!N445</f>
        <v>33624.52999999997</v>
      </c>
      <c r="O10" s="159">
        <f>O9-Inputs!O443-Inputs!O444-Inputs!O445</f>
        <v>33624.52999999997</v>
      </c>
      <c r="P10" s="159">
        <f>P9-Inputs!P443-Inputs!P444-Inputs!P445</f>
        <v>33624.52999999997</v>
      </c>
      <c r="Q10" s="159">
        <f>Q9-Inputs!Q443-Inputs!Q444-Inputs!Q445</f>
        <v>33624.52999999997</v>
      </c>
      <c r="R10" s="159">
        <f>R9-Inputs!R443-Inputs!R444-Inputs!R445</f>
        <v>33624.52999999997</v>
      </c>
      <c r="S10" s="159">
        <f>S9-Inputs!S443-Inputs!S444-Inputs!S445</f>
        <v>33624.52999999997</v>
      </c>
      <c r="T10" s="159">
        <f>T9-Inputs!T443-Inputs!T444-Inputs!T445</f>
        <v>33624.52999999997</v>
      </c>
    </row>
    <row r="11" spans="2:21" x14ac:dyDescent="0.25">
      <c r="B11" s="23" t="s">
        <v>2254</v>
      </c>
      <c r="C11" s="28" t="s">
        <v>647</v>
      </c>
      <c r="H11" s="159">
        <f>(Inputs!H449+Inputs!H450)/(1-Inputs!H430)</f>
        <v>8584.6810575874515</v>
      </c>
      <c r="I11" s="159">
        <f>(Inputs!I449+Inputs!I450)/(1-Inputs!I430)</f>
        <v>8584.6810575874515</v>
      </c>
      <c r="J11" s="159">
        <f>(Inputs!J449+Inputs!J450)/(1-Inputs!J430)</f>
        <v>8584.6810575874515</v>
      </c>
      <c r="K11" s="159">
        <f>(Inputs!K449+Inputs!K450)/(1-Inputs!K430)</f>
        <v>8584.6810575874515</v>
      </c>
      <c r="L11" s="159">
        <f>(Inputs!L449+Inputs!L450)/(1-Inputs!L430)</f>
        <v>8584.6810575874515</v>
      </c>
      <c r="M11" s="159">
        <f>(Inputs!M449+Inputs!M450)/(1-Inputs!M430)</f>
        <v>8584.6810575874515</v>
      </c>
      <c r="N11" s="159">
        <f>(Inputs!N449+Inputs!N450)/(1-Inputs!N430)</f>
        <v>8584.6810575874515</v>
      </c>
      <c r="O11" s="159">
        <f>(Inputs!O449+Inputs!O450)/(1-Inputs!O430)</f>
        <v>8584.6810575874515</v>
      </c>
      <c r="P11" s="159">
        <f>(Inputs!P449+Inputs!P450)/(1-Inputs!P430)</f>
        <v>8584.6810575874515</v>
      </c>
      <c r="Q11" s="159">
        <f>(Inputs!Q449+Inputs!Q450)/(1-Inputs!Q430)</f>
        <v>8584.6810575874515</v>
      </c>
      <c r="R11" s="159">
        <f>(Inputs!R449+Inputs!R450)/(1-Inputs!R430)</f>
        <v>8584.6810575874515</v>
      </c>
      <c r="S11" s="159">
        <f>(Inputs!S449+Inputs!S450)/(1-Inputs!S430)</f>
        <v>8584.6810575874515</v>
      </c>
      <c r="T11" s="159">
        <f>(Inputs!T449+Inputs!T450)/(1-Inputs!T430)</f>
        <v>8584.6810575874515</v>
      </c>
      <c r="U11" s="28" t="s">
        <v>2255</v>
      </c>
    </row>
    <row r="12" spans="2:21" x14ac:dyDescent="0.25">
      <c r="B12" s="23" t="s">
        <v>2256</v>
      </c>
      <c r="C12" s="28" t="s">
        <v>647</v>
      </c>
      <c r="H12" s="159">
        <f>(Inputs!H451+Inputs!H452)/(1-Inputs!H430)</f>
        <v>6393.8535185530009</v>
      </c>
      <c r="I12" s="159">
        <f>(Inputs!I451+Inputs!I452)/(1-Inputs!I430)</f>
        <v>6393.8535185530009</v>
      </c>
      <c r="J12" s="159">
        <f>(Inputs!J451+Inputs!J452)/(1-Inputs!J430)</f>
        <v>6393.8535185530009</v>
      </c>
      <c r="K12" s="159">
        <f>(Inputs!K451+Inputs!K452)/(1-Inputs!K430)</f>
        <v>6393.8535185530009</v>
      </c>
      <c r="L12" s="159">
        <f>(Inputs!L451+Inputs!L452)/(1-Inputs!L430)</f>
        <v>6393.8535185530009</v>
      </c>
      <c r="M12" s="159">
        <f>(Inputs!M451+Inputs!M452)/(1-Inputs!M430)</f>
        <v>6393.8535185530009</v>
      </c>
      <c r="N12" s="159">
        <f>(Inputs!N451+Inputs!N452)/(1-Inputs!N430)</f>
        <v>6393.8535185530009</v>
      </c>
      <c r="O12" s="159">
        <f>(Inputs!O451+Inputs!O452)/(1-Inputs!O430)</f>
        <v>6393.8535185530009</v>
      </c>
      <c r="P12" s="159">
        <f>(Inputs!P451+Inputs!P452)/(1-Inputs!P430)</f>
        <v>6393.8535185530009</v>
      </c>
      <c r="Q12" s="159">
        <f>(Inputs!Q451+Inputs!Q452)/(1-Inputs!Q430)</f>
        <v>6393.8535185530009</v>
      </c>
      <c r="R12" s="159">
        <f>(Inputs!R451+Inputs!R452)/(1-Inputs!R430)</f>
        <v>6393.8535185530009</v>
      </c>
      <c r="S12" s="159">
        <f>(Inputs!S451+Inputs!S452)/(1-Inputs!S430)</f>
        <v>6393.8535185530009</v>
      </c>
      <c r="T12" s="159">
        <f>(Inputs!T451+Inputs!T452)/(1-Inputs!T430)</f>
        <v>6393.8535185530009</v>
      </c>
      <c r="U12" s="28" t="s">
        <v>2257</v>
      </c>
    </row>
    <row r="13" spans="2:21" x14ac:dyDescent="0.25">
      <c r="B13" s="23" t="s">
        <v>2258</v>
      </c>
      <c r="C13" s="28" t="s">
        <v>647</v>
      </c>
      <c r="H13" s="159">
        <f>Inputs!H431+Inputs!H432+H11+H12+Inputs!H435+Inputs!H436</f>
        <v>61039.534576140453</v>
      </c>
      <c r="I13" s="159">
        <f>Inputs!I431+Inputs!I432+I11+I12+Inputs!I435+Inputs!I436</f>
        <v>61039.534576140453</v>
      </c>
      <c r="J13" s="159">
        <f>Inputs!J431+Inputs!J432+J11+J12+Inputs!J435+Inputs!J436</f>
        <v>61039.534576140453</v>
      </c>
      <c r="K13" s="159">
        <f>Inputs!K431+Inputs!K432+K11+K12+Inputs!K435+Inputs!K436</f>
        <v>61039.534576140453</v>
      </c>
      <c r="L13" s="159">
        <f>Inputs!L431+Inputs!L432+L11+L12+Inputs!L435+Inputs!L436</f>
        <v>61039.534576140453</v>
      </c>
      <c r="M13" s="159">
        <f>Inputs!M431+Inputs!M432+M11+M12+Inputs!M435+Inputs!M436</f>
        <v>61039.534576140453</v>
      </c>
      <c r="N13" s="159">
        <f>Inputs!N431+Inputs!N432+N11+N12+Inputs!N435+Inputs!N436</f>
        <v>61039.534576140453</v>
      </c>
      <c r="O13" s="159">
        <f>Inputs!O431+Inputs!O432+O11+O12+Inputs!O435+Inputs!O436</f>
        <v>61039.534576140453</v>
      </c>
      <c r="P13" s="159">
        <f>Inputs!P431+Inputs!P432+P11+P12+Inputs!P435+Inputs!P436</f>
        <v>61039.534576140453</v>
      </c>
      <c r="Q13" s="159">
        <f>Inputs!Q431+Inputs!Q432+Q11+Q12+Inputs!Q435+Inputs!Q436</f>
        <v>61039.534576140453</v>
      </c>
      <c r="R13" s="159">
        <f>Inputs!R431+Inputs!R432+R11+R12+Inputs!R435+Inputs!R436</f>
        <v>61039.534576140453</v>
      </c>
      <c r="S13" s="159">
        <f>Inputs!S431+Inputs!S432+S11+S12+Inputs!S435+Inputs!S436</f>
        <v>61039.534576140453</v>
      </c>
      <c r="T13" s="159">
        <f>Inputs!T431+Inputs!T432+T11+T12+Inputs!T435+Inputs!T436</f>
        <v>61039.534576140453</v>
      </c>
    </row>
    <row r="14" spans="2:21" ht="26.25" customHeight="1" x14ac:dyDescent="0.25">
      <c r="B14" s="133" t="s">
        <v>2259</v>
      </c>
      <c r="C14" s="28" t="s">
        <v>647</v>
      </c>
      <c r="H14" s="160">
        <f>(Inputs!H433-H11)+(Inputs!H434-H12)</f>
        <v>17219.465423859547</v>
      </c>
      <c r="I14" s="160">
        <f>(Inputs!I433-I11)+(Inputs!I434-I12)</f>
        <v>17219.465423859547</v>
      </c>
      <c r="J14" s="160">
        <f>(Inputs!J433-J11)+(Inputs!J434-J12)</f>
        <v>17219.465423859547</v>
      </c>
      <c r="K14" s="160">
        <f>(Inputs!K433-K11)+(Inputs!K434-K12)</f>
        <v>17219.465423859547</v>
      </c>
      <c r="L14" s="160">
        <f>(Inputs!L433-L11)+(Inputs!L434-L12)</f>
        <v>17219.465423859547</v>
      </c>
      <c r="M14" s="160">
        <f>(Inputs!M433-M11)+(Inputs!M434-M12)</f>
        <v>17219.465423859547</v>
      </c>
      <c r="N14" s="160">
        <f>(Inputs!N433-N11)+(Inputs!N434-N12)</f>
        <v>17219.465423859547</v>
      </c>
      <c r="O14" s="160">
        <f>(Inputs!O433-O11)+(Inputs!O434-O12)</f>
        <v>17219.465423859547</v>
      </c>
      <c r="P14" s="160">
        <f>(Inputs!P433-P11)+(Inputs!P434-P12)</f>
        <v>17219.465423859547</v>
      </c>
      <c r="Q14" s="160">
        <f>(Inputs!Q433-Q11)+(Inputs!Q434-Q12)</f>
        <v>17219.465423859547</v>
      </c>
      <c r="R14" s="160">
        <f>(Inputs!R433-R11)+(Inputs!R434-R12)</f>
        <v>17219.465423859547</v>
      </c>
      <c r="S14" s="160">
        <f>(Inputs!S433-S11)+(Inputs!S434-S12)</f>
        <v>17219.465423859547</v>
      </c>
      <c r="T14" s="160">
        <f>(Inputs!T433-T11)+(Inputs!T434-T12)</f>
        <v>17219.465423859547</v>
      </c>
      <c r="U14" s="28" t="s">
        <v>2260</v>
      </c>
    </row>
    <row r="15" spans="2:21" x14ac:dyDescent="0.25">
      <c r="B15" s="23" t="s">
        <v>2261</v>
      </c>
      <c r="C15" s="28" t="s">
        <v>647</v>
      </c>
      <c r="H15" s="159">
        <f t="shared" ref="H15:T15" si="0">H10/H8*H13</f>
        <v>26226.065520150652</v>
      </c>
      <c r="I15" s="159">
        <f t="shared" si="0"/>
        <v>26226.065520150652</v>
      </c>
      <c r="J15" s="159">
        <f t="shared" si="0"/>
        <v>26226.065520150652</v>
      </c>
      <c r="K15" s="159">
        <f t="shared" si="0"/>
        <v>26226.065520150652</v>
      </c>
      <c r="L15" s="159">
        <f t="shared" si="0"/>
        <v>26226.065520150652</v>
      </c>
      <c r="M15" s="159">
        <f t="shared" si="0"/>
        <v>26226.065520150652</v>
      </c>
      <c r="N15" s="159">
        <f t="shared" si="0"/>
        <v>26226.065520150652</v>
      </c>
      <c r="O15" s="159">
        <f t="shared" si="0"/>
        <v>26226.065520150652</v>
      </c>
      <c r="P15" s="159">
        <f t="shared" si="0"/>
        <v>26226.065520150652</v>
      </c>
      <c r="Q15" s="159">
        <f t="shared" si="0"/>
        <v>26226.065520150652</v>
      </c>
      <c r="R15" s="159">
        <f t="shared" si="0"/>
        <v>26226.065520150652</v>
      </c>
      <c r="S15" s="159">
        <f t="shared" si="0"/>
        <v>26226.065520150652</v>
      </c>
      <c r="T15" s="159">
        <f t="shared" si="0"/>
        <v>26226.065520150652</v>
      </c>
      <c r="U15" s="28" t="s">
        <v>2262</v>
      </c>
    </row>
    <row r="16" spans="2:21" x14ac:dyDescent="0.25">
      <c r="B16" s="23" t="s">
        <v>2263</v>
      </c>
      <c r="C16" s="28" t="s">
        <v>647</v>
      </c>
      <c r="H16" s="159">
        <f>Inputs!H443+Inputs!H444+H15</f>
        <v>37160.395760733183</v>
      </c>
      <c r="I16" s="159">
        <f>Inputs!I443+Inputs!I444+I15</f>
        <v>37160.395760733183</v>
      </c>
      <c r="J16" s="159">
        <f>Inputs!J443+Inputs!J444+J15</f>
        <v>37160.395760733183</v>
      </c>
      <c r="K16" s="159">
        <f>Inputs!K443+Inputs!K444+K15</f>
        <v>37160.395760733183</v>
      </c>
      <c r="L16" s="159">
        <f>Inputs!L443+Inputs!L444+L15</f>
        <v>37160.395760733183</v>
      </c>
      <c r="M16" s="159">
        <f>Inputs!M443+Inputs!M444+M15</f>
        <v>37160.395760733183</v>
      </c>
      <c r="N16" s="159">
        <f>Inputs!N443+Inputs!N444+N15</f>
        <v>37160.395760733183</v>
      </c>
      <c r="O16" s="159">
        <f>Inputs!O443+Inputs!O444+O15</f>
        <v>37160.395760733183</v>
      </c>
      <c r="P16" s="159">
        <f>Inputs!P443+Inputs!P444+P15</f>
        <v>37160.395760733183</v>
      </c>
      <c r="Q16" s="159">
        <f>Inputs!Q443+Inputs!Q444+Q15</f>
        <v>37160.395760733183</v>
      </c>
      <c r="R16" s="159">
        <f>Inputs!R443+Inputs!R444+R15</f>
        <v>37160.395760733183</v>
      </c>
      <c r="S16" s="159">
        <f>Inputs!S443+Inputs!S444+S15</f>
        <v>37160.395760733183</v>
      </c>
      <c r="T16" s="159">
        <f>Inputs!T443+Inputs!T444+T15</f>
        <v>37160.395760733183</v>
      </c>
    </row>
    <row r="17" spans="2:21" ht="26.25" customHeight="1" x14ac:dyDescent="0.25">
      <c r="B17" s="64" t="s">
        <v>2264</v>
      </c>
      <c r="C17" s="28" t="s">
        <v>647</v>
      </c>
      <c r="H17" s="165">
        <f t="shared" ref="H17:T17" si="1">ROUND(H13+H14-H8,6)</f>
        <v>0</v>
      </c>
      <c r="I17" s="165">
        <f t="shared" si="1"/>
        <v>0</v>
      </c>
      <c r="J17" s="165">
        <f t="shared" si="1"/>
        <v>0</v>
      </c>
      <c r="K17" s="165">
        <f t="shared" si="1"/>
        <v>0</v>
      </c>
      <c r="L17" s="165">
        <f t="shared" si="1"/>
        <v>0</v>
      </c>
      <c r="M17" s="165">
        <f t="shared" si="1"/>
        <v>0</v>
      </c>
      <c r="N17" s="165">
        <f t="shared" si="1"/>
        <v>0</v>
      </c>
      <c r="O17" s="165">
        <f t="shared" si="1"/>
        <v>0</v>
      </c>
      <c r="P17" s="165">
        <f t="shared" si="1"/>
        <v>0</v>
      </c>
      <c r="Q17" s="165">
        <f t="shared" si="1"/>
        <v>0</v>
      </c>
      <c r="R17" s="165">
        <f t="shared" si="1"/>
        <v>0</v>
      </c>
      <c r="S17" s="165">
        <f t="shared" si="1"/>
        <v>0</v>
      </c>
      <c r="T17" s="165">
        <f t="shared" si="1"/>
        <v>0</v>
      </c>
    </row>
    <row r="18" spans="2:21" x14ac:dyDescent="0.25">
      <c r="B18" s="154" t="s">
        <v>2265</v>
      </c>
    </row>
    <row r="19" spans="2:21" x14ac:dyDescent="0.25">
      <c r="B19" s="23" t="s">
        <v>2266</v>
      </c>
      <c r="C19" s="28" t="s">
        <v>647</v>
      </c>
      <c r="H19" s="159">
        <f>Inputs!H437+Inputs!H438+Inputs!H439+Inputs!H440+Inputs!H441+Inputs!H442</f>
        <v>84841</v>
      </c>
      <c r="I19" s="159">
        <f>Inputs!I437+Inputs!I438+Inputs!I439+Inputs!I440+Inputs!I441+Inputs!I442</f>
        <v>84841</v>
      </c>
      <c r="J19" s="159">
        <f>Inputs!J437+Inputs!J438+Inputs!J439+Inputs!J440+Inputs!J441+Inputs!J442</f>
        <v>84841</v>
      </c>
      <c r="K19" s="159">
        <f>Inputs!K437+Inputs!K438+Inputs!K439+Inputs!K440+Inputs!K441+Inputs!K442</f>
        <v>84841</v>
      </c>
      <c r="L19" s="159">
        <f>Inputs!L437+Inputs!L438+Inputs!L439+Inputs!L440+Inputs!L441+Inputs!L442</f>
        <v>84841</v>
      </c>
      <c r="M19" s="159">
        <f>Inputs!M437+Inputs!M438+Inputs!M439+Inputs!M440+Inputs!M441+Inputs!M442</f>
        <v>84841</v>
      </c>
      <c r="N19" s="159">
        <f>Inputs!N437+Inputs!N438+Inputs!N439+Inputs!N440+Inputs!N441+Inputs!N442</f>
        <v>84841</v>
      </c>
      <c r="O19" s="159">
        <f>Inputs!O437+Inputs!O438+Inputs!O439+Inputs!O440+Inputs!O441+Inputs!O442</f>
        <v>84841</v>
      </c>
      <c r="P19" s="159">
        <f>Inputs!P437+Inputs!P438+Inputs!P439+Inputs!P440+Inputs!P441+Inputs!P442</f>
        <v>84841</v>
      </c>
      <c r="Q19" s="159">
        <f>Inputs!Q437+Inputs!Q438+Inputs!Q439+Inputs!Q440+Inputs!Q441+Inputs!Q442</f>
        <v>84841</v>
      </c>
      <c r="R19" s="159">
        <f>Inputs!R437+Inputs!R438+Inputs!R439+Inputs!R440+Inputs!R441+Inputs!R442</f>
        <v>84841</v>
      </c>
      <c r="S19" s="159">
        <f>Inputs!S437+Inputs!S438+Inputs!S439+Inputs!S440+Inputs!S441+Inputs!S442</f>
        <v>84841</v>
      </c>
      <c r="T19" s="159">
        <f>Inputs!T437+Inputs!T438+Inputs!T439+Inputs!T440+Inputs!T441+Inputs!T442</f>
        <v>84841</v>
      </c>
    </row>
    <row r="20" spans="2:21" x14ac:dyDescent="0.25">
      <c r="B20" s="23" t="s">
        <v>2267</v>
      </c>
      <c r="C20" s="28" t="s">
        <v>647</v>
      </c>
      <c r="H20" s="159">
        <f>H19*(1-Inputs!H430)</f>
        <v>61933.93</v>
      </c>
      <c r="I20" s="159">
        <f>I19*(1-Inputs!I430)</f>
        <v>61933.93</v>
      </c>
      <c r="J20" s="159">
        <f>J19*(1-Inputs!J430)</f>
        <v>61933.93</v>
      </c>
      <c r="K20" s="159">
        <f>K19*(1-Inputs!K430)</f>
        <v>61933.93</v>
      </c>
      <c r="L20" s="159">
        <f>L19*(1-Inputs!L430)</f>
        <v>61933.93</v>
      </c>
      <c r="M20" s="159">
        <f>M19*(1-Inputs!M430)</f>
        <v>61933.93</v>
      </c>
      <c r="N20" s="159">
        <f>N19*(1-Inputs!N430)</f>
        <v>61933.93</v>
      </c>
      <c r="O20" s="159">
        <f>O19*(1-Inputs!O430)</f>
        <v>61933.93</v>
      </c>
      <c r="P20" s="159">
        <f>P19*(1-Inputs!P430)</f>
        <v>61933.93</v>
      </c>
      <c r="Q20" s="159">
        <f>Q19*(1-Inputs!Q430)</f>
        <v>61933.93</v>
      </c>
      <c r="R20" s="159">
        <f>R19*(1-Inputs!R430)</f>
        <v>61933.93</v>
      </c>
      <c r="S20" s="159">
        <f>S19*(1-Inputs!S430)</f>
        <v>61933.93</v>
      </c>
      <c r="T20" s="159">
        <f>T19*(1-Inputs!T430)</f>
        <v>61933.93</v>
      </c>
    </row>
    <row r="21" spans="2:21" x14ac:dyDescent="0.25">
      <c r="B21" s="23" t="s">
        <v>2268</v>
      </c>
      <c r="C21" s="28" t="s">
        <v>647</v>
      </c>
      <c r="H21" s="159">
        <f>H20-Inputs!H446-Inputs!H447-Inputs!H448</f>
        <v>38955.720000000008</v>
      </c>
      <c r="I21" s="159">
        <f>I20-Inputs!I446-Inputs!I447-Inputs!I448</f>
        <v>38955.720000000008</v>
      </c>
      <c r="J21" s="159">
        <f>J20-Inputs!J446-Inputs!J447-Inputs!J448</f>
        <v>38955.720000000008</v>
      </c>
      <c r="K21" s="159">
        <f>K20-Inputs!K446-Inputs!K447-Inputs!K448</f>
        <v>38955.720000000008</v>
      </c>
      <c r="L21" s="159">
        <f>L20-Inputs!L446-Inputs!L447-Inputs!L448</f>
        <v>38955.720000000008</v>
      </c>
      <c r="M21" s="159">
        <f>M20-Inputs!M446-Inputs!M447-Inputs!M448</f>
        <v>38955.720000000008</v>
      </c>
      <c r="N21" s="159">
        <f>N20-Inputs!N446-Inputs!N447-Inputs!N448</f>
        <v>38955.720000000008</v>
      </c>
      <c r="O21" s="159">
        <f>O20-Inputs!O446-Inputs!O447-Inputs!O448</f>
        <v>38955.720000000008</v>
      </c>
      <c r="P21" s="159">
        <f>P20-Inputs!P446-Inputs!P447-Inputs!P448</f>
        <v>38955.720000000008</v>
      </c>
      <c r="Q21" s="159">
        <f>Q20-Inputs!Q446-Inputs!Q447-Inputs!Q448</f>
        <v>38955.720000000008</v>
      </c>
      <c r="R21" s="159">
        <f>R20-Inputs!R446-Inputs!R447-Inputs!R448</f>
        <v>38955.720000000008</v>
      </c>
      <c r="S21" s="159">
        <f>S20-Inputs!S446-Inputs!S447-Inputs!S448</f>
        <v>38955.720000000008</v>
      </c>
      <c r="T21" s="159">
        <f>T20-Inputs!T446-Inputs!T447-Inputs!T448</f>
        <v>38955.720000000008</v>
      </c>
    </row>
    <row r="22" spans="2:21" x14ac:dyDescent="0.25">
      <c r="B22" s="23" t="s">
        <v>2269</v>
      </c>
      <c r="C22" s="28" t="s">
        <v>647</v>
      </c>
      <c r="H22" s="159">
        <f>(Inputs!H453+Inputs!H454)/(1-Inputs!H430)</f>
        <v>10083.500887458205</v>
      </c>
      <c r="I22" s="159">
        <f>(Inputs!I453+Inputs!I454)/(1-Inputs!I430)</f>
        <v>10083.500887458205</v>
      </c>
      <c r="J22" s="159">
        <f>(Inputs!J453+Inputs!J454)/(1-Inputs!J430)</f>
        <v>10083.500887458205</v>
      </c>
      <c r="K22" s="159">
        <f>(Inputs!K453+Inputs!K454)/(1-Inputs!K430)</f>
        <v>10083.500887458205</v>
      </c>
      <c r="L22" s="159">
        <f>(Inputs!L453+Inputs!L454)/(1-Inputs!L430)</f>
        <v>10083.500887458205</v>
      </c>
      <c r="M22" s="159">
        <f>(Inputs!M453+Inputs!M454)/(1-Inputs!M430)</f>
        <v>10083.500887458205</v>
      </c>
      <c r="N22" s="159">
        <f>(Inputs!N453+Inputs!N454)/(1-Inputs!N430)</f>
        <v>10083.500887458205</v>
      </c>
      <c r="O22" s="159">
        <f>(Inputs!O453+Inputs!O454)/(1-Inputs!O430)</f>
        <v>10083.500887458205</v>
      </c>
      <c r="P22" s="159">
        <f>(Inputs!P453+Inputs!P454)/(1-Inputs!P430)</f>
        <v>10083.500887458205</v>
      </c>
      <c r="Q22" s="159">
        <f>(Inputs!Q453+Inputs!Q454)/(1-Inputs!Q430)</f>
        <v>10083.500887458205</v>
      </c>
      <c r="R22" s="159">
        <f>(Inputs!R453+Inputs!R454)/(1-Inputs!R430)</f>
        <v>10083.500887458205</v>
      </c>
      <c r="S22" s="159">
        <f>(Inputs!S453+Inputs!S454)/(1-Inputs!S430)</f>
        <v>10083.500887458205</v>
      </c>
      <c r="T22" s="159">
        <f>(Inputs!T453+Inputs!T454)/(1-Inputs!T430)</f>
        <v>10083.500887458205</v>
      </c>
      <c r="U22" s="28" t="s">
        <v>2255</v>
      </c>
    </row>
    <row r="23" spans="2:21" x14ac:dyDescent="0.25">
      <c r="B23" s="23" t="s">
        <v>2270</v>
      </c>
      <c r="C23" s="28" t="s">
        <v>647</v>
      </c>
      <c r="H23" s="159">
        <f>(Inputs!H455+Inputs!H456)/(1-Inputs!H430)</f>
        <v>8152.9504846918489</v>
      </c>
      <c r="I23" s="159">
        <f>(Inputs!I455+Inputs!I456)/(1-Inputs!I430)</f>
        <v>8152.9504846918489</v>
      </c>
      <c r="J23" s="159">
        <f>(Inputs!J455+Inputs!J456)/(1-Inputs!J430)</f>
        <v>8152.9504846918489</v>
      </c>
      <c r="K23" s="159">
        <f>(Inputs!K455+Inputs!K456)/(1-Inputs!K430)</f>
        <v>8152.9504846918489</v>
      </c>
      <c r="L23" s="159">
        <f>(Inputs!L455+Inputs!L456)/(1-Inputs!L430)</f>
        <v>8152.9504846918489</v>
      </c>
      <c r="M23" s="159">
        <f>(Inputs!M455+Inputs!M456)/(1-Inputs!M430)</f>
        <v>8152.9504846918489</v>
      </c>
      <c r="N23" s="159">
        <f>(Inputs!N455+Inputs!N456)/(1-Inputs!N430)</f>
        <v>8152.9504846918489</v>
      </c>
      <c r="O23" s="159">
        <f>(Inputs!O455+Inputs!O456)/(1-Inputs!O430)</f>
        <v>8152.9504846918489</v>
      </c>
      <c r="P23" s="159">
        <f>(Inputs!P455+Inputs!P456)/(1-Inputs!P430)</f>
        <v>8152.9504846918489</v>
      </c>
      <c r="Q23" s="159">
        <f>(Inputs!Q455+Inputs!Q456)/(1-Inputs!Q430)</f>
        <v>8152.9504846918489</v>
      </c>
      <c r="R23" s="159">
        <f>(Inputs!R455+Inputs!R456)/(1-Inputs!R430)</f>
        <v>8152.9504846918489</v>
      </c>
      <c r="S23" s="159">
        <f>(Inputs!S455+Inputs!S456)/(1-Inputs!S430)</f>
        <v>8152.9504846918489</v>
      </c>
      <c r="T23" s="159">
        <f>(Inputs!T455+Inputs!T456)/(1-Inputs!T430)</f>
        <v>8152.9504846918489</v>
      </c>
      <c r="U23" s="28" t="s">
        <v>2257</v>
      </c>
    </row>
    <row r="24" spans="2:21" x14ac:dyDescent="0.25">
      <c r="B24" s="23" t="s">
        <v>2271</v>
      </c>
      <c r="C24" s="28" t="s">
        <v>647</v>
      </c>
      <c r="H24" s="159">
        <f>Inputs!H437+Inputs!H438+H22+H23+Inputs!H441+Inputs!H442</f>
        <v>71600.451372150055</v>
      </c>
      <c r="I24" s="159">
        <f>Inputs!I437+Inputs!I438+I22+I23+Inputs!I441+Inputs!I442</f>
        <v>71600.451372150055</v>
      </c>
      <c r="J24" s="159">
        <f>Inputs!J437+Inputs!J438+J22+J23+Inputs!J441+Inputs!J442</f>
        <v>71600.451372150055</v>
      </c>
      <c r="K24" s="159">
        <f>Inputs!K437+Inputs!K438+K22+K23+Inputs!K441+Inputs!K442</f>
        <v>71600.451372150055</v>
      </c>
      <c r="L24" s="159">
        <f>Inputs!L437+Inputs!L438+L22+L23+Inputs!L441+Inputs!L442</f>
        <v>71600.451372150055</v>
      </c>
      <c r="M24" s="159">
        <f>Inputs!M437+Inputs!M438+M22+M23+Inputs!M441+Inputs!M442</f>
        <v>71600.451372150055</v>
      </c>
      <c r="N24" s="159">
        <f>Inputs!N437+Inputs!N438+N22+N23+Inputs!N441+Inputs!N442</f>
        <v>71600.451372150055</v>
      </c>
      <c r="O24" s="159">
        <f>Inputs!O437+Inputs!O438+O22+O23+Inputs!O441+Inputs!O442</f>
        <v>71600.451372150055</v>
      </c>
      <c r="P24" s="159">
        <f>Inputs!P437+Inputs!P438+P22+P23+Inputs!P441+Inputs!P442</f>
        <v>71600.451372150055</v>
      </c>
      <c r="Q24" s="159">
        <f>Inputs!Q437+Inputs!Q438+Q22+Q23+Inputs!Q441+Inputs!Q442</f>
        <v>71600.451372150055</v>
      </c>
      <c r="R24" s="159">
        <f>Inputs!R437+Inputs!R438+R22+R23+Inputs!R441+Inputs!R442</f>
        <v>71600.451372150055</v>
      </c>
      <c r="S24" s="159">
        <f>Inputs!S437+Inputs!S438+S22+S23+Inputs!S441+Inputs!S442</f>
        <v>71600.451372150055</v>
      </c>
      <c r="T24" s="159">
        <f>Inputs!T437+Inputs!T438+T22+T23+Inputs!T441+Inputs!T442</f>
        <v>71600.451372150055</v>
      </c>
    </row>
    <row r="25" spans="2:21" ht="26.25" customHeight="1" x14ac:dyDescent="0.25">
      <c r="B25" s="133" t="s">
        <v>2272</v>
      </c>
      <c r="C25" s="28" t="s">
        <v>647</v>
      </c>
      <c r="H25" s="160">
        <f>(Inputs!H439-H22)+(Inputs!H440-H23)</f>
        <v>13240.548627849945</v>
      </c>
      <c r="I25" s="160">
        <f>(Inputs!I439-I22)+(Inputs!I440-I23)</f>
        <v>13240.548627849945</v>
      </c>
      <c r="J25" s="160">
        <f>(Inputs!J439-J22)+(Inputs!J440-J23)</f>
        <v>13240.548627849945</v>
      </c>
      <c r="K25" s="160">
        <f>(Inputs!K439-K22)+(Inputs!K440-K23)</f>
        <v>13240.548627849945</v>
      </c>
      <c r="L25" s="160">
        <f>(Inputs!L439-L22)+(Inputs!L440-L23)</f>
        <v>13240.548627849945</v>
      </c>
      <c r="M25" s="160">
        <f>(Inputs!M439-M22)+(Inputs!M440-M23)</f>
        <v>13240.548627849945</v>
      </c>
      <c r="N25" s="160">
        <f>(Inputs!N439-N22)+(Inputs!N440-N23)</f>
        <v>13240.548627849945</v>
      </c>
      <c r="O25" s="160">
        <f>(Inputs!O439-O22)+(Inputs!O440-O23)</f>
        <v>13240.548627849945</v>
      </c>
      <c r="P25" s="160">
        <f>(Inputs!P439-P22)+(Inputs!P440-P23)</f>
        <v>13240.548627849945</v>
      </c>
      <c r="Q25" s="160">
        <f>(Inputs!Q439-Q22)+(Inputs!Q440-Q23)</f>
        <v>13240.548627849945</v>
      </c>
      <c r="R25" s="160">
        <f>(Inputs!R439-R22)+(Inputs!R440-R23)</f>
        <v>13240.548627849945</v>
      </c>
      <c r="S25" s="160">
        <f>(Inputs!S439-S22)+(Inputs!S440-S23)</f>
        <v>13240.548627849945</v>
      </c>
      <c r="T25" s="160">
        <f>(Inputs!T439-T22)+(Inputs!T440-T23)</f>
        <v>13240.548627849945</v>
      </c>
      <c r="U25" s="28" t="s">
        <v>2260</v>
      </c>
    </row>
    <row r="26" spans="2:21" x14ac:dyDescent="0.25">
      <c r="B26" s="23" t="s">
        <v>2273</v>
      </c>
      <c r="C26" s="28" t="s">
        <v>647</v>
      </c>
      <c r="H26" s="159">
        <f>H21/(Inputs!H437+Inputs!H438+Inputs!H439+Inputs!H440)*(Inputs!H437+Inputs!H438+H22+H23)</f>
        <v>32323.405418633076</v>
      </c>
      <c r="I26" s="159">
        <f>I21/(Inputs!I437+Inputs!I438+Inputs!I439+Inputs!I440)*(Inputs!I437+Inputs!I438+I22+I23)</f>
        <v>32323.405418633076</v>
      </c>
      <c r="J26" s="159">
        <f>J21/(Inputs!J437+Inputs!J438+Inputs!J439+Inputs!J440)*(Inputs!J437+Inputs!J438+J22+J23)</f>
        <v>32323.405418633076</v>
      </c>
      <c r="K26" s="159">
        <f>K21/(Inputs!K437+Inputs!K438+Inputs!K439+Inputs!K440)*(Inputs!K437+Inputs!K438+K22+K23)</f>
        <v>32323.405418633076</v>
      </c>
      <c r="L26" s="159">
        <f>L21/(Inputs!L437+Inputs!L438+Inputs!L439+Inputs!L440)*(Inputs!L437+Inputs!L438+L22+L23)</f>
        <v>32323.405418633076</v>
      </c>
      <c r="M26" s="159">
        <f>M21/(Inputs!M437+Inputs!M438+Inputs!M439+Inputs!M440)*(Inputs!M437+Inputs!M438+M22+M23)</f>
        <v>32323.405418633076</v>
      </c>
      <c r="N26" s="159">
        <f>N21/(Inputs!N437+Inputs!N438+Inputs!N439+Inputs!N440)*(Inputs!N437+Inputs!N438+N22+N23)</f>
        <v>32323.405418633076</v>
      </c>
      <c r="O26" s="159">
        <f>O21/(Inputs!O437+Inputs!O438+Inputs!O439+Inputs!O440)*(Inputs!O437+Inputs!O438+O22+O23)</f>
        <v>32323.405418633076</v>
      </c>
      <c r="P26" s="159">
        <f>P21/(Inputs!P437+Inputs!P438+Inputs!P439+Inputs!P440)*(Inputs!P437+Inputs!P438+P22+P23)</f>
        <v>32323.405418633076</v>
      </c>
      <c r="Q26" s="159">
        <f>Q21/(Inputs!Q437+Inputs!Q438+Inputs!Q439+Inputs!Q440)*(Inputs!Q437+Inputs!Q438+Q22+Q23)</f>
        <v>32323.405418633076</v>
      </c>
      <c r="R26" s="159">
        <f>R21/(Inputs!R437+Inputs!R438+Inputs!R439+Inputs!R440)*(Inputs!R437+Inputs!R438+R22+R23)</f>
        <v>32323.405418633076</v>
      </c>
      <c r="S26" s="159">
        <f>S21/(Inputs!S437+Inputs!S438+Inputs!S439+Inputs!S440)*(Inputs!S437+Inputs!S438+S22+S23)</f>
        <v>32323.405418633076</v>
      </c>
      <c r="T26" s="159">
        <f>T21/(Inputs!T437+Inputs!T438+Inputs!T439+Inputs!T440)*(Inputs!T437+Inputs!T438+T22+T23)</f>
        <v>32323.405418633076</v>
      </c>
      <c r="U26" s="28" t="s">
        <v>2274</v>
      </c>
    </row>
    <row r="27" spans="2:21" x14ac:dyDescent="0.25">
      <c r="B27" s="23" t="s">
        <v>2275</v>
      </c>
      <c r="C27" s="28" t="s">
        <v>647</v>
      </c>
      <c r="H27" s="159">
        <f>Inputs!H446+Inputs!H447+H26</f>
        <v>45636.014920302609</v>
      </c>
      <c r="I27" s="159">
        <f>Inputs!I446+Inputs!I447+I26</f>
        <v>45636.014920302609</v>
      </c>
      <c r="J27" s="159">
        <f>Inputs!J446+Inputs!J447+J26</f>
        <v>45636.014920302609</v>
      </c>
      <c r="K27" s="159">
        <f>Inputs!K446+Inputs!K447+K26</f>
        <v>45636.014920302609</v>
      </c>
      <c r="L27" s="159">
        <f>Inputs!L446+Inputs!L447+L26</f>
        <v>45636.014920302609</v>
      </c>
      <c r="M27" s="159">
        <f>Inputs!M446+Inputs!M447+M26</f>
        <v>45636.014920302609</v>
      </c>
      <c r="N27" s="159">
        <f>Inputs!N446+Inputs!N447+N26</f>
        <v>45636.014920302609</v>
      </c>
      <c r="O27" s="159">
        <f>Inputs!O446+Inputs!O447+O26</f>
        <v>45636.014920302609</v>
      </c>
      <c r="P27" s="159">
        <f>Inputs!P446+Inputs!P447+P26</f>
        <v>45636.014920302609</v>
      </c>
      <c r="Q27" s="159">
        <f>Inputs!Q446+Inputs!Q447+Q26</f>
        <v>45636.014920302609</v>
      </c>
      <c r="R27" s="159">
        <f>Inputs!R446+Inputs!R447+R26</f>
        <v>45636.014920302609</v>
      </c>
      <c r="S27" s="159">
        <f>Inputs!S446+Inputs!S447+S26</f>
        <v>45636.014920302609</v>
      </c>
      <c r="T27" s="159">
        <f>Inputs!T446+Inputs!T447+T26</f>
        <v>45636.014920302609</v>
      </c>
    </row>
    <row r="28" spans="2:21" ht="26.25" customHeight="1" x14ac:dyDescent="0.25">
      <c r="B28" s="64" t="s">
        <v>2276</v>
      </c>
      <c r="C28" s="28" t="s">
        <v>647</v>
      </c>
      <c r="H28" s="165">
        <f t="shared" ref="H28:T28" si="2">ROUND(H24+H25-H19,6)</f>
        <v>0</v>
      </c>
      <c r="I28" s="165">
        <f t="shared" si="2"/>
        <v>0</v>
      </c>
      <c r="J28" s="165">
        <f t="shared" si="2"/>
        <v>0</v>
      </c>
      <c r="K28" s="165">
        <f t="shared" si="2"/>
        <v>0</v>
      </c>
      <c r="L28" s="165">
        <f t="shared" si="2"/>
        <v>0</v>
      </c>
      <c r="M28" s="165">
        <f t="shared" si="2"/>
        <v>0</v>
      </c>
      <c r="N28" s="165">
        <f t="shared" si="2"/>
        <v>0</v>
      </c>
      <c r="O28" s="165">
        <f t="shared" si="2"/>
        <v>0</v>
      </c>
      <c r="P28" s="165">
        <f t="shared" si="2"/>
        <v>0</v>
      </c>
      <c r="Q28" s="165">
        <f t="shared" si="2"/>
        <v>0</v>
      </c>
      <c r="R28" s="165">
        <f t="shared" si="2"/>
        <v>0</v>
      </c>
      <c r="S28" s="165">
        <f t="shared" si="2"/>
        <v>0</v>
      </c>
      <c r="T28" s="165">
        <f t="shared" si="2"/>
        <v>0</v>
      </c>
    </row>
    <row r="29" spans="2:21" x14ac:dyDescent="0.25">
      <c r="B29" s="154" t="s">
        <v>2277</v>
      </c>
    </row>
    <row r="30" spans="2:21" x14ac:dyDescent="0.25">
      <c r="B30" s="23" t="s">
        <v>2278</v>
      </c>
      <c r="C30" s="28" t="s">
        <v>630</v>
      </c>
      <c r="H30" s="108">
        <f>'Revenue Calculation'!H38*'Revenue Calculation'!H21</f>
        <v>0</v>
      </c>
      <c r="I30" s="108">
        <f>'Revenue Calculation'!I38*'Revenue Calculation'!I21</f>
        <v>0</v>
      </c>
      <c r="J30" s="108">
        <f>'Revenue Calculation'!J38*'Revenue Calculation'!J21</f>
        <v>3889498.3953083996</v>
      </c>
      <c r="K30" s="108">
        <f>'Revenue Calculation'!K38*'Revenue Calculation'!K21</f>
        <v>4006183.3471676521</v>
      </c>
      <c r="L30" s="108">
        <f>'Revenue Calculation'!L38*'Revenue Calculation'!L21</f>
        <v>4126368.847582682</v>
      </c>
      <c r="M30" s="108">
        <f>'Revenue Calculation'!M38*'Revenue Calculation'!M21</f>
        <v>4250159.9130101623</v>
      </c>
      <c r="N30" s="108">
        <f>'Revenue Calculation'!N38*'Revenue Calculation'!N21</f>
        <v>4377664.7104004677</v>
      </c>
      <c r="O30" s="108">
        <f>'Revenue Calculation'!O38*'Revenue Calculation'!O21</f>
        <v>4508994.6517124819</v>
      </c>
      <c r="P30" s="108">
        <f>'Revenue Calculation'!P38*'Revenue Calculation'!P21</f>
        <v>4644264.4912638562</v>
      </c>
      <c r="Q30" s="108">
        <f>'Revenue Calculation'!Q38*'Revenue Calculation'!Q21</f>
        <v>4783592.4260017723</v>
      </c>
      <c r="R30" s="108">
        <f>'Revenue Calculation'!R38*'Revenue Calculation'!R21</f>
        <v>4927100.1987818247</v>
      </c>
      <c r="S30" s="108">
        <f>'Revenue Calculation'!S38*'Revenue Calculation'!S21</f>
        <v>5074913.2047452796</v>
      </c>
      <c r="T30" s="108">
        <f>'Revenue Calculation'!T38*'Revenue Calculation'!T21</f>
        <v>5227160.6008876376</v>
      </c>
    </row>
    <row r="31" spans="2:21" x14ac:dyDescent="0.25">
      <c r="B31" s="23" t="s">
        <v>2279</v>
      </c>
      <c r="C31" s="28" t="s">
        <v>493</v>
      </c>
      <c r="H31" s="159">
        <f>('Revenue Calculation'!H37*H8+'Revenue Calculation'!H36*H19)/1000000000</f>
        <v>300.49807519747804</v>
      </c>
      <c r="I31" s="159">
        <f>('Revenue Calculation'!I37*I8+'Revenue Calculation'!I36*I19)/1000000000</f>
        <v>309.51301745340237</v>
      </c>
      <c r="J31" s="159">
        <f>('Revenue Calculation'!J37*J8+'Revenue Calculation'!J36*J19)/1000000000</f>
        <v>318.79840797700439</v>
      </c>
      <c r="K31" s="159">
        <f>('Revenue Calculation'!K37*K8+'Revenue Calculation'!K36*K19)/1000000000</f>
        <v>328.36236021631458</v>
      </c>
      <c r="L31" s="159">
        <f>('Revenue Calculation'!L37*L8+'Revenue Calculation'!L36*L19)/1000000000</f>
        <v>338.213231022804</v>
      </c>
      <c r="M31" s="159">
        <f>('Revenue Calculation'!M37*M8+'Revenue Calculation'!M36*M19)/1000000000</f>
        <v>348.35962795348814</v>
      </c>
      <c r="N31" s="159">
        <f>('Revenue Calculation'!N37*N8+'Revenue Calculation'!N36*N19)/1000000000</f>
        <v>358.81041679209278</v>
      </c>
      <c r="O31" s="159">
        <f>('Revenue Calculation'!O37*O8+'Revenue Calculation'!O36*O19)/1000000000</f>
        <v>369.5747292958556</v>
      </c>
      <c r="P31" s="159">
        <f>('Revenue Calculation'!P37*P8+'Revenue Calculation'!P36*P19)/1000000000</f>
        <v>380.66197117473121</v>
      </c>
      <c r="Q31" s="159">
        <f>('Revenue Calculation'!Q37*Q8+'Revenue Calculation'!Q36*Q19)/1000000000</f>
        <v>392.08183030997327</v>
      </c>
      <c r="R31" s="159">
        <f>('Revenue Calculation'!R37*R8+'Revenue Calculation'!R36*R19)/1000000000</f>
        <v>403.84428521927236</v>
      </c>
      <c r="S31" s="159">
        <f>('Revenue Calculation'!S37*S8+'Revenue Calculation'!S36*S19)/1000000000</f>
        <v>415.95961377585058</v>
      </c>
      <c r="T31" s="159">
        <f>('Revenue Calculation'!T37*T8+'Revenue Calculation'!T36*T19)/1000000000</f>
        <v>428.43840218912612</v>
      </c>
    </row>
    <row r="32" spans="2:21" x14ac:dyDescent="0.25">
      <c r="B32" s="23" t="s">
        <v>2280</v>
      </c>
      <c r="C32" s="28" t="s">
        <v>493</v>
      </c>
      <c r="H32" s="159">
        <f>('Revenue Calculation'!H37*(H8-H9+Inputs!H443)+'Revenue Calculation'!H36*(H19-H20+Inputs!H446))/1000000000</f>
        <v>110.97769696998571</v>
      </c>
      <c r="I32" s="159">
        <f>('Revenue Calculation'!I37*(I8-I9+Inputs!I443)+'Revenue Calculation'!I36*(I19-I20+Inputs!I446))/1000000000</f>
        <v>114.30702787908528</v>
      </c>
      <c r="J32" s="159">
        <f>('Revenue Calculation'!J37*(J8-J9+Inputs!J443)+'Revenue Calculation'!J36*(J19-J20+Inputs!J446))/1000000000</f>
        <v>117.73623871545786</v>
      </c>
      <c r="K32" s="159">
        <f>('Revenue Calculation'!K37*(K8-K9+Inputs!K443)+'Revenue Calculation'!K36*(K19-K20+Inputs!K446))/1000000000</f>
        <v>121.26832587692158</v>
      </c>
      <c r="L32" s="159">
        <f>('Revenue Calculation'!L37*(L8-L9+Inputs!L443)+'Revenue Calculation'!L36*(L19-L20+Inputs!L446))/1000000000</f>
        <v>124.90637565322925</v>
      </c>
      <c r="M32" s="159">
        <f>('Revenue Calculation'!M37*(M8-M9+Inputs!M443)+'Revenue Calculation'!M36*(M19-M20+Inputs!M446))/1000000000</f>
        <v>128.65356692282612</v>
      </c>
      <c r="N32" s="159">
        <f>('Revenue Calculation'!N37*(N8-N9+Inputs!N443)+'Revenue Calculation'!N36*(N19-N20+Inputs!N446))/1000000000</f>
        <v>132.51317393051093</v>
      </c>
      <c r="O32" s="159">
        <f>('Revenue Calculation'!O37*(O8-O9+Inputs!O443)+'Revenue Calculation'!O36*(O19-O20+Inputs!O446))/1000000000</f>
        <v>136.48856914842625</v>
      </c>
      <c r="P32" s="159">
        <f>('Revenue Calculation'!P37*(P8-P9+Inputs!P443)+'Revenue Calculation'!P36*(P19-P20+Inputs!P446))/1000000000</f>
        <v>140.58322622287903</v>
      </c>
      <c r="Q32" s="159">
        <f>('Revenue Calculation'!Q37*(Q8-Q9+Inputs!Q443)+'Revenue Calculation'!Q36*(Q19-Q20+Inputs!Q446))/1000000000</f>
        <v>144.80072300956542</v>
      </c>
      <c r="R32" s="159">
        <f>('Revenue Calculation'!R37*(R8-R9+Inputs!R443)+'Revenue Calculation'!R36*(R19-R20+Inputs!R446))/1000000000</f>
        <v>149.14474469985237</v>
      </c>
      <c r="S32" s="159">
        <f>('Revenue Calculation'!S37*(S8-S9+Inputs!S443)+'Revenue Calculation'!S36*(S19-S20+Inputs!S446))/1000000000</f>
        <v>153.61908704084797</v>
      </c>
      <c r="T32" s="159">
        <f>('Revenue Calculation'!T37*(T8-T9+Inputs!T443)+'Revenue Calculation'!T36*(T19-T20+Inputs!T446))/1000000000</f>
        <v>158.22765965207336</v>
      </c>
    </row>
    <row r="33" spans="2:21" x14ac:dyDescent="0.25">
      <c r="B33" s="23" t="s">
        <v>2281</v>
      </c>
      <c r="C33" s="28" t="s">
        <v>493</v>
      </c>
      <c r="H33" s="159">
        <f>IF('Revenue Calculation'!H21=1,('Revenue Calculation'!H37*(H13-H16+Inputs!H443)+'Revenue Calculation'!H36*(H24-H27+Inputs!H446))/1000000000,H32)</f>
        <v>110.97769696998571</v>
      </c>
      <c r="I33" s="159">
        <f>IF('Revenue Calculation'!I21=1,('Revenue Calculation'!I37*(I13-I16+Inputs!I443)+'Revenue Calculation'!I36*(I24-I27+Inputs!I446))/1000000000,I32)</f>
        <v>114.30702787908528</v>
      </c>
      <c r="J33" s="159">
        <f>IF('Revenue Calculation'!J21=1,('Revenue Calculation'!J37*(J13-J16+Inputs!J443)+'Revenue Calculation'!J36*(J24-J27+Inputs!J446))/1000000000,J32)</f>
        <v>129.10393995356247</v>
      </c>
      <c r="K33" s="159">
        <f>IF('Revenue Calculation'!K21=1,('Revenue Calculation'!K37*(K13-K16+Inputs!K443)+'Revenue Calculation'!K36*(K24-K27+Inputs!K446))/1000000000,K32)</f>
        <v>132.97705815216932</v>
      </c>
      <c r="L33" s="159">
        <f>IF('Revenue Calculation'!L21=1,('Revenue Calculation'!L37*(L13-L16+Inputs!L443)+'Revenue Calculation'!L36*(L24-L27+Inputs!L446))/1000000000,L32)</f>
        <v>136.96636989673445</v>
      </c>
      <c r="M33" s="159">
        <f>IF('Revenue Calculation'!M21=1,('Revenue Calculation'!M37*(M13-M16+Inputs!M443)+'Revenue Calculation'!M36*(M24-M27+Inputs!M446))/1000000000,M32)</f>
        <v>141.07536099363645</v>
      </c>
      <c r="N33" s="159">
        <f>IF('Revenue Calculation'!N21=1,('Revenue Calculation'!N37*(N13-N16+Inputs!N443)+'Revenue Calculation'!N36*(N24-N27+Inputs!N446))/1000000000,N32)</f>
        <v>145.30762182344554</v>
      </c>
      <c r="O33" s="159">
        <f>IF('Revenue Calculation'!O21=1,('Revenue Calculation'!O37*(O13-O16+Inputs!O443)+'Revenue Calculation'!O36*(O24-O27+Inputs!O446))/1000000000,O32)</f>
        <v>149.66685047814892</v>
      </c>
      <c r="P33" s="159">
        <f>IF('Revenue Calculation'!P21=1,('Revenue Calculation'!P37*(P13-P16+Inputs!P443)+'Revenue Calculation'!P36*(P24-P27+Inputs!P446))/1000000000,P32)</f>
        <v>154.1568559924934</v>
      </c>
      <c r="Q33" s="159">
        <f>IF('Revenue Calculation'!Q21=1,('Revenue Calculation'!Q37*(Q13-Q16+Inputs!Q443)+'Revenue Calculation'!Q36*(Q24-Q27+Inputs!Q446))/1000000000,Q32)</f>
        <v>158.78156167226823</v>
      </c>
      <c r="R33" s="159">
        <f>IF('Revenue Calculation'!R21=1,('Revenue Calculation'!R37*(R13-R16+Inputs!R443)+'Revenue Calculation'!R36*(R24-R27+Inputs!R446))/1000000000,R32)</f>
        <v>163.54500852243626</v>
      </c>
      <c r="S33" s="159">
        <f>IF('Revenue Calculation'!S21=1,('Revenue Calculation'!S37*(S13-S16+Inputs!S443)+'Revenue Calculation'!S36*(S24-S27+Inputs!S446))/1000000000,S32)</f>
        <v>168.45135877810935</v>
      </c>
      <c r="T33" s="159">
        <f>IF('Revenue Calculation'!T21=1,('Revenue Calculation'!T37*(T13-T16+Inputs!T443)+'Revenue Calculation'!T36*(T24-T27+Inputs!T446))/1000000000,T32)</f>
        <v>173.50489954145263</v>
      </c>
    </row>
    <row r="34" spans="2:21" ht="26.25" customHeight="1" x14ac:dyDescent="0.25">
      <c r="B34" s="133" t="s">
        <v>2282</v>
      </c>
      <c r="C34" s="28" t="s">
        <v>493</v>
      </c>
      <c r="H34" s="160">
        <f>('Revenue Calculation'!H37*H14+'Revenue Calculation'!H36*H25)*'Revenue Calculation'!H21*Inputs!$E$53/1000000000</f>
        <v>0</v>
      </c>
      <c r="I34" s="160">
        <f>('Revenue Calculation'!I37*I14+'Revenue Calculation'!I36*I25)*'Revenue Calculation'!I21*Inputs!$E$53/1000000000</f>
        <v>0</v>
      </c>
      <c r="J34" s="160">
        <f>('Revenue Calculation'!J37*J14+'Revenue Calculation'!J36*J25)*'Revenue Calculation'!J21*Inputs!$E$53/1000000000</f>
        <v>58.263931502782945</v>
      </c>
      <c r="K34" s="160">
        <f>('Revenue Calculation'!K37*K14+'Revenue Calculation'!K36*K25)*'Revenue Calculation'!K21*Inputs!$E$53/1000000000</f>
        <v>60.011849447866439</v>
      </c>
      <c r="L34" s="160">
        <f>('Revenue Calculation'!L37*L14+'Revenue Calculation'!L36*L25)*'Revenue Calculation'!L21*Inputs!$E$53/1000000000</f>
        <v>61.812204931302446</v>
      </c>
      <c r="M34" s="160">
        <f>('Revenue Calculation'!M37*M14+'Revenue Calculation'!M36*M25)*'Revenue Calculation'!M21*Inputs!$E$53/1000000000</f>
        <v>63.666571079241514</v>
      </c>
      <c r="N34" s="160">
        <f>('Revenue Calculation'!N37*N14+'Revenue Calculation'!N36*N25)*'Revenue Calculation'!N21*Inputs!$E$53/1000000000</f>
        <v>65.576568211618763</v>
      </c>
      <c r="O34" s="160">
        <f>('Revenue Calculation'!O37*O14+'Revenue Calculation'!O36*O25)*'Revenue Calculation'!O21*Inputs!$E$53/1000000000</f>
        <v>67.543865257967326</v>
      </c>
      <c r="P34" s="160">
        <f>('Revenue Calculation'!P37*P14+'Revenue Calculation'!P36*P25)*'Revenue Calculation'!P21*Inputs!$E$53/1000000000</f>
        <v>69.570181215706327</v>
      </c>
      <c r="Q34" s="160">
        <f>('Revenue Calculation'!Q37*Q14+'Revenue Calculation'!Q36*Q25)*'Revenue Calculation'!Q21*Inputs!$E$53/1000000000</f>
        <v>71.657286652177532</v>
      </c>
      <c r="R34" s="160">
        <f>('Revenue Calculation'!R37*R14+'Revenue Calculation'!R36*R25)*'Revenue Calculation'!R21*Inputs!$E$53/1000000000</f>
        <v>73.807005251742865</v>
      </c>
      <c r="S34" s="160">
        <f>('Revenue Calculation'!S37*S14+'Revenue Calculation'!S36*S25)*'Revenue Calculation'!S21*Inputs!$E$53/1000000000</f>
        <v>76.021215409295152</v>
      </c>
      <c r="T34" s="160">
        <f>('Revenue Calculation'!T37*T14+'Revenue Calculation'!T36*T25)*'Revenue Calculation'!T21*Inputs!$E$53/1000000000</f>
        <v>78.301851871574002</v>
      </c>
    </row>
    <row r="35" spans="2:21" x14ac:dyDescent="0.25">
      <c r="B35" s="23" t="s">
        <v>2283</v>
      </c>
      <c r="C35" s="28" t="s">
        <v>493</v>
      </c>
      <c r="H35" s="159">
        <f>0</f>
        <v>0</v>
      </c>
      <c r="I35" s="159">
        <f>0</f>
        <v>0</v>
      </c>
      <c r="J35" s="159">
        <f>0</f>
        <v>0</v>
      </c>
      <c r="K35" s="159">
        <f>0</f>
        <v>0</v>
      </c>
      <c r="L35" s="159">
        <f>0</f>
        <v>0</v>
      </c>
      <c r="M35" s="159">
        <f>0</f>
        <v>0</v>
      </c>
      <c r="N35" s="159">
        <f>0</f>
        <v>0</v>
      </c>
      <c r="O35" s="159">
        <f>0</f>
        <v>0</v>
      </c>
      <c r="P35" s="159">
        <f>0</f>
        <v>0</v>
      </c>
      <c r="Q35" s="159">
        <f>0</f>
        <v>0</v>
      </c>
      <c r="R35" s="159">
        <f>0</f>
        <v>0</v>
      </c>
      <c r="S35" s="159">
        <f>0</f>
        <v>0</v>
      </c>
      <c r="T35" s="159">
        <f>0</f>
        <v>0</v>
      </c>
    </row>
    <row r="36" spans="2:21" ht="26.25" customHeight="1" x14ac:dyDescent="0.25">
      <c r="B36" s="64" t="s">
        <v>2284</v>
      </c>
      <c r="C36" s="28" t="s">
        <v>493</v>
      </c>
      <c r="H36" s="159">
        <f>(1-Inputs!H457)*H34*Inputs!$E$54</f>
        <v>0</v>
      </c>
      <c r="I36" s="159">
        <f>(1-Inputs!I457)*I34*Inputs!$E$54</f>
        <v>0</v>
      </c>
      <c r="J36" s="159">
        <f>(1-Inputs!J457)*J34*Inputs!$E$54</f>
        <v>29.714605066419303</v>
      </c>
      <c r="K36" s="159">
        <f>(1-Inputs!K457)*K34*Inputs!$E$54</f>
        <v>30.606043218411884</v>
      </c>
      <c r="L36" s="159">
        <f>(1-Inputs!L457)*L34*Inputs!$E$54</f>
        <v>31.524224514964249</v>
      </c>
      <c r="M36" s="159">
        <f>(1-Inputs!M457)*M34*Inputs!$E$54</f>
        <v>32.469951250413175</v>
      </c>
      <c r="N36" s="159">
        <f>(1-Inputs!N457)*N34*Inputs!$E$54</f>
        <v>33.444049787925572</v>
      </c>
      <c r="O36" s="159">
        <f>(1-Inputs!O457)*O34*Inputs!$E$54</f>
        <v>34.447371281563335</v>
      </c>
      <c r="P36" s="159">
        <f>(1-Inputs!P457)*P34*Inputs!$E$54</f>
        <v>35.480792420010225</v>
      </c>
      <c r="Q36" s="159">
        <f>(1-Inputs!Q457)*Q34*Inputs!$E$54</f>
        <v>36.545216192610539</v>
      </c>
      <c r="R36" s="159">
        <f>(1-Inputs!R457)*R34*Inputs!$E$54</f>
        <v>37.641572678388862</v>
      </c>
      <c r="S36" s="159">
        <f>(1-Inputs!S457)*S34*Inputs!$E$54</f>
        <v>38.770819858740531</v>
      </c>
      <c r="T36" s="159">
        <f>(1-Inputs!T457)*T34*Inputs!$E$54</f>
        <v>39.933944454502743</v>
      </c>
    </row>
    <row r="37" spans="2:21" x14ac:dyDescent="0.25">
      <c r="B37" s="21" t="s">
        <v>2285</v>
      </c>
      <c r="C37" s="28" t="s">
        <v>493</v>
      </c>
      <c r="G37" s="157"/>
      <c r="H37" s="158">
        <f t="shared" ref="H37:T37" si="3">H34-H35-H36</f>
        <v>0</v>
      </c>
      <c r="I37" s="158">
        <f t="shared" si="3"/>
        <v>0</v>
      </c>
      <c r="J37" s="158">
        <f t="shared" si="3"/>
        <v>28.549326436363643</v>
      </c>
      <c r="K37" s="158">
        <f t="shared" si="3"/>
        <v>29.405806229454555</v>
      </c>
      <c r="L37" s="158">
        <f t="shared" si="3"/>
        <v>30.287980416338197</v>
      </c>
      <c r="M37" s="158">
        <f t="shared" si="3"/>
        <v>31.196619828828339</v>
      </c>
      <c r="N37" s="158">
        <f t="shared" si="3"/>
        <v>32.132518423693192</v>
      </c>
      <c r="O37" s="158">
        <f t="shared" si="3"/>
        <v>33.096493976403991</v>
      </c>
      <c r="P37" s="158">
        <f t="shared" si="3"/>
        <v>34.089388795696102</v>
      </c>
      <c r="Q37" s="158">
        <f t="shared" si="3"/>
        <v>35.112070459566993</v>
      </c>
      <c r="R37" s="158">
        <f t="shared" si="3"/>
        <v>36.165432573354003</v>
      </c>
      <c r="S37" s="158">
        <f t="shared" si="3"/>
        <v>37.250395550554622</v>
      </c>
      <c r="T37" s="158">
        <f t="shared" si="3"/>
        <v>38.367907417071258</v>
      </c>
    </row>
    <row r="38" spans="2:21" ht="26.25" customHeight="1" x14ac:dyDescent="0.25">
      <c r="B38" s="133" t="s">
        <v>2286</v>
      </c>
      <c r="C38" s="28" t="s">
        <v>493</v>
      </c>
      <c r="H38" s="160">
        <f t="shared" ref="H38:T38" si="4">H33+H37-H32</f>
        <v>0</v>
      </c>
      <c r="I38" s="160">
        <f t="shared" si="4"/>
        <v>0</v>
      </c>
      <c r="J38" s="160">
        <f t="shared" si="4"/>
        <v>39.917027674468244</v>
      </c>
      <c r="K38" s="160">
        <f t="shared" si="4"/>
        <v>41.114538504702296</v>
      </c>
      <c r="L38" s="160">
        <f t="shared" si="4"/>
        <v>42.347974659843402</v>
      </c>
      <c r="M38" s="160">
        <f t="shared" si="4"/>
        <v>43.618413899638682</v>
      </c>
      <c r="N38" s="160">
        <f t="shared" si="4"/>
        <v>44.926966316627812</v>
      </c>
      <c r="O38" s="160">
        <f t="shared" si="4"/>
        <v>46.274775306126656</v>
      </c>
      <c r="P38" s="160">
        <f t="shared" si="4"/>
        <v>47.663018565310466</v>
      </c>
      <c r="Q38" s="160">
        <f t="shared" si="4"/>
        <v>49.092909122269788</v>
      </c>
      <c r="R38" s="160">
        <f t="shared" si="4"/>
        <v>50.565696395937891</v>
      </c>
      <c r="S38" s="160">
        <f t="shared" si="4"/>
        <v>52.082667287816008</v>
      </c>
      <c r="T38" s="160">
        <f t="shared" si="4"/>
        <v>53.645147306450525</v>
      </c>
    </row>
    <row r="39" spans="2:21" x14ac:dyDescent="0.25">
      <c r="B39" s="23" t="s">
        <v>2287</v>
      </c>
      <c r="C39" s="28" t="s">
        <v>493</v>
      </c>
      <c r="H39" s="159">
        <f t="shared" ref="H39:T39" si="5">H37</f>
        <v>0</v>
      </c>
      <c r="I39" s="159">
        <f t="shared" si="5"/>
        <v>0</v>
      </c>
      <c r="J39" s="159">
        <f t="shared" si="5"/>
        <v>28.549326436363643</v>
      </c>
      <c r="K39" s="159">
        <f t="shared" si="5"/>
        <v>29.405806229454555</v>
      </c>
      <c r="L39" s="159">
        <f t="shared" si="5"/>
        <v>30.287980416338197</v>
      </c>
      <c r="M39" s="159">
        <f t="shared" si="5"/>
        <v>31.196619828828339</v>
      </c>
      <c r="N39" s="159">
        <f t="shared" si="5"/>
        <v>32.132518423693192</v>
      </c>
      <c r="O39" s="159">
        <f t="shared" si="5"/>
        <v>33.096493976403991</v>
      </c>
      <c r="P39" s="159">
        <f t="shared" si="5"/>
        <v>34.089388795696102</v>
      </c>
      <c r="Q39" s="159">
        <f t="shared" si="5"/>
        <v>35.112070459566993</v>
      </c>
      <c r="R39" s="159">
        <f t="shared" si="5"/>
        <v>36.165432573354003</v>
      </c>
      <c r="S39" s="159">
        <f t="shared" si="5"/>
        <v>37.250395550554622</v>
      </c>
      <c r="T39" s="159">
        <f t="shared" si="5"/>
        <v>38.367907417071258</v>
      </c>
    </row>
    <row r="40" spans="2:21" x14ac:dyDescent="0.25">
      <c r="B40" s="23" t="s">
        <v>2288</v>
      </c>
      <c r="C40" s="28" t="s">
        <v>493</v>
      </c>
      <c r="H40" s="159">
        <f t="shared" ref="H40:T40" si="6">H33-H32</f>
        <v>0</v>
      </c>
      <c r="I40" s="159">
        <f t="shared" si="6"/>
        <v>0</v>
      </c>
      <c r="J40" s="159">
        <f t="shared" si="6"/>
        <v>11.367701238104615</v>
      </c>
      <c r="K40" s="159">
        <f t="shared" si="6"/>
        <v>11.708732275247741</v>
      </c>
      <c r="L40" s="159">
        <f t="shared" si="6"/>
        <v>12.059994243505201</v>
      </c>
      <c r="M40" s="159">
        <f t="shared" si="6"/>
        <v>12.421794070810336</v>
      </c>
      <c r="N40" s="159">
        <f t="shared" si="6"/>
        <v>12.794447892934613</v>
      </c>
      <c r="O40" s="159">
        <f t="shared" si="6"/>
        <v>13.178281329722665</v>
      </c>
      <c r="P40" s="159">
        <f t="shared" si="6"/>
        <v>13.573629769614371</v>
      </c>
      <c r="Q40" s="159">
        <f t="shared" si="6"/>
        <v>13.980838662702809</v>
      </c>
      <c r="R40" s="159">
        <f t="shared" si="6"/>
        <v>14.400263822583895</v>
      </c>
      <c r="S40" s="159">
        <f t="shared" si="6"/>
        <v>14.832271737261379</v>
      </c>
      <c r="T40" s="159">
        <f t="shared" si="6"/>
        <v>15.277239889379274</v>
      </c>
    </row>
    <row r="42" spans="2:21" x14ac:dyDescent="0.25">
      <c r="B42" s="58" t="s">
        <v>2289</v>
      </c>
      <c r="C42" s="19"/>
      <c r="D42" s="19"/>
      <c r="E42" s="19"/>
      <c r="F42" s="19"/>
      <c r="G42" s="19"/>
      <c r="H42" s="19"/>
      <c r="I42" s="19"/>
      <c r="J42" s="19"/>
      <c r="K42" s="19"/>
      <c r="L42" s="19"/>
      <c r="M42" s="19"/>
      <c r="N42" s="19"/>
      <c r="O42" s="19"/>
      <c r="P42" s="19"/>
      <c r="Q42" s="19"/>
      <c r="R42" s="19"/>
      <c r="S42" s="19"/>
      <c r="T42" s="19"/>
    </row>
    <row r="43" spans="2:21" x14ac:dyDescent="0.25">
      <c r="B43" s="154" t="s">
        <v>2290</v>
      </c>
    </row>
    <row r="44" spans="2:21" x14ac:dyDescent="0.25">
      <c r="B44" s="23" t="s">
        <v>2291</v>
      </c>
      <c r="C44" s="28" t="s">
        <v>647</v>
      </c>
      <c r="H44" s="159">
        <f>Inputs!H458*Inputs!H459</f>
        <v>24416</v>
      </c>
      <c r="I44" s="159">
        <f>Inputs!I458*Inputs!I459</f>
        <v>24416</v>
      </c>
      <c r="J44" s="159">
        <f>Inputs!J458*Inputs!J459</f>
        <v>24416</v>
      </c>
      <c r="K44" s="159">
        <f>Inputs!K458*Inputs!K459</f>
        <v>24416</v>
      </c>
      <c r="L44" s="159">
        <f>Inputs!L458*Inputs!L459</f>
        <v>24416</v>
      </c>
      <c r="M44" s="159">
        <f>Inputs!M458*Inputs!M459</f>
        <v>24416</v>
      </c>
      <c r="N44" s="159">
        <f>Inputs!N458*Inputs!N459</f>
        <v>24416</v>
      </c>
      <c r="O44" s="159">
        <f>Inputs!O458*Inputs!O459</f>
        <v>24416</v>
      </c>
      <c r="P44" s="159">
        <f>Inputs!P458*Inputs!P459</f>
        <v>24416</v>
      </c>
      <c r="Q44" s="159">
        <f>Inputs!Q458*Inputs!Q459</f>
        <v>24416</v>
      </c>
      <c r="R44" s="159">
        <f>Inputs!R458*Inputs!R459</f>
        <v>24416</v>
      </c>
      <c r="S44" s="159">
        <f>Inputs!S458*Inputs!S459</f>
        <v>24416</v>
      </c>
      <c r="T44" s="159">
        <f>Inputs!T458*Inputs!T459</f>
        <v>24416</v>
      </c>
      <c r="U44" s="28" t="s">
        <v>2292</v>
      </c>
    </row>
    <row r="45" spans="2:21" x14ac:dyDescent="0.25">
      <c r="B45" s="23" t="s">
        <v>2293</v>
      </c>
      <c r="C45" s="28" t="s">
        <v>647</v>
      </c>
      <c r="H45" s="159">
        <f>Inputs!H458-H44</f>
        <v>10464</v>
      </c>
      <c r="I45" s="159">
        <f>Inputs!I458-I44</f>
        <v>10464</v>
      </c>
      <c r="J45" s="159">
        <f>Inputs!J458-J44</f>
        <v>10464</v>
      </c>
      <c r="K45" s="159">
        <f>Inputs!K458-K44</f>
        <v>10464</v>
      </c>
      <c r="L45" s="159">
        <f>Inputs!L458-L44</f>
        <v>10464</v>
      </c>
      <c r="M45" s="159">
        <f>Inputs!M458-M44</f>
        <v>10464</v>
      </c>
      <c r="N45" s="159">
        <f>Inputs!N458-N44</f>
        <v>10464</v>
      </c>
      <c r="O45" s="159">
        <f>Inputs!O458-O44</f>
        <v>10464</v>
      </c>
      <c r="P45" s="159">
        <f>Inputs!P458-P44</f>
        <v>10464</v>
      </c>
      <c r="Q45" s="159">
        <f>Inputs!Q458-Q44</f>
        <v>10464</v>
      </c>
      <c r="R45" s="159">
        <f>Inputs!R458-R44</f>
        <v>10464</v>
      </c>
      <c r="S45" s="159">
        <f>Inputs!S458-S44</f>
        <v>10464</v>
      </c>
      <c r="T45" s="159">
        <f>Inputs!T458-T44</f>
        <v>10464</v>
      </c>
      <c r="U45" s="28" t="s">
        <v>2294</v>
      </c>
    </row>
    <row r="46" spans="2:21" x14ac:dyDescent="0.25">
      <c r="B46" s="23" t="s">
        <v>2295</v>
      </c>
      <c r="C46" s="28" t="s">
        <v>647</v>
      </c>
      <c r="H46" s="159">
        <f>Inputs!H458*(1-Inputs!H430)</f>
        <v>25462.399999999998</v>
      </c>
      <c r="I46" s="159">
        <f>Inputs!I458*(1-Inputs!I430)</f>
        <v>25462.399999999998</v>
      </c>
      <c r="J46" s="159">
        <f>Inputs!J458*(1-Inputs!J430)</f>
        <v>25462.399999999998</v>
      </c>
      <c r="K46" s="159">
        <f>Inputs!K458*(1-Inputs!K430)</f>
        <v>25462.399999999998</v>
      </c>
      <c r="L46" s="159">
        <f>Inputs!L458*(1-Inputs!L430)</f>
        <v>25462.399999999998</v>
      </c>
      <c r="M46" s="159">
        <f>Inputs!M458*(1-Inputs!M430)</f>
        <v>25462.399999999998</v>
      </c>
      <c r="N46" s="159">
        <f>Inputs!N458*(1-Inputs!N430)</f>
        <v>25462.399999999998</v>
      </c>
      <c r="O46" s="159">
        <f>Inputs!O458*(1-Inputs!O430)</f>
        <v>25462.399999999998</v>
      </c>
      <c r="P46" s="159">
        <f>Inputs!P458*(1-Inputs!P430)</f>
        <v>25462.399999999998</v>
      </c>
      <c r="Q46" s="159">
        <f>Inputs!Q458*(1-Inputs!Q430)</f>
        <v>25462.399999999998</v>
      </c>
      <c r="R46" s="159">
        <f>Inputs!R458*(1-Inputs!R430)</f>
        <v>25462.399999999998</v>
      </c>
      <c r="S46" s="159">
        <f>Inputs!S458*(1-Inputs!S430)</f>
        <v>25462.399999999998</v>
      </c>
      <c r="T46" s="159">
        <f>Inputs!T458*(1-Inputs!T430)</f>
        <v>25462.399999999998</v>
      </c>
    </row>
    <row r="47" spans="2:21" x14ac:dyDescent="0.25">
      <c r="B47" s="23" t="s">
        <v>2296</v>
      </c>
      <c r="C47" s="28" t="s">
        <v>647</v>
      </c>
      <c r="H47" s="159">
        <f>H46-Inputs!H460-Inputs!H461-Inputs!H462</f>
        <v>7639.1769836101994</v>
      </c>
      <c r="I47" s="159">
        <f>I46-Inputs!I460-Inputs!I461-Inputs!I462</f>
        <v>7639.1769836101994</v>
      </c>
      <c r="J47" s="159">
        <f>J46-Inputs!J460-Inputs!J461-Inputs!J462</f>
        <v>7639.1769836101994</v>
      </c>
      <c r="K47" s="159">
        <f>K46-Inputs!K460-Inputs!K461-Inputs!K462</f>
        <v>7639.1769836101994</v>
      </c>
      <c r="L47" s="159">
        <f>L46-Inputs!L460-Inputs!L461-Inputs!L462</f>
        <v>7639.1769836101994</v>
      </c>
      <c r="M47" s="159">
        <f>M46-Inputs!M460-Inputs!M461-Inputs!M462</f>
        <v>7639.1769836101994</v>
      </c>
      <c r="N47" s="159">
        <f>N46-Inputs!N460-Inputs!N461-Inputs!N462</f>
        <v>7639.1769836101994</v>
      </c>
      <c r="O47" s="159">
        <f>O46-Inputs!O460-Inputs!O461-Inputs!O462</f>
        <v>7639.1769836101994</v>
      </c>
      <c r="P47" s="159">
        <f>P46-Inputs!P460-Inputs!P461-Inputs!P462</f>
        <v>7639.1769836101994</v>
      </c>
      <c r="Q47" s="159">
        <f>Q46-Inputs!Q460-Inputs!Q461-Inputs!Q462</f>
        <v>7639.1769836101994</v>
      </c>
      <c r="R47" s="159">
        <f>R46-Inputs!R460-Inputs!R461-Inputs!R462</f>
        <v>7639.1769836101994</v>
      </c>
      <c r="S47" s="159">
        <f>S46-Inputs!S460-Inputs!S461-Inputs!S462</f>
        <v>7639.1769836101994</v>
      </c>
      <c r="T47" s="159">
        <f>T46-Inputs!T460-Inputs!T461-Inputs!T462</f>
        <v>7639.1769836101994</v>
      </c>
    </row>
    <row r="48" spans="2:21" ht="26.25" customHeight="1" x14ac:dyDescent="0.25">
      <c r="B48" s="64" t="s">
        <v>2297</v>
      </c>
      <c r="C48" s="28" t="s">
        <v>647</v>
      </c>
      <c r="H48" s="159">
        <f>(Inputs!H463+Inputs!H461)/(1-Inputs!H430)*Inputs!H464</f>
        <v>9125.8142196332228</v>
      </c>
      <c r="I48" s="159">
        <f>(Inputs!I463+Inputs!I461)/(1-Inputs!I430)*Inputs!I464</f>
        <v>9125.8142196332228</v>
      </c>
      <c r="J48" s="159">
        <f>(Inputs!J463+Inputs!J461)/(1-Inputs!J430)*Inputs!J464</f>
        <v>9125.8142196332228</v>
      </c>
      <c r="K48" s="159">
        <f>(Inputs!K463+Inputs!K461)/(1-Inputs!K430)*Inputs!K464</f>
        <v>9125.8142196332228</v>
      </c>
      <c r="L48" s="159">
        <f>(Inputs!L463+Inputs!L461)/(1-Inputs!L430)*Inputs!L464</f>
        <v>9125.8142196332228</v>
      </c>
      <c r="M48" s="159">
        <f>(Inputs!M463+Inputs!M461)/(1-Inputs!M430)*Inputs!M464</f>
        <v>9125.8142196332228</v>
      </c>
      <c r="N48" s="159">
        <f>(Inputs!N463+Inputs!N461)/(1-Inputs!N430)*Inputs!N464</f>
        <v>9125.8142196332228</v>
      </c>
      <c r="O48" s="159">
        <f>(Inputs!O463+Inputs!O461)/(1-Inputs!O430)*Inputs!O464</f>
        <v>9125.8142196332228</v>
      </c>
      <c r="P48" s="159">
        <f>(Inputs!P463+Inputs!P461)/(1-Inputs!P430)*Inputs!P464</f>
        <v>9125.8142196332228</v>
      </c>
      <c r="Q48" s="159">
        <f>(Inputs!Q463+Inputs!Q461)/(1-Inputs!Q430)*Inputs!Q464</f>
        <v>9125.8142196332228</v>
      </c>
      <c r="R48" s="159">
        <f>(Inputs!R463+Inputs!R461)/(1-Inputs!R430)*Inputs!R464</f>
        <v>9125.8142196332228</v>
      </c>
      <c r="S48" s="159">
        <f>(Inputs!S463+Inputs!S461)/(1-Inputs!S430)*Inputs!S464</f>
        <v>9125.8142196332228</v>
      </c>
      <c r="T48" s="159">
        <f>(Inputs!T463+Inputs!T461)/(1-Inputs!T430)*Inputs!T464</f>
        <v>9125.8142196332228</v>
      </c>
      <c r="U48" s="28" t="s">
        <v>2298</v>
      </c>
    </row>
    <row r="49" spans="2:21" x14ac:dyDescent="0.25">
      <c r="B49" s="23" t="s">
        <v>2299</v>
      </c>
      <c r="C49" s="28" t="s">
        <v>647</v>
      </c>
      <c r="H49" s="159">
        <f t="shared" ref="H49:T49" si="7">H45+H48</f>
        <v>19589.814219633223</v>
      </c>
      <c r="I49" s="159">
        <f t="shared" si="7"/>
        <v>19589.814219633223</v>
      </c>
      <c r="J49" s="159">
        <f t="shared" si="7"/>
        <v>19589.814219633223</v>
      </c>
      <c r="K49" s="159">
        <f t="shared" si="7"/>
        <v>19589.814219633223</v>
      </c>
      <c r="L49" s="159">
        <f t="shared" si="7"/>
        <v>19589.814219633223</v>
      </c>
      <c r="M49" s="159">
        <f t="shared" si="7"/>
        <v>19589.814219633223</v>
      </c>
      <c r="N49" s="159">
        <f t="shared" si="7"/>
        <v>19589.814219633223</v>
      </c>
      <c r="O49" s="159">
        <f t="shared" si="7"/>
        <v>19589.814219633223</v>
      </c>
      <c r="P49" s="159">
        <f t="shared" si="7"/>
        <v>19589.814219633223</v>
      </c>
      <c r="Q49" s="159">
        <f t="shared" si="7"/>
        <v>19589.814219633223</v>
      </c>
      <c r="R49" s="159">
        <f t="shared" si="7"/>
        <v>19589.814219633223</v>
      </c>
      <c r="S49" s="159">
        <f t="shared" si="7"/>
        <v>19589.814219633223</v>
      </c>
      <c r="T49" s="159">
        <f t="shared" si="7"/>
        <v>19589.814219633223</v>
      </c>
    </row>
    <row r="50" spans="2:21" x14ac:dyDescent="0.25">
      <c r="B50" s="21" t="s">
        <v>2300</v>
      </c>
      <c r="C50" s="28" t="s">
        <v>647</v>
      </c>
      <c r="H50" s="160">
        <f t="shared" ref="H50:T50" si="8">H44-H48</f>
        <v>15290.185780366777</v>
      </c>
      <c r="I50" s="160">
        <f t="shared" si="8"/>
        <v>15290.185780366777</v>
      </c>
      <c r="J50" s="160">
        <f t="shared" si="8"/>
        <v>15290.185780366777</v>
      </c>
      <c r="K50" s="160">
        <f t="shared" si="8"/>
        <v>15290.185780366777</v>
      </c>
      <c r="L50" s="160">
        <f t="shared" si="8"/>
        <v>15290.185780366777</v>
      </c>
      <c r="M50" s="160">
        <f t="shared" si="8"/>
        <v>15290.185780366777</v>
      </c>
      <c r="N50" s="160">
        <f t="shared" si="8"/>
        <v>15290.185780366777</v>
      </c>
      <c r="O50" s="160">
        <f t="shared" si="8"/>
        <v>15290.185780366777</v>
      </c>
      <c r="P50" s="160">
        <f t="shared" si="8"/>
        <v>15290.185780366777</v>
      </c>
      <c r="Q50" s="160">
        <f t="shared" si="8"/>
        <v>15290.185780366777</v>
      </c>
      <c r="R50" s="160">
        <f t="shared" si="8"/>
        <v>15290.185780366777</v>
      </c>
      <c r="S50" s="160">
        <f t="shared" si="8"/>
        <v>15290.185780366777</v>
      </c>
      <c r="T50" s="160">
        <f t="shared" si="8"/>
        <v>15290.185780366777</v>
      </c>
      <c r="U50" s="28" t="s">
        <v>2301</v>
      </c>
    </row>
    <row r="51" spans="2:21" x14ac:dyDescent="0.25">
      <c r="B51" s="23" t="s">
        <v>2302</v>
      </c>
      <c r="C51" s="28" t="s">
        <v>647</v>
      </c>
      <c r="H51" s="159">
        <f>H47/Inputs!H458*H49</f>
        <v>4290.4259718985641</v>
      </c>
      <c r="I51" s="159">
        <f>I47/Inputs!I458*I49</f>
        <v>4290.4259718985641</v>
      </c>
      <c r="J51" s="159">
        <f>J47/Inputs!J458*J49</f>
        <v>4290.4259718985641</v>
      </c>
      <c r="K51" s="159">
        <f>K47/Inputs!K458*K49</f>
        <v>4290.4259718985641</v>
      </c>
      <c r="L51" s="159">
        <f>L47/Inputs!L458*L49</f>
        <v>4290.4259718985641</v>
      </c>
      <c r="M51" s="159">
        <f>M47/Inputs!M458*M49</f>
        <v>4290.4259718985641</v>
      </c>
      <c r="N51" s="159">
        <f>N47/Inputs!N458*N49</f>
        <v>4290.4259718985641</v>
      </c>
      <c r="O51" s="159">
        <f>O47/Inputs!O458*O49</f>
        <v>4290.4259718985641</v>
      </c>
      <c r="P51" s="159">
        <f>P47/Inputs!P458*P49</f>
        <v>4290.4259718985641</v>
      </c>
      <c r="Q51" s="159">
        <f>Q47/Inputs!Q458*Q49</f>
        <v>4290.4259718985641</v>
      </c>
      <c r="R51" s="159">
        <f>R47/Inputs!R458*R49</f>
        <v>4290.4259718985641</v>
      </c>
      <c r="S51" s="159">
        <f>S47/Inputs!S458*S49</f>
        <v>4290.4259718985641</v>
      </c>
      <c r="T51" s="159">
        <f>T47/Inputs!T458*T49</f>
        <v>4290.4259718985641</v>
      </c>
      <c r="U51" s="28" t="s">
        <v>2303</v>
      </c>
    </row>
    <row r="52" spans="2:21" x14ac:dyDescent="0.25">
      <c r="B52" s="23" t="s">
        <v>2304</v>
      </c>
      <c r="C52" s="28" t="s">
        <v>647</v>
      </c>
      <c r="H52" s="159">
        <f>Inputs!H460+Inputs!H461+H51</f>
        <v>9841.5059718985649</v>
      </c>
      <c r="I52" s="159">
        <f>Inputs!I460+Inputs!I461+I51</f>
        <v>9841.5059718985649</v>
      </c>
      <c r="J52" s="159">
        <f>Inputs!J460+Inputs!J461+J51</f>
        <v>9841.5059718985649</v>
      </c>
      <c r="K52" s="159">
        <f>Inputs!K460+Inputs!K461+K51</f>
        <v>9841.5059718985649</v>
      </c>
      <c r="L52" s="159">
        <f>Inputs!L460+Inputs!L461+L51</f>
        <v>9841.5059718985649</v>
      </c>
      <c r="M52" s="159">
        <f>Inputs!M460+Inputs!M461+M51</f>
        <v>9841.5059718985649</v>
      </c>
      <c r="N52" s="159">
        <f>Inputs!N460+Inputs!N461+N51</f>
        <v>9841.5059718985649</v>
      </c>
      <c r="O52" s="159">
        <f>Inputs!O460+Inputs!O461+O51</f>
        <v>9841.5059718985649</v>
      </c>
      <c r="P52" s="159">
        <f>Inputs!P460+Inputs!P461+P51</f>
        <v>9841.5059718985649</v>
      </c>
      <c r="Q52" s="159">
        <f>Inputs!Q460+Inputs!Q461+Q51</f>
        <v>9841.5059718985649</v>
      </c>
      <c r="R52" s="159">
        <f>Inputs!R460+Inputs!R461+R51</f>
        <v>9841.5059718985649</v>
      </c>
      <c r="S52" s="159">
        <f>Inputs!S460+Inputs!S461+S51</f>
        <v>9841.5059718985649</v>
      </c>
      <c r="T52" s="159">
        <f>Inputs!T460+Inputs!T461+T51</f>
        <v>9841.5059718985649</v>
      </c>
    </row>
    <row r="53" spans="2:21" x14ac:dyDescent="0.25">
      <c r="B53" s="23" t="s">
        <v>2305</v>
      </c>
      <c r="C53" s="28" t="s">
        <v>647</v>
      </c>
      <c r="H53" s="165">
        <f>ROUND(H49+H50-Inputs!H458,6)</f>
        <v>0</v>
      </c>
      <c r="I53" s="165">
        <f>ROUND(I49+I50-Inputs!I458,6)</f>
        <v>0</v>
      </c>
      <c r="J53" s="165">
        <f>ROUND(J49+J50-Inputs!J458,6)</f>
        <v>0</v>
      </c>
      <c r="K53" s="165">
        <f>ROUND(K49+K50-Inputs!K458,6)</f>
        <v>0</v>
      </c>
      <c r="L53" s="165">
        <f>ROUND(L49+L50-Inputs!L458,6)</f>
        <v>0</v>
      </c>
      <c r="M53" s="165">
        <f>ROUND(M49+M50-Inputs!M458,6)</f>
        <v>0</v>
      </c>
      <c r="N53" s="165">
        <f>ROUND(N49+N50-Inputs!N458,6)</f>
        <v>0</v>
      </c>
      <c r="O53" s="165">
        <f>ROUND(O49+O50-Inputs!O458,6)</f>
        <v>0</v>
      </c>
      <c r="P53" s="165">
        <f>ROUND(P49+P50-Inputs!P458,6)</f>
        <v>0</v>
      </c>
      <c r="Q53" s="165">
        <f>ROUND(Q49+Q50-Inputs!Q458,6)</f>
        <v>0</v>
      </c>
      <c r="R53" s="165">
        <f>ROUND(R49+R50-Inputs!R458,6)</f>
        <v>0</v>
      </c>
      <c r="S53" s="165">
        <f>ROUND(S49+S50-Inputs!S458,6)</f>
        <v>0</v>
      </c>
      <c r="T53" s="165">
        <f>ROUND(T49+T50-Inputs!T458,6)</f>
        <v>0</v>
      </c>
    </row>
    <row r="54" spans="2:21" x14ac:dyDescent="0.25">
      <c r="B54" s="154" t="s">
        <v>2306</v>
      </c>
    </row>
    <row r="55" spans="2:21" x14ac:dyDescent="0.25">
      <c r="B55" s="23" t="s">
        <v>2307</v>
      </c>
      <c r="C55" s="28" t="s">
        <v>630</v>
      </c>
      <c r="H55" s="108">
        <f>('Revenue Calculation'!H45+'Revenue Calculation'!H97)*'Revenue Calculation'!H22</f>
        <v>0</v>
      </c>
      <c r="I55" s="108">
        <f>('Revenue Calculation'!I45+'Revenue Calculation'!I97)*'Revenue Calculation'!I22</f>
        <v>0</v>
      </c>
      <c r="J55" s="108">
        <f>('Revenue Calculation'!J45+'Revenue Calculation'!J97)*'Revenue Calculation'!J22</f>
        <v>3690475.1350400001</v>
      </c>
      <c r="K55" s="108">
        <f>('Revenue Calculation'!K45+'Revenue Calculation'!K97)*'Revenue Calculation'!K22</f>
        <v>3801189.3890912002</v>
      </c>
      <c r="L55" s="108">
        <f>('Revenue Calculation'!L45+'Revenue Calculation'!L97)*'Revenue Calculation'!L22</f>
        <v>3915225.0707639363</v>
      </c>
      <c r="M55" s="108">
        <f>('Revenue Calculation'!M45+'Revenue Calculation'!M97)*'Revenue Calculation'!M22</f>
        <v>4032681.8228868544</v>
      </c>
      <c r="N55" s="108">
        <f>('Revenue Calculation'!N45+'Revenue Calculation'!N97)*'Revenue Calculation'!N22</f>
        <v>4153662.2775734598</v>
      </c>
      <c r="O55" s="108">
        <f>('Revenue Calculation'!O45+'Revenue Calculation'!O97)*'Revenue Calculation'!O22</f>
        <v>4278272.1459006639</v>
      </c>
      <c r="P55" s="108">
        <f>('Revenue Calculation'!P45+'Revenue Calculation'!P97)*'Revenue Calculation'!P22</f>
        <v>4406620.3102776837</v>
      </c>
      <c r="Q55" s="108">
        <f>('Revenue Calculation'!Q45+'Revenue Calculation'!Q97)*'Revenue Calculation'!Q22</f>
        <v>4538818.9195860149</v>
      </c>
      <c r="R55" s="108">
        <f>('Revenue Calculation'!R45+'Revenue Calculation'!R97)*'Revenue Calculation'!R22</f>
        <v>4674983.4871735955</v>
      </c>
      <c r="S55" s="108">
        <f>('Revenue Calculation'!S45+'Revenue Calculation'!S97)*'Revenue Calculation'!S22</f>
        <v>4815232.9917888027</v>
      </c>
      <c r="T55" s="108">
        <f>('Revenue Calculation'!T45+'Revenue Calculation'!T97)*'Revenue Calculation'!T22</f>
        <v>4959689.9815424671</v>
      </c>
    </row>
    <row r="56" spans="2:21" x14ac:dyDescent="0.25">
      <c r="B56" s="23" t="s">
        <v>2279</v>
      </c>
      <c r="C56" s="28" t="s">
        <v>493</v>
      </c>
      <c r="H56" s="159">
        <f>('Revenue Calculation'!H45+'Revenue Calculation'!H97)*Inputs!H458/1000000000</f>
        <v>38.368000000000002</v>
      </c>
      <c r="I56" s="159">
        <f>('Revenue Calculation'!I45+'Revenue Calculation'!I97)*Inputs!I458/1000000000</f>
        <v>124.97453661183999</v>
      </c>
      <c r="J56" s="159">
        <f>('Revenue Calculation'!J45+'Revenue Calculation'!J97)*Inputs!J458/1000000000</f>
        <v>128.72377271019519</v>
      </c>
      <c r="K56" s="159">
        <f>('Revenue Calculation'!K45+'Revenue Calculation'!K97)*Inputs!K458/1000000000</f>
        <v>132.58548589150107</v>
      </c>
      <c r="L56" s="159">
        <f>('Revenue Calculation'!L45+'Revenue Calculation'!L97)*Inputs!L458/1000000000</f>
        <v>136.5630504682461</v>
      </c>
      <c r="M56" s="159">
        <f>('Revenue Calculation'!M45+'Revenue Calculation'!M97)*Inputs!M458/1000000000</f>
        <v>140.65994198229347</v>
      </c>
      <c r="N56" s="159">
        <f>('Revenue Calculation'!N45+'Revenue Calculation'!N97)*Inputs!N458/1000000000</f>
        <v>144.87974024176228</v>
      </c>
      <c r="O56" s="159">
        <f>('Revenue Calculation'!O45+'Revenue Calculation'!O97)*Inputs!O458/1000000000</f>
        <v>149.22613244901515</v>
      </c>
      <c r="P56" s="159">
        <f>('Revenue Calculation'!P45+'Revenue Calculation'!P97)*Inputs!P458/1000000000</f>
        <v>153.7029164224856</v>
      </c>
      <c r="Q56" s="159">
        <f>('Revenue Calculation'!Q45+'Revenue Calculation'!Q97)*Inputs!Q458/1000000000</f>
        <v>158.31400391516019</v>
      </c>
      <c r="R56" s="159">
        <f>('Revenue Calculation'!R45+'Revenue Calculation'!R97)*Inputs!R458/1000000000</f>
        <v>163.06342403261502</v>
      </c>
      <c r="S56" s="159">
        <f>('Revenue Calculation'!S45+'Revenue Calculation'!S97)*Inputs!S458/1000000000</f>
        <v>167.95532675359345</v>
      </c>
      <c r="T56" s="159">
        <f>('Revenue Calculation'!T45+'Revenue Calculation'!T97)*Inputs!T458/1000000000</f>
        <v>172.99398655620126</v>
      </c>
    </row>
    <row r="57" spans="2:21" x14ac:dyDescent="0.25">
      <c r="B57" s="23" t="s">
        <v>2280</v>
      </c>
      <c r="C57" s="28" t="s">
        <v>493</v>
      </c>
      <c r="H57" s="159">
        <f>('Revenue Calculation'!H45+'Revenue Calculation'!H97)*(Inputs!H458-H46+Inputs!H460)/1000000000</f>
        <v>12.974060000000001</v>
      </c>
      <c r="I57" s="159">
        <f>('Revenue Calculation'!I45+'Revenue Calculation'!I97)*(Inputs!I458-I46+Inputs!I460)/1000000000</f>
        <v>42.259881580332809</v>
      </c>
      <c r="J57" s="159">
        <f>('Revenue Calculation'!J45+'Revenue Calculation'!J97)*(Inputs!J458-J46+Inputs!J460)/1000000000</f>
        <v>43.527678027742787</v>
      </c>
      <c r="K57" s="159">
        <f>('Revenue Calculation'!K45+'Revenue Calculation'!K97)*(Inputs!K458-K46+Inputs!K460)/1000000000</f>
        <v>44.833508368575082</v>
      </c>
      <c r="L57" s="159">
        <f>('Revenue Calculation'!L45+'Revenue Calculation'!L97)*(Inputs!L458-L46+Inputs!L460)/1000000000</f>
        <v>46.178513619632334</v>
      </c>
      <c r="M57" s="159">
        <f>('Revenue Calculation'!M45+'Revenue Calculation'!M97)*(Inputs!M458-M46+Inputs!M460)/1000000000</f>
        <v>47.563869028221298</v>
      </c>
      <c r="N57" s="159">
        <f>('Revenue Calculation'!N45+'Revenue Calculation'!N97)*(Inputs!N458-N46+Inputs!N460)/1000000000</f>
        <v>48.990785099067942</v>
      </c>
      <c r="O57" s="159">
        <f>('Revenue Calculation'!O45+'Revenue Calculation'!O97)*(Inputs!O458-O46+Inputs!O460)/1000000000</f>
        <v>50.460508652039977</v>
      </c>
      <c r="P57" s="159">
        <f>('Revenue Calculation'!P45+'Revenue Calculation'!P97)*(Inputs!P458-P46+Inputs!P460)/1000000000</f>
        <v>51.974323911601182</v>
      </c>
      <c r="Q57" s="159">
        <f>('Revenue Calculation'!Q45+'Revenue Calculation'!Q97)*(Inputs!Q458-Q46+Inputs!Q460)/1000000000</f>
        <v>53.533553628949221</v>
      </c>
      <c r="R57" s="159">
        <f>('Revenue Calculation'!R45+'Revenue Calculation'!R97)*(Inputs!R458-R46+Inputs!R460)/1000000000</f>
        <v>55.139560237817697</v>
      </c>
      <c r="S57" s="159">
        <f>('Revenue Calculation'!S45+'Revenue Calculation'!S97)*(Inputs!S458-S46+Inputs!S460)/1000000000</f>
        <v>56.793747044952227</v>
      </c>
      <c r="T57" s="159">
        <f>('Revenue Calculation'!T45+'Revenue Calculation'!T97)*(Inputs!T458-T46+Inputs!T460)/1000000000</f>
        <v>58.497559456300799</v>
      </c>
    </row>
    <row r="58" spans="2:21" x14ac:dyDescent="0.25">
      <c r="B58" s="23" t="s">
        <v>2308</v>
      </c>
      <c r="C58" s="28" t="s">
        <v>493</v>
      </c>
      <c r="H58" s="159">
        <f>IF('Revenue Calculation'!H22=1,('Revenue Calculation'!H45+'Revenue Calculation'!H97)*(H49-H52+Inputs!H460)/1000000000,H57)</f>
        <v>12.974060000000001</v>
      </c>
      <c r="I58" s="159">
        <f>IF('Revenue Calculation'!I22=1,('Revenue Calculation'!I45+'Revenue Calculation'!I97)*(I49-I52+Inputs!I460)/1000000000,I57)</f>
        <v>42.259881580332809</v>
      </c>
      <c r="J58" s="159">
        <f>IF('Revenue Calculation'!J22=1,('Revenue Calculation'!J45+'Revenue Calculation'!J97)*(J49-J52+Inputs!J460)/1000000000,J57)</f>
        <v>44.748148592960192</v>
      </c>
      <c r="K58" s="159">
        <f>IF('Revenue Calculation'!K22=1,('Revenue Calculation'!K45+'Revenue Calculation'!K97)*(K49-K52+Inputs!K460)/1000000000,K57)</f>
        <v>46.090593050748993</v>
      </c>
      <c r="L58" s="159">
        <f>IF('Revenue Calculation'!L22=1,('Revenue Calculation'!L45+'Revenue Calculation'!L97)*(L49-L52+Inputs!L460)/1000000000,L57)</f>
        <v>47.473310842271466</v>
      </c>
      <c r="M58" s="159">
        <f>IF('Revenue Calculation'!M22=1,('Revenue Calculation'!M45+'Revenue Calculation'!M97)*(M49-M52+Inputs!M460)/1000000000,M57)</f>
        <v>48.897510167539615</v>
      </c>
      <c r="N58" s="159">
        <f>IF('Revenue Calculation'!N22=1,('Revenue Calculation'!N45+'Revenue Calculation'!N97)*(N49-N52+Inputs!N460)/1000000000,N57)</f>
        <v>50.364435472565795</v>
      </c>
      <c r="O58" s="159">
        <f>IF('Revenue Calculation'!O22=1,('Revenue Calculation'!O45+'Revenue Calculation'!O97)*(O49-O52+Inputs!O460)/1000000000,O57)</f>
        <v>51.875368536742776</v>
      </c>
      <c r="P58" s="159">
        <f>IF('Revenue Calculation'!P22=1,('Revenue Calculation'!P45+'Revenue Calculation'!P97)*(P49-P52+Inputs!P460)/1000000000,P57)</f>
        <v>53.431629592845056</v>
      </c>
      <c r="Q58" s="159">
        <f>IF('Revenue Calculation'!Q22=1,('Revenue Calculation'!Q45+'Revenue Calculation'!Q97)*(Q49-Q52+Inputs!Q460)/1000000000,Q57)</f>
        <v>55.034578480630415</v>
      </c>
      <c r="R58" s="159">
        <f>IF('Revenue Calculation'!R22=1,('Revenue Calculation'!R45+'Revenue Calculation'!R97)*(R49-R52+Inputs!R460)/1000000000,R57)</f>
        <v>56.685615835049333</v>
      </c>
      <c r="S58" s="159">
        <f>IF('Revenue Calculation'!S22=1,('Revenue Calculation'!S45+'Revenue Calculation'!S97)*(S49-S52+Inputs!S460)/1000000000,S57)</f>
        <v>58.386184310100802</v>
      </c>
      <c r="T58" s="159">
        <f>IF('Revenue Calculation'!T22=1,('Revenue Calculation'!T45+'Revenue Calculation'!T97)*(T49-T52+Inputs!T460)/1000000000,T57)</f>
        <v>60.13776983940383</v>
      </c>
    </row>
    <row r="59" spans="2:21" x14ac:dyDescent="0.25">
      <c r="B59" s="21" t="s">
        <v>2309</v>
      </c>
      <c r="C59" s="28" t="s">
        <v>493</v>
      </c>
      <c r="H59" s="160">
        <f>H55*H50*Inputs!$E$53/1000000000</f>
        <v>0</v>
      </c>
      <c r="I59" s="160">
        <f>I55*I50*Inputs!$E$53/1000000000</f>
        <v>0</v>
      </c>
      <c r="J59" s="160">
        <f>J55*J50*Inputs!$E$53/1000000000</f>
        <v>56.428050432585771</v>
      </c>
      <c r="K59" s="160">
        <f>K55*K50*Inputs!$E$53/1000000000</f>
        <v>58.120891945563343</v>
      </c>
      <c r="L59" s="160">
        <f>L55*L50*Inputs!$E$53/1000000000</f>
        <v>59.864518703930244</v>
      </c>
      <c r="M59" s="160">
        <f>M55*M50*Inputs!$E$53/1000000000</f>
        <v>61.660454265048159</v>
      </c>
      <c r="N59" s="160">
        <f>N55*N50*Inputs!$E$53/1000000000</f>
        <v>63.510267892999593</v>
      </c>
      <c r="O59" s="160">
        <f>O55*O50*Inputs!$E$53/1000000000</f>
        <v>65.415575929789583</v>
      </c>
      <c r="P59" s="160">
        <f>P55*P50*Inputs!$E$53/1000000000</f>
        <v>67.378043207683277</v>
      </c>
      <c r="Q59" s="160">
        <f>Q55*Q50*Inputs!$E$53/1000000000</f>
        <v>69.399384503913794</v>
      </c>
      <c r="R59" s="160">
        <f>R55*R50*Inputs!$E$53/1000000000</f>
        <v>71.481366039031201</v>
      </c>
      <c r="S59" s="160">
        <f>S55*S50*Inputs!$E$53/1000000000</f>
        <v>73.625807020202117</v>
      </c>
      <c r="T59" s="160">
        <f>T55*T50*Inputs!$E$53/1000000000</f>
        <v>75.834581230808197</v>
      </c>
    </row>
    <row r="60" spans="2:21" x14ac:dyDescent="0.25">
      <c r="B60" s="23" t="s">
        <v>2310</v>
      </c>
      <c r="C60" s="28" t="s">
        <v>493</v>
      </c>
      <c r="H60" s="159">
        <f>0</f>
        <v>0</v>
      </c>
      <c r="I60" s="159">
        <f>0</f>
        <v>0</v>
      </c>
      <c r="J60" s="159">
        <f>0</f>
        <v>0</v>
      </c>
      <c r="K60" s="159">
        <f>0</f>
        <v>0</v>
      </c>
      <c r="L60" s="159">
        <f>0</f>
        <v>0</v>
      </c>
      <c r="M60" s="159">
        <f>0</f>
        <v>0</v>
      </c>
      <c r="N60" s="159">
        <f>0</f>
        <v>0</v>
      </c>
      <c r="O60" s="159">
        <f>0</f>
        <v>0</v>
      </c>
      <c r="P60" s="159">
        <f>0</f>
        <v>0</v>
      </c>
      <c r="Q60" s="159">
        <f>0</f>
        <v>0</v>
      </c>
      <c r="R60" s="159">
        <f>0</f>
        <v>0</v>
      </c>
      <c r="S60" s="159">
        <f>0</f>
        <v>0</v>
      </c>
      <c r="T60" s="159">
        <f>0</f>
        <v>0</v>
      </c>
    </row>
    <row r="61" spans="2:21" x14ac:dyDescent="0.25">
      <c r="B61" s="23" t="s">
        <v>2311</v>
      </c>
      <c r="C61" s="28" t="s">
        <v>493</v>
      </c>
      <c r="H61" s="159">
        <f>(1-Inputs!H465)*H59*Inputs!$E$54</f>
        <v>0</v>
      </c>
      <c r="I61" s="159">
        <f>(1-Inputs!I465)*I59*Inputs!$E$54</f>
        <v>0</v>
      </c>
      <c r="J61" s="159">
        <f>(1-Inputs!J465)*J59*Inputs!$E$54</f>
        <v>32.163988746573892</v>
      </c>
      <c r="K61" s="159">
        <f>(1-Inputs!K465)*K59*Inputs!$E$54</f>
        <v>33.128908408971107</v>
      </c>
      <c r="L61" s="159">
        <f>(1-Inputs!L465)*L59*Inputs!$E$54</f>
        <v>34.12277566124024</v>
      </c>
      <c r="M61" s="159">
        <f>(1-Inputs!M465)*M59*Inputs!$E$54</f>
        <v>35.146458931077454</v>
      </c>
      <c r="N61" s="159">
        <f>(1-Inputs!N465)*N59*Inputs!$E$54</f>
        <v>36.200852699009772</v>
      </c>
      <c r="O61" s="159">
        <f>(1-Inputs!O465)*O59*Inputs!$E$54</f>
        <v>37.286878279980066</v>
      </c>
      <c r="P61" s="159">
        <f>(1-Inputs!P465)*P59*Inputs!$E$54</f>
        <v>38.405484628379469</v>
      </c>
      <c r="Q61" s="159">
        <f>(1-Inputs!Q465)*Q59*Inputs!$E$54</f>
        <v>39.557649167230863</v>
      </c>
      <c r="R61" s="159">
        <f>(1-Inputs!R465)*R59*Inputs!$E$54</f>
        <v>40.744378642247788</v>
      </c>
      <c r="S61" s="159">
        <f>(1-Inputs!S465)*S59*Inputs!$E$54</f>
        <v>41.96671000151521</v>
      </c>
      <c r="T61" s="159">
        <f>(1-Inputs!T465)*T59*Inputs!$E$54</f>
        <v>43.225711301560679</v>
      </c>
    </row>
    <row r="62" spans="2:21" x14ac:dyDescent="0.25">
      <c r="B62" s="21" t="s">
        <v>2312</v>
      </c>
      <c r="C62" s="28" t="s">
        <v>493</v>
      </c>
      <c r="G62" s="157"/>
      <c r="H62" s="158">
        <f t="shared" ref="H62:T62" si="9">H59-H60-H61</f>
        <v>0</v>
      </c>
      <c r="I62" s="158">
        <f t="shared" si="9"/>
        <v>0</v>
      </c>
      <c r="J62" s="158">
        <f t="shared" si="9"/>
        <v>24.264061686011878</v>
      </c>
      <c r="K62" s="158">
        <f t="shared" si="9"/>
        <v>24.991983536592237</v>
      </c>
      <c r="L62" s="158">
        <f t="shared" si="9"/>
        <v>25.741743042690004</v>
      </c>
      <c r="M62" s="158">
        <f t="shared" si="9"/>
        <v>26.513995333970705</v>
      </c>
      <c r="N62" s="158">
        <f t="shared" si="9"/>
        <v>27.309415193989821</v>
      </c>
      <c r="O62" s="158">
        <f t="shared" si="9"/>
        <v>28.128697649809517</v>
      </c>
      <c r="P62" s="158">
        <f t="shared" si="9"/>
        <v>28.972558579303808</v>
      </c>
      <c r="Q62" s="158">
        <f t="shared" si="9"/>
        <v>29.84173533668293</v>
      </c>
      <c r="R62" s="158">
        <f t="shared" si="9"/>
        <v>30.736987396783412</v>
      </c>
      <c r="S62" s="158">
        <f t="shared" si="9"/>
        <v>31.659097018686907</v>
      </c>
      <c r="T62" s="158">
        <f t="shared" si="9"/>
        <v>32.608869929247518</v>
      </c>
    </row>
    <row r="63" spans="2:21" x14ac:dyDescent="0.25">
      <c r="B63" s="21" t="s">
        <v>2313</v>
      </c>
      <c r="C63" s="28" t="s">
        <v>493</v>
      </c>
      <c r="H63" s="160">
        <f t="shared" ref="H63:T63" si="10">H58+H62-H57</f>
        <v>0</v>
      </c>
      <c r="I63" s="160">
        <f t="shared" si="10"/>
        <v>0</v>
      </c>
      <c r="J63" s="160">
        <f t="shared" si="10"/>
        <v>25.48453225122929</v>
      </c>
      <c r="K63" s="160">
        <f t="shared" si="10"/>
        <v>26.249068218766155</v>
      </c>
      <c r="L63" s="160">
        <f t="shared" si="10"/>
        <v>27.03654026532913</v>
      </c>
      <c r="M63" s="160">
        <f t="shared" si="10"/>
        <v>27.847636473289022</v>
      </c>
      <c r="N63" s="160">
        <f t="shared" si="10"/>
        <v>28.683065567487667</v>
      </c>
      <c r="O63" s="160">
        <f t="shared" si="10"/>
        <v>29.543557534512317</v>
      </c>
      <c r="P63" s="160">
        <f t="shared" si="10"/>
        <v>30.429864260547681</v>
      </c>
      <c r="Q63" s="160">
        <f t="shared" si="10"/>
        <v>31.342760188364124</v>
      </c>
      <c r="R63" s="160">
        <f t="shared" si="10"/>
        <v>32.283042994015041</v>
      </c>
      <c r="S63" s="160">
        <f t="shared" si="10"/>
        <v>33.251534283835483</v>
      </c>
      <c r="T63" s="160">
        <f t="shared" si="10"/>
        <v>34.24908031235055</v>
      </c>
    </row>
    <row r="64" spans="2:21" x14ac:dyDescent="0.25">
      <c r="B64" s="23" t="s">
        <v>2314</v>
      </c>
      <c r="C64" s="28" t="s">
        <v>493</v>
      </c>
      <c r="H64" s="159">
        <f t="shared" ref="H64:T64" si="11">H62</f>
        <v>0</v>
      </c>
      <c r="I64" s="159">
        <f t="shared" si="11"/>
        <v>0</v>
      </c>
      <c r="J64" s="159">
        <f t="shared" si="11"/>
        <v>24.264061686011878</v>
      </c>
      <c r="K64" s="159">
        <f t="shared" si="11"/>
        <v>24.991983536592237</v>
      </c>
      <c r="L64" s="159">
        <f t="shared" si="11"/>
        <v>25.741743042690004</v>
      </c>
      <c r="M64" s="159">
        <f t="shared" si="11"/>
        <v>26.513995333970705</v>
      </c>
      <c r="N64" s="159">
        <f t="shared" si="11"/>
        <v>27.309415193989821</v>
      </c>
      <c r="O64" s="159">
        <f t="shared" si="11"/>
        <v>28.128697649809517</v>
      </c>
      <c r="P64" s="159">
        <f t="shared" si="11"/>
        <v>28.972558579303808</v>
      </c>
      <c r="Q64" s="159">
        <f t="shared" si="11"/>
        <v>29.84173533668293</v>
      </c>
      <c r="R64" s="159">
        <f t="shared" si="11"/>
        <v>30.736987396783412</v>
      </c>
      <c r="S64" s="159">
        <f t="shared" si="11"/>
        <v>31.659097018686907</v>
      </c>
      <c r="T64" s="159">
        <f t="shared" si="11"/>
        <v>32.608869929247518</v>
      </c>
    </row>
    <row r="65" spans="2:21" x14ac:dyDescent="0.25">
      <c r="B65" s="23" t="s">
        <v>2288</v>
      </c>
      <c r="C65" s="28" t="s">
        <v>493</v>
      </c>
      <c r="H65" s="159">
        <f t="shared" ref="H65:T65" si="12">H58-H57</f>
        <v>0</v>
      </c>
      <c r="I65" s="159">
        <f t="shared" si="12"/>
        <v>0</v>
      </c>
      <c r="J65" s="159">
        <f t="shared" si="12"/>
        <v>1.2204705652174042</v>
      </c>
      <c r="K65" s="159">
        <f t="shared" si="12"/>
        <v>1.257084682173911</v>
      </c>
      <c r="L65" s="159">
        <f t="shared" si="12"/>
        <v>1.2947972226391329</v>
      </c>
      <c r="M65" s="159">
        <f t="shared" si="12"/>
        <v>1.333641139318317</v>
      </c>
      <c r="N65" s="159">
        <f t="shared" si="12"/>
        <v>1.3736503734978527</v>
      </c>
      <c r="O65" s="159">
        <f t="shared" si="12"/>
        <v>1.4148598847027998</v>
      </c>
      <c r="P65" s="159">
        <f t="shared" si="12"/>
        <v>1.4573056812438736</v>
      </c>
      <c r="Q65" s="159">
        <f t="shared" si="12"/>
        <v>1.5010248516811941</v>
      </c>
      <c r="R65" s="159">
        <f t="shared" si="12"/>
        <v>1.5460555972316357</v>
      </c>
      <c r="S65" s="159">
        <f t="shared" si="12"/>
        <v>1.5924372651485754</v>
      </c>
      <c r="T65" s="159">
        <f t="shared" si="12"/>
        <v>1.6402103831030317</v>
      </c>
    </row>
    <row r="67" spans="2:21" x14ac:dyDescent="0.25">
      <c r="B67" s="58" t="s">
        <v>2315</v>
      </c>
      <c r="C67" s="19"/>
      <c r="D67" s="19"/>
      <c r="E67" s="19"/>
      <c r="F67" s="19"/>
      <c r="G67" s="19"/>
      <c r="H67" s="19"/>
      <c r="I67" s="19"/>
      <c r="J67" s="19"/>
      <c r="K67" s="19"/>
      <c r="L67" s="19"/>
      <c r="M67" s="19"/>
      <c r="N67" s="19"/>
      <c r="O67" s="19"/>
      <c r="P67" s="19"/>
      <c r="Q67" s="19"/>
      <c r="R67" s="19"/>
      <c r="S67" s="19"/>
      <c r="T67" s="19"/>
    </row>
    <row r="68" spans="2:21" x14ac:dyDescent="0.25">
      <c r="B68" s="154" t="s">
        <v>2290</v>
      </c>
    </row>
    <row r="69" spans="2:21" x14ac:dyDescent="0.25">
      <c r="B69" s="23" t="s">
        <v>2316</v>
      </c>
      <c r="C69" s="28" t="s">
        <v>647</v>
      </c>
      <c r="H69" s="159">
        <f>Inputs!H466+Inputs!H467</f>
        <v>55000</v>
      </c>
      <c r="I69" s="159">
        <f>Inputs!I466+Inputs!I467</f>
        <v>55000</v>
      </c>
      <c r="J69" s="159">
        <f>Inputs!J466+Inputs!J467</f>
        <v>55000</v>
      </c>
      <c r="K69" s="159">
        <f>Inputs!K466+Inputs!K467</f>
        <v>55000</v>
      </c>
      <c r="L69" s="159">
        <f>Inputs!L466+Inputs!L467</f>
        <v>55000</v>
      </c>
      <c r="M69" s="159">
        <f>Inputs!M466+Inputs!M467</f>
        <v>55000</v>
      </c>
      <c r="N69" s="159">
        <f>Inputs!N466+Inputs!N467</f>
        <v>55000</v>
      </c>
      <c r="O69" s="159">
        <f>Inputs!O466+Inputs!O467</f>
        <v>55000</v>
      </c>
      <c r="P69" s="159">
        <f>Inputs!P466+Inputs!P467</f>
        <v>55000</v>
      </c>
      <c r="Q69" s="159">
        <f>Inputs!Q466+Inputs!Q467</f>
        <v>55000</v>
      </c>
      <c r="R69" s="159">
        <f>Inputs!R466+Inputs!R467</f>
        <v>55000</v>
      </c>
      <c r="S69" s="159">
        <f>Inputs!S466+Inputs!S467</f>
        <v>55000</v>
      </c>
      <c r="T69" s="159">
        <f>Inputs!T466+Inputs!T467</f>
        <v>55000</v>
      </c>
    </row>
    <row r="70" spans="2:21" x14ac:dyDescent="0.25">
      <c r="B70" s="23" t="s">
        <v>2295</v>
      </c>
      <c r="C70" s="28" t="s">
        <v>647</v>
      </c>
      <c r="H70" s="159">
        <f>H69*(1-Inputs!H430)</f>
        <v>40150</v>
      </c>
      <c r="I70" s="159">
        <f>I69*(1-Inputs!I430)</f>
        <v>40150</v>
      </c>
      <c r="J70" s="159">
        <f>J69*(1-Inputs!J430)</f>
        <v>40150</v>
      </c>
      <c r="K70" s="159">
        <f>K69*(1-Inputs!K430)</f>
        <v>40150</v>
      </c>
      <c r="L70" s="159">
        <f>L69*(1-Inputs!L430)</f>
        <v>40150</v>
      </c>
      <c r="M70" s="159">
        <f>M69*(1-Inputs!M430)</f>
        <v>40150</v>
      </c>
      <c r="N70" s="159">
        <f>N69*(1-Inputs!N430)</f>
        <v>40150</v>
      </c>
      <c r="O70" s="159">
        <f>O69*(1-Inputs!O430)</f>
        <v>40150</v>
      </c>
      <c r="P70" s="159">
        <f>P69*(1-Inputs!P430)</f>
        <v>40150</v>
      </c>
      <c r="Q70" s="159">
        <f>Q69*(1-Inputs!Q430)</f>
        <v>40150</v>
      </c>
      <c r="R70" s="159">
        <f>R69*(1-Inputs!R430)</f>
        <v>40150</v>
      </c>
      <c r="S70" s="159">
        <f>S69*(1-Inputs!S430)</f>
        <v>40150</v>
      </c>
      <c r="T70" s="159">
        <f>T69*(1-Inputs!T430)</f>
        <v>40150</v>
      </c>
    </row>
    <row r="71" spans="2:21" x14ac:dyDescent="0.25">
      <c r="B71" s="23" t="s">
        <v>2296</v>
      </c>
      <c r="C71" s="28" t="s">
        <v>647</v>
      </c>
      <c r="H71" s="159">
        <f>H70-Inputs!H468-Inputs!H469-Inputs!H470</f>
        <v>18980</v>
      </c>
      <c r="I71" s="159">
        <f>I70-Inputs!I468-Inputs!I469-Inputs!I470</f>
        <v>18980</v>
      </c>
      <c r="J71" s="159">
        <f>J70-Inputs!J468-Inputs!J469-Inputs!J470</f>
        <v>18980</v>
      </c>
      <c r="K71" s="159">
        <f>K70-Inputs!K468-Inputs!K469-Inputs!K470</f>
        <v>18980</v>
      </c>
      <c r="L71" s="159">
        <f>L70-Inputs!L468-Inputs!L469-Inputs!L470</f>
        <v>18980</v>
      </c>
      <c r="M71" s="159">
        <f>M70-Inputs!M468-Inputs!M469-Inputs!M470</f>
        <v>18980</v>
      </c>
      <c r="N71" s="159">
        <f>N70-Inputs!N468-Inputs!N469-Inputs!N470</f>
        <v>18980</v>
      </c>
      <c r="O71" s="159">
        <f>O70-Inputs!O468-Inputs!O469-Inputs!O470</f>
        <v>18980</v>
      </c>
      <c r="P71" s="159">
        <f>P70-Inputs!P468-Inputs!P469-Inputs!P470</f>
        <v>18980</v>
      </c>
      <c r="Q71" s="159">
        <f>Q70-Inputs!Q468-Inputs!Q469-Inputs!Q470</f>
        <v>18980</v>
      </c>
      <c r="R71" s="159">
        <f>R70-Inputs!R468-Inputs!R469-Inputs!R470</f>
        <v>18980</v>
      </c>
      <c r="S71" s="159">
        <f>S70-Inputs!S468-Inputs!S469-Inputs!S470</f>
        <v>18980</v>
      </c>
      <c r="T71" s="159">
        <f>T70-Inputs!T468-Inputs!T469-Inputs!T470</f>
        <v>18980</v>
      </c>
      <c r="U71" s="28" t="s">
        <v>2317</v>
      </c>
    </row>
    <row r="72" spans="2:21" x14ac:dyDescent="0.25">
      <c r="B72" s="23" t="s">
        <v>2299</v>
      </c>
      <c r="C72" s="28" t="s">
        <v>647</v>
      </c>
      <c r="H72" s="159">
        <f>Inputs!H466+Inputs!H471</f>
        <v>38910.735648574402</v>
      </c>
      <c r="I72" s="159">
        <f>Inputs!I466+Inputs!I471</f>
        <v>38910.735648574402</v>
      </c>
      <c r="J72" s="159">
        <f>Inputs!J466+Inputs!J471</f>
        <v>38910.735648574402</v>
      </c>
      <c r="K72" s="159">
        <f>Inputs!K466+Inputs!K471</f>
        <v>38910.735648574402</v>
      </c>
      <c r="L72" s="159">
        <f>Inputs!L466+Inputs!L471</f>
        <v>38910.735648574402</v>
      </c>
      <c r="M72" s="159">
        <f>Inputs!M466+Inputs!M471</f>
        <v>38910.735648574402</v>
      </c>
      <c r="N72" s="159">
        <f>Inputs!N466+Inputs!N471</f>
        <v>38910.735648574402</v>
      </c>
      <c r="O72" s="159">
        <f>Inputs!O466+Inputs!O471</f>
        <v>38910.735648574402</v>
      </c>
      <c r="P72" s="159">
        <f>Inputs!P466+Inputs!P471</f>
        <v>38910.735648574402</v>
      </c>
      <c r="Q72" s="159">
        <f>Inputs!Q466+Inputs!Q471</f>
        <v>38910.735648574402</v>
      </c>
      <c r="R72" s="159">
        <f>Inputs!R466+Inputs!R471</f>
        <v>38910.735648574402</v>
      </c>
      <c r="S72" s="159">
        <f>Inputs!S466+Inputs!S471</f>
        <v>38910.735648574402</v>
      </c>
      <c r="T72" s="159">
        <f>Inputs!T466+Inputs!T471</f>
        <v>38910.735648574402</v>
      </c>
    </row>
    <row r="73" spans="2:21" x14ac:dyDescent="0.25">
      <c r="B73" s="21" t="s">
        <v>2300</v>
      </c>
      <c r="C73" s="28" t="s">
        <v>647</v>
      </c>
      <c r="H73" s="160">
        <f t="shared" ref="H73:T73" si="13">H69-H72</f>
        <v>16089.264351425598</v>
      </c>
      <c r="I73" s="160">
        <f t="shared" si="13"/>
        <v>16089.264351425598</v>
      </c>
      <c r="J73" s="160">
        <f t="shared" si="13"/>
        <v>16089.264351425598</v>
      </c>
      <c r="K73" s="160">
        <f t="shared" si="13"/>
        <v>16089.264351425598</v>
      </c>
      <c r="L73" s="160">
        <f t="shared" si="13"/>
        <v>16089.264351425598</v>
      </c>
      <c r="M73" s="160">
        <f t="shared" si="13"/>
        <v>16089.264351425598</v>
      </c>
      <c r="N73" s="160">
        <f t="shared" si="13"/>
        <v>16089.264351425598</v>
      </c>
      <c r="O73" s="160">
        <f t="shared" si="13"/>
        <v>16089.264351425598</v>
      </c>
      <c r="P73" s="160">
        <f t="shared" si="13"/>
        <v>16089.264351425598</v>
      </c>
      <c r="Q73" s="160">
        <f t="shared" si="13"/>
        <v>16089.264351425598</v>
      </c>
      <c r="R73" s="160">
        <f t="shared" si="13"/>
        <v>16089.264351425598</v>
      </c>
      <c r="S73" s="160">
        <f t="shared" si="13"/>
        <v>16089.264351425598</v>
      </c>
      <c r="T73" s="160">
        <f t="shared" si="13"/>
        <v>16089.264351425598</v>
      </c>
      <c r="U73" s="28" t="s">
        <v>2318</v>
      </c>
    </row>
    <row r="74" spans="2:21" x14ac:dyDescent="0.25">
      <c r="B74" s="23" t="s">
        <v>2302</v>
      </c>
      <c r="C74" s="28" t="s">
        <v>647</v>
      </c>
      <c r="H74" s="159">
        <f t="shared" ref="H74:T74" si="14">H71/H69*H72</f>
        <v>13427.741138362586</v>
      </c>
      <c r="I74" s="159">
        <f t="shared" si="14"/>
        <v>13427.741138362586</v>
      </c>
      <c r="J74" s="159">
        <f t="shared" si="14"/>
        <v>13427.741138362586</v>
      </c>
      <c r="K74" s="159">
        <f t="shared" si="14"/>
        <v>13427.741138362586</v>
      </c>
      <c r="L74" s="159">
        <f t="shared" si="14"/>
        <v>13427.741138362586</v>
      </c>
      <c r="M74" s="159">
        <f t="shared" si="14"/>
        <v>13427.741138362586</v>
      </c>
      <c r="N74" s="159">
        <f t="shared" si="14"/>
        <v>13427.741138362586</v>
      </c>
      <c r="O74" s="159">
        <f t="shared" si="14"/>
        <v>13427.741138362586</v>
      </c>
      <c r="P74" s="159">
        <f t="shared" si="14"/>
        <v>13427.741138362586</v>
      </c>
      <c r="Q74" s="159">
        <f t="shared" si="14"/>
        <v>13427.741138362586</v>
      </c>
      <c r="R74" s="159">
        <f t="shared" si="14"/>
        <v>13427.741138362586</v>
      </c>
      <c r="S74" s="159">
        <f t="shared" si="14"/>
        <v>13427.741138362586</v>
      </c>
      <c r="T74" s="159">
        <f t="shared" si="14"/>
        <v>13427.741138362586</v>
      </c>
      <c r="U74" s="28" t="s">
        <v>2319</v>
      </c>
    </row>
    <row r="75" spans="2:21" x14ac:dyDescent="0.25">
      <c r="B75" s="23" t="s">
        <v>2304</v>
      </c>
      <c r="C75" s="28" t="s">
        <v>647</v>
      </c>
      <c r="H75" s="159">
        <f>Inputs!H468+Inputs!H470+H74</f>
        <v>22852.578161821886</v>
      </c>
      <c r="I75" s="159">
        <f>Inputs!I468+Inputs!I470+I74</f>
        <v>22852.578161821886</v>
      </c>
      <c r="J75" s="159">
        <f>Inputs!J468+Inputs!J470+J74</f>
        <v>22852.578161821886</v>
      </c>
      <c r="K75" s="159">
        <f>Inputs!K468+Inputs!K470+K74</f>
        <v>22852.578161821886</v>
      </c>
      <c r="L75" s="159">
        <f>Inputs!L468+Inputs!L470+L74</f>
        <v>22852.578161821886</v>
      </c>
      <c r="M75" s="159">
        <f>Inputs!M468+Inputs!M470+M74</f>
        <v>22852.578161821886</v>
      </c>
      <c r="N75" s="159">
        <f>Inputs!N468+Inputs!N470+N74</f>
        <v>22852.578161821886</v>
      </c>
      <c r="O75" s="159">
        <f>Inputs!O468+Inputs!O470+O74</f>
        <v>22852.578161821886</v>
      </c>
      <c r="P75" s="159">
        <f>Inputs!P468+Inputs!P470+P74</f>
        <v>22852.578161821886</v>
      </c>
      <c r="Q75" s="159">
        <f>Inputs!Q468+Inputs!Q470+Q74</f>
        <v>22852.578161821886</v>
      </c>
      <c r="R75" s="159">
        <f>Inputs!R468+Inputs!R470+R74</f>
        <v>22852.578161821886</v>
      </c>
      <c r="S75" s="159">
        <f>Inputs!S468+Inputs!S470+S74</f>
        <v>22852.578161821886</v>
      </c>
      <c r="T75" s="159">
        <f>Inputs!T468+Inputs!T470+T74</f>
        <v>22852.578161821886</v>
      </c>
    </row>
    <row r="76" spans="2:21" x14ac:dyDescent="0.25">
      <c r="B76" s="23" t="s">
        <v>2305</v>
      </c>
      <c r="C76" s="28" t="s">
        <v>647</v>
      </c>
      <c r="H76" s="165">
        <f t="shared" ref="H76:T76" si="15">ROUND(H72+H73-H69,6)</f>
        <v>0</v>
      </c>
      <c r="I76" s="165">
        <f t="shared" si="15"/>
        <v>0</v>
      </c>
      <c r="J76" s="165">
        <f t="shared" si="15"/>
        <v>0</v>
      </c>
      <c r="K76" s="165">
        <f t="shared" si="15"/>
        <v>0</v>
      </c>
      <c r="L76" s="165">
        <f t="shared" si="15"/>
        <v>0</v>
      </c>
      <c r="M76" s="165">
        <f t="shared" si="15"/>
        <v>0</v>
      </c>
      <c r="N76" s="165">
        <f t="shared" si="15"/>
        <v>0</v>
      </c>
      <c r="O76" s="165">
        <f t="shared" si="15"/>
        <v>0</v>
      </c>
      <c r="P76" s="165">
        <f t="shared" si="15"/>
        <v>0</v>
      </c>
      <c r="Q76" s="165">
        <f t="shared" si="15"/>
        <v>0</v>
      </c>
      <c r="R76" s="165">
        <f t="shared" si="15"/>
        <v>0</v>
      </c>
      <c r="S76" s="165">
        <f t="shared" si="15"/>
        <v>0</v>
      </c>
      <c r="T76" s="165">
        <f t="shared" si="15"/>
        <v>0</v>
      </c>
    </row>
    <row r="77" spans="2:21" x14ac:dyDescent="0.25">
      <c r="B77" s="154" t="s">
        <v>2320</v>
      </c>
    </row>
    <row r="78" spans="2:21" x14ac:dyDescent="0.25">
      <c r="B78" s="23" t="s">
        <v>2321</v>
      </c>
      <c r="C78" s="28" t="s">
        <v>630</v>
      </c>
      <c r="H78" s="108">
        <f>('Revenue Calculation'!H51+'Revenue Calculation'!H132)*'Revenue Calculation'!H23</f>
        <v>0</v>
      </c>
      <c r="I78" s="108">
        <f>('Revenue Calculation'!I51+'Revenue Calculation'!I132)*'Revenue Calculation'!I23</f>
        <v>0</v>
      </c>
      <c r="J78" s="108">
        <f>('Revenue Calculation'!J51+'Revenue Calculation'!J132)*'Revenue Calculation'!J23</f>
        <v>795675</v>
      </c>
      <c r="K78" s="108">
        <f>('Revenue Calculation'!K51+'Revenue Calculation'!K132)*'Revenue Calculation'!K23</f>
        <v>1019545.25</v>
      </c>
      <c r="L78" s="108">
        <f>('Revenue Calculation'!L51+'Revenue Calculation'!L132)*'Revenue Calculation'!L23</f>
        <v>1094131.6075000002</v>
      </c>
      <c r="M78" s="108">
        <f>('Revenue Calculation'!M51+'Revenue Calculation'!M132)*'Revenue Calculation'!M23</f>
        <v>1169455.5557250001</v>
      </c>
      <c r="N78" s="108">
        <f>('Revenue Calculation'!N51+'Revenue Calculation'!N132)*'Revenue Calculation'!N23</f>
        <v>1245539.22239675</v>
      </c>
      <c r="O78" s="108">
        <f>('Revenue Calculation'!O51+'Revenue Calculation'!O132)*'Revenue Calculation'!O23</f>
        <v>1322405.3990686527</v>
      </c>
      <c r="P78" s="108">
        <f>('Revenue Calculation'!P51+'Revenue Calculation'!P132)*'Revenue Calculation'!P23</f>
        <v>1400077.5610407123</v>
      </c>
      <c r="Q78" s="108">
        <f>('Revenue Calculation'!Q51+'Revenue Calculation'!Q132)*'Revenue Calculation'!Q23</f>
        <v>1478579.8878719336</v>
      </c>
      <c r="R78" s="108">
        <f>('Revenue Calculation'!R51+'Revenue Calculation'!R132)*'Revenue Calculation'!R23</f>
        <v>1557937.2845080916</v>
      </c>
      <c r="S78" s="108">
        <f>('Revenue Calculation'!S51+'Revenue Calculation'!S132)*'Revenue Calculation'!S23</f>
        <v>1038175.4030433345</v>
      </c>
      <c r="T78" s="108">
        <f>('Revenue Calculation'!T51+'Revenue Calculation'!T132)*'Revenue Calculation'!T23</f>
        <v>1069320.6651346346</v>
      </c>
    </row>
    <row r="79" spans="2:21" x14ac:dyDescent="0.25">
      <c r="B79" s="23" t="s">
        <v>2280</v>
      </c>
      <c r="C79" s="28" t="s">
        <v>493</v>
      </c>
      <c r="H79" s="159">
        <f>'Revenue Calculation'!H51*(H69-H70+Inputs!H470)/1000000000</f>
        <v>15.378627767594477</v>
      </c>
      <c r="I79" s="159">
        <f>'Revenue Calculation'!I51*(I69-I70+Inputs!I470)/1000000000</f>
        <v>15.839986600622311</v>
      </c>
      <c r="J79" s="159">
        <f>'Revenue Calculation'!J51*(J69-J70+Inputs!J470)/1000000000</f>
        <v>16.31518619864098</v>
      </c>
      <c r="K79" s="159">
        <f>'Revenue Calculation'!K51*(K69-K70+Inputs!K470)/1000000000</f>
        <v>16.804641784600211</v>
      </c>
      <c r="L79" s="159">
        <f>'Revenue Calculation'!L51*(L69-L70+Inputs!L470)/1000000000</f>
        <v>17.308781038138218</v>
      </c>
      <c r="M79" s="159">
        <f>'Revenue Calculation'!M51*(M69-M70+Inputs!M470)/1000000000</f>
        <v>17.828044469282364</v>
      </c>
      <c r="N79" s="159">
        <f>'Revenue Calculation'!N51*(N69-N70+Inputs!N470)/1000000000</f>
        <v>18.362885803360836</v>
      </c>
      <c r="O79" s="159">
        <f>'Revenue Calculation'!O51*(O69-O70+Inputs!O470)/1000000000</f>
        <v>18.913772377461662</v>
      </c>
      <c r="P79" s="159">
        <f>'Revenue Calculation'!P51*(P69-P70+Inputs!P470)/1000000000</f>
        <v>19.481185548785511</v>
      </c>
      <c r="Q79" s="159">
        <f>'Revenue Calculation'!Q51*(Q69-Q70+Inputs!Q470)/1000000000</f>
        <v>20.065621115249076</v>
      </c>
      <c r="R79" s="159">
        <f>'Revenue Calculation'!R51*(R69-R70+Inputs!R470)/1000000000</f>
        <v>20.667589748706551</v>
      </c>
      <c r="S79" s="159">
        <f>'Revenue Calculation'!S51*(S69-S70+Inputs!S470)/1000000000</f>
        <v>21.287617441167747</v>
      </c>
      <c r="T79" s="159">
        <f>'Revenue Calculation'!T51*(T69-T70+Inputs!T470)/1000000000</f>
        <v>21.926245964402781</v>
      </c>
    </row>
    <row r="80" spans="2:21" x14ac:dyDescent="0.25">
      <c r="B80" s="23" t="s">
        <v>2308</v>
      </c>
      <c r="C80" s="28" t="s">
        <v>493</v>
      </c>
      <c r="H80" s="159">
        <f>IF('Revenue Calculation'!H23=1,('Revenue Calculation'!H51+'Revenue Calculation'!H132)*(H72-H75+Inputs!H470)/1000000000,H79)</f>
        <v>15.378627767594477</v>
      </c>
      <c r="I80" s="159">
        <f>IF('Revenue Calculation'!I23=1,('Revenue Calculation'!I51+'Revenue Calculation'!I132)*(I72-I75+Inputs!I470)/1000000000,I79)</f>
        <v>15.839986600622311</v>
      </c>
      <c r="J80" s="159">
        <f>IF('Revenue Calculation'!J23=1,('Revenue Calculation'!J51+'Revenue Calculation'!J132)*(J72-J75+Inputs!J470)/1000000000,J79)</f>
        <v>17.276486906912783</v>
      </c>
      <c r="K80" s="159">
        <f>IF('Revenue Calculation'!K23=1,('Revenue Calculation'!K51+'Revenue Calculation'!K132)*(K72-K75+Inputs!K470)/1000000000,K79)</f>
        <v>22.137380416162532</v>
      </c>
      <c r="L80" s="159">
        <f>IF('Revenue Calculation'!L23=1,('Revenue Calculation'!L51+'Revenue Calculation'!L132)*(L72-L75+Inputs!L470)/1000000000,L79)</f>
        <v>23.756873587096734</v>
      </c>
      <c r="M80" s="159">
        <f>IF('Revenue Calculation'!M23=1,('Revenue Calculation'!M51+'Revenue Calculation'!M132)*(M72-M75+Inputs!M470)/1000000000,M79)</f>
        <v>25.392382061393636</v>
      </c>
      <c r="N80" s="159">
        <f>IF('Revenue Calculation'!N23=1,('Revenue Calculation'!N51+'Revenue Calculation'!N132)*(N72-N75+Inputs!N470)/1000000000,N79)</f>
        <v>27.044386298154127</v>
      </c>
      <c r="O80" s="159">
        <f>IF('Revenue Calculation'!O23=1,('Revenue Calculation'!O51+'Revenue Calculation'!O132)*(O72-O75+Inputs!O470)/1000000000,O79)</f>
        <v>28.713381170252116</v>
      </c>
      <c r="P80" s="159">
        <f>IF('Revenue Calculation'!P23=1,('Revenue Calculation'!P51+'Revenue Calculation'!P132)*(P72-P75+Inputs!P470)/1000000000,P79)</f>
        <v>30.399876396747732</v>
      </c>
      <c r="Q80" s="159">
        <f>IF('Revenue Calculation'!Q23=1,('Revenue Calculation'!Q51+'Revenue Calculation'!Q132)*(Q72-Q75+Inputs!Q470)/1000000000,Q79)</f>
        <v>32.104396988272896</v>
      </c>
      <c r="R80" s="159">
        <f>IF('Revenue Calculation'!R23=1,('Revenue Calculation'!R51+'Revenue Calculation'!R132)*(R72-R75+Inputs!R470)/1000000000,R79)</f>
        <v>33.827483705778498</v>
      </c>
      <c r="S80" s="159">
        <f>IF('Revenue Calculation'!S23=1,('Revenue Calculation'!S51+'Revenue Calculation'!S132)*(S72-S75+Inputs!S470)/1000000000,S79)</f>
        <v>22.541896826916858</v>
      </c>
      <c r="T80" s="159">
        <f>IF('Revenue Calculation'!T23=1,('Revenue Calculation'!T51+'Revenue Calculation'!T132)*(T72-T75+Inputs!T470)/1000000000,T79)</f>
        <v>23.218153731724364</v>
      </c>
    </row>
    <row r="81" spans="2:20" x14ac:dyDescent="0.25">
      <c r="B81" s="21" t="s">
        <v>2322</v>
      </c>
      <c r="C81" s="28" t="s">
        <v>493</v>
      </c>
      <c r="H81" s="160">
        <f>H78*H73*Inputs!$E$53/1000000000</f>
        <v>0</v>
      </c>
      <c r="I81" s="160">
        <f>I78*I73*Inputs!$E$53/1000000000</f>
        <v>0</v>
      </c>
      <c r="J81" s="160">
        <f>J78*J73*Inputs!$E$53/1000000000</f>
        <v>12.801825412820563</v>
      </c>
      <c r="K81" s="160">
        <f>K78*K73*Inputs!$E$53/1000000000</f>
        <v>16.403733045490299</v>
      </c>
      <c r="L81" s="160">
        <f>L78*L73*Inputs!$E$53/1000000000</f>
        <v>17.603772668317738</v>
      </c>
      <c r="M81" s="160">
        <f>M78*M73*Inputs!$E$53/1000000000</f>
        <v>18.815679583302856</v>
      </c>
      <c r="N81" s="160">
        <f>N78*N73*Inputs!$E$53/1000000000</f>
        <v>20.039809809210389</v>
      </c>
      <c r="O81" s="160">
        <f>O78*O73*Inputs!$E$53/1000000000</f>
        <v>21.276530045368016</v>
      </c>
      <c r="P81" s="160">
        <f>P78*P73*Inputs!$E$53/1000000000</f>
        <v>22.526217992083229</v>
      </c>
      <c r="Q81" s="160">
        <f>Q78*Q73*Inputs!$E$53/1000000000</f>
        <v>23.78926268067276</v>
      </c>
      <c r="R81" s="160">
        <f>R78*R73*Inputs!$E$53/1000000000</f>
        <v>25.066064813392838</v>
      </c>
      <c r="S81" s="160">
        <f>S78*S73*Inputs!$E$53/1000000000</f>
        <v>16.703478502712024</v>
      </c>
      <c r="T81" s="160">
        <f>T78*T73*Inputs!$E$53/1000000000</f>
        <v>17.204582857793383</v>
      </c>
    </row>
    <row r="82" spans="2:20" x14ac:dyDescent="0.25">
      <c r="B82" s="23" t="s">
        <v>2323</v>
      </c>
      <c r="C82" s="28" t="s">
        <v>493</v>
      </c>
      <c r="H82" s="159">
        <f>0</f>
        <v>0</v>
      </c>
      <c r="I82" s="159">
        <f>0</f>
        <v>0</v>
      </c>
      <c r="J82" s="159">
        <f>0</f>
        <v>0</v>
      </c>
      <c r="K82" s="159">
        <f>0</f>
        <v>0</v>
      </c>
      <c r="L82" s="159">
        <f>0</f>
        <v>0</v>
      </c>
      <c r="M82" s="159">
        <f>0</f>
        <v>0</v>
      </c>
      <c r="N82" s="159">
        <f>0</f>
        <v>0</v>
      </c>
      <c r="O82" s="159">
        <f>0</f>
        <v>0</v>
      </c>
      <c r="P82" s="159">
        <f>0</f>
        <v>0</v>
      </c>
      <c r="Q82" s="159">
        <f>0</f>
        <v>0</v>
      </c>
      <c r="R82" s="159">
        <f>0</f>
        <v>0</v>
      </c>
      <c r="S82" s="159">
        <f>0</f>
        <v>0</v>
      </c>
      <c r="T82" s="159">
        <f>0</f>
        <v>0</v>
      </c>
    </row>
    <row r="83" spans="2:20" x14ac:dyDescent="0.25">
      <c r="B83" s="23" t="s">
        <v>2324</v>
      </c>
      <c r="C83" s="28" t="s">
        <v>493</v>
      </c>
      <c r="H83" s="159">
        <f>(1-Inputs!H472)*H81*Inputs!$E$54</f>
        <v>0</v>
      </c>
      <c r="I83" s="159">
        <f>(1-Inputs!I472)*I81*Inputs!$E$54</f>
        <v>0</v>
      </c>
      <c r="J83" s="159">
        <f>(1-Inputs!J472)*J81*Inputs!$E$54</f>
        <v>7.2970404853077211</v>
      </c>
      <c r="K83" s="159">
        <f>(1-Inputs!K472)*K81*Inputs!$E$54</f>
        <v>9.3501278359294719</v>
      </c>
      <c r="L83" s="159">
        <f>(1-Inputs!L472)*L81*Inputs!$E$54</f>
        <v>10.034150420941112</v>
      </c>
      <c r="M83" s="159">
        <f>(1-Inputs!M472)*M81*Inputs!$E$54</f>
        <v>10.724937362482629</v>
      </c>
      <c r="N83" s="159">
        <f>(1-Inputs!N472)*N81*Inputs!$E$54</f>
        <v>11.422691591249924</v>
      </c>
      <c r="O83" s="159">
        <f>(1-Inputs!O472)*O81*Inputs!$E$54</f>
        <v>12.127622125859771</v>
      </c>
      <c r="P83" s="159">
        <f>(1-Inputs!P472)*P81*Inputs!$E$54</f>
        <v>12.839944255487442</v>
      </c>
      <c r="Q83" s="159">
        <f>(1-Inputs!Q472)*Q81*Inputs!$E$54</f>
        <v>13.559879727983475</v>
      </c>
      <c r="R83" s="159">
        <f>(1-Inputs!R472)*R81*Inputs!$E$54</f>
        <v>14.28765694363392</v>
      </c>
      <c r="S83" s="159">
        <f>(1-Inputs!S472)*S81*Inputs!$E$54</f>
        <v>9.5209827465458545</v>
      </c>
      <c r="T83" s="159">
        <f>(1-Inputs!T472)*T81*Inputs!$E$54</f>
        <v>9.8066122289422299</v>
      </c>
    </row>
    <row r="84" spans="2:20" x14ac:dyDescent="0.25">
      <c r="B84" s="21" t="s">
        <v>2325</v>
      </c>
      <c r="C84" s="28" t="s">
        <v>493</v>
      </c>
      <c r="G84" s="157"/>
      <c r="H84" s="158">
        <f t="shared" ref="H84:T84" si="16">H81-H82-H83</f>
        <v>0</v>
      </c>
      <c r="I84" s="158">
        <f t="shared" si="16"/>
        <v>0</v>
      </c>
      <c r="J84" s="158">
        <f t="shared" si="16"/>
        <v>5.5047849275128415</v>
      </c>
      <c r="K84" s="158">
        <f t="shared" si="16"/>
        <v>7.0536052095608266</v>
      </c>
      <c r="L84" s="158">
        <f t="shared" si="16"/>
        <v>7.5696222473766266</v>
      </c>
      <c r="M84" s="158">
        <f t="shared" si="16"/>
        <v>8.0907422208202266</v>
      </c>
      <c r="N84" s="158">
        <f t="shared" si="16"/>
        <v>8.6171182179604653</v>
      </c>
      <c r="O84" s="158">
        <f t="shared" si="16"/>
        <v>9.148907919508245</v>
      </c>
      <c r="P84" s="158">
        <f t="shared" si="16"/>
        <v>9.6862737365957869</v>
      </c>
      <c r="Q84" s="158">
        <f t="shared" si="16"/>
        <v>10.229382952689285</v>
      </c>
      <c r="R84" s="158">
        <f t="shared" si="16"/>
        <v>10.778407869758919</v>
      </c>
      <c r="S84" s="158">
        <f t="shared" si="16"/>
        <v>7.1824957561661691</v>
      </c>
      <c r="T84" s="158">
        <f t="shared" si="16"/>
        <v>7.3979706288511533</v>
      </c>
    </row>
    <row r="85" spans="2:20" x14ac:dyDescent="0.25">
      <c r="B85" s="21" t="s">
        <v>2313</v>
      </c>
      <c r="C85" s="28" t="s">
        <v>493</v>
      </c>
      <c r="H85" s="160">
        <f t="shared" ref="H85:T85" si="17">H80+H84-H79</f>
        <v>0</v>
      </c>
      <c r="I85" s="160">
        <f t="shared" si="17"/>
        <v>0</v>
      </c>
      <c r="J85" s="160">
        <f t="shared" si="17"/>
        <v>6.4660856357846441</v>
      </c>
      <c r="K85" s="160">
        <f t="shared" si="17"/>
        <v>12.386343841123146</v>
      </c>
      <c r="L85" s="160">
        <f t="shared" si="17"/>
        <v>14.017714796335145</v>
      </c>
      <c r="M85" s="160">
        <f t="shared" si="17"/>
        <v>15.655079812931501</v>
      </c>
      <c r="N85" s="160">
        <f t="shared" si="17"/>
        <v>17.298618712753754</v>
      </c>
      <c r="O85" s="160">
        <f t="shared" si="17"/>
        <v>18.948516712298698</v>
      </c>
      <c r="P85" s="160">
        <f t="shared" si="17"/>
        <v>20.604964584558012</v>
      </c>
      <c r="Q85" s="160">
        <f t="shared" si="17"/>
        <v>22.268158825713105</v>
      </c>
      <c r="R85" s="160">
        <f t="shared" si="17"/>
        <v>23.938301826830862</v>
      </c>
      <c r="S85" s="160">
        <f t="shared" si="17"/>
        <v>8.4367751419152803</v>
      </c>
      <c r="T85" s="160">
        <f t="shared" si="17"/>
        <v>8.6898783961727375</v>
      </c>
    </row>
    <row r="86" spans="2:20" x14ac:dyDescent="0.25">
      <c r="B86" s="23" t="s">
        <v>2314</v>
      </c>
      <c r="C86" s="28" t="s">
        <v>493</v>
      </c>
      <c r="H86" s="159">
        <f t="shared" ref="H86:T86" si="18">H84</f>
        <v>0</v>
      </c>
      <c r="I86" s="159">
        <f t="shared" si="18"/>
        <v>0</v>
      </c>
      <c r="J86" s="159">
        <f t="shared" si="18"/>
        <v>5.5047849275128415</v>
      </c>
      <c r="K86" s="159">
        <f t="shared" si="18"/>
        <v>7.0536052095608266</v>
      </c>
      <c r="L86" s="159">
        <f t="shared" si="18"/>
        <v>7.5696222473766266</v>
      </c>
      <c r="M86" s="159">
        <f t="shared" si="18"/>
        <v>8.0907422208202266</v>
      </c>
      <c r="N86" s="159">
        <f t="shared" si="18"/>
        <v>8.6171182179604653</v>
      </c>
      <c r="O86" s="159">
        <f t="shared" si="18"/>
        <v>9.148907919508245</v>
      </c>
      <c r="P86" s="159">
        <f t="shared" si="18"/>
        <v>9.6862737365957869</v>
      </c>
      <c r="Q86" s="159">
        <f t="shared" si="18"/>
        <v>10.229382952689285</v>
      </c>
      <c r="R86" s="159">
        <f t="shared" si="18"/>
        <v>10.778407869758919</v>
      </c>
      <c r="S86" s="159">
        <f t="shared" si="18"/>
        <v>7.1824957561661691</v>
      </c>
      <c r="T86" s="159">
        <f t="shared" si="18"/>
        <v>7.3979706288511533</v>
      </c>
    </row>
    <row r="87" spans="2:20" x14ac:dyDescent="0.25">
      <c r="B87" s="23" t="s">
        <v>2288</v>
      </c>
      <c r="C87" s="28" t="s">
        <v>493</v>
      </c>
      <c r="H87" s="159">
        <f t="shared" ref="H87:T87" si="19">H80-H79</f>
        <v>0</v>
      </c>
      <c r="I87" s="159">
        <f t="shared" si="19"/>
        <v>0</v>
      </c>
      <c r="J87" s="159">
        <f t="shared" si="19"/>
        <v>0.96130070827180347</v>
      </c>
      <c r="K87" s="159">
        <f t="shared" si="19"/>
        <v>5.3327386315623215</v>
      </c>
      <c r="L87" s="159">
        <f t="shared" si="19"/>
        <v>6.4480925489585168</v>
      </c>
      <c r="M87" s="159">
        <f t="shared" si="19"/>
        <v>7.5643375921112721</v>
      </c>
      <c r="N87" s="159">
        <f t="shared" si="19"/>
        <v>8.6815004947932906</v>
      </c>
      <c r="O87" s="159">
        <f t="shared" si="19"/>
        <v>9.7996087927904547</v>
      </c>
      <c r="P87" s="159">
        <f t="shared" si="19"/>
        <v>10.918690847962221</v>
      </c>
      <c r="Q87" s="159">
        <f t="shared" si="19"/>
        <v>12.03877587302382</v>
      </c>
      <c r="R87" s="159">
        <f t="shared" si="19"/>
        <v>13.159893957071947</v>
      </c>
      <c r="S87" s="159">
        <f t="shared" si="19"/>
        <v>1.2542793857491112</v>
      </c>
      <c r="T87" s="159">
        <f t="shared" si="19"/>
        <v>1.2919077673215824</v>
      </c>
    </row>
    <row r="89" spans="2:20" x14ac:dyDescent="0.25">
      <c r="B89" s="58" t="s">
        <v>2326</v>
      </c>
      <c r="C89" s="19"/>
      <c r="D89" s="19"/>
      <c r="E89" s="19"/>
      <c r="F89" s="19"/>
      <c r="G89" s="19"/>
      <c r="H89" s="19"/>
      <c r="I89" s="19"/>
      <c r="J89" s="19"/>
      <c r="K89" s="19"/>
      <c r="L89" s="19"/>
      <c r="M89" s="19"/>
      <c r="N89" s="19"/>
      <c r="O89" s="19"/>
      <c r="P89" s="19"/>
      <c r="Q89" s="19"/>
      <c r="R89" s="19"/>
      <c r="S89" s="19"/>
      <c r="T89" s="19"/>
    </row>
    <row r="90" spans="2:20" x14ac:dyDescent="0.25">
      <c r="B90" s="23" t="s">
        <v>2327</v>
      </c>
      <c r="C90" s="28" t="s">
        <v>493</v>
      </c>
      <c r="H90" s="159">
        <f t="shared" ref="H90:T90" si="20">H38</f>
        <v>0</v>
      </c>
      <c r="I90" s="159">
        <f t="shared" si="20"/>
        <v>0</v>
      </c>
      <c r="J90" s="159">
        <f t="shared" si="20"/>
        <v>39.917027674468244</v>
      </c>
      <c r="K90" s="159">
        <f t="shared" si="20"/>
        <v>41.114538504702296</v>
      </c>
      <c r="L90" s="159">
        <f t="shared" si="20"/>
        <v>42.347974659843402</v>
      </c>
      <c r="M90" s="159">
        <f t="shared" si="20"/>
        <v>43.618413899638682</v>
      </c>
      <c r="N90" s="159">
        <f t="shared" si="20"/>
        <v>44.926966316627812</v>
      </c>
      <c r="O90" s="159">
        <f t="shared" si="20"/>
        <v>46.274775306126656</v>
      </c>
      <c r="P90" s="159">
        <f t="shared" si="20"/>
        <v>47.663018565310466</v>
      </c>
      <c r="Q90" s="159">
        <f t="shared" si="20"/>
        <v>49.092909122269788</v>
      </c>
      <c r="R90" s="159">
        <f t="shared" si="20"/>
        <v>50.565696395937891</v>
      </c>
      <c r="S90" s="159">
        <f t="shared" si="20"/>
        <v>52.082667287816008</v>
      </c>
      <c r="T90" s="159">
        <f t="shared" si="20"/>
        <v>53.645147306450525</v>
      </c>
    </row>
    <row r="91" spans="2:20" x14ac:dyDescent="0.25">
      <c r="B91" s="23" t="s">
        <v>2328</v>
      </c>
      <c r="C91" s="28" t="s">
        <v>493</v>
      </c>
      <c r="H91" s="159">
        <f t="shared" ref="H91:T91" si="21">H63</f>
        <v>0</v>
      </c>
      <c r="I91" s="159">
        <f t="shared" si="21"/>
        <v>0</v>
      </c>
      <c r="J91" s="159">
        <f t="shared" si="21"/>
        <v>25.48453225122929</v>
      </c>
      <c r="K91" s="159">
        <f t="shared" si="21"/>
        <v>26.249068218766155</v>
      </c>
      <c r="L91" s="159">
        <f t="shared" si="21"/>
        <v>27.03654026532913</v>
      </c>
      <c r="M91" s="159">
        <f t="shared" si="21"/>
        <v>27.847636473289022</v>
      </c>
      <c r="N91" s="159">
        <f t="shared" si="21"/>
        <v>28.683065567487667</v>
      </c>
      <c r="O91" s="159">
        <f t="shared" si="21"/>
        <v>29.543557534512317</v>
      </c>
      <c r="P91" s="159">
        <f t="shared" si="21"/>
        <v>30.429864260547681</v>
      </c>
      <c r="Q91" s="159">
        <f t="shared" si="21"/>
        <v>31.342760188364124</v>
      </c>
      <c r="R91" s="159">
        <f t="shared" si="21"/>
        <v>32.283042994015041</v>
      </c>
      <c r="S91" s="159">
        <f t="shared" si="21"/>
        <v>33.251534283835483</v>
      </c>
      <c r="T91" s="159">
        <f t="shared" si="21"/>
        <v>34.24908031235055</v>
      </c>
    </row>
    <row r="92" spans="2:20" x14ac:dyDescent="0.25">
      <c r="B92" s="23" t="s">
        <v>2329</v>
      </c>
      <c r="C92" s="28" t="s">
        <v>493</v>
      </c>
      <c r="H92" s="159">
        <f t="shared" ref="H92:T92" si="22">H85</f>
        <v>0</v>
      </c>
      <c r="I92" s="159">
        <f t="shared" si="22"/>
        <v>0</v>
      </c>
      <c r="J92" s="159">
        <f t="shared" si="22"/>
        <v>6.4660856357846441</v>
      </c>
      <c r="K92" s="159">
        <f t="shared" si="22"/>
        <v>12.386343841123146</v>
      </c>
      <c r="L92" s="159">
        <f t="shared" si="22"/>
        <v>14.017714796335145</v>
      </c>
      <c r="M92" s="159">
        <f t="shared" si="22"/>
        <v>15.655079812931501</v>
      </c>
      <c r="N92" s="159">
        <f t="shared" si="22"/>
        <v>17.298618712753754</v>
      </c>
      <c r="O92" s="159">
        <f t="shared" si="22"/>
        <v>18.948516712298698</v>
      </c>
      <c r="P92" s="159">
        <f t="shared" si="22"/>
        <v>20.604964584558012</v>
      </c>
      <c r="Q92" s="159">
        <f t="shared" si="22"/>
        <v>22.268158825713105</v>
      </c>
      <c r="R92" s="159">
        <f t="shared" si="22"/>
        <v>23.938301826830862</v>
      </c>
      <c r="S92" s="159">
        <f t="shared" si="22"/>
        <v>8.4367751419152803</v>
      </c>
      <c r="T92" s="159">
        <f t="shared" si="22"/>
        <v>8.6898783961727375</v>
      </c>
    </row>
    <row r="93" spans="2:20" x14ac:dyDescent="0.25">
      <c r="B93" s="21" t="s">
        <v>2330</v>
      </c>
      <c r="C93" s="28" t="s">
        <v>493</v>
      </c>
      <c r="G93" s="157"/>
      <c r="H93" s="158">
        <f t="shared" ref="H93:T93" si="23">SUM(H90:H92)</f>
        <v>0</v>
      </c>
      <c r="I93" s="158">
        <f t="shared" si="23"/>
        <v>0</v>
      </c>
      <c r="J93" s="158">
        <f t="shared" si="23"/>
        <v>71.867645561482192</v>
      </c>
      <c r="K93" s="158">
        <f t="shared" si="23"/>
        <v>79.7499505645916</v>
      </c>
      <c r="L93" s="158">
        <f t="shared" si="23"/>
        <v>83.40222972150768</v>
      </c>
      <c r="M93" s="158">
        <f t="shared" si="23"/>
        <v>87.121130185859201</v>
      </c>
      <c r="N93" s="158">
        <f t="shared" si="23"/>
        <v>90.908650596869222</v>
      </c>
      <c r="O93" s="158">
        <f t="shared" si="23"/>
        <v>94.766849552937671</v>
      </c>
      <c r="P93" s="158">
        <f t="shared" si="23"/>
        <v>98.697847410416159</v>
      </c>
      <c r="Q93" s="158">
        <f t="shared" si="23"/>
        <v>102.70382813634701</v>
      </c>
      <c r="R93" s="158">
        <f t="shared" si="23"/>
        <v>106.78704121678379</v>
      </c>
      <c r="S93" s="158">
        <f t="shared" si="23"/>
        <v>93.770976713566768</v>
      </c>
      <c r="T93" s="158">
        <f t="shared" si="23"/>
        <v>96.584106014973798</v>
      </c>
    </row>
    <row r="94" spans="2:20" x14ac:dyDescent="0.25">
      <c r="B94" s="23" t="s">
        <v>2331</v>
      </c>
      <c r="C94" s="28" t="s">
        <v>493</v>
      </c>
      <c r="H94" s="159">
        <f t="shared" ref="H94:T94" si="24">H39+H64+H86</f>
        <v>0</v>
      </c>
      <c r="I94" s="159">
        <f t="shared" si="24"/>
        <v>0</v>
      </c>
      <c r="J94" s="159">
        <f t="shared" si="24"/>
        <v>58.318173049888365</v>
      </c>
      <c r="K94" s="159">
        <f t="shared" si="24"/>
        <v>61.45139497560762</v>
      </c>
      <c r="L94" s="159">
        <f t="shared" si="24"/>
        <v>63.599345706404833</v>
      </c>
      <c r="M94" s="159">
        <f t="shared" si="24"/>
        <v>65.801357383619276</v>
      </c>
      <c r="N94" s="159">
        <f t="shared" si="24"/>
        <v>68.059051835643473</v>
      </c>
      <c r="O94" s="159">
        <f t="shared" si="24"/>
        <v>70.374099545721748</v>
      </c>
      <c r="P94" s="159">
        <f t="shared" si="24"/>
        <v>72.748221111595697</v>
      </c>
      <c r="Q94" s="159">
        <f t="shared" si="24"/>
        <v>75.183188748939216</v>
      </c>
      <c r="R94" s="159">
        <f t="shared" si="24"/>
        <v>77.680827839896338</v>
      </c>
      <c r="S94" s="159">
        <f t="shared" si="24"/>
        <v>76.091988325407698</v>
      </c>
      <c r="T94" s="159">
        <f t="shared" si="24"/>
        <v>78.374747975169939</v>
      </c>
    </row>
    <row r="95" spans="2:20" x14ac:dyDescent="0.25">
      <c r="B95" s="23" t="s">
        <v>2332</v>
      </c>
      <c r="C95" s="28" t="s">
        <v>493</v>
      </c>
      <c r="H95" s="159">
        <f t="shared" ref="H95:T95" si="25">H40+H65+H87</f>
        <v>0</v>
      </c>
      <c r="I95" s="159">
        <f t="shared" si="25"/>
        <v>0</v>
      </c>
      <c r="J95" s="159">
        <f t="shared" si="25"/>
        <v>13.549472511593823</v>
      </c>
      <c r="K95" s="159">
        <f t="shared" si="25"/>
        <v>18.298555588983973</v>
      </c>
      <c r="L95" s="159">
        <f t="shared" si="25"/>
        <v>19.802884015102851</v>
      </c>
      <c r="M95" s="159">
        <f t="shared" si="25"/>
        <v>21.319772802239925</v>
      </c>
      <c r="N95" s="159">
        <f t="shared" si="25"/>
        <v>22.849598761225757</v>
      </c>
      <c r="O95" s="159">
        <f t="shared" si="25"/>
        <v>24.39275000721592</v>
      </c>
      <c r="P95" s="159">
        <f t="shared" si="25"/>
        <v>25.949626298820466</v>
      </c>
      <c r="Q95" s="159">
        <f t="shared" si="25"/>
        <v>27.520639387407822</v>
      </c>
      <c r="R95" s="159">
        <f t="shared" si="25"/>
        <v>29.106213376887478</v>
      </c>
      <c r="S95" s="159">
        <f t="shared" si="25"/>
        <v>17.678988388159066</v>
      </c>
      <c r="T95" s="159">
        <f t="shared" si="25"/>
        <v>18.209358039803888</v>
      </c>
    </row>
    <row r="96" spans="2:20" x14ac:dyDescent="0.25">
      <c r="B96" s="23" t="s">
        <v>2333</v>
      </c>
      <c r="C96" s="28" t="s">
        <v>493</v>
      </c>
      <c r="H96" s="161">
        <f t="shared" ref="H96:T96" si="26">ROUND(H94+H95-H93,6)</f>
        <v>0</v>
      </c>
      <c r="I96" s="161">
        <f t="shared" si="26"/>
        <v>0</v>
      </c>
      <c r="J96" s="161">
        <f t="shared" si="26"/>
        <v>0</v>
      </c>
      <c r="K96" s="161">
        <f t="shared" si="26"/>
        <v>0</v>
      </c>
      <c r="L96" s="161">
        <f t="shared" si="26"/>
        <v>0</v>
      </c>
      <c r="M96" s="161">
        <f t="shared" si="26"/>
        <v>0</v>
      </c>
      <c r="N96" s="161">
        <f t="shared" si="26"/>
        <v>0</v>
      </c>
      <c r="O96" s="161">
        <f t="shared" si="26"/>
        <v>0</v>
      </c>
      <c r="P96" s="161">
        <f t="shared" si="26"/>
        <v>0</v>
      </c>
      <c r="Q96" s="161">
        <f t="shared" si="26"/>
        <v>0</v>
      </c>
      <c r="R96" s="161">
        <f t="shared" si="26"/>
        <v>0</v>
      </c>
      <c r="S96" s="161">
        <f t="shared" si="26"/>
        <v>0</v>
      </c>
      <c r="T96" s="161">
        <f t="shared" si="26"/>
        <v>0</v>
      </c>
    </row>
    <row r="97" spans="2:20" x14ac:dyDescent="0.25">
      <c r="B97" s="154" t="s">
        <v>2334</v>
      </c>
    </row>
    <row r="98" spans="2:20" x14ac:dyDescent="0.25">
      <c r="B98" s="21" t="s">
        <v>2335</v>
      </c>
      <c r="C98" s="28" t="s">
        <v>493</v>
      </c>
      <c r="H98" s="160">
        <f t="shared" ref="H98:T98" si="27">H34+H59+H81</f>
        <v>0</v>
      </c>
      <c r="I98" s="160">
        <f t="shared" si="27"/>
        <v>0</v>
      </c>
      <c r="J98" s="160">
        <f t="shared" si="27"/>
        <v>127.49380734818928</v>
      </c>
      <c r="K98" s="160">
        <f t="shared" si="27"/>
        <v>134.5364744389201</v>
      </c>
      <c r="L98" s="160">
        <f t="shared" si="27"/>
        <v>139.28049630355042</v>
      </c>
      <c r="M98" s="160">
        <f t="shared" si="27"/>
        <v>144.14270492759252</v>
      </c>
      <c r="N98" s="160">
        <f t="shared" si="27"/>
        <v>149.12664591382875</v>
      </c>
      <c r="O98" s="160">
        <f t="shared" si="27"/>
        <v>154.23597123312493</v>
      </c>
      <c r="P98" s="160">
        <f t="shared" si="27"/>
        <v>159.47444241547282</v>
      </c>
      <c r="Q98" s="160">
        <f t="shared" si="27"/>
        <v>164.84593383676409</v>
      </c>
      <c r="R98" s="160">
        <f t="shared" si="27"/>
        <v>170.35443610416692</v>
      </c>
      <c r="S98" s="160">
        <f t="shared" si="27"/>
        <v>166.35050093220929</v>
      </c>
      <c r="T98" s="160">
        <f t="shared" si="27"/>
        <v>171.34101596017558</v>
      </c>
    </row>
    <row r="99" spans="2:20" x14ac:dyDescent="0.25">
      <c r="B99" s="23" t="s">
        <v>2336</v>
      </c>
      <c r="C99" s="28" t="s">
        <v>493</v>
      </c>
      <c r="H99" s="159">
        <f t="shared" ref="H99:T99" si="28">H36+H61+H83</f>
        <v>0</v>
      </c>
      <c r="I99" s="159">
        <f t="shared" si="28"/>
        <v>0</v>
      </c>
      <c r="J99" s="159">
        <f t="shared" si="28"/>
        <v>69.17563429830092</v>
      </c>
      <c r="K99" s="159">
        <f t="shared" si="28"/>
        <v>73.085079463312468</v>
      </c>
      <c r="L99" s="159">
        <f t="shared" si="28"/>
        <v>75.681150597145603</v>
      </c>
      <c r="M99" s="159">
        <f t="shared" si="28"/>
        <v>78.341347543973271</v>
      </c>
      <c r="N99" s="159">
        <f t="shared" si="28"/>
        <v>81.067594078185266</v>
      </c>
      <c r="O99" s="159">
        <f t="shared" si="28"/>
        <v>83.86187168740318</v>
      </c>
      <c r="P99" s="159">
        <f t="shared" si="28"/>
        <v>86.726221303877139</v>
      </c>
      <c r="Q99" s="159">
        <f t="shared" si="28"/>
        <v>89.662745087824874</v>
      </c>
      <c r="R99" s="159">
        <f t="shared" si="28"/>
        <v>92.67360826427057</v>
      </c>
      <c r="S99" s="159">
        <f t="shared" si="28"/>
        <v>90.258512606801588</v>
      </c>
      <c r="T99" s="159">
        <f t="shared" si="28"/>
        <v>92.966267985005643</v>
      </c>
    </row>
    <row r="100" spans="2:20" x14ac:dyDescent="0.25">
      <c r="B100" s="21" t="s">
        <v>2337</v>
      </c>
      <c r="C100" s="28" t="s">
        <v>493</v>
      </c>
      <c r="H100" s="160">
        <f t="shared" ref="H100:T100" si="29">H37+H62+H84</f>
        <v>0</v>
      </c>
      <c r="I100" s="160">
        <f t="shared" si="29"/>
        <v>0</v>
      </c>
      <c r="J100" s="160">
        <f t="shared" si="29"/>
        <v>58.318173049888365</v>
      </c>
      <c r="K100" s="160">
        <f t="shared" si="29"/>
        <v>61.45139497560762</v>
      </c>
      <c r="L100" s="160">
        <f t="shared" si="29"/>
        <v>63.599345706404833</v>
      </c>
      <c r="M100" s="160">
        <f t="shared" si="29"/>
        <v>65.801357383619276</v>
      </c>
      <c r="N100" s="160">
        <f t="shared" si="29"/>
        <v>68.059051835643473</v>
      </c>
      <c r="O100" s="160">
        <f t="shared" si="29"/>
        <v>70.374099545721748</v>
      </c>
      <c r="P100" s="160">
        <f t="shared" si="29"/>
        <v>72.748221111595697</v>
      </c>
      <c r="Q100" s="160">
        <f t="shared" si="29"/>
        <v>75.183188748939216</v>
      </c>
      <c r="R100" s="160">
        <f t="shared" si="29"/>
        <v>77.680827839896338</v>
      </c>
      <c r="S100" s="160">
        <f t="shared" si="29"/>
        <v>76.091988325407698</v>
      </c>
      <c r="T100" s="160">
        <f t="shared" si="29"/>
        <v>78.374747975169939</v>
      </c>
    </row>
    <row r="101" spans="2:20" x14ac:dyDescent="0.25">
      <c r="B101" s="23" t="s">
        <v>2338</v>
      </c>
      <c r="C101" s="28" t="s">
        <v>493</v>
      </c>
      <c r="H101" s="159">
        <f>IF(OR('Revenue Calculation'!H21=1,'Revenue Calculation'!H22=1,'Revenue Calculation'!H23=1),Inputs!H473,0)</f>
        <v>0</v>
      </c>
      <c r="I101" s="159">
        <f>IF(OR('Revenue Calculation'!I21=1,'Revenue Calculation'!I22=1,'Revenue Calculation'!I23=1),Inputs!I473,0)</f>
        <v>0</v>
      </c>
      <c r="J101" s="159">
        <f>IF(OR('Revenue Calculation'!J21=1,'Revenue Calculation'!J22=1,'Revenue Calculation'!J23=1),Inputs!J473,0)</f>
        <v>0</v>
      </c>
      <c r="K101" s="159">
        <f>IF(OR('Revenue Calculation'!K21=1,'Revenue Calculation'!K22=1,'Revenue Calculation'!K23=1),Inputs!K473,0)</f>
        <v>0</v>
      </c>
      <c r="L101" s="159">
        <f>IF(OR('Revenue Calculation'!L21=1,'Revenue Calculation'!L22=1,'Revenue Calculation'!L23=1),Inputs!L473,0)</f>
        <v>0</v>
      </c>
      <c r="M101" s="159">
        <f>IF(OR('Revenue Calculation'!M21=1,'Revenue Calculation'!M22=1,'Revenue Calculation'!M23=1),Inputs!M473,0)</f>
        <v>0</v>
      </c>
      <c r="N101" s="159">
        <f>IF(OR('Revenue Calculation'!N21=1,'Revenue Calculation'!N22=1,'Revenue Calculation'!N23=1),Inputs!N473,0)</f>
        <v>0</v>
      </c>
      <c r="O101" s="159">
        <f>IF(OR('Revenue Calculation'!O21=1,'Revenue Calculation'!O22=1,'Revenue Calculation'!O23=1),Inputs!O473,0)</f>
        <v>0</v>
      </c>
      <c r="P101" s="159">
        <f>IF(OR('Revenue Calculation'!P21=1,'Revenue Calculation'!P22=1,'Revenue Calculation'!P23=1),Inputs!P473,0)</f>
        <v>0</v>
      </c>
      <c r="Q101" s="159">
        <f>IF(OR('Revenue Calculation'!Q21=1,'Revenue Calculation'!Q22=1,'Revenue Calculation'!Q23=1),Inputs!Q473,0)</f>
        <v>0</v>
      </c>
      <c r="R101" s="159">
        <f>IF(OR('Revenue Calculation'!R21=1,'Revenue Calculation'!R22=1,'Revenue Calculation'!R23=1),Inputs!R473,0)</f>
        <v>0</v>
      </c>
      <c r="S101" s="159">
        <f>IF(OR('Revenue Calculation'!S21=1,'Revenue Calculation'!S22=1,'Revenue Calculation'!S23=1),Inputs!S473,0)</f>
        <v>0</v>
      </c>
      <c r="T101" s="159">
        <f>IF(OR('Revenue Calculation'!T21=1,'Revenue Calculation'!T22=1,'Revenue Calculation'!T23=1),Inputs!T473,0)</f>
        <v>0</v>
      </c>
    </row>
    <row r="102" spans="2:20" x14ac:dyDescent="0.25">
      <c r="B102" s="23" t="s">
        <v>2339</v>
      </c>
      <c r="C102" s="28" t="s">
        <v>493</v>
      </c>
      <c r="H102" s="159">
        <f>'Capex &amp; Depreciation'!H246+'Capex &amp; Depreciation'!H247+'Capex &amp; Depreciation'!H248</f>
        <v>0</v>
      </c>
      <c r="I102" s="159">
        <f>'Capex &amp; Depreciation'!I246+'Capex &amp; Depreciation'!I247+'Capex &amp; Depreciation'!I248</f>
        <v>0</v>
      </c>
      <c r="J102" s="159">
        <f>'Capex &amp; Depreciation'!J246+'Capex &amp; Depreciation'!J247+'Capex &amp; Depreciation'!J248</f>
        <v>0</v>
      </c>
      <c r="K102" s="159">
        <f>'Capex &amp; Depreciation'!K246+'Capex &amp; Depreciation'!K247+'Capex &amp; Depreciation'!K248</f>
        <v>0</v>
      </c>
      <c r="L102" s="159">
        <f>'Capex &amp; Depreciation'!L246+'Capex &amp; Depreciation'!L247+'Capex &amp; Depreciation'!L248</f>
        <v>0</v>
      </c>
      <c r="M102" s="159">
        <f>'Capex &amp; Depreciation'!M246+'Capex &amp; Depreciation'!M247+'Capex &amp; Depreciation'!M248</f>
        <v>0</v>
      </c>
      <c r="N102" s="159">
        <f>'Capex &amp; Depreciation'!N246+'Capex &amp; Depreciation'!N247+'Capex &amp; Depreciation'!N248</f>
        <v>0</v>
      </c>
      <c r="O102" s="159">
        <f>'Capex &amp; Depreciation'!O246+'Capex &amp; Depreciation'!O247+'Capex &amp; Depreciation'!O248</f>
        <v>0</v>
      </c>
      <c r="P102" s="159">
        <f>'Capex &amp; Depreciation'!P246+'Capex &amp; Depreciation'!P247+'Capex &amp; Depreciation'!P248</f>
        <v>0</v>
      </c>
      <c r="Q102" s="159">
        <f>'Capex &amp; Depreciation'!Q246+'Capex &amp; Depreciation'!Q247+'Capex &amp; Depreciation'!Q248</f>
        <v>0</v>
      </c>
      <c r="R102" s="159">
        <f>'Capex &amp; Depreciation'!R246+'Capex &amp; Depreciation'!R247+'Capex &amp; Depreciation'!R248</f>
        <v>0</v>
      </c>
      <c r="S102" s="159">
        <f>'Capex &amp; Depreciation'!S246+'Capex &amp; Depreciation'!S247+'Capex &amp; Depreciation'!S248</f>
        <v>0</v>
      </c>
      <c r="T102" s="159">
        <f>'Capex &amp; Depreciation'!T246+'Capex &amp; Depreciation'!T247+'Capex &amp; Depreciation'!T248</f>
        <v>0</v>
      </c>
    </row>
    <row r="103" spans="2:20" ht="26.25" customHeight="1" x14ac:dyDescent="0.25">
      <c r="B103" s="64" t="s">
        <v>2340</v>
      </c>
      <c r="C103" s="28" t="s">
        <v>493</v>
      </c>
      <c r="H103" s="159">
        <f>'Working Capital'!H75+'Working Capital'!H79+'Working Capital'!H83</f>
        <v>0</v>
      </c>
      <c r="I103" s="159">
        <f>'Working Capital'!I75+'Working Capital'!I79+'Working Capital'!I83</f>
        <v>0</v>
      </c>
      <c r="J103" s="159">
        <f>'Working Capital'!J75+'Working Capital'!J79+'Working Capital'!J83</f>
        <v>15.718414604571281</v>
      </c>
      <c r="K103" s="159">
        <f>'Working Capital'!K75+'Working Capital'!K79+'Working Capital'!K83</f>
        <v>16.5866886294559</v>
      </c>
      <c r="L103" s="159">
        <f>'Working Capital'!L75+'Working Capital'!L79+'Working Capital'!L83</f>
        <v>17.124651184862756</v>
      </c>
      <c r="M103" s="159">
        <f>'Working Capital'!M75+'Working Capital'!M79+'Working Capital'!M83</f>
        <v>17.771018415730584</v>
      </c>
      <c r="N103" s="159">
        <f>'Working Capital'!N75+'Working Capital'!N79+'Working Capital'!N83</f>
        <v>18.385476893485734</v>
      </c>
      <c r="O103" s="159">
        <f>'Working Capital'!O75+'Working Capital'!O79+'Working Capital'!O83</f>
        <v>19.015393713672935</v>
      </c>
      <c r="P103" s="159">
        <f>'Working Capital'!P75+'Working Capital'!P79+'Working Capital'!P83</f>
        <v>19.607513411738463</v>
      </c>
      <c r="Q103" s="159">
        <f>'Working Capital'!Q75+'Working Capital'!Q79+'Working Capital'!Q83</f>
        <v>20.323471294943516</v>
      </c>
      <c r="R103" s="159">
        <f>'Working Capital'!R75+'Working Capital'!R79+'Working Capital'!R83</f>
        <v>21.002601711472632</v>
      </c>
      <c r="S103" s="159">
        <f>'Working Capital'!S75+'Working Capital'!S79+'Working Capital'!S83</f>
        <v>20.508965868354569</v>
      </c>
      <c r="T103" s="159">
        <f>'Working Capital'!T75+'Working Capital'!T79+'Working Capital'!T83</f>
        <v>21.066518355759293</v>
      </c>
    </row>
    <row r="104" spans="2:20" ht="26.25" customHeight="1" x14ac:dyDescent="0.25">
      <c r="B104" s="64" t="s">
        <v>2341</v>
      </c>
      <c r="C104" s="28" t="s">
        <v>493</v>
      </c>
      <c r="H104" s="159">
        <f>(1-Inputs!$E$531)*(H37-'Capex &amp; Depreciation'!H246)</f>
        <v>0</v>
      </c>
      <c r="I104" s="159">
        <f>(1-Inputs!$E$531)*(I37-'Capex &amp; Depreciation'!I246)</f>
        <v>0</v>
      </c>
      <c r="J104" s="159">
        <f>(1-Inputs!$E$531)*(J37-'Capex &amp; Depreciation'!J246)</f>
        <v>9.9922642527272743</v>
      </c>
      <c r="K104" s="159">
        <f>(1-Inputs!$E$531)*(K37-'Capex &amp; Depreciation'!K246)</f>
        <v>10.292032180309093</v>
      </c>
      <c r="L104" s="159">
        <f>(1-Inputs!$E$531)*(L37-'Capex &amp; Depreciation'!L246)</f>
        <v>10.600793145718368</v>
      </c>
      <c r="M104" s="159">
        <f>(1-Inputs!$E$531)*(M37-'Capex &amp; Depreciation'!M246)</f>
        <v>10.918816940089918</v>
      </c>
      <c r="N104" s="159">
        <f>(1-Inputs!$E$531)*(N37-'Capex &amp; Depreciation'!N246)</f>
        <v>11.246381448292617</v>
      </c>
      <c r="O104" s="159">
        <f>(1-Inputs!$E$531)*(O37-'Capex &amp; Depreciation'!O246)</f>
        <v>11.583772891741397</v>
      </c>
      <c r="P104" s="159">
        <f>(1-Inputs!$E$531)*(P37-'Capex &amp; Depreciation'!P246)</f>
        <v>11.931286078493635</v>
      </c>
      <c r="Q104" s="159">
        <f>(1-Inputs!$E$531)*(Q37-'Capex &amp; Depreciation'!Q246)</f>
        <v>12.289224660848447</v>
      </c>
      <c r="R104" s="159">
        <f>(1-Inputs!$E$531)*(R37-'Capex &amp; Depreciation'!R246)</f>
        <v>12.6579014006739</v>
      </c>
      <c r="S104" s="159">
        <f>(1-Inputs!$E$531)*(S37-'Capex &amp; Depreciation'!S246)</f>
        <v>13.037638442694117</v>
      </c>
      <c r="T104" s="159">
        <f>(1-Inputs!$E$531)*(T37-'Capex &amp; Depreciation'!T246)</f>
        <v>13.428767595974939</v>
      </c>
    </row>
    <row r="105" spans="2:20" x14ac:dyDescent="0.25">
      <c r="B105" s="145" t="s">
        <v>2342</v>
      </c>
    </row>
    <row r="106" spans="2:20" x14ac:dyDescent="0.25">
      <c r="B106" s="145" t="s">
        <v>2343</v>
      </c>
    </row>
  </sheetData>
  <hyperlinks>
    <hyperlink ref="C3" location="'Model Flow'!A1" display="Model Flow" xr:uid="{00000000-0004-0000-0500-000000000000}"/>
    <hyperlink ref="D3" location="Inputs!A1" display="Inputs" xr:uid="{00000000-0004-0000-0500-000001000000}"/>
    <hyperlink ref="E3" location="'FS Data Request'!A1" display="FS Request" xr:uid="{00000000-0004-0000-0500-000002000000}"/>
    <hyperlink ref="F3" location="'Revenue Calculation'!A1" display="Revenue" xr:uid="{00000000-0004-0000-0500-000003000000}"/>
    <hyperlink ref="G3" location="'Cost Calculation'!A1" display="Costs" xr:uid="{00000000-0004-0000-0500-000004000000}"/>
    <hyperlink ref="I3" location="'Capex &amp; Depreciation'!A1" display="Capex" xr:uid="{00000000-0004-0000-0500-000005000000}"/>
    <hyperlink ref="J3" location="'Working Capital'!A1" display="Work. cap." xr:uid="{00000000-0004-0000-0500-000006000000}"/>
    <hyperlink ref="K3" location="Financing!A1" display="Financing" xr:uid="{00000000-0004-0000-0500-000007000000}"/>
    <hyperlink ref="L3" location="'Funding Requirement'!A1" display="Funding" xr:uid="{00000000-0004-0000-0500-000008000000}"/>
    <hyperlink ref="M3" location="'FSL Output - Without BUMN'!A1" display="Out: w/o BUMN" xr:uid="{00000000-0004-0000-0500-000009000000}"/>
    <hyperlink ref="N3" location="'FSL Output - With BUMN'!A1" display="Out: With BUMN" xr:uid="{00000000-0004-0000-0500-00000A000000}"/>
    <hyperlink ref="O3" location="'Valuation — Without BUMN'!A1" display="Val: w/o BUMN" xr:uid="{00000000-0004-0000-0500-00000B000000}"/>
    <hyperlink ref="P3" location="'Valuation — With BUMN'!A1" display="Val: With BUMN" xr:uid="{00000000-0004-0000-0500-00000C000000}"/>
    <hyperlink ref="Q3" location="'Project Cash Flows'!A1" display="Proj. CF" xr:uid="{00000000-0004-0000-0500-00000D000000}"/>
    <hyperlink ref="R3" location="'Project Summary'!A1" display="Proj. Summary" xr:uid="{00000000-0004-0000-0500-00000E000000}"/>
    <hyperlink ref="S3" location="'Checks &amp; Reconciliation'!A1" display="Checks" xr:uid="{00000000-0004-0000-0500-00000F000000}"/>
    <hyperlink ref="T3" location="'Source Data'!A1" display="Source Data" xr:uid="{00000000-0004-0000-0500-000010000000}"/>
  </hyperlinks>
  <pageMargins left="0.4" right="0.4" top="0.5" bottom="0.5" header="0.511811023622047" footer="0.5"/>
  <pageSetup paperSize="9" fitToHeight="0" orientation="landscape" horizontalDpi="300" verticalDpi="300"/>
  <headerFooter>
    <oddFooter>&amp;L&amp;A&amp;RPage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48235"/>
    <pageSetUpPr fitToPage="1"/>
  </sheetPr>
  <dimension ref="B1:U377"/>
  <sheetViews>
    <sheetView showGridLines="0" zoomScale="85" zoomScaleNormal="85" workbookViewId="0">
      <pane xSplit="6" ySplit="6" topLeftCell="G7" activePane="bottomRight" state="frozen"/>
      <selection pane="topRight" activeCell="G1" sqref="G1"/>
      <selection pane="bottomLeft" activeCell="A7" sqref="A7"/>
      <selection pane="bottomRight"/>
    </sheetView>
  </sheetViews>
  <sheetFormatPr defaultColWidth="8.7109375" defaultRowHeight="15" x14ac:dyDescent="0.25"/>
  <cols>
    <col min="1" max="1" width="1.5703125" customWidth="1"/>
    <col min="2" max="2" width="62" customWidth="1"/>
    <col min="3" max="3" width="10" customWidth="1"/>
    <col min="4" max="6" width="13" customWidth="1"/>
    <col min="7" max="20" width="10.5703125" customWidth="1"/>
    <col min="21" max="21" width="55" customWidth="1"/>
  </cols>
  <sheetData>
    <row r="1" spans="2:21" ht="18" x14ac:dyDescent="0.25">
      <c r="B1" s="13" t="s">
        <v>2344</v>
      </c>
    </row>
    <row r="2" spans="2:21" x14ac:dyDescent="0.25">
      <c r="B2" s="14" t="s">
        <v>2345</v>
      </c>
    </row>
    <row r="3" spans="2:21" x14ac:dyDescent="0.25">
      <c r="B3" s="15" t="s">
        <v>2</v>
      </c>
      <c r="C3" s="17" t="s">
        <v>422</v>
      </c>
      <c r="D3" s="17" t="s">
        <v>4</v>
      </c>
      <c r="E3" s="17" t="s">
        <v>5</v>
      </c>
      <c r="F3" s="17" t="s">
        <v>6</v>
      </c>
      <c r="G3" s="17" t="s">
        <v>7</v>
      </c>
      <c r="H3" s="17" t="s">
        <v>8</v>
      </c>
      <c r="I3" s="16" t="s">
        <v>2346</v>
      </c>
      <c r="J3" s="17" t="s">
        <v>10</v>
      </c>
      <c r="K3" s="17" t="s">
        <v>11</v>
      </c>
      <c r="L3" s="17" t="s">
        <v>12</v>
      </c>
      <c r="M3" s="17" t="s">
        <v>13</v>
      </c>
      <c r="N3" s="17" t="s">
        <v>14</v>
      </c>
      <c r="O3" s="17" t="s">
        <v>15</v>
      </c>
      <c r="P3" s="17" t="s">
        <v>16</v>
      </c>
      <c r="Q3" s="17" t="s">
        <v>17</v>
      </c>
      <c r="R3" s="17" t="s">
        <v>18</v>
      </c>
      <c r="S3" s="17" t="s">
        <v>19</v>
      </c>
      <c r="T3" s="17" t="s">
        <v>20</v>
      </c>
    </row>
    <row r="4" spans="2:21" x14ac:dyDescent="0.25">
      <c r="G4" s="77" t="s">
        <v>1878</v>
      </c>
      <c r="H4" s="77" t="s">
        <v>1879</v>
      </c>
      <c r="I4" s="77" t="s">
        <v>1879</v>
      </c>
      <c r="J4" s="77" t="s">
        <v>1879</v>
      </c>
      <c r="K4" s="77" t="s">
        <v>1879</v>
      </c>
      <c r="L4" s="77" t="s">
        <v>1879</v>
      </c>
      <c r="M4" s="77" t="s">
        <v>1879</v>
      </c>
      <c r="N4" s="77" t="s">
        <v>1879</v>
      </c>
      <c r="O4" s="77" t="s">
        <v>1879</v>
      </c>
      <c r="P4" s="77" t="s">
        <v>1879</v>
      </c>
      <c r="Q4" s="77" t="s">
        <v>1879</v>
      </c>
      <c r="R4" s="77" t="s">
        <v>1879</v>
      </c>
      <c r="S4" s="77" t="s">
        <v>1879</v>
      </c>
      <c r="T4" s="77" t="s">
        <v>1879</v>
      </c>
    </row>
    <row r="5" spans="2:21" x14ac:dyDescent="0.25">
      <c r="B5" s="150" t="s">
        <v>1880</v>
      </c>
      <c r="C5" s="150" t="s">
        <v>466</v>
      </c>
      <c r="D5" s="59" t="s">
        <v>1881</v>
      </c>
      <c r="E5" s="59" t="s">
        <v>468</v>
      </c>
      <c r="F5" s="60"/>
      <c r="G5" s="151">
        <v>2023</v>
      </c>
      <c r="H5" s="152">
        <v>2024</v>
      </c>
      <c r="I5" s="152">
        <v>2025</v>
      </c>
      <c r="J5" s="152">
        <v>2026</v>
      </c>
      <c r="K5" s="152">
        <v>2027</v>
      </c>
      <c r="L5" s="152">
        <v>2028</v>
      </c>
      <c r="M5" s="152">
        <v>2029</v>
      </c>
      <c r="N5" s="152">
        <v>2030</v>
      </c>
      <c r="O5" s="152">
        <v>2031</v>
      </c>
      <c r="P5" s="152">
        <v>2032</v>
      </c>
      <c r="Q5" s="152">
        <v>2033</v>
      </c>
      <c r="R5" s="152">
        <v>2034</v>
      </c>
      <c r="S5" s="152">
        <v>2035</v>
      </c>
      <c r="T5" s="152">
        <v>2036</v>
      </c>
      <c r="U5" s="59" t="s">
        <v>1882</v>
      </c>
    </row>
    <row r="6" spans="2:21" x14ac:dyDescent="0.25">
      <c r="B6" s="58" t="s">
        <v>2347</v>
      </c>
      <c r="C6" s="19"/>
      <c r="D6" s="19"/>
      <c r="E6" s="19"/>
      <c r="F6" s="19"/>
      <c r="G6" s="19"/>
      <c r="H6" s="19"/>
      <c r="I6" s="19"/>
      <c r="J6" s="19"/>
      <c r="K6" s="19"/>
      <c r="L6" s="19"/>
      <c r="M6" s="19"/>
      <c r="N6" s="19"/>
      <c r="O6" s="19"/>
      <c r="P6" s="19"/>
      <c r="Q6" s="19"/>
      <c r="R6" s="19"/>
      <c r="S6" s="19"/>
      <c r="T6" s="19"/>
    </row>
    <row r="7" spans="2:21" ht="24.75" customHeight="1" x14ac:dyDescent="0.25">
      <c r="E7" s="166" t="s">
        <v>2348</v>
      </c>
      <c r="F7" s="166" t="s">
        <v>2349</v>
      </c>
      <c r="G7" s="166" t="s">
        <v>2350</v>
      </c>
    </row>
    <row r="8" spans="2:21" x14ac:dyDescent="0.25">
      <c r="B8" s="23" t="s">
        <v>534</v>
      </c>
      <c r="C8" s="28" t="s">
        <v>806</v>
      </c>
      <c r="E8" s="167">
        <f>G8+SUM($H$8:$T$8)+$F$8</f>
        <v>12.8</v>
      </c>
      <c r="F8" s="165">
        <f>Inputs!$E$196*(1-SUM(Inputs!$G$197:$T$197))*Inputs!$E$55*Inputs!$H$64</f>
        <v>0</v>
      </c>
      <c r="G8" s="165">
        <f>Inputs!$E$196*Inputs!G197</f>
        <v>10</v>
      </c>
      <c r="H8" s="165">
        <f>Inputs!$E$196*Inputs!H197*Inputs!$E$55*Inputs!$H$64</f>
        <v>2.3000000000000003</v>
      </c>
      <c r="I8" s="165">
        <f>Inputs!$E$196*Inputs!I197*Inputs!$E$55*Inputs!$H$64</f>
        <v>0.5</v>
      </c>
      <c r="J8" s="165">
        <f>Inputs!$E$196*Inputs!J197*Inputs!$E$55*Inputs!$H$64</f>
        <v>0</v>
      </c>
      <c r="K8" s="165">
        <f>Inputs!$E$196*Inputs!K197*Inputs!$E$55*Inputs!$H$64</f>
        <v>0</v>
      </c>
      <c r="L8" s="165">
        <f>Inputs!$E$196*Inputs!L197*Inputs!$E$55*Inputs!$H$64</f>
        <v>0</v>
      </c>
      <c r="M8" s="165">
        <f>Inputs!$E$196*Inputs!M197*Inputs!$E$55*Inputs!$H$64</f>
        <v>0</v>
      </c>
      <c r="N8" s="165">
        <f>Inputs!$E$196*Inputs!N197*Inputs!$E$55*Inputs!$H$64</f>
        <v>0</v>
      </c>
      <c r="O8" s="165">
        <f>Inputs!$E$196*Inputs!O197*Inputs!$E$55*Inputs!$H$64</f>
        <v>0</v>
      </c>
      <c r="P8" s="165">
        <f>Inputs!$E$196*Inputs!P197*Inputs!$E$55*Inputs!$H$64</f>
        <v>0</v>
      </c>
      <c r="Q8" s="165">
        <f>Inputs!$E$196*Inputs!Q197*Inputs!$E$55*Inputs!$H$64</f>
        <v>0</v>
      </c>
      <c r="R8" s="165">
        <f>Inputs!$E$196*Inputs!R197*Inputs!$E$55*Inputs!$H$64</f>
        <v>0</v>
      </c>
      <c r="S8" s="165">
        <f>Inputs!$E$196*Inputs!S197*Inputs!$E$55*Inputs!$H$64</f>
        <v>0</v>
      </c>
      <c r="T8" s="165">
        <f>Inputs!$E$196*Inputs!T197*Inputs!$E$55*Inputs!$H$64</f>
        <v>0</v>
      </c>
    </row>
    <row r="9" spans="2:21" x14ac:dyDescent="0.25">
      <c r="B9" s="23" t="s">
        <v>539</v>
      </c>
      <c r="C9" s="28" t="s">
        <v>806</v>
      </c>
      <c r="E9" s="167">
        <f>G9+SUM($H$9:$T$9)+$F$9</f>
        <v>8</v>
      </c>
      <c r="F9" s="165">
        <f>Inputs!$E$210*(1-SUM(Inputs!$G$211:$T$211))*Inputs!$E$55*Inputs!$H$65</f>
        <v>0</v>
      </c>
      <c r="G9" s="165">
        <f>Inputs!$E$210*Inputs!G211</f>
        <v>2.2000000000000002</v>
      </c>
      <c r="H9" s="165">
        <f>Inputs!$E$210*Inputs!H211*Inputs!$E$55*Inputs!$H$65</f>
        <v>5.4</v>
      </c>
      <c r="I9" s="165">
        <f>Inputs!$E$210*Inputs!I211*Inputs!$E$55*Inputs!$H$65</f>
        <v>0.4</v>
      </c>
      <c r="J9" s="165">
        <f>Inputs!$E$210*Inputs!J211*Inputs!$E$55*Inputs!$H$65</f>
        <v>0</v>
      </c>
      <c r="K9" s="165">
        <f>Inputs!$E$210*Inputs!K211*Inputs!$E$55*Inputs!$H$65</f>
        <v>0</v>
      </c>
      <c r="L9" s="165">
        <f>Inputs!$E$210*Inputs!L211*Inputs!$E$55*Inputs!$H$65</f>
        <v>0</v>
      </c>
      <c r="M9" s="165">
        <f>Inputs!$E$210*Inputs!M211*Inputs!$E$55*Inputs!$H$65</f>
        <v>0</v>
      </c>
      <c r="N9" s="165">
        <f>Inputs!$E$210*Inputs!N211*Inputs!$E$55*Inputs!$H$65</f>
        <v>0</v>
      </c>
      <c r="O9" s="165">
        <f>Inputs!$E$210*Inputs!O211*Inputs!$E$55*Inputs!$H$65</f>
        <v>0</v>
      </c>
      <c r="P9" s="165">
        <f>Inputs!$E$210*Inputs!P211*Inputs!$E$55*Inputs!$H$65</f>
        <v>0</v>
      </c>
      <c r="Q9" s="165">
        <f>Inputs!$E$210*Inputs!Q211*Inputs!$E$55*Inputs!$H$65</f>
        <v>0</v>
      </c>
      <c r="R9" s="165">
        <f>Inputs!$E$210*Inputs!R211*Inputs!$E$55*Inputs!$H$65</f>
        <v>0</v>
      </c>
      <c r="S9" s="165">
        <f>Inputs!$E$210*Inputs!S211*Inputs!$E$55*Inputs!$H$65</f>
        <v>0</v>
      </c>
      <c r="T9" s="165">
        <f>Inputs!$E$210*Inputs!T211*Inputs!$E$55*Inputs!$H$65</f>
        <v>0</v>
      </c>
    </row>
    <row r="10" spans="2:21" x14ac:dyDescent="0.25">
      <c r="B10" s="23" t="s">
        <v>542</v>
      </c>
      <c r="C10" s="28" t="s">
        <v>806</v>
      </c>
      <c r="E10" s="167">
        <f>G10+SUM($H$10:$T$10)+$F$10</f>
        <v>6.0245926836766097</v>
      </c>
      <c r="F10" s="165">
        <f>Inputs!$E$225*(1-SUM(Inputs!$G$226:$T$226))*Inputs!$E$55*Inputs!$H$66</f>
        <v>0</v>
      </c>
      <c r="G10" s="165">
        <f>Inputs!$E$225*Inputs!G226</f>
        <v>0</v>
      </c>
      <c r="H10" s="165">
        <f>Inputs!$E$225*Inputs!H226*Inputs!$E$55*Inputs!$H$66</f>
        <v>0</v>
      </c>
      <c r="I10" s="165">
        <f>Inputs!$E$225*Inputs!I226*Inputs!$E$55*Inputs!$H$66</f>
        <v>0</v>
      </c>
      <c r="J10" s="165">
        <f>Inputs!$E$225*Inputs!J226*Inputs!$E$55*Inputs!$H$66</f>
        <v>6.0245926836766097</v>
      </c>
      <c r="K10" s="165">
        <f>Inputs!$E$225*Inputs!K226*Inputs!$E$55*Inputs!$H$66</f>
        <v>0</v>
      </c>
      <c r="L10" s="165">
        <f>Inputs!$E$225*Inputs!L226*Inputs!$E$55*Inputs!$H$66</f>
        <v>0</v>
      </c>
      <c r="M10" s="165">
        <f>Inputs!$E$225*Inputs!M226*Inputs!$E$55*Inputs!$H$66</f>
        <v>0</v>
      </c>
      <c r="N10" s="165">
        <f>Inputs!$E$225*Inputs!N226*Inputs!$E$55*Inputs!$H$66</f>
        <v>0</v>
      </c>
      <c r="O10" s="165">
        <f>Inputs!$E$225*Inputs!O226*Inputs!$E$55*Inputs!$H$66</f>
        <v>0</v>
      </c>
      <c r="P10" s="165">
        <f>Inputs!$E$225*Inputs!P226*Inputs!$E$55*Inputs!$H$66</f>
        <v>0</v>
      </c>
      <c r="Q10" s="165">
        <f>Inputs!$E$225*Inputs!Q226*Inputs!$E$55*Inputs!$H$66</f>
        <v>0</v>
      </c>
      <c r="R10" s="165">
        <f>Inputs!$E$225*Inputs!R226*Inputs!$E$55*Inputs!$H$66</f>
        <v>0</v>
      </c>
      <c r="S10" s="165">
        <f>Inputs!$E$225*Inputs!S226*Inputs!$E$55*Inputs!$H$66</f>
        <v>0</v>
      </c>
      <c r="T10" s="165">
        <f>Inputs!$E$225*Inputs!T226*Inputs!$E$55*Inputs!$H$66</f>
        <v>0</v>
      </c>
    </row>
    <row r="11" spans="2:21" x14ac:dyDescent="0.25">
      <c r="B11" s="23" t="s">
        <v>547</v>
      </c>
      <c r="C11" s="28" t="s">
        <v>806</v>
      </c>
      <c r="E11" s="167">
        <f>G11+SUM($H$11:$T$11)+$F$11</f>
        <v>3.7622963418383</v>
      </c>
      <c r="F11" s="165">
        <f>Inputs!$E$237*(1-SUM(Inputs!$G$238:$T$238))*Inputs!$E$55*Inputs!$H$67</f>
        <v>0</v>
      </c>
      <c r="G11" s="165">
        <f>Inputs!$E$237*Inputs!G238</f>
        <v>0</v>
      </c>
      <c r="H11" s="165">
        <f>Inputs!$E$237*Inputs!H238*Inputs!$E$55*Inputs!$H$67</f>
        <v>0</v>
      </c>
      <c r="I11" s="165">
        <f>Inputs!$E$237*Inputs!I238*Inputs!$E$55*Inputs!$H$67</f>
        <v>0</v>
      </c>
      <c r="J11" s="165">
        <f>Inputs!$E$237*Inputs!J238*Inputs!$E$55*Inputs!$H$67</f>
        <v>3.7622963418383</v>
      </c>
      <c r="K11" s="165">
        <f>Inputs!$E$237*Inputs!K238*Inputs!$E$55*Inputs!$H$67</f>
        <v>0</v>
      </c>
      <c r="L11" s="165">
        <f>Inputs!$E$237*Inputs!L238*Inputs!$E$55*Inputs!$H$67</f>
        <v>0</v>
      </c>
      <c r="M11" s="165">
        <f>Inputs!$E$237*Inputs!M238*Inputs!$E$55*Inputs!$H$67</f>
        <v>0</v>
      </c>
      <c r="N11" s="165">
        <f>Inputs!$E$237*Inputs!N238*Inputs!$E$55*Inputs!$H$67</f>
        <v>0</v>
      </c>
      <c r="O11" s="165">
        <f>Inputs!$E$237*Inputs!O238*Inputs!$E$55*Inputs!$H$67</f>
        <v>0</v>
      </c>
      <c r="P11" s="165">
        <f>Inputs!$E$237*Inputs!P238*Inputs!$E$55*Inputs!$H$67</f>
        <v>0</v>
      </c>
      <c r="Q11" s="165">
        <f>Inputs!$E$237*Inputs!Q238*Inputs!$E$55*Inputs!$H$67</f>
        <v>0</v>
      </c>
      <c r="R11" s="165">
        <f>Inputs!$E$237*Inputs!R238*Inputs!$E$55*Inputs!$H$67</f>
        <v>0</v>
      </c>
      <c r="S11" s="165">
        <f>Inputs!$E$237*Inputs!S238*Inputs!$E$55*Inputs!$H$67</f>
        <v>0</v>
      </c>
      <c r="T11" s="165">
        <f>Inputs!$E$237*Inputs!T238*Inputs!$E$55*Inputs!$H$67</f>
        <v>0</v>
      </c>
    </row>
    <row r="12" spans="2:21" x14ac:dyDescent="0.25">
      <c r="B12" s="23" t="s">
        <v>550</v>
      </c>
      <c r="C12" s="28" t="s">
        <v>806</v>
      </c>
      <c r="E12" s="167">
        <f>G12+SUM($H$12:$T$12)+$F$12</f>
        <v>6.8095238095238102</v>
      </c>
      <c r="F12" s="165">
        <f>Inputs!$E$250*(1-SUM(Inputs!$G$251:$T$251))*Inputs!$E$55*Inputs!$H$68</f>
        <v>1.5120180240133086E-15</v>
      </c>
      <c r="G12" s="165">
        <f>Inputs!$E$250*Inputs!G251</f>
        <v>0</v>
      </c>
      <c r="H12" s="165">
        <f>Inputs!$E$250*Inputs!H251*Inputs!$E$55*Inputs!$H$68</f>
        <v>0</v>
      </c>
      <c r="I12" s="165">
        <f>Inputs!$E$250*Inputs!I251*Inputs!$E$55*Inputs!$H$68</f>
        <v>0</v>
      </c>
      <c r="J12" s="165">
        <f>Inputs!$E$250*Inputs!J251*Inputs!$E$55*Inputs!$H$68</f>
        <v>6.4845238095238082</v>
      </c>
      <c r="K12" s="165">
        <f>Inputs!$E$250*Inputs!K251*Inputs!$E$55*Inputs!$H$68</f>
        <v>0.32499999999999984</v>
      </c>
      <c r="L12" s="165">
        <f>Inputs!$E$250*Inputs!L251*Inputs!$E$55*Inputs!$H$68</f>
        <v>0</v>
      </c>
      <c r="M12" s="165">
        <f>Inputs!$E$250*Inputs!M251*Inputs!$E$55*Inputs!$H$68</f>
        <v>0</v>
      </c>
      <c r="N12" s="165">
        <f>Inputs!$E$250*Inputs!N251*Inputs!$E$55*Inputs!$H$68</f>
        <v>0</v>
      </c>
      <c r="O12" s="165">
        <f>Inputs!$E$250*Inputs!O251*Inputs!$E$55*Inputs!$H$68</f>
        <v>0</v>
      </c>
      <c r="P12" s="165">
        <f>Inputs!$E$250*Inputs!P251*Inputs!$E$55*Inputs!$H$68</f>
        <v>0</v>
      </c>
      <c r="Q12" s="165">
        <f>Inputs!$E$250*Inputs!Q251*Inputs!$E$55*Inputs!$H$68</f>
        <v>0</v>
      </c>
      <c r="R12" s="165">
        <f>Inputs!$E$250*Inputs!R251*Inputs!$E$55*Inputs!$H$68</f>
        <v>0</v>
      </c>
      <c r="S12" s="165">
        <f>Inputs!$E$250*Inputs!S251*Inputs!$E$55*Inputs!$H$68</f>
        <v>0</v>
      </c>
      <c r="T12" s="165">
        <f>Inputs!$E$250*Inputs!T251*Inputs!$E$55*Inputs!$H$68</f>
        <v>0</v>
      </c>
    </row>
    <row r="13" spans="2:21" x14ac:dyDescent="0.25">
      <c r="B13" s="23" t="s">
        <v>555</v>
      </c>
      <c r="C13" s="28" t="s">
        <v>806</v>
      </c>
      <c r="E13" s="167">
        <f>G13+SUM($H$13:$T$13)+$F$13</f>
        <v>5.0245926836766097</v>
      </c>
      <c r="F13" s="165">
        <f>Inputs!$E$261*(1-SUM(Inputs!$G$262:$T$262))*Inputs!$E$55*Inputs!$H$69</f>
        <v>0</v>
      </c>
      <c r="G13" s="165">
        <f>Inputs!$E$261*Inputs!G262</f>
        <v>0</v>
      </c>
      <c r="H13" s="165">
        <f>Inputs!$E$261*Inputs!H262*Inputs!$E$55*Inputs!$H$69</f>
        <v>0</v>
      </c>
      <c r="I13" s="165">
        <f>Inputs!$E$261*Inputs!I262*Inputs!$E$55*Inputs!$H$69</f>
        <v>0</v>
      </c>
      <c r="J13" s="165">
        <f>Inputs!$E$261*Inputs!J262*Inputs!$E$55*Inputs!$H$69</f>
        <v>2.5122963418383049</v>
      </c>
      <c r="K13" s="165">
        <f>Inputs!$E$261*Inputs!K262*Inputs!$E$55*Inputs!$H$69</f>
        <v>2.5122963418383049</v>
      </c>
      <c r="L13" s="165">
        <f>Inputs!$E$261*Inputs!L262*Inputs!$E$55*Inputs!$H$69</f>
        <v>0</v>
      </c>
      <c r="M13" s="165">
        <f>Inputs!$E$261*Inputs!M262*Inputs!$E$55*Inputs!$H$69</f>
        <v>0</v>
      </c>
      <c r="N13" s="165">
        <f>Inputs!$E$261*Inputs!N262*Inputs!$E$55*Inputs!$H$69</f>
        <v>0</v>
      </c>
      <c r="O13" s="165">
        <f>Inputs!$E$261*Inputs!O262*Inputs!$E$55*Inputs!$H$69</f>
        <v>0</v>
      </c>
      <c r="P13" s="165">
        <f>Inputs!$E$261*Inputs!P262*Inputs!$E$55*Inputs!$H$69</f>
        <v>0</v>
      </c>
      <c r="Q13" s="165">
        <f>Inputs!$E$261*Inputs!Q262*Inputs!$E$55*Inputs!$H$69</f>
        <v>0</v>
      </c>
      <c r="R13" s="165">
        <f>Inputs!$E$261*Inputs!R262*Inputs!$E$55*Inputs!$H$69</f>
        <v>0</v>
      </c>
      <c r="S13" s="165">
        <f>Inputs!$E$261*Inputs!S262*Inputs!$E$55*Inputs!$H$69</f>
        <v>0</v>
      </c>
      <c r="T13" s="165">
        <f>Inputs!$E$261*Inputs!T262*Inputs!$E$55*Inputs!$H$69</f>
        <v>0</v>
      </c>
    </row>
    <row r="14" spans="2:21" x14ac:dyDescent="0.25">
      <c r="B14" s="23" t="s">
        <v>559</v>
      </c>
      <c r="C14" s="28" t="s">
        <v>806</v>
      </c>
      <c r="E14" s="167">
        <f>G14+SUM($H$14:$T$14)+$F$14</f>
        <v>14.0245926836766</v>
      </c>
      <c r="F14" s="165">
        <f>Inputs!$E$271*(1-SUM(Inputs!$G$272:$T$272))*Inputs!$E$55*Inputs!$H$70</f>
        <v>0</v>
      </c>
      <c r="G14" s="165">
        <f>Inputs!$E$271*Inputs!G272</f>
        <v>0</v>
      </c>
      <c r="H14" s="165">
        <f>Inputs!$E$271*Inputs!H272*Inputs!$E$55*Inputs!$H$70</f>
        <v>0</v>
      </c>
      <c r="I14" s="165">
        <f>Inputs!$E$271*Inputs!I272*Inputs!$E$55*Inputs!$H$70</f>
        <v>0</v>
      </c>
      <c r="J14" s="165">
        <f>Inputs!$E$271*Inputs!J272*Inputs!$E$55*Inputs!$H$70</f>
        <v>7.0245926836766044</v>
      </c>
      <c r="K14" s="165">
        <f>Inputs!$E$271*Inputs!K272*Inputs!$E$55*Inputs!$H$70</f>
        <v>6.9999999999999956</v>
      </c>
      <c r="L14" s="165">
        <f>Inputs!$E$271*Inputs!L272*Inputs!$E$55*Inputs!$H$70</f>
        <v>0</v>
      </c>
      <c r="M14" s="165">
        <f>Inputs!$E$271*Inputs!M272*Inputs!$E$55*Inputs!$H$70</f>
        <v>0</v>
      </c>
      <c r="N14" s="165">
        <f>Inputs!$E$271*Inputs!N272*Inputs!$E$55*Inputs!$H$70</f>
        <v>0</v>
      </c>
      <c r="O14" s="165">
        <f>Inputs!$E$271*Inputs!O272*Inputs!$E$55*Inputs!$H$70</f>
        <v>0</v>
      </c>
      <c r="P14" s="165">
        <f>Inputs!$E$271*Inputs!P272*Inputs!$E$55*Inputs!$H$70</f>
        <v>0</v>
      </c>
      <c r="Q14" s="165">
        <f>Inputs!$E$271*Inputs!Q272*Inputs!$E$55*Inputs!$H$70</f>
        <v>0</v>
      </c>
      <c r="R14" s="165">
        <f>Inputs!$E$271*Inputs!R272*Inputs!$E$55*Inputs!$H$70</f>
        <v>0</v>
      </c>
      <c r="S14" s="165">
        <f>Inputs!$E$271*Inputs!S272*Inputs!$E$55*Inputs!$H$70</f>
        <v>0</v>
      </c>
      <c r="T14" s="165">
        <f>Inputs!$E$271*Inputs!T272*Inputs!$E$55*Inputs!$H$70</f>
        <v>0</v>
      </c>
    </row>
    <row r="15" spans="2:21" x14ac:dyDescent="0.25">
      <c r="B15" s="23" t="s">
        <v>581</v>
      </c>
      <c r="C15" s="28" t="s">
        <v>806</v>
      </c>
      <c r="E15" s="167">
        <f>G15+SUM($H$15:$T$15)+$F$15</f>
        <v>0</v>
      </c>
      <c r="F15" s="165">
        <f>Inputs!$E$307*(1-SUM(Inputs!$G$308:$T$308))*Inputs!$E$55*Inputs!$H$78</f>
        <v>0</v>
      </c>
      <c r="G15" s="165">
        <f>Inputs!$E$307*Inputs!G308</f>
        <v>0</v>
      </c>
      <c r="H15" s="165">
        <f>Inputs!$E$307*Inputs!H308*Inputs!$E$55*Inputs!$H$78</f>
        <v>0</v>
      </c>
      <c r="I15" s="165">
        <f>Inputs!$E$307*Inputs!I308*Inputs!$E$55*Inputs!$H$78</f>
        <v>0</v>
      </c>
      <c r="J15" s="165">
        <f>Inputs!$E$307*Inputs!J308*Inputs!$E$55*Inputs!$H$78</f>
        <v>0</v>
      </c>
      <c r="K15" s="165">
        <f>Inputs!$E$307*Inputs!K308*Inputs!$E$55*Inputs!$H$78</f>
        <v>0</v>
      </c>
      <c r="L15" s="165">
        <f>Inputs!$E$307*Inputs!L308*Inputs!$E$55*Inputs!$H$78</f>
        <v>0</v>
      </c>
      <c r="M15" s="165">
        <f>Inputs!$E$307*Inputs!M308*Inputs!$E$55*Inputs!$H$78</f>
        <v>0</v>
      </c>
      <c r="N15" s="165">
        <f>Inputs!$E$307*Inputs!N308*Inputs!$E$55*Inputs!$H$78</f>
        <v>0</v>
      </c>
      <c r="O15" s="165">
        <f>Inputs!$E$307*Inputs!O308*Inputs!$E$55*Inputs!$H$78</f>
        <v>0</v>
      </c>
      <c r="P15" s="165">
        <f>Inputs!$E$307*Inputs!P308*Inputs!$E$55*Inputs!$H$78</f>
        <v>0</v>
      </c>
      <c r="Q15" s="165">
        <f>Inputs!$E$307*Inputs!Q308*Inputs!$E$55*Inputs!$H$78</f>
        <v>0</v>
      </c>
      <c r="R15" s="165">
        <f>Inputs!$E$307*Inputs!R308*Inputs!$E$55*Inputs!$H$78</f>
        <v>0</v>
      </c>
      <c r="S15" s="165">
        <f>Inputs!$E$307*Inputs!S308*Inputs!$E$55*Inputs!$H$78</f>
        <v>0</v>
      </c>
      <c r="T15" s="165">
        <f>Inputs!$E$307*Inputs!T308*Inputs!$E$55*Inputs!$H$78</f>
        <v>0</v>
      </c>
    </row>
    <row r="16" spans="2:21" ht="26.25" customHeight="1" x14ac:dyDescent="0.25">
      <c r="B16" s="64" t="s">
        <v>2351</v>
      </c>
      <c r="C16" s="28" t="s">
        <v>806</v>
      </c>
      <c r="E16" s="165">
        <f>Inputs!$E$746*Inputs!$E$284*Inputs!$E$55</f>
        <v>0</v>
      </c>
      <c r="G16" s="165">
        <v>0</v>
      </c>
      <c r="H16" s="165">
        <f>Inputs!$E$284*Inputs!$E$55*'Revenue Calculation'!H17*(1-'Revenue Calculation'!G17)</f>
        <v>0</v>
      </c>
      <c r="I16" s="165">
        <f>Inputs!$E$284*Inputs!$E$55*'Revenue Calculation'!I17*(1-'Revenue Calculation'!H17)</f>
        <v>0</v>
      </c>
      <c r="J16" s="165">
        <f>Inputs!$E$284*Inputs!$E$55*'Revenue Calculation'!J17*(1-'Revenue Calculation'!I17)</f>
        <v>0</v>
      </c>
      <c r="K16" s="165">
        <f>Inputs!$E$284*Inputs!$E$55*'Revenue Calculation'!K17*(1-'Revenue Calculation'!J17)</f>
        <v>0.04</v>
      </c>
      <c r="L16" s="165">
        <f>Inputs!$E$284*Inputs!$E$55*'Revenue Calculation'!L17*(1-'Revenue Calculation'!K17)</f>
        <v>0</v>
      </c>
      <c r="M16" s="165">
        <f>Inputs!$E$284*Inputs!$E$55*'Revenue Calculation'!M17*(1-'Revenue Calculation'!L17)</f>
        <v>0</v>
      </c>
      <c r="N16" s="165">
        <f>Inputs!$E$284*Inputs!$E$55*'Revenue Calculation'!N17*(1-'Revenue Calculation'!M17)</f>
        <v>0</v>
      </c>
      <c r="O16" s="165">
        <f>Inputs!$E$284*Inputs!$E$55*'Revenue Calculation'!O17*(1-'Revenue Calculation'!N17)</f>
        <v>0</v>
      </c>
      <c r="P16" s="165">
        <f>Inputs!$E$284*Inputs!$E$55*'Revenue Calculation'!P17*(1-'Revenue Calculation'!O17)</f>
        <v>0</v>
      </c>
      <c r="Q16" s="165">
        <f>Inputs!$E$284*Inputs!$E$55*'Revenue Calculation'!Q17*(1-'Revenue Calculation'!P17)</f>
        <v>0</v>
      </c>
      <c r="R16" s="165">
        <f>Inputs!$E$284*Inputs!$E$55*'Revenue Calculation'!R17*(1-'Revenue Calculation'!Q17)</f>
        <v>0</v>
      </c>
      <c r="S16" s="165">
        <f>Inputs!$E$284*Inputs!$E$55*'Revenue Calculation'!S17*(1-'Revenue Calculation'!R17)</f>
        <v>0</v>
      </c>
      <c r="T16" s="165">
        <f>Inputs!$E$284*Inputs!$E$55*'Revenue Calculation'!T17*(1-'Revenue Calculation'!S17)</f>
        <v>0</v>
      </c>
    </row>
    <row r="17" spans="2:20" ht="26.25" customHeight="1" x14ac:dyDescent="0.25">
      <c r="B17" s="64" t="s">
        <v>2352</v>
      </c>
      <c r="C17" s="28" t="s">
        <v>806</v>
      </c>
      <c r="E17" s="165">
        <f>Inputs!$E$746*Inputs!$E$285*Inputs!$E$55</f>
        <v>0</v>
      </c>
      <c r="G17" s="165">
        <v>0</v>
      </c>
      <c r="H17" s="165">
        <f>Inputs!$E$285*Inputs!$E$55*'Revenue Calculation'!H18*(1-'Revenue Calculation'!G18)</f>
        <v>0</v>
      </c>
      <c r="I17" s="165">
        <f>Inputs!$E$285*Inputs!$E$55*'Revenue Calculation'!I18*(1-'Revenue Calculation'!H18)</f>
        <v>0</v>
      </c>
      <c r="J17" s="165">
        <f>Inputs!$E$285*Inputs!$E$55*'Revenue Calculation'!J18*(1-'Revenue Calculation'!I18)</f>
        <v>0</v>
      </c>
      <c r="K17" s="165">
        <f>Inputs!$E$285*Inputs!$E$55*'Revenue Calculation'!K18*(1-'Revenue Calculation'!J18)</f>
        <v>0.04</v>
      </c>
      <c r="L17" s="165">
        <f>Inputs!$E$285*Inputs!$E$55*'Revenue Calculation'!L18*(1-'Revenue Calculation'!K18)</f>
        <v>0</v>
      </c>
      <c r="M17" s="165">
        <f>Inputs!$E$285*Inputs!$E$55*'Revenue Calculation'!M18*(1-'Revenue Calculation'!L18)</f>
        <v>0</v>
      </c>
      <c r="N17" s="165">
        <f>Inputs!$E$285*Inputs!$E$55*'Revenue Calculation'!N18*(1-'Revenue Calculation'!M18)</f>
        <v>0</v>
      </c>
      <c r="O17" s="165">
        <f>Inputs!$E$285*Inputs!$E$55*'Revenue Calculation'!O18*(1-'Revenue Calculation'!N18)</f>
        <v>0</v>
      </c>
      <c r="P17" s="165">
        <f>Inputs!$E$285*Inputs!$E$55*'Revenue Calculation'!P18*(1-'Revenue Calculation'!O18)</f>
        <v>0</v>
      </c>
      <c r="Q17" s="165">
        <f>Inputs!$E$285*Inputs!$E$55*'Revenue Calculation'!Q18*(1-'Revenue Calculation'!P18)</f>
        <v>0</v>
      </c>
      <c r="R17" s="165">
        <f>Inputs!$E$285*Inputs!$E$55*'Revenue Calculation'!R18*(1-'Revenue Calculation'!Q18)</f>
        <v>0</v>
      </c>
      <c r="S17" s="165">
        <f>Inputs!$E$285*Inputs!$E$55*'Revenue Calculation'!S18*(1-'Revenue Calculation'!R18)</f>
        <v>0</v>
      </c>
      <c r="T17" s="165">
        <f>Inputs!$E$285*Inputs!$E$55*'Revenue Calculation'!T18*(1-'Revenue Calculation'!S18)</f>
        <v>0</v>
      </c>
    </row>
    <row r="18" spans="2:20" ht="26.25" customHeight="1" x14ac:dyDescent="0.25">
      <c r="B18" s="64" t="s">
        <v>2353</v>
      </c>
      <c r="C18" s="28" t="s">
        <v>806</v>
      </c>
      <c r="E18" s="165">
        <f>Inputs!$E$746*Inputs!$E$286*Inputs!$E$55</f>
        <v>0</v>
      </c>
      <c r="G18" s="165">
        <v>0</v>
      </c>
      <c r="H18" s="165">
        <f>Inputs!$E$286*Inputs!$E$55*'Revenue Calculation'!H19*(1-'Revenue Calculation'!G19)</f>
        <v>0</v>
      </c>
      <c r="I18" s="165">
        <f>Inputs!$E$286*Inputs!$E$55*'Revenue Calculation'!I19*(1-'Revenue Calculation'!H19)</f>
        <v>0</v>
      </c>
      <c r="J18" s="165">
        <f>Inputs!$E$286*Inputs!$E$55*'Revenue Calculation'!J19*(1-'Revenue Calculation'!I19)</f>
        <v>0</v>
      </c>
      <c r="K18" s="165">
        <f>Inputs!$E$286*Inputs!$E$55*'Revenue Calculation'!K19*(1-'Revenue Calculation'!J19)</f>
        <v>0</v>
      </c>
      <c r="L18" s="165">
        <f>Inputs!$E$286*Inputs!$E$55*'Revenue Calculation'!L19*(1-'Revenue Calculation'!K19)</f>
        <v>0.03</v>
      </c>
      <c r="M18" s="165">
        <f>Inputs!$E$286*Inputs!$E$55*'Revenue Calculation'!M19*(1-'Revenue Calculation'!L19)</f>
        <v>0</v>
      </c>
      <c r="N18" s="165">
        <f>Inputs!$E$286*Inputs!$E$55*'Revenue Calculation'!N19*(1-'Revenue Calculation'!M19)</f>
        <v>0</v>
      </c>
      <c r="O18" s="165">
        <f>Inputs!$E$286*Inputs!$E$55*'Revenue Calculation'!O19*(1-'Revenue Calculation'!N19)</f>
        <v>0</v>
      </c>
      <c r="P18" s="165">
        <f>Inputs!$E$286*Inputs!$E$55*'Revenue Calculation'!P19*(1-'Revenue Calculation'!O19)</f>
        <v>0</v>
      </c>
      <c r="Q18" s="165">
        <f>Inputs!$E$286*Inputs!$E$55*'Revenue Calculation'!Q19*(1-'Revenue Calculation'!P19)</f>
        <v>0</v>
      </c>
      <c r="R18" s="165">
        <f>Inputs!$E$286*Inputs!$E$55*'Revenue Calculation'!R19*(1-'Revenue Calculation'!Q19)</f>
        <v>0</v>
      </c>
      <c r="S18" s="165">
        <f>Inputs!$E$286*Inputs!$E$55*'Revenue Calculation'!S19*(1-'Revenue Calculation'!R19)</f>
        <v>0</v>
      </c>
      <c r="T18" s="165">
        <f>Inputs!$E$286*Inputs!$E$55*'Revenue Calculation'!T19*(1-'Revenue Calculation'!S19)</f>
        <v>0</v>
      </c>
    </row>
    <row r="19" spans="2:20" ht="26.25" customHeight="1" x14ac:dyDescent="0.25">
      <c r="B19" s="64" t="s">
        <v>2354</v>
      </c>
      <c r="C19" s="28" t="s">
        <v>806</v>
      </c>
      <c r="E19" s="165">
        <f>Inputs!$E$746*Inputs!$E$287*Inputs!$E$55</f>
        <v>0</v>
      </c>
      <c r="G19" s="165">
        <v>0</v>
      </c>
      <c r="H19" s="165">
        <f>Inputs!$E$287*Inputs!$E$55*'Revenue Calculation'!H20*(1-'Revenue Calculation'!G20)</f>
        <v>0</v>
      </c>
      <c r="I19" s="165">
        <f>Inputs!$E$287*Inputs!$E$55*'Revenue Calculation'!I20*(1-'Revenue Calculation'!H20)</f>
        <v>0</v>
      </c>
      <c r="J19" s="165">
        <f>Inputs!$E$287*Inputs!$E$55*'Revenue Calculation'!J20*(1-'Revenue Calculation'!I20)</f>
        <v>0</v>
      </c>
      <c r="K19" s="165">
        <f>Inputs!$E$287*Inputs!$E$55*'Revenue Calculation'!K20*(1-'Revenue Calculation'!J20)</f>
        <v>0.04</v>
      </c>
      <c r="L19" s="165">
        <f>Inputs!$E$287*Inputs!$E$55*'Revenue Calculation'!L20*(1-'Revenue Calculation'!K20)</f>
        <v>0</v>
      </c>
      <c r="M19" s="165">
        <f>Inputs!$E$287*Inputs!$E$55*'Revenue Calculation'!M20*(1-'Revenue Calculation'!L20)</f>
        <v>0</v>
      </c>
      <c r="N19" s="165">
        <f>Inputs!$E$287*Inputs!$E$55*'Revenue Calculation'!N20*(1-'Revenue Calculation'!M20)</f>
        <v>0</v>
      </c>
      <c r="O19" s="165">
        <f>Inputs!$E$287*Inputs!$E$55*'Revenue Calculation'!O20*(1-'Revenue Calculation'!N20)</f>
        <v>0</v>
      </c>
      <c r="P19" s="165">
        <f>Inputs!$E$287*Inputs!$E$55*'Revenue Calculation'!P20*(1-'Revenue Calculation'!O20)</f>
        <v>0</v>
      </c>
      <c r="Q19" s="165">
        <f>Inputs!$E$287*Inputs!$E$55*'Revenue Calculation'!Q20*(1-'Revenue Calculation'!P20)</f>
        <v>0</v>
      </c>
      <c r="R19" s="165">
        <f>Inputs!$E$287*Inputs!$E$55*'Revenue Calculation'!R20*(1-'Revenue Calculation'!Q20)</f>
        <v>0</v>
      </c>
      <c r="S19" s="165">
        <f>Inputs!$E$287*Inputs!$E$55*'Revenue Calculation'!S20*(1-'Revenue Calculation'!R20)</f>
        <v>0</v>
      </c>
      <c r="T19" s="165">
        <f>Inputs!$E$287*Inputs!$E$55*'Revenue Calculation'!T20*(1-'Revenue Calculation'!S20)</f>
        <v>0</v>
      </c>
    </row>
    <row r="20" spans="2:20" x14ac:dyDescent="0.25">
      <c r="B20" s="23" t="str">
        <f>"P16  "&amp;Inputs!$E$605&amp;" (placeholder: total commitment x annual phasing, Inputs 14)"</f>
        <v>P16  Lampung (placeholder: total commitment x annual phasing, Inputs 14)</v>
      </c>
      <c r="C20" s="28" t="s">
        <v>806</v>
      </c>
      <c r="E20" s="165">
        <f>IF(Inputs!$H$79=1,N(Inputs!$E$609)*Inputs!$E$55,0)</f>
        <v>0</v>
      </c>
      <c r="G20" s="165">
        <v>0</v>
      </c>
      <c r="H20" s="165">
        <f>IF(Inputs!$H$79=1,N(Inputs!$E$609)*N(Inputs!H619)*Inputs!$E$55,0)</f>
        <v>0</v>
      </c>
      <c r="I20" s="165">
        <f>IF(Inputs!$H$79=1,N(Inputs!$E$609)*N(Inputs!I619)*Inputs!$E$55,0)</f>
        <v>0</v>
      </c>
      <c r="J20" s="165">
        <f>IF(Inputs!$H$79=1,N(Inputs!$E$609)*N(Inputs!J619)*Inputs!$E$55,0)</f>
        <v>0</v>
      </c>
      <c r="K20" s="165">
        <f>IF(Inputs!$H$79=1,N(Inputs!$E$609)*N(Inputs!K619)*Inputs!$E$55,0)</f>
        <v>0</v>
      </c>
      <c r="L20" s="165">
        <f>IF(Inputs!$H$79=1,N(Inputs!$E$609)*N(Inputs!L619)*Inputs!$E$55,0)</f>
        <v>0</v>
      </c>
      <c r="M20" s="165">
        <f>IF(Inputs!$H$79=1,N(Inputs!$E$609)*N(Inputs!M619)*Inputs!$E$55,0)</f>
        <v>0</v>
      </c>
      <c r="N20" s="165">
        <f>IF(Inputs!$H$79=1,N(Inputs!$E$609)*N(Inputs!N619)*Inputs!$E$55,0)</f>
        <v>0</v>
      </c>
      <c r="O20" s="165">
        <f>IF(Inputs!$H$79=1,N(Inputs!$E$609)*N(Inputs!O619)*Inputs!$E$55,0)</f>
        <v>0</v>
      </c>
      <c r="P20" s="165">
        <f>IF(Inputs!$H$79=1,N(Inputs!$E$609)*N(Inputs!P619)*Inputs!$E$55,0)</f>
        <v>0</v>
      </c>
      <c r="Q20" s="165">
        <f>IF(Inputs!$H$79=1,N(Inputs!$E$609)*N(Inputs!Q619)*Inputs!$E$55,0)</f>
        <v>0</v>
      </c>
      <c r="R20" s="165">
        <f>IF(Inputs!$H$79=1,N(Inputs!$E$609)*N(Inputs!R619)*Inputs!$E$55,0)</f>
        <v>0</v>
      </c>
      <c r="S20" s="165">
        <f>IF(Inputs!$H$79=1,N(Inputs!$E$609)*N(Inputs!S619)*Inputs!$E$55,0)</f>
        <v>0</v>
      </c>
      <c r="T20" s="165">
        <f>IF(Inputs!$H$79=1,N(Inputs!$E$609)*N(Inputs!T619)*Inputs!$E$55,0)</f>
        <v>0</v>
      </c>
    </row>
    <row r="21" spans="2:20" ht="26.25" customHeight="1" x14ac:dyDescent="0.25">
      <c r="B21" s="64" t="str">
        <f>"P17  "&amp;Inputs!$E$639&amp;" (placeholder: total commitment x annual phasing, Inputs 14)"</f>
        <v>P17  Pipeline Project 2 (placeholder: total commitment x annual phasing, Inputs 14)</v>
      </c>
      <c r="C21" s="28" t="s">
        <v>806</v>
      </c>
      <c r="E21" s="165">
        <f>IF(Inputs!$H$80=1,N(Inputs!$E$643)*Inputs!$E$55,0)</f>
        <v>0</v>
      </c>
      <c r="G21" s="165">
        <v>0</v>
      </c>
      <c r="H21" s="165">
        <f>IF(Inputs!$H$80=1,N(Inputs!$E$643)*N(Inputs!H653)*Inputs!$E$55,0)</f>
        <v>0</v>
      </c>
      <c r="I21" s="165">
        <f>IF(Inputs!$H$80=1,N(Inputs!$E$643)*N(Inputs!I653)*Inputs!$E$55,0)</f>
        <v>0</v>
      </c>
      <c r="J21" s="165">
        <f>IF(Inputs!$H$80=1,N(Inputs!$E$643)*N(Inputs!J653)*Inputs!$E$55,0)</f>
        <v>0</v>
      </c>
      <c r="K21" s="165">
        <f>IF(Inputs!$H$80=1,N(Inputs!$E$643)*N(Inputs!K653)*Inputs!$E$55,0)</f>
        <v>0</v>
      </c>
      <c r="L21" s="165">
        <f>IF(Inputs!$H$80=1,N(Inputs!$E$643)*N(Inputs!L653)*Inputs!$E$55,0)</f>
        <v>0</v>
      </c>
      <c r="M21" s="165">
        <f>IF(Inputs!$H$80=1,N(Inputs!$E$643)*N(Inputs!M653)*Inputs!$E$55,0)</f>
        <v>0</v>
      </c>
      <c r="N21" s="165">
        <f>IF(Inputs!$H$80=1,N(Inputs!$E$643)*N(Inputs!N653)*Inputs!$E$55,0)</f>
        <v>0</v>
      </c>
      <c r="O21" s="165">
        <f>IF(Inputs!$H$80=1,N(Inputs!$E$643)*N(Inputs!O653)*Inputs!$E$55,0)</f>
        <v>0</v>
      </c>
      <c r="P21" s="165">
        <f>IF(Inputs!$H$80=1,N(Inputs!$E$643)*N(Inputs!P653)*Inputs!$E$55,0)</f>
        <v>0</v>
      </c>
      <c r="Q21" s="165">
        <f>IF(Inputs!$H$80=1,N(Inputs!$E$643)*N(Inputs!Q653)*Inputs!$E$55,0)</f>
        <v>0</v>
      </c>
      <c r="R21" s="165">
        <f>IF(Inputs!$H$80=1,N(Inputs!$E$643)*N(Inputs!R653)*Inputs!$E$55,0)</f>
        <v>0</v>
      </c>
      <c r="S21" s="165">
        <f>IF(Inputs!$H$80=1,N(Inputs!$E$643)*N(Inputs!S653)*Inputs!$E$55,0)</f>
        <v>0</v>
      </c>
      <c r="T21" s="165">
        <f>IF(Inputs!$H$80=1,N(Inputs!$E$643)*N(Inputs!T653)*Inputs!$E$55,0)</f>
        <v>0</v>
      </c>
    </row>
    <row r="22" spans="2:20" ht="26.25" customHeight="1" x14ac:dyDescent="0.25">
      <c r="B22" s="64" t="str">
        <f>"P18  "&amp;Inputs!$E$673&amp;" (placeholder: total commitment x annual phasing, Inputs 14)"</f>
        <v>P18  Pipeline Project 3 (placeholder: total commitment x annual phasing, Inputs 14)</v>
      </c>
      <c r="C22" s="28" t="s">
        <v>806</v>
      </c>
      <c r="E22" s="165">
        <f>IF(Inputs!$H$81=1,N(Inputs!$E$677)*Inputs!$E$55,0)</f>
        <v>0</v>
      </c>
      <c r="G22" s="165">
        <v>0</v>
      </c>
      <c r="H22" s="165">
        <f>IF(Inputs!$H$81=1,N(Inputs!$E$677)*N(Inputs!H687)*Inputs!$E$55,0)</f>
        <v>0</v>
      </c>
      <c r="I22" s="165">
        <f>IF(Inputs!$H$81=1,N(Inputs!$E$677)*N(Inputs!I687)*Inputs!$E$55,0)</f>
        <v>0</v>
      </c>
      <c r="J22" s="165">
        <f>IF(Inputs!$H$81=1,N(Inputs!$E$677)*N(Inputs!J687)*Inputs!$E$55,0)</f>
        <v>0</v>
      </c>
      <c r="K22" s="165">
        <f>IF(Inputs!$H$81=1,N(Inputs!$E$677)*N(Inputs!K687)*Inputs!$E$55,0)</f>
        <v>0</v>
      </c>
      <c r="L22" s="165">
        <f>IF(Inputs!$H$81=1,N(Inputs!$E$677)*N(Inputs!L687)*Inputs!$E$55,0)</f>
        <v>0</v>
      </c>
      <c r="M22" s="165">
        <f>IF(Inputs!$H$81=1,N(Inputs!$E$677)*N(Inputs!M687)*Inputs!$E$55,0)</f>
        <v>0</v>
      </c>
      <c r="N22" s="165">
        <f>IF(Inputs!$H$81=1,N(Inputs!$E$677)*N(Inputs!N687)*Inputs!$E$55,0)</f>
        <v>0</v>
      </c>
      <c r="O22" s="165">
        <f>IF(Inputs!$H$81=1,N(Inputs!$E$677)*N(Inputs!O687)*Inputs!$E$55,0)</f>
        <v>0</v>
      </c>
      <c r="P22" s="165">
        <f>IF(Inputs!$H$81=1,N(Inputs!$E$677)*N(Inputs!P687)*Inputs!$E$55,0)</f>
        <v>0</v>
      </c>
      <c r="Q22" s="165">
        <f>IF(Inputs!$H$81=1,N(Inputs!$E$677)*N(Inputs!Q687)*Inputs!$E$55,0)</f>
        <v>0</v>
      </c>
      <c r="R22" s="165">
        <f>IF(Inputs!$H$81=1,N(Inputs!$E$677)*N(Inputs!R687)*Inputs!$E$55,0)</f>
        <v>0</v>
      </c>
      <c r="S22" s="165">
        <f>IF(Inputs!$H$81=1,N(Inputs!$E$677)*N(Inputs!S687)*Inputs!$E$55,0)</f>
        <v>0</v>
      </c>
      <c r="T22" s="165">
        <f>IF(Inputs!$H$81=1,N(Inputs!$E$677)*N(Inputs!T687)*Inputs!$E$55,0)</f>
        <v>0</v>
      </c>
    </row>
    <row r="23" spans="2:20" ht="26.25" customHeight="1" x14ac:dyDescent="0.25">
      <c r="B23" s="64" t="s">
        <v>2355</v>
      </c>
      <c r="C23" s="28" t="s">
        <v>806</v>
      </c>
      <c r="E23" s="165">
        <f>$E$27*Inputs!$H$82</f>
        <v>10</v>
      </c>
      <c r="G23" s="165">
        <v>0</v>
      </c>
      <c r="H23" s="165">
        <f>H27*Inputs!$H$82</f>
        <v>0</v>
      </c>
      <c r="I23" s="165">
        <f>I27*Inputs!$H$82</f>
        <v>0</v>
      </c>
      <c r="J23" s="165">
        <f>J27*Inputs!$H$82</f>
        <v>0</v>
      </c>
      <c r="K23" s="165">
        <f>K27*Inputs!$H$82</f>
        <v>4</v>
      </c>
      <c r="L23" s="165">
        <f>L27*Inputs!$H$82</f>
        <v>6</v>
      </c>
      <c r="M23" s="165">
        <f>M27*Inputs!$H$82</f>
        <v>0</v>
      </c>
      <c r="N23" s="165">
        <f>N27*Inputs!$H$82</f>
        <v>0</v>
      </c>
      <c r="O23" s="165">
        <f>O27*Inputs!$H$82</f>
        <v>0</v>
      </c>
      <c r="P23" s="165">
        <f>P27*Inputs!$H$82</f>
        <v>0</v>
      </c>
      <c r="Q23" s="165">
        <f>Q27*Inputs!$H$82</f>
        <v>0</v>
      </c>
      <c r="R23" s="165">
        <f>R27*Inputs!$H$82</f>
        <v>0</v>
      </c>
      <c r="S23" s="165">
        <f>S27*Inputs!$H$82</f>
        <v>0</v>
      </c>
      <c r="T23" s="165">
        <f>T27*Inputs!$H$82</f>
        <v>0</v>
      </c>
    </row>
    <row r="24" spans="2:20" ht="26.25" customHeight="1" x14ac:dyDescent="0.25">
      <c r="B24" s="133" t="s">
        <v>2356</v>
      </c>
      <c r="C24" s="28" t="s">
        <v>806</v>
      </c>
      <c r="E24" s="167">
        <f>$E$8+$E$9+$E$10+$E$11+$E$12+$E$13+$E$14+$E$15+$E$16+$E$17+$E$18+$E$19+$E$20+$E$21+$E$22+$E$23</f>
        <v>66.44559820239192</v>
      </c>
      <c r="F24" s="165">
        <f>$F$8+$F$9+$F$10+$F$11+$F$12+$F$13+$F$14+$F$15</f>
        <v>1.5120180240133086E-15</v>
      </c>
      <c r="G24" s="168">
        <f>G8+G9+G10+G11+G12+G13+G14+G15</f>
        <v>12.2</v>
      </c>
      <c r="H24" s="168">
        <f>H8+H9+H10+H11+H12+H13+H14+H15+H20+H21+H22+H23+Inputs!$E$746*(H16+H17+H18+H19)</f>
        <v>7.7000000000000011</v>
      </c>
      <c r="I24" s="168">
        <f>I8+I9+I10+I11+I12+I13+I14+I15+I20+I21+I22+I23+Inputs!$E$746*(I16+I17+I18+I19)</f>
        <v>0.9</v>
      </c>
      <c r="J24" s="168">
        <f>J8+J9+J10+J11+J12+J13+J14+J15+J20+J21+J22+J23+Inputs!$E$746*(J16+J17+J18+J19)</f>
        <v>25.808301860553627</v>
      </c>
      <c r="K24" s="168">
        <f>K8+K9+K10+K11+K12+K13+K14+K15+K20+K21+K22+K23+Inputs!$E$746*(K16+K17+K18+K19)</f>
        <v>13.8372963418383</v>
      </c>
      <c r="L24" s="168">
        <f>L8+L9+L10+L11+L12+L13+L14+L15+L20+L21+L22+L23+Inputs!$E$746*(L16+L17+L18+L19)</f>
        <v>6</v>
      </c>
      <c r="M24" s="168">
        <f>M8+M9+M10+M11+M12+M13+M14+M15+M20+M21+M22+M23+Inputs!$E$746*(M16+M17+M18+M19)</f>
        <v>0</v>
      </c>
      <c r="N24" s="168">
        <f>N8+N9+N10+N11+N12+N13+N14+N15+N20+N21+N22+N23+Inputs!$E$746*(N16+N17+N18+N19)</f>
        <v>0</v>
      </c>
      <c r="O24" s="168">
        <f>O8+O9+O10+O11+O12+O13+O14+O15+O20+O21+O22+O23+Inputs!$E$746*(O16+O17+O18+O19)</f>
        <v>0</v>
      </c>
      <c r="P24" s="168">
        <f>P8+P9+P10+P11+P12+P13+P14+P15+P20+P21+P22+P23+Inputs!$E$746*(P16+P17+P18+P19)</f>
        <v>0</v>
      </c>
      <c r="Q24" s="168">
        <f>Q8+Q9+Q10+Q11+Q12+Q13+Q14+Q15+Q20+Q21+Q22+Q23+Inputs!$E$746*(Q16+Q17+Q18+Q19)</f>
        <v>0</v>
      </c>
      <c r="R24" s="168">
        <f>R8+R9+R10+R11+R12+R13+R14+R15+R20+R21+R22+R23+Inputs!$E$746*(R16+R17+R18+R19)</f>
        <v>0</v>
      </c>
      <c r="S24" s="168">
        <f>S8+S9+S10+S11+S12+S13+S14+S15+S20+S21+S22+S23+Inputs!$E$746*(S16+S17+S18+S19)</f>
        <v>0</v>
      </c>
      <c r="T24" s="168">
        <f>T8+T9+T10+T11+T12+T13+T14+T15+T20+T21+T22+T23+Inputs!$E$746*(T16+T17+T18+T19)</f>
        <v>0</v>
      </c>
    </row>
    <row r="25" spans="2:20" x14ac:dyDescent="0.25">
      <c r="B25" s="23" t="s">
        <v>2357</v>
      </c>
      <c r="C25" s="28" t="s">
        <v>2358</v>
      </c>
      <c r="G25" s="45">
        <f>SUMPRODUCT(--(G8:T23&lt;0))</f>
        <v>0</v>
      </c>
    </row>
    <row r="26" spans="2:20" x14ac:dyDescent="0.25">
      <c r="B26" s="154" t="s">
        <v>2359</v>
      </c>
    </row>
    <row r="27" spans="2:20" x14ac:dyDescent="0.25">
      <c r="B27" s="23" t="s">
        <v>2360</v>
      </c>
      <c r="C27" s="28" t="s">
        <v>806</v>
      </c>
      <c r="E27" s="167">
        <f>Inputs!$E$577*Inputs!$E$55</f>
        <v>10</v>
      </c>
      <c r="F27" s="165">
        <f>Inputs!$E$577*(1-SUM(Inputs!$H$578:$T$578))*Inputs!$E$55</f>
        <v>0</v>
      </c>
      <c r="G27" s="165">
        <v>0</v>
      </c>
      <c r="H27" s="165">
        <f>Inputs!$E$577*Inputs!H578*Inputs!$E$55</f>
        <v>0</v>
      </c>
      <c r="I27" s="165">
        <f>Inputs!$E$577*Inputs!I578*Inputs!$E$55</f>
        <v>0</v>
      </c>
      <c r="J27" s="165">
        <f>Inputs!$E$577*Inputs!J578*Inputs!$E$55</f>
        <v>0</v>
      </c>
      <c r="K27" s="165">
        <f>Inputs!$E$577*Inputs!K578*Inputs!$E$55</f>
        <v>4</v>
      </c>
      <c r="L27" s="165">
        <f>Inputs!$E$577*Inputs!L578*Inputs!$E$55</f>
        <v>6</v>
      </c>
      <c r="M27" s="165">
        <f>Inputs!$E$577*Inputs!M578*Inputs!$E$55</f>
        <v>0</v>
      </c>
      <c r="N27" s="165">
        <f>Inputs!$E$577*Inputs!N578*Inputs!$E$55</f>
        <v>0</v>
      </c>
      <c r="O27" s="165">
        <f>Inputs!$E$577*Inputs!O578*Inputs!$E$55</f>
        <v>0</v>
      </c>
      <c r="P27" s="165">
        <f>Inputs!$E$577*Inputs!P578*Inputs!$E$55</f>
        <v>0</v>
      </c>
      <c r="Q27" s="165">
        <f>Inputs!$E$577*Inputs!Q578*Inputs!$E$55</f>
        <v>0</v>
      </c>
      <c r="R27" s="165">
        <f>Inputs!$E$577*Inputs!R578*Inputs!$E$55</f>
        <v>0</v>
      </c>
      <c r="S27" s="165">
        <f>Inputs!$E$577*Inputs!S578*Inputs!$E$55</f>
        <v>0</v>
      </c>
      <c r="T27" s="165">
        <f>Inputs!$E$577*Inputs!T578*Inputs!$E$55</f>
        <v>0</v>
      </c>
    </row>
    <row r="28" spans="2:20" x14ac:dyDescent="0.25">
      <c r="B28" s="145" t="s">
        <v>2361</v>
      </c>
    </row>
    <row r="29" spans="2:20" x14ac:dyDescent="0.25">
      <c r="B29" s="145" t="s">
        <v>2362</v>
      </c>
    </row>
    <row r="31" spans="2:20" x14ac:dyDescent="0.25">
      <c r="B31" s="58" t="s">
        <v>2363</v>
      </c>
      <c r="C31" s="19"/>
      <c r="D31" s="19"/>
      <c r="E31" s="19"/>
      <c r="F31" s="19"/>
      <c r="G31" s="19"/>
      <c r="H31" s="19"/>
      <c r="I31" s="19"/>
      <c r="J31" s="19"/>
      <c r="K31" s="19"/>
      <c r="L31" s="19"/>
      <c r="M31" s="19"/>
      <c r="N31" s="19"/>
      <c r="O31" s="19"/>
      <c r="P31" s="19"/>
      <c r="Q31" s="19"/>
      <c r="R31" s="19"/>
      <c r="S31" s="19"/>
      <c r="T31" s="19"/>
    </row>
    <row r="32" spans="2:20" ht="47.25" customHeight="1" x14ac:dyDescent="0.25">
      <c r="B32" s="25" t="s">
        <v>1833</v>
      </c>
      <c r="C32" s="25" t="s">
        <v>2364</v>
      </c>
      <c r="D32" s="25" t="s">
        <v>2365</v>
      </c>
      <c r="E32" s="25" t="s">
        <v>2366</v>
      </c>
      <c r="F32" s="25" t="s">
        <v>2367</v>
      </c>
      <c r="G32" s="9" t="s">
        <v>2368</v>
      </c>
      <c r="H32" s="9"/>
      <c r="I32" s="9"/>
      <c r="J32" s="9" t="s">
        <v>2369</v>
      </c>
      <c r="K32" s="9"/>
      <c r="L32" s="9" t="s">
        <v>2370</v>
      </c>
      <c r="M32" s="9"/>
      <c r="N32" s="9" t="s">
        <v>2371</v>
      </c>
      <c r="O32" s="9"/>
      <c r="P32" s="9" t="s">
        <v>1690</v>
      </c>
      <c r="Q32" s="9"/>
      <c r="R32" s="9"/>
      <c r="S32" s="9"/>
      <c r="T32" s="9"/>
    </row>
    <row r="33" spans="2:20" x14ac:dyDescent="0.25">
      <c r="B33" s="70" t="s">
        <v>534</v>
      </c>
      <c r="C33" s="169" t="s">
        <v>2372</v>
      </c>
      <c r="D33" s="170">
        <f>SUM(Inputs!$G$197:$T$197)</f>
        <v>1</v>
      </c>
      <c r="E33" s="171">
        <f>$E$8</f>
        <v>12.8</v>
      </c>
      <c r="F33" s="172">
        <f t="shared" ref="F33:F40" si="0">G8</f>
        <v>10</v>
      </c>
      <c r="G33" s="2">
        <f>SUMPRODUCT($H$8:$T$8,--('Revenue Calculation'!$H$7:$T$7&lt;=Inputs!$E$560))</f>
        <v>2.8000000000000003</v>
      </c>
      <c r="H33" s="2"/>
      <c r="I33" s="2"/>
      <c r="J33" s="2">
        <f>SUMPRODUCT($H$8:$T$8,--('Revenue Calculation'!$H$7:$T$7&gt;Inputs!$E$560))</f>
        <v>0</v>
      </c>
      <c r="K33" s="2"/>
      <c r="L33" s="2">
        <f>$F$8</f>
        <v>0</v>
      </c>
      <c r="M33" s="2"/>
      <c r="N33" s="1">
        <f t="shared" ref="N33:N44" si="1">ROUND(F33+G33+J33+L33-E33,6)</f>
        <v>0</v>
      </c>
      <c r="O33" s="1"/>
      <c r="P33" s="7" t="str">
        <f t="shared" ref="P33:P44" si="2">IF(E33=0,"no capex / not included",IF(ABS(D33-1)&gt;0.0001,"WARNING: spending % add to "&amp;TEXT(D33,"0.0%")&amp;" - unallocated capex","OK - fully allocated"))</f>
        <v>OK - fully allocated</v>
      </c>
      <c r="Q33" s="7"/>
      <c r="R33" s="7"/>
      <c r="S33" s="7"/>
      <c r="T33" s="7"/>
    </row>
    <row r="34" spans="2:20" x14ac:dyDescent="0.25">
      <c r="B34" s="70" t="s">
        <v>539</v>
      </c>
      <c r="C34" s="169" t="s">
        <v>2372</v>
      </c>
      <c r="D34" s="170">
        <f>SUM(Inputs!$G$211:$T$211)</f>
        <v>1</v>
      </c>
      <c r="E34" s="171">
        <f>$E$9</f>
        <v>8</v>
      </c>
      <c r="F34" s="172">
        <f t="shared" si="0"/>
        <v>2.2000000000000002</v>
      </c>
      <c r="G34" s="2">
        <f>SUMPRODUCT($H$9:$T$9,--('Revenue Calculation'!$H$7:$T$7&lt;=Inputs!$E$560))</f>
        <v>5.8000000000000007</v>
      </c>
      <c r="H34" s="2"/>
      <c r="I34" s="2"/>
      <c r="J34" s="2">
        <f>SUMPRODUCT($H$9:$T$9,--('Revenue Calculation'!$H$7:$T$7&gt;Inputs!$E$560))</f>
        <v>0</v>
      </c>
      <c r="K34" s="2"/>
      <c r="L34" s="2">
        <f>$F$9</f>
        <v>0</v>
      </c>
      <c r="M34" s="2"/>
      <c r="N34" s="1">
        <f t="shared" si="1"/>
        <v>0</v>
      </c>
      <c r="O34" s="1"/>
      <c r="P34" s="7" t="str">
        <f t="shared" si="2"/>
        <v>OK - fully allocated</v>
      </c>
      <c r="Q34" s="7"/>
      <c r="R34" s="7"/>
      <c r="S34" s="7"/>
      <c r="T34" s="7"/>
    </row>
    <row r="35" spans="2:20" x14ac:dyDescent="0.25">
      <c r="B35" s="70" t="s">
        <v>542</v>
      </c>
      <c r="C35" s="169" t="s">
        <v>2372</v>
      </c>
      <c r="D35" s="170">
        <f>SUM(Inputs!$G$226:$T$226)</f>
        <v>1</v>
      </c>
      <c r="E35" s="171">
        <f>$E$10</f>
        <v>6.0245926836766097</v>
      </c>
      <c r="F35" s="172">
        <f t="shared" si="0"/>
        <v>0</v>
      </c>
      <c r="G35" s="2">
        <f>SUMPRODUCT($H$10:$T$10,--('Revenue Calculation'!$H$7:$T$7&lt;=Inputs!$E$560))</f>
        <v>6.0245926836766097</v>
      </c>
      <c r="H35" s="2"/>
      <c r="I35" s="2"/>
      <c r="J35" s="2">
        <f>SUMPRODUCT($H$10:$T$10,--('Revenue Calculation'!$H$7:$T$7&gt;Inputs!$E$560))</f>
        <v>0</v>
      </c>
      <c r="K35" s="2"/>
      <c r="L35" s="2">
        <f>$F$10</f>
        <v>0</v>
      </c>
      <c r="M35" s="2"/>
      <c r="N35" s="1">
        <f t="shared" si="1"/>
        <v>0</v>
      </c>
      <c r="O35" s="1"/>
      <c r="P35" s="7" t="str">
        <f t="shared" si="2"/>
        <v>OK - fully allocated</v>
      </c>
      <c r="Q35" s="7"/>
      <c r="R35" s="7"/>
      <c r="S35" s="7"/>
      <c r="T35" s="7"/>
    </row>
    <row r="36" spans="2:20" x14ac:dyDescent="0.25">
      <c r="B36" s="70" t="s">
        <v>547</v>
      </c>
      <c r="C36" s="169" t="s">
        <v>2372</v>
      </c>
      <c r="D36" s="170">
        <f>SUM(Inputs!$G$238:$T$238)</f>
        <v>1</v>
      </c>
      <c r="E36" s="171">
        <f>$E$11</f>
        <v>3.7622963418383</v>
      </c>
      <c r="F36" s="172">
        <f t="shared" si="0"/>
        <v>0</v>
      </c>
      <c r="G36" s="2">
        <f>SUMPRODUCT($H$11:$T$11,--('Revenue Calculation'!$H$7:$T$7&lt;=Inputs!$E$560))</f>
        <v>3.7622963418383</v>
      </c>
      <c r="H36" s="2"/>
      <c r="I36" s="2"/>
      <c r="J36" s="2">
        <f>SUMPRODUCT($H$11:$T$11,--('Revenue Calculation'!$H$7:$T$7&gt;Inputs!$E$560))</f>
        <v>0</v>
      </c>
      <c r="K36" s="2"/>
      <c r="L36" s="2">
        <f>$F$11</f>
        <v>0</v>
      </c>
      <c r="M36" s="2"/>
      <c r="N36" s="1">
        <f t="shared" si="1"/>
        <v>0</v>
      </c>
      <c r="O36" s="1"/>
      <c r="P36" s="7" t="str">
        <f t="shared" si="2"/>
        <v>OK - fully allocated</v>
      </c>
      <c r="Q36" s="7"/>
      <c r="R36" s="7"/>
      <c r="S36" s="7"/>
      <c r="T36" s="7"/>
    </row>
    <row r="37" spans="2:20" x14ac:dyDescent="0.25">
      <c r="B37" s="70" t="s">
        <v>550</v>
      </c>
      <c r="C37" s="169" t="s">
        <v>2372</v>
      </c>
      <c r="D37" s="170">
        <f>SUM(Inputs!$G$251:$T$251)</f>
        <v>0.99999999999999978</v>
      </c>
      <c r="E37" s="171">
        <f>$E$12</f>
        <v>6.8095238095238102</v>
      </c>
      <c r="F37" s="172">
        <f t="shared" si="0"/>
        <v>0</v>
      </c>
      <c r="G37" s="2">
        <f>SUMPRODUCT($H$12:$T$12,--('Revenue Calculation'!$H$7:$T$7&lt;=Inputs!$E$560))</f>
        <v>6.4845238095238082</v>
      </c>
      <c r="H37" s="2"/>
      <c r="I37" s="2"/>
      <c r="J37" s="2">
        <f>SUMPRODUCT($H$12:$T$12,--('Revenue Calculation'!$H$7:$T$7&gt;Inputs!$E$560))</f>
        <v>0.32499999999999984</v>
      </c>
      <c r="K37" s="2"/>
      <c r="L37" s="2">
        <f>$F$12</f>
        <v>1.5120180240133086E-15</v>
      </c>
      <c r="M37" s="2"/>
      <c r="N37" s="1">
        <f t="shared" si="1"/>
        <v>0</v>
      </c>
      <c r="O37" s="1"/>
      <c r="P37" s="7" t="str">
        <f t="shared" si="2"/>
        <v>OK - fully allocated</v>
      </c>
      <c r="Q37" s="7"/>
      <c r="R37" s="7"/>
      <c r="S37" s="7"/>
      <c r="T37" s="7"/>
    </row>
    <row r="38" spans="2:20" x14ac:dyDescent="0.25">
      <c r="B38" s="70" t="s">
        <v>555</v>
      </c>
      <c r="C38" s="169" t="s">
        <v>2372</v>
      </c>
      <c r="D38" s="170">
        <f>SUM(Inputs!$G$262:$T$262)</f>
        <v>1</v>
      </c>
      <c r="E38" s="171">
        <f>$E$13</f>
        <v>5.0245926836766097</v>
      </c>
      <c r="F38" s="172">
        <f t="shared" si="0"/>
        <v>0</v>
      </c>
      <c r="G38" s="2">
        <f>SUMPRODUCT($H$13:$T$13,--('Revenue Calculation'!$H$7:$T$7&lt;=Inputs!$E$560))</f>
        <v>2.5122963418383049</v>
      </c>
      <c r="H38" s="2"/>
      <c r="I38" s="2"/>
      <c r="J38" s="2">
        <f>SUMPRODUCT($H$13:$T$13,--('Revenue Calculation'!$H$7:$T$7&gt;Inputs!$E$560))</f>
        <v>2.5122963418383049</v>
      </c>
      <c r="K38" s="2"/>
      <c r="L38" s="2">
        <f>$F$13</f>
        <v>0</v>
      </c>
      <c r="M38" s="2"/>
      <c r="N38" s="1">
        <f t="shared" si="1"/>
        <v>0</v>
      </c>
      <c r="O38" s="1"/>
      <c r="P38" s="7" t="str">
        <f t="shared" si="2"/>
        <v>OK - fully allocated</v>
      </c>
      <c r="Q38" s="7"/>
      <c r="R38" s="7"/>
      <c r="S38" s="7"/>
      <c r="T38" s="7"/>
    </row>
    <row r="39" spans="2:20" x14ac:dyDescent="0.25">
      <c r="B39" s="70" t="s">
        <v>559</v>
      </c>
      <c r="C39" s="169" t="s">
        <v>2372</v>
      </c>
      <c r="D39" s="170">
        <f>SUM(Inputs!$G$272:$T$272)</f>
        <v>1</v>
      </c>
      <c r="E39" s="171">
        <f>$E$14</f>
        <v>14.0245926836766</v>
      </c>
      <c r="F39" s="172">
        <f t="shared" si="0"/>
        <v>0</v>
      </c>
      <c r="G39" s="2">
        <f>SUMPRODUCT($H$14:$T$14,--('Revenue Calculation'!$H$7:$T$7&lt;=Inputs!$E$560))</f>
        <v>7.0245926836766044</v>
      </c>
      <c r="H39" s="2"/>
      <c r="I39" s="2"/>
      <c r="J39" s="2">
        <f>SUMPRODUCT($H$14:$T$14,--('Revenue Calculation'!$H$7:$T$7&gt;Inputs!$E$560))</f>
        <v>6.9999999999999956</v>
      </c>
      <c r="K39" s="2"/>
      <c r="L39" s="2">
        <f>$F$14</f>
        <v>0</v>
      </c>
      <c r="M39" s="2"/>
      <c r="N39" s="1">
        <f t="shared" si="1"/>
        <v>0</v>
      </c>
      <c r="O39" s="1"/>
      <c r="P39" s="7" t="str">
        <f t="shared" si="2"/>
        <v>OK - fully allocated</v>
      </c>
      <c r="Q39" s="7"/>
      <c r="R39" s="7"/>
      <c r="S39" s="7"/>
      <c r="T39" s="7"/>
    </row>
    <row r="40" spans="2:20" x14ac:dyDescent="0.25">
      <c r="B40" s="70" t="s">
        <v>581</v>
      </c>
      <c r="C40" s="169" t="s">
        <v>2372</v>
      </c>
      <c r="D40" s="170">
        <f>SUM(Inputs!$G$308:$T$308)</f>
        <v>1</v>
      </c>
      <c r="E40" s="171">
        <f>$E$15</f>
        <v>0</v>
      </c>
      <c r="F40" s="172">
        <f t="shared" si="0"/>
        <v>0</v>
      </c>
      <c r="G40" s="2">
        <f>SUMPRODUCT($H$15:$T$15,--('Revenue Calculation'!$H$7:$T$7&lt;=Inputs!$E$560))</f>
        <v>0</v>
      </c>
      <c r="H40" s="2"/>
      <c r="I40" s="2"/>
      <c r="J40" s="2">
        <f>SUMPRODUCT($H$15:$T$15,--('Revenue Calculation'!$H$7:$T$7&gt;Inputs!$E$560))</f>
        <v>0</v>
      </c>
      <c r="K40" s="2"/>
      <c r="L40" s="2">
        <f>$F$15</f>
        <v>0</v>
      </c>
      <c r="M40" s="2"/>
      <c r="N40" s="1">
        <f t="shared" si="1"/>
        <v>0</v>
      </c>
      <c r="O40" s="1"/>
      <c r="P40" s="7" t="str">
        <f t="shared" si="2"/>
        <v>no capex / not included</v>
      </c>
      <c r="Q40" s="7"/>
      <c r="R40" s="7"/>
      <c r="S40" s="7"/>
      <c r="T40" s="7"/>
    </row>
    <row r="41" spans="2:20" ht="21.75" customHeight="1" x14ac:dyDescent="0.25">
      <c r="B41" s="70" t="str">
        <f>"P16  "&amp;Inputs!$E$605</f>
        <v>P16  Lampung</v>
      </c>
      <c r="C41" s="173" t="s">
        <v>2373</v>
      </c>
      <c r="D41" s="170">
        <f>SUM(Inputs!$H$619:$T$619)</f>
        <v>0</v>
      </c>
      <c r="E41" s="171">
        <f>$E$20</f>
        <v>0</v>
      </c>
      <c r="F41" s="172">
        <f>G20</f>
        <v>0</v>
      </c>
      <c r="G41" s="2">
        <f>SUMPRODUCT($H$20:$T$20,--('Revenue Calculation'!$H$7:$T$7&lt;=Inputs!$E$560))</f>
        <v>0</v>
      </c>
      <c r="H41" s="2"/>
      <c r="I41" s="2"/>
      <c r="J41" s="2">
        <f>SUMPRODUCT($H$20:$T$20,--('Revenue Calculation'!$H$7:$T$7&gt;Inputs!$E$560))</f>
        <v>0</v>
      </c>
      <c r="K41" s="2"/>
      <c r="L41" s="2">
        <f>0</f>
        <v>0</v>
      </c>
      <c r="M41" s="2"/>
      <c r="N41" s="1">
        <f t="shared" si="1"/>
        <v>0</v>
      </c>
      <c r="O41" s="1"/>
      <c r="P41" s="7" t="str">
        <f t="shared" si="2"/>
        <v>no capex / not included</v>
      </c>
      <c r="Q41" s="7"/>
      <c r="R41" s="7"/>
      <c r="S41" s="7"/>
      <c r="T41" s="7"/>
    </row>
    <row r="42" spans="2:20" ht="21.75" customHeight="1" x14ac:dyDescent="0.25">
      <c r="B42" s="70" t="str">
        <f>"P17  "&amp;Inputs!$E$639</f>
        <v>P17  Pipeline Project 2</v>
      </c>
      <c r="C42" s="173" t="s">
        <v>2373</v>
      </c>
      <c r="D42" s="170">
        <f>SUM(Inputs!$H$653:$T$653)</f>
        <v>0</v>
      </c>
      <c r="E42" s="171">
        <f>$E$21</f>
        <v>0</v>
      </c>
      <c r="F42" s="172">
        <f>G21</f>
        <v>0</v>
      </c>
      <c r="G42" s="2">
        <f>SUMPRODUCT($H$21:$T$21,--('Revenue Calculation'!$H$7:$T$7&lt;=Inputs!$E$560))</f>
        <v>0</v>
      </c>
      <c r="H42" s="2"/>
      <c r="I42" s="2"/>
      <c r="J42" s="2">
        <f>SUMPRODUCT($H$21:$T$21,--('Revenue Calculation'!$H$7:$T$7&gt;Inputs!$E$560))</f>
        <v>0</v>
      </c>
      <c r="K42" s="2"/>
      <c r="L42" s="2">
        <f>0</f>
        <v>0</v>
      </c>
      <c r="M42" s="2"/>
      <c r="N42" s="1">
        <f t="shared" si="1"/>
        <v>0</v>
      </c>
      <c r="O42" s="1"/>
      <c r="P42" s="7" t="str">
        <f t="shared" si="2"/>
        <v>no capex / not included</v>
      </c>
      <c r="Q42" s="7"/>
      <c r="R42" s="7"/>
      <c r="S42" s="7"/>
      <c r="T42" s="7"/>
    </row>
    <row r="43" spans="2:20" ht="21.75" customHeight="1" x14ac:dyDescent="0.25">
      <c r="B43" s="70" t="str">
        <f>"P18  "&amp;Inputs!$E$673</f>
        <v>P18  Pipeline Project 3</v>
      </c>
      <c r="C43" s="173" t="s">
        <v>2373</v>
      </c>
      <c r="D43" s="170">
        <f>SUM(Inputs!$H$687:$T$687)</f>
        <v>0</v>
      </c>
      <c r="E43" s="171">
        <f>$E$22</f>
        <v>0</v>
      </c>
      <c r="F43" s="172">
        <f>G22</f>
        <v>0</v>
      </c>
      <c r="G43" s="2">
        <f>SUMPRODUCT($H$22:$T$22,--('Revenue Calculation'!$H$7:$T$7&lt;=Inputs!$E$560))</f>
        <v>0</v>
      </c>
      <c r="H43" s="2"/>
      <c r="I43" s="2"/>
      <c r="J43" s="2">
        <f>SUMPRODUCT($H$22:$T$22,--('Revenue Calculation'!$H$7:$T$7&gt;Inputs!$E$560))</f>
        <v>0</v>
      </c>
      <c r="K43" s="2"/>
      <c r="L43" s="2">
        <f>0</f>
        <v>0</v>
      </c>
      <c r="M43" s="2"/>
      <c r="N43" s="1">
        <f t="shared" si="1"/>
        <v>0</v>
      </c>
      <c r="O43" s="1"/>
      <c r="P43" s="7" t="str">
        <f t="shared" si="2"/>
        <v>no capex / not included</v>
      </c>
      <c r="Q43" s="7"/>
      <c r="R43" s="7"/>
      <c r="S43" s="7"/>
      <c r="T43" s="7"/>
    </row>
    <row r="44" spans="2:20" ht="41.25" customHeight="1" x14ac:dyDescent="0.25">
      <c r="B44" s="70" t="s">
        <v>2374</v>
      </c>
      <c r="C44" s="173" t="s">
        <v>2375</v>
      </c>
      <c r="D44" s="170">
        <f>SUM(Inputs!$H$578:$T$578)</f>
        <v>1</v>
      </c>
      <c r="E44" s="171">
        <f>$E$27</f>
        <v>10</v>
      </c>
      <c r="F44" s="172">
        <f>G27</f>
        <v>0</v>
      </c>
      <c r="G44" s="2">
        <f>SUMPRODUCT($H$27:$T$27,--('Revenue Calculation'!$H$7:$T$7&lt;=Inputs!$E$560))</f>
        <v>0</v>
      </c>
      <c r="H44" s="2"/>
      <c r="I44" s="2"/>
      <c r="J44" s="2">
        <f>SUMPRODUCT($H$27:$T$27,--('Revenue Calculation'!$H$7:$T$7&gt;Inputs!$E$560))</f>
        <v>10</v>
      </c>
      <c r="K44" s="2"/>
      <c r="L44" s="2">
        <f>$F$27</f>
        <v>0</v>
      </c>
      <c r="M44" s="2"/>
      <c r="N44" s="1">
        <f t="shared" si="1"/>
        <v>0</v>
      </c>
      <c r="O44" s="1"/>
      <c r="P44" s="7" t="str">
        <f t="shared" si="2"/>
        <v>OK - fully allocated</v>
      </c>
      <c r="Q44" s="7"/>
      <c r="R44" s="7"/>
      <c r="S44" s="7"/>
      <c r="T44" s="7"/>
    </row>
    <row r="45" spans="2:20" x14ac:dyDescent="0.25">
      <c r="B45" s="135" t="s">
        <v>2376</v>
      </c>
      <c r="E45" s="171">
        <f>SUM(E33:E44)</f>
        <v>66.44559820239192</v>
      </c>
      <c r="F45" s="171">
        <f>SUM(F33:F44)</f>
        <v>12.2</v>
      </c>
      <c r="G45" s="245">
        <f>SUM(G33:G44)</f>
        <v>34.408301860553628</v>
      </c>
      <c r="H45" s="245"/>
      <c r="I45" s="245"/>
      <c r="J45" s="245">
        <f>SUM(J33:J44)</f>
        <v>19.8372963418383</v>
      </c>
      <c r="K45" s="245"/>
      <c r="L45" s="245">
        <f>SUM(L33:L44)</f>
        <v>1.5120180240133086E-15</v>
      </c>
      <c r="M45" s="245"/>
      <c r="N45" s="246">
        <f>MAX(MAX(N33:N44),-MIN(N33:N44))</f>
        <v>0</v>
      </c>
      <c r="O45" s="246"/>
      <c r="P45" s="247"/>
      <c r="Q45" s="247"/>
      <c r="R45" s="247"/>
      <c r="S45" s="247"/>
      <c r="T45" s="247"/>
    </row>
    <row r="46" spans="2:20" ht="26.25" customHeight="1" x14ac:dyDescent="0.25">
      <c r="B46" s="133" t="s">
        <v>2377</v>
      </c>
      <c r="C46" s="28" t="s">
        <v>2358</v>
      </c>
      <c r="E46" s="73">
        <f>COUNTIF(P33:P44,"WARNING*")</f>
        <v>0</v>
      </c>
    </row>
    <row r="47" spans="2:20" x14ac:dyDescent="0.25">
      <c r="B47" s="145" t="str">
        <f>"Valuation date: "&amp;TEXT(Inputs!$E$93,"dd-mmm-yyyy")&amp;". Spend up to that date is not in the DCF (pre-2024 = sunk, recorded in the Dec-23 balance sheet; FY2024 to the valuation date = v29 forecast, treated as an estimate until actuals are supplied). Spend after it is deducted in FCFF."</f>
        <v>Valuation date: 31-Dec-2026. Spend up to that date is not in the DCF (pre-2024 = sunk, recorded in the Dec-23 balance sheet; FY2024 to the valuation date = v29 forecast, treated as an estimate until actuals are supplied). Spend after it is deducted in FCFF.</v>
      </c>
    </row>
    <row r="48" spans="2:20" x14ac:dyDescent="0.25">
      <c r="B48" s="145" t="s">
        <v>2378</v>
      </c>
    </row>
    <row r="50" spans="2:20" x14ac:dyDescent="0.25">
      <c r="B50" s="58" t="s">
        <v>2379</v>
      </c>
      <c r="C50" s="19"/>
      <c r="D50" s="19"/>
      <c r="E50" s="19"/>
      <c r="F50" s="19"/>
      <c r="G50" s="19"/>
      <c r="H50" s="19"/>
      <c r="I50" s="19"/>
      <c r="J50" s="19"/>
      <c r="K50" s="19"/>
      <c r="L50" s="19"/>
      <c r="M50" s="19"/>
      <c r="N50" s="19"/>
      <c r="O50" s="19"/>
      <c r="P50" s="19"/>
      <c r="Q50" s="19"/>
      <c r="R50" s="19"/>
      <c r="S50" s="19"/>
      <c r="T50" s="19"/>
    </row>
    <row r="51" spans="2:20" x14ac:dyDescent="0.25">
      <c r="B51" s="23" t="s">
        <v>2380</v>
      </c>
      <c r="C51" s="28" t="s">
        <v>307</v>
      </c>
      <c r="G51" s="48">
        <f>Inputs!G95</f>
        <v>16265</v>
      </c>
      <c r="H51" s="48">
        <f>Inputs!H95</f>
        <v>16265</v>
      </c>
      <c r="I51" s="48">
        <f>Inputs!I95</f>
        <v>16265</v>
      </c>
      <c r="J51" s="48">
        <f>Inputs!J95</f>
        <v>16265</v>
      </c>
      <c r="K51" s="48">
        <f>Inputs!K95</f>
        <v>16265</v>
      </c>
      <c r="L51" s="48">
        <f>Inputs!L95</f>
        <v>16265</v>
      </c>
      <c r="M51" s="48">
        <f>Inputs!M95</f>
        <v>16265</v>
      </c>
      <c r="N51" s="48">
        <f>Inputs!N95</f>
        <v>16265</v>
      </c>
      <c r="O51" s="48">
        <f>Inputs!O95</f>
        <v>16265</v>
      </c>
      <c r="P51" s="48">
        <f>Inputs!P95</f>
        <v>16265</v>
      </c>
      <c r="Q51" s="48">
        <f>Inputs!Q95</f>
        <v>16265</v>
      </c>
      <c r="R51" s="48">
        <f>Inputs!R95</f>
        <v>16265</v>
      </c>
      <c r="S51" s="48">
        <f>Inputs!S95</f>
        <v>16265</v>
      </c>
      <c r="T51" s="48">
        <f>Inputs!T95</f>
        <v>16265</v>
      </c>
    </row>
    <row r="52" spans="2:20" x14ac:dyDescent="0.25">
      <c r="B52" s="23" t="s">
        <v>2381</v>
      </c>
      <c r="C52" s="28" t="s">
        <v>490</v>
      </c>
      <c r="G52" s="37">
        <f>'Revenue Calculation'!G7</f>
        <v>2023</v>
      </c>
      <c r="H52" s="37">
        <f>'Revenue Calculation'!H7</f>
        <v>2024</v>
      </c>
      <c r="I52" s="37">
        <f>'Revenue Calculation'!I7</f>
        <v>2025</v>
      </c>
      <c r="J52" s="37">
        <f>'Revenue Calculation'!J7</f>
        <v>2026</v>
      </c>
      <c r="K52" s="37">
        <f>'Revenue Calculation'!K7</f>
        <v>2027</v>
      </c>
      <c r="L52" s="37">
        <f>'Revenue Calculation'!L7</f>
        <v>2028</v>
      </c>
      <c r="M52" s="37">
        <f>'Revenue Calculation'!M7</f>
        <v>2029</v>
      </c>
      <c r="N52" s="37">
        <f>'Revenue Calculation'!N7</f>
        <v>2030</v>
      </c>
      <c r="O52" s="37">
        <f>'Revenue Calculation'!O7</f>
        <v>2031</v>
      </c>
      <c r="P52" s="37">
        <f>'Revenue Calculation'!P7</f>
        <v>2032</v>
      </c>
      <c r="Q52" s="37">
        <f>'Revenue Calculation'!Q7</f>
        <v>2033</v>
      </c>
      <c r="R52" s="37">
        <f>'Revenue Calculation'!R7</f>
        <v>2034</v>
      </c>
      <c r="S52" s="37">
        <f>'Revenue Calculation'!S7</f>
        <v>2035</v>
      </c>
      <c r="T52" s="37">
        <f>'Revenue Calculation'!T7</f>
        <v>2036</v>
      </c>
    </row>
    <row r="54" spans="2:20" x14ac:dyDescent="0.25">
      <c r="B54" s="58" t="s">
        <v>2382</v>
      </c>
      <c r="C54" s="19"/>
      <c r="D54" s="19"/>
      <c r="E54" s="19"/>
      <c r="F54" s="19"/>
      <c r="G54" s="19"/>
      <c r="H54" s="19"/>
      <c r="I54" s="19"/>
      <c r="J54" s="19"/>
      <c r="K54" s="19"/>
      <c r="L54" s="19"/>
      <c r="M54" s="19"/>
      <c r="N54" s="19"/>
      <c r="O54" s="19"/>
      <c r="P54" s="19"/>
      <c r="Q54" s="19"/>
      <c r="R54" s="19"/>
      <c r="S54" s="19"/>
      <c r="T54" s="19"/>
    </row>
    <row r="55" spans="2:20" ht="24.75" customHeight="1" x14ac:dyDescent="0.25">
      <c r="G55" s="166" t="s">
        <v>2350</v>
      </c>
    </row>
    <row r="56" spans="2:20" x14ac:dyDescent="0.25">
      <c r="B56" s="23" t="s">
        <v>534</v>
      </c>
      <c r="C56" s="28" t="s">
        <v>493</v>
      </c>
      <c r="G56" s="161">
        <f t="shared" ref="G56:T56" si="3">G8*G51/1000</f>
        <v>162.65</v>
      </c>
      <c r="H56" s="161">
        <f t="shared" si="3"/>
        <v>37.409500000000008</v>
      </c>
      <c r="I56" s="161">
        <f t="shared" si="3"/>
        <v>8.1325000000000003</v>
      </c>
      <c r="J56" s="161">
        <f t="shared" si="3"/>
        <v>0</v>
      </c>
      <c r="K56" s="161">
        <f t="shared" si="3"/>
        <v>0</v>
      </c>
      <c r="L56" s="161">
        <f t="shared" si="3"/>
        <v>0</v>
      </c>
      <c r="M56" s="161">
        <f t="shared" si="3"/>
        <v>0</v>
      </c>
      <c r="N56" s="161">
        <f t="shared" si="3"/>
        <v>0</v>
      </c>
      <c r="O56" s="161">
        <f t="shared" si="3"/>
        <v>0</v>
      </c>
      <c r="P56" s="161">
        <f t="shared" si="3"/>
        <v>0</v>
      </c>
      <c r="Q56" s="161">
        <f t="shared" si="3"/>
        <v>0</v>
      </c>
      <c r="R56" s="161">
        <f t="shared" si="3"/>
        <v>0</v>
      </c>
      <c r="S56" s="161">
        <f t="shared" si="3"/>
        <v>0</v>
      </c>
      <c r="T56" s="161">
        <f t="shared" si="3"/>
        <v>0</v>
      </c>
    </row>
    <row r="57" spans="2:20" x14ac:dyDescent="0.25">
      <c r="B57" s="23" t="s">
        <v>539</v>
      </c>
      <c r="C57" s="28" t="s">
        <v>493</v>
      </c>
      <c r="G57" s="161">
        <f t="shared" ref="G57:T57" si="4">G9*G51/1000</f>
        <v>35.783000000000001</v>
      </c>
      <c r="H57" s="161">
        <f t="shared" si="4"/>
        <v>87.831000000000003</v>
      </c>
      <c r="I57" s="161">
        <f t="shared" si="4"/>
        <v>6.5060000000000002</v>
      </c>
      <c r="J57" s="161">
        <f t="shared" si="4"/>
        <v>0</v>
      </c>
      <c r="K57" s="161">
        <f t="shared" si="4"/>
        <v>0</v>
      </c>
      <c r="L57" s="161">
        <f t="shared" si="4"/>
        <v>0</v>
      </c>
      <c r="M57" s="161">
        <f t="shared" si="4"/>
        <v>0</v>
      </c>
      <c r="N57" s="161">
        <f t="shared" si="4"/>
        <v>0</v>
      </c>
      <c r="O57" s="161">
        <f t="shared" si="4"/>
        <v>0</v>
      </c>
      <c r="P57" s="161">
        <f t="shared" si="4"/>
        <v>0</v>
      </c>
      <c r="Q57" s="161">
        <f t="shared" si="4"/>
        <v>0</v>
      </c>
      <c r="R57" s="161">
        <f t="shared" si="4"/>
        <v>0</v>
      </c>
      <c r="S57" s="161">
        <f t="shared" si="4"/>
        <v>0</v>
      </c>
      <c r="T57" s="161">
        <f t="shared" si="4"/>
        <v>0</v>
      </c>
    </row>
    <row r="58" spans="2:20" x14ac:dyDescent="0.25">
      <c r="B58" s="23" t="s">
        <v>542</v>
      </c>
      <c r="C58" s="28" t="s">
        <v>493</v>
      </c>
      <c r="G58" s="161">
        <f t="shared" ref="G58:T58" si="5">G10*G51/1000</f>
        <v>0</v>
      </c>
      <c r="H58" s="161">
        <f t="shared" si="5"/>
        <v>0</v>
      </c>
      <c r="I58" s="161">
        <f t="shared" si="5"/>
        <v>0</v>
      </c>
      <c r="J58" s="161">
        <f t="shared" si="5"/>
        <v>97.990000000000052</v>
      </c>
      <c r="K58" s="161">
        <f t="shared" si="5"/>
        <v>0</v>
      </c>
      <c r="L58" s="161">
        <f t="shared" si="5"/>
        <v>0</v>
      </c>
      <c r="M58" s="161">
        <f t="shared" si="5"/>
        <v>0</v>
      </c>
      <c r="N58" s="161">
        <f t="shared" si="5"/>
        <v>0</v>
      </c>
      <c r="O58" s="161">
        <f t="shared" si="5"/>
        <v>0</v>
      </c>
      <c r="P58" s="161">
        <f t="shared" si="5"/>
        <v>0</v>
      </c>
      <c r="Q58" s="161">
        <f t="shared" si="5"/>
        <v>0</v>
      </c>
      <c r="R58" s="161">
        <f t="shared" si="5"/>
        <v>0</v>
      </c>
      <c r="S58" s="161">
        <f t="shared" si="5"/>
        <v>0</v>
      </c>
      <c r="T58" s="161">
        <f t="shared" si="5"/>
        <v>0</v>
      </c>
    </row>
    <row r="59" spans="2:20" x14ac:dyDescent="0.25">
      <c r="B59" s="23" t="s">
        <v>547</v>
      </c>
      <c r="C59" s="28" t="s">
        <v>493</v>
      </c>
      <c r="G59" s="161">
        <f t="shared" ref="G59:T59" si="6">G11*G51/1000</f>
        <v>0</v>
      </c>
      <c r="H59" s="161">
        <f t="shared" si="6"/>
        <v>0</v>
      </c>
      <c r="I59" s="161">
        <f t="shared" si="6"/>
        <v>0</v>
      </c>
      <c r="J59" s="161">
        <f t="shared" si="6"/>
        <v>61.193749999999952</v>
      </c>
      <c r="K59" s="161">
        <f t="shared" si="6"/>
        <v>0</v>
      </c>
      <c r="L59" s="161">
        <f t="shared" si="6"/>
        <v>0</v>
      </c>
      <c r="M59" s="161">
        <f t="shared" si="6"/>
        <v>0</v>
      </c>
      <c r="N59" s="161">
        <f t="shared" si="6"/>
        <v>0</v>
      </c>
      <c r="O59" s="161">
        <f t="shared" si="6"/>
        <v>0</v>
      </c>
      <c r="P59" s="161">
        <f t="shared" si="6"/>
        <v>0</v>
      </c>
      <c r="Q59" s="161">
        <f t="shared" si="6"/>
        <v>0</v>
      </c>
      <c r="R59" s="161">
        <f t="shared" si="6"/>
        <v>0</v>
      </c>
      <c r="S59" s="161">
        <f t="shared" si="6"/>
        <v>0</v>
      </c>
      <c r="T59" s="161">
        <f t="shared" si="6"/>
        <v>0</v>
      </c>
    </row>
    <row r="60" spans="2:20" x14ac:dyDescent="0.25">
      <c r="B60" s="23" t="s">
        <v>550</v>
      </c>
      <c r="C60" s="28" t="s">
        <v>493</v>
      </c>
      <c r="G60" s="161">
        <f t="shared" ref="G60:T60" si="7">G12*G51/1000</f>
        <v>0</v>
      </c>
      <c r="H60" s="161">
        <f t="shared" si="7"/>
        <v>0</v>
      </c>
      <c r="I60" s="161">
        <f t="shared" si="7"/>
        <v>0</v>
      </c>
      <c r="J60" s="161">
        <f t="shared" si="7"/>
        <v>105.47077976190474</v>
      </c>
      <c r="K60" s="161">
        <f t="shared" si="7"/>
        <v>5.2861249999999975</v>
      </c>
      <c r="L60" s="161">
        <f t="shared" si="7"/>
        <v>0</v>
      </c>
      <c r="M60" s="161">
        <f t="shared" si="7"/>
        <v>0</v>
      </c>
      <c r="N60" s="161">
        <f t="shared" si="7"/>
        <v>0</v>
      </c>
      <c r="O60" s="161">
        <f t="shared" si="7"/>
        <v>0</v>
      </c>
      <c r="P60" s="161">
        <f t="shared" si="7"/>
        <v>0</v>
      </c>
      <c r="Q60" s="161">
        <f t="shared" si="7"/>
        <v>0</v>
      </c>
      <c r="R60" s="161">
        <f t="shared" si="7"/>
        <v>0</v>
      </c>
      <c r="S60" s="161">
        <f t="shared" si="7"/>
        <v>0</v>
      </c>
      <c r="T60" s="161">
        <f t="shared" si="7"/>
        <v>0</v>
      </c>
    </row>
    <row r="61" spans="2:20" x14ac:dyDescent="0.25">
      <c r="B61" s="23" t="s">
        <v>555</v>
      </c>
      <c r="C61" s="28" t="s">
        <v>493</v>
      </c>
      <c r="G61" s="161">
        <f t="shared" ref="G61:T61" si="8">G13*G51/1000</f>
        <v>0</v>
      </c>
      <c r="H61" s="161">
        <f t="shared" si="8"/>
        <v>0</v>
      </c>
      <c r="I61" s="161">
        <f t="shared" si="8"/>
        <v>0</v>
      </c>
      <c r="J61" s="161">
        <f t="shared" si="8"/>
        <v>40.862500000000026</v>
      </c>
      <c r="K61" s="161">
        <f t="shared" si="8"/>
        <v>40.862500000000026</v>
      </c>
      <c r="L61" s="161">
        <f t="shared" si="8"/>
        <v>0</v>
      </c>
      <c r="M61" s="161">
        <f t="shared" si="8"/>
        <v>0</v>
      </c>
      <c r="N61" s="161">
        <f t="shared" si="8"/>
        <v>0</v>
      </c>
      <c r="O61" s="161">
        <f t="shared" si="8"/>
        <v>0</v>
      </c>
      <c r="P61" s="161">
        <f t="shared" si="8"/>
        <v>0</v>
      </c>
      <c r="Q61" s="161">
        <f t="shared" si="8"/>
        <v>0</v>
      </c>
      <c r="R61" s="161">
        <f t="shared" si="8"/>
        <v>0</v>
      </c>
      <c r="S61" s="161">
        <f t="shared" si="8"/>
        <v>0</v>
      </c>
      <c r="T61" s="161">
        <f t="shared" si="8"/>
        <v>0</v>
      </c>
    </row>
    <row r="62" spans="2:20" x14ac:dyDescent="0.25">
      <c r="B62" s="23" t="s">
        <v>559</v>
      </c>
      <c r="C62" s="28" t="s">
        <v>493</v>
      </c>
      <c r="G62" s="161">
        <f t="shared" ref="G62:T62" si="9">G14*G51/1000</f>
        <v>0</v>
      </c>
      <c r="H62" s="161">
        <f t="shared" si="9"/>
        <v>0</v>
      </c>
      <c r="I62" s="161">
        <f t="shared" si="9"/>
        <v>0</v>
      </c>
      <c r="J62" s="161">
        <f t="shared" si="9"/>
        <v>114.25499999999997</v>
      </c>
      <c r="K62" s="161">
        <f t="shared" si="9"/>
        <v>113.85499999999993</v>
      </c>
      <c r="L62" s="161">
        <f t="shared" si="9"/>
        <v>0</v>
      </c>
      <c r="M62" s="161">
        <f t="shared" si="9"/>
        <v>0</v>
      </c>
      <c r="N62" s="161">
        <f t="shared" si="9"/>
        <v>0</v>
      </c>
      <c r="O62" s="161">
        <f t="shared" si="9"/>
        <v>0</v>
      </c>
      <c r="P62" s="161">
        <f t="shared" si="9"/>
        <v>0</v>
      </c>
      <c r="Q62" s="161">
        <f t="shared" si="9"/>
        <v>0</v>
      </c>
      <c r="R62" s="161">
        <f t="shared" si="9"/>
        <v>0</v>
      </c>
      <c r="S62" s="161">
        <f t="shared" si="9"/>
        <v>0</v>
      </c>
      <c r="T62" s="161">
        <f t="shared" si="9"/>
        <v>0</v>
      </c>
    </row>
    <row r="63" spans="2:20" x14ac:dyDescent="0.25">
      <c r="B63" s="23" t="s">
        <v>581</v>
      </c>
      <c r="C63" s="28" t="s">
        <v>493</v>
      </c>
      <c r="G63" s="161">
        <f t="shared" ref="G63:T63" si="10">G15*G51/1000</f>
        <v>0</v>
      </c>
      <c r="H63" s="161">
        <f t="shared" si="10"/>
        <v>0</v>
      </c>
      <c r="I63" s="161">
        <f t="shared" si="10"/>
        <v>0</v>
      </c>
      <c r="J63" s="161">
        <f t="shared" si="10"/>
        <v>0</v>
      </c>
      <c r="K63" s="161">
        <f t="shared" si="10"/>
        <v>0</v>
      </c>
      <c r="L63" s="161">
        <f t="shared" si="10"/>
        <v>0</v>
      </c>
      <c r="M63" s="161">
        <f t="shared" si="10"/>
        <v>0</v>
      </c>
      <c r="N63" s="161">
        <f t="shared" si="10"/>
        <v>0</v>
      </c>
      <c r="O63" s="161">
        <f t="shared" si="10"/>
        <v>0</v>
      </c>
      <c r="P63" s="161">
        <f t="shared" si="10"/>
        <v>0</v>
      </c>
      <c r="Q63" s="161">
        <f t="shared" si="10"/>
        <v>0</v>
      </c>
      <c r="R63" s="161">
        <f t="shared" si="10"/>
        <v>0</v>
      </c>
      <c r="S63" s="161">
        <f t="shared" si="10"/>
        <v>0</v>
      </c>
      <c r="T63" s="161">
        <f t="shared" si="10"/>
        <v>0</v>
      </c>
    </row>
    <row r="64" spans="2:20" ht="26.25" customHeight="1" x14ac:dyDescent="0.25">
      <c r="B64" s="64" t="s">
        <v>2383</v>
      </c>
      <c r="C64" s="28" t="s">
        <v>493</v>
      </c>
      <c r="G64" s="159">
        <v>0</v>
      </c>
      <c r="H64" s="159">
        <f t="shared" ref="H64:T64" si="11">H16*H51/1000</f>
        <v>0</v>
      </c>
      <c r="I64" s="159">
        <f t="shared" si="11"/>
        <v>0</v>
      </c>
      <c r="J64" s="159">
        <f t="shared" si="11"/>
        <v>0</v>
      </c>
      <c r="K64" s="159">
        <f t="shared" si="11"/>
        <v>0.65060000000000007</v>
      </c>
      <c r="L64" s="159">
        <f t="shared" si="11"/>
        <v>0</v>
      </c>
      <c r="M64" s="159">
        <f t="shared" si="11"/>
        <v>0</v>
      </c>
      <c r="N64" s="159">
        <f t="shared" si="11"/>
        <v>0</v>
      </c>
      <c r="O64" s="159">
        <f t="shared" si="11"/>
        <v>0</v>
      </c>
      <c r="P64" s="159">
        <f t="shared" si="11"/>
        <v>0</v>
      </c>
      <c r="Q64" s="159">
        <f t="shared" si="11"/>
        <v>0</v>
      </c>
      <c r="R64" s="159">
        <f t="shared" si="11"/>
        <v>0</v>
      </c>
      <c r="S64" s="159">
        <f t="shared" si="11"/>
        <v>0</v>
      </c>
      <c r="T64" s="159">
        <f t="shared" si="11"/>
        <v>0</v>
      </c>
    </row>
    <row r="65" spans="2:20" ht="26.25" customHeight="1" x14ac:dyDescent="0.25">
      <c r="B65" s="64" t="s">
        <v>2384</v>
      </c>
      <c r="C65" s="28" t="s">
        <v>493</v>
      </c>
      <c r="G65" s="159">
        <v>0</v>
      </c>
      <c r="H65" s="159">
        <f t="shared" ref="H65:T65" si="12">H17*H51/1000</f>
        <v>0</v>
      </c>
      <c r="I65" s="159">
        <f t="shared" si="12"/>
        <v>0</v>
      </c>
      <c r="J65" s="159">
        <f t="shared" si="12"/>
        <v>0</v>
      </c>
      <c r="K65" s="159">
        <f t="shared" si="12"/>
        <v>0.65060000000000007</v>
      </c>
      <c r="L65" s="159">
        <f t="shared" si="12"/>
        <v>0</v>
      </c>
      <c r="M65" s="159">
        <f t="shared" si="12"/>
        <v>0</v>
      </c>
      <c r="N65" s="159">
        <f t="shared" si="12"/>
        <v>0</v>
      </c>
      <c r="O65" s="159">
        <f t="shared" si="12"/>
        <v>0</v>
      </c>
      <c r="P65" s="159">
        <f t="shared" si="12"/>
        <v>0</v>
      </c>
      <c r="Q65" s="159">
        <f t="shared" si="12"/>
        <v>0</v>
      </c>
      <c r="R65" s="159">
        <f t="shared" si="12"/>
        <v>0</v>
      </c>
      <c r="S65" s="159">
        <f t="shared" si="12"/>
        <v>0</v>
      </c>
      <c r="T65" s="159">
        <f t="shared" si="12"/>
        <v>0</v>
      </c>
    </row>
    <row r="66" spans="2:20" ht="26.25" customHeight="1" x14ac:dyDescent="0.25">
      <c r="B66" s="64" t="s">
        <v>2385</v>
      </c>
      <c r="C66" s="28" t="s">
        <v>493</v>
      </c>
      <c r="G66" s="159">
        <v>0</v>
      </c>
      <c r="H66" s="159">
        <f t="shared" ref="H66:T66" si="13">H18*H51/1000</f>
        <v>0</v>
      </c>
      <c r="I66" s="159">
        <f t="shared" si="13"/>
        <v>0</v>
      </c>
      <c r="J66" s="159">
        <f t="shared" si="13"/>
        <v>0</v>
      </c>
      <c r="K66" s="159">
        <f t="shared" si="13"/>
        <v>0</v>
      </c>
      <c r="L66" s="159">
        <f t="shared" si="13"/>
        <v>0.48794999999999999</v>
      </c>
      <c r="M66" s="159">
        <f t="shared" si="13"/>
        <v>0</v>
      </c>
      <c r="N66" s="159">
        <f t="shared" si="13"/>
        <v>0</v>
      </c>
      <c r="O66" s="159">
        <f t="shared" si="13"/>
        <v>0</v>
      </c>
      <c r="P66" s="159">
        <f t="shared" si="13"/>
        <v>0</v>
      </c>
      <c r="Q66" s="159">
        <f t="shared" si="13"/>
        <v>0</v>
      </c>
      <c r="R66" s="159">
        <f t="shared" si="13"/>
        <v>0</v>
      </c>
      <c r="S66" s="159">
        <f t="shared" si="13"/>
        <v>0</v>
      </c>
      <c r="T66" s="159">
        <f t="shared" si="13"/>
        <v>0</v>
      </c>
    </row>
    <row r="67" spans="2:20" ht="26.25" customHeight="1" x14ac:dyDescent="0.25">
      <c r="B67" s="64" t="s">
        <v>2386</v>
      </c>
      <c r="C67" s="28" t="s">
        <v>493</v>
      </c>
      <c r="G67" s="159">
        <v>0</v>
      </c>
      <c r="H67" s="159">
        <f t="shared" ref="H67:T67" si="14">H19*H51/1000</f>
        <v>0</v>
      </c>
      <c r="I67" s="159">
        <f t="shared" si="14"/>
        <v>0</v>
      </c>
      <c r="J67" s="159">
        <f t="shared" si="14"/>
        <v>0</v>
      </c>
      <c r="K67" s="159">
        <f t="shared" si="14"/>
        <v>0.65060000000000007</v>
      </c>
      <c r="L67" s="159">
        <f t="shared" si="14"/>
        <v>0</v>
      </c>
      <c r="M67" s="159">
        <f t="shared" si="14"/>
        <v>0</v>
      </c>
      <c r="N67" s="159">
        <f t="shared" si="14"/>
        <v>0</v>
      </c>
      <c r="O67" s="159">
        <f t="shared" si="14"/>
        <v>0</v>
      </c>
      <c r="P67" s="159">
        <f t="shared" si="14"/>
        <v>0</v>
      </c>
      <c r="Q67" s="159">
        <f t="shared" si="14"/>
        <v>0</v>
      </c>
      <c r="R67" s="159">
        <f t="shared" si="14"/>
        <v>0</v>
      </c>
      <c r="S67" s="159">
        <f t="shared" si="14"/>
        <v>0</v>
      </c>
      <c r="T67" s="159">
        <f t="shared" si="14"/>
        <v>0</v>
      </c>
    </row>
    <row r="68" spans="2:20" ht="26.25" customHeight="1" x14ac:dyDescent="0.25">
      <c r="B68" s="64" t="s">
        <v>2387</v>
      </c>
      <c r="C68" s="28" t="s">
        <v>493</v>
      </c>
      <c r="G68" s="159">
        <v>0</v>
      </c>
      <c r="H68" s="159">
        <f>Inputs!$E$746*H64</f>
        <v>0</v>
      </c>
      <c r="I68" s="159">
        <f>Inputs!$E$746*I64</f>
        <v>0</v>
      </c>
      <c r="J68" s="159">
        <f>Inputs!$E$746*J64</f>
        <v>0</v>
      </c>
      <c r="K68" s="159">
        <f>Inputs!$E$746*K64</f>
        <v>0</v>
      </c>
      <c r="L68" s="159">
        <f>Inputs!$E$746*L64</f>
        <v>0</v>
      </c>
      <c r="M68" s="159">
        <f>Inputs!$E$746*M64</f>
        <v>0</v>
      </c>
      <c r="N68" s="159">
        <f>Inputs!$E$746*N64</f>
        <v>0</v>
      </c>
      <c r="O68" s="159">
        <f>Inputs!$E$746*O64</f>
        <v>0</v>
      </c>
      <c r="P68" s="159">
        <f>Inputs!$E$746*P64</f>
        <v>0</v>
      </c>
      <c r="Q68" s="159">
        <f>Inputs!$E$746*Q64</f>
        <v>0</v>
      </c>
      <c r="R68" s="159">
        <f>Inputs!$E$746*R64</f>
        <v>0</v>
      </c>
      <c r="S68" s="159">
        <f>Inputs!$E$746*S64</f>
        <v>0</v>
      </c>
      <c r="T68" s="159">
        <f>Inputs!$E$746*T64</f>
        <v>0</v>
      </c>
    </row>
    <row r="69" spans="2:20" ht="26.25" customHeight="1" x14ac:dyDescent="0.25">
      <c r="B69" s="64" t="s">
        <v>2388</v>
      </c>
      <c r="C69" s="28" t="s">
        <v>493</v>
      </c>
      <c r="G69" s="159">
        <v>0</v>
      </c>
      <c r="H69" s="159">
        <f>Inputs!$E$746*H65</f>
        <v>0</v>
      </c>
      <c r="I69" s="159">
        <f>Inputs!$E$746*I65</f>
        <v>0</v>
      </c>
      <c r="J69" s="159">
        <f>Inputs!$E$746*J65</f>
        <v>0</v>
      </c>
      <c r="K69" s="159">
        <f>Inputs!$E$746*K65</f>
        <v>0</v>
      </c>
      <c r="L69" s="159">
        <f>Inputs!$E$746*L65</f>
        <v>0</v>
      </c>
      <c r="M69" s="159">
        <f>Inputs!$E$746*M65</f>
        <v>0</v>
      </c>
      <c r="N69" s="159">
        <f>Inputs!$E$746*N65</f>
        <v>0</v>
      </c>
      <c r="O69" s="159">
        <f>Inputs!$E$746*O65</f>
        <v>0</v>
      </c>
      <c r="P69" s="159">
        <f>Inputs!$E$746*P65</f>
        <v>0</v>
      </c>
      <c r="Q69" s="159">
        <f>Inputs!$E$746*Q65</f>
        <v>0</v>
      </c>
      <c r="R69" s="159">
        <f>Inputs!$E$746*R65</f>
        <v>0</v>
      </c>
      <c r="S69" s="159">
        <f>Inputs!$E$746*S65</f>
        <v>0</v>
      </c>
      <c r="T69" s="159">
        <f>Inputs!$E$746*T65</f>
        <v>0</v>
      </c>
    </row>
    <row r="70" spans="2:20" ht="26.25" customHeight="1" x14ac:dyDescent="0.25">
      <c r="B70" s="64" t="s">
        <v>2389</v>
      </c>
      <c r="C70" s="28" t="s">
        <v>493</v>
      </c>
      <c r="G70" s="159">
        <v>0</v>
      </c>
      <c r="H70" s="159">
        <f>Inputs!$E$746*H66</f>
        <v>0</v>
      </c>
      <c r="I70" s="159">
        <f>Inputs!$E$746*I66</f>
        <v>0</v>
      </c>
      <c r="J70" s="159">
        <f>Inputs!$E$746*J66</f>
        <v>0</v>
      </c>
      <c r="K70" s="159">
        <f>Inputs!$E$746*K66</f>
        <v>0</v>
      </c>
      <c r="L70" s="159">
        <f>Inputs!$E$746*L66</f>
        <v>0</v>
      </c>
      <c r="M70" s="159">
        <f>Inputs!$E$746*M66</f>
        <v>0</v>
      </c>
      <c r="N70" s="159">
        <f>Inputs!$E$746*N66</f>
        <v>0</v>
      </c>
      <c r="O70" s="159">
        <f>Inputs!$E$746*O66</f>
        <v>0</v>
      </c>
      <c r="P70" s="159">
        <f>Inputs!$E$746*P66</f>
        <v>0</v>
      </c>
      <c r="Q70" s="159">
        <f>Inputs!$E$746*Q66</f>
        <v>0</v>
      </c>
      <c r="R70" s="159">
        <f>Inputs!$E$746*R66</f>
        <v>0</v>
      </c>
      <c r="S70" s="159">
        <f>Inputs!$E$746*S66</f>
        <v>0</v>
      </c>
      <c r="T70" s="159">
        <f>Inputs!$E$746*T66</f>
        <v>0</v>
      </c>
    </row>
    <row r="71" spans="2:20" ht="26.25" customHeight="1" x14ac:dyDescent="0.25">
      <c r="B71" s="64" t="s">
        <v>2390</v>
      </c>
      <c r="C71" s="28" t="s">
        <v>493</v>
      </c>
      <c r="G71" s="159">
        <v>0</v>
      </c>
      <c r="H71" s="159">
        <f>Inputs!$E$746*H67</f>
        <v>0</v>
      </c>
      <c r="I71" s="159">
        <f>Inputs!$E$746*I67</f>
        <v>0</v>
      </c>
      <c r="J71" s="159">
        <f>Inputs!$E$746*J67</f>
        <v>0</v>
      </c>
      <c r="K71" s="159">
        <f>Inputs!$E$746*K67</f>
        <v>0</v>
      </c>
      <c r="L71" s="159">
        <f>Inputs!$E$746*L67</f>
        <v>0</v>
      </c>
      <c r="M71" s="159">
        <f>Inputs!$E$746*M67</f>
        <v>0</v>
      </c>
      <c r="N71" s="159">
        <f>Inputs!$E$746*N67</f>
        <v>0</v>
      </c>
      <c r="O71" s="159">
        <f>Inputs!$E$746*O67</f>
        <v>0</v>
      </c>
      <c r="P71" s="159">
        <f>Inputs!$E$746*P67</f>
        <v>0</v>
      </c>
      <c r="Q71" s="159">
        <f>Inputs!$E$746*Q67</f>
        <v>0</v>
      </c>
      <c r="R71" s="159">
        <f>Inputs!$E$746*R67</f>
        <v>0</v>
      </c>
      <c r="S71" s="159">
        <f>Inputs!$E$746*S67</f>
        <v>0</v>
      </c>
      <c r="T71" s="159">
        <f>Inputs!$E$746*T67</f>
        <v>0</v>
      </c>
    </row>
    <row r="72" spans="2:20" x14ac:dyDescent="0.25">
      <c r="B72" s="23" t="str">
        <f>"P16  "&amp;Inputs!$E$605&amp;" (placeholder)"</f>
        <v>P16  Lampung (placeholder)</v>
      </c>
      <c r="C72" s="28" t="s">
        <v>493</v>
      </c>
      <c r="G72" s="159">
        <v>0</v>
      </c>
      <c r="H72" s="159">
        <f t="shared" ref="H72:T72" si="15">H20*H51/1000</f>
        <v>0</v>
      </c>
      <c r="I72" s="159">
        <f t="shared" si="15"/>
        <v>0</v>
      </c>
      <c r="J72" s="159">
        <f t="shared" si="15"/>
        <v>0</v>
      </c>
      <c r="K72" s="159">
        <f t="shared" si="15"/>
        <v>0</v>
      </c>
      <c r="L72" s="159">
        <f t="shared" si="15"/>
        <v>0</v>
      </c>
      <c r="M72" s="159">
        <f t="shared" si="15"/>
        <v>0</v>
      </c>
      <c r="N72" s="159">
        <f t="shared" si="15"/>
        <v>0</v>
      </c>
      <c r="O72" s="159">
        <f t="shared" si="15"/>
        <v>0</v>
      </c>
      <c r="P72" s="159">
        <f t="shared" si="15"/>
        <v>0</v>
      </c>
      <c r="Q72" s="159">
        <f t="shared" si="15"/>
        <v>0</v>
      </c>
      <c r="R72" s="159">
        <f t="shared" si="15"/>
        <v>0</v>
      </c>
      <c r="S72" s="159">
        <f t="shared" si="15"/>
        <v>0</v>
      </c>
      <c r="T72" s="159">
        <f t="shared" si="15"/>
        <v>0</v>
      </c>
    </row>
    <row r="73" spans="2:20" x14ac:dyDescent="0.25">
      <c r="B73" s="23" t="str">
        <f>"P17  "&amp;Inputs!$E$639&amp;" (placeholder)"</f>
        <v>P17  Pipeline Project 2 (placeholder)</v>
      </c>
      <c r="C73" s="28" t="s">
        <v>493</v>
      </c>
      <c r="G73" s="159">
        <v>0</v>
      </c>
      <c r="H73" s="159">
        <f t="shared" ref="H73:T73" si="16">H21*H51/1000</f>
        <v>0</v>
      </c>
      <c r="I73" s="159">
        <f t="shared" si="16"/>
        <v>0</v>
      </c>
      <c r="J73" s="159">
        <f t="shared" si="16"/>
        <v>0</v>
      </c>
      <c r="K73" s="159">
        <f t="shared" si="16"/>
        <v>0</v>
      </c>
      <c r="L73" s="159">
        <f t="shared" si="16"/>
        <v>0</v>
      </c>
      <c r="M73" s="159">
        <f t="shared" si="16"/>
        <v>0</v>
      </c>
      <c r="N73" s="159">
        <f t="shared" si="16"/>
        <v>0</v>
      </c>
      <c r="O73" s="159">
        <f t="shared" si="16"/>
        <v>0</v>
      </c>
      <c r="P73" s="159">
        <f t="shared" si="16"/>
        <v>0</v>
      </c>
      <c r="Q73" s="159">
        <f t="shared" si="16"/>
        <v>0</v>
      </c>
      <c r="R73" s="159">
        <f t="shared" si="16"/>
        <v>0</v>
      </c>
      <c r="S73" s="159">
        <f t="shared" si="16"/>
        <v>0</v>
      </c>
      <c r="T73" s="159">
        <f t="shared" si="16"/>
        <v>0</v>
      </c>
    </row>
    <row r="74" spans="2:20" x14ac:dyDescent="0.25">
      <c r="B74" s="23" t="str">
        <f>"P18  "&amp;Inputs!$E$673&amp;" (placeholder)"</f>
        <v>P18  Pipeline Project 3 (placeholder)</v>
      </c>
      <c r="C74" s="28" t="s">
        <v>493</v>
      </c>
      <c r="G74" s="159">
        <v>0</v>
      </c>
      <c r="H74" s="159">
        <f t="shared" ref="H74:T74" si="17">H22*H51/1000</f>
        <v>0</v>
      </c>
      <c r="I74" s="159">
        <f t="shared" si="17"/>
        <v>0</v>
      </c>
      <c r="J74" s="159">
        <f t="shared" si="17"/>
        <v>0</v>
      </c>
      <c r="K74" s="159">
        <f t="shared" si="17"/>
        <v>0</v>
      </c>
      <c r="L74" s="159">
        <f t="shared" si="17"/>
        <v>0</v>
      </c>
      <c r="M74" s="159">
        <f t="shared" si="17"/>
        <v>0</v>
      </c>
      <c r="N74" s="159">
        <f t="shared" si="17"/>
        <v>0</v>
      </c>
      <c r="O74" s="159">
        <f t="shared" si="17"/>
        <v>0</v>
      </c>
      <c r="P74" s="159">
        <f t="shared" si="17"/>
        <v>0</v>
      </c>
      <c r="Q74" s="159">
        <f t="shared" si="17"/>
        <v>0</v>
      </c>
      <c r="R74" s="159">
        <f t="shared" si="17"/>
        <v>0</v>
      </c>
      <c r="S74" s="159">
        <f t="shared" si="17"/>
        <v>0</v>
      </c>
      <c r="T74" s="159">
        <f t="shared" si="17"/>
        <v>0</v>
      </c>
    </row>
    <row r="75" spans="2:20" x14ac:dyDescent="0.25">
      <c r="B75" s="23" t="s">
        <v>2391</v>
      </c>
      <c r="C75" s="28" t="s">
        <v>493</v>
      </c>
      <c r="G75" s="159">
        <v>0</v>
      </c>
      <c r="H75" s="159">
        <f t="shared" ref="H75:T75" si="18">H27*H51/1000</f>
        <v>0</v>
      </c>
      <c r="I75" s="159">
        <f t="shared" si="18"/>
        <v>0</v>
      </c>
      <c r="J75" s="159">
        <f t="shared" si="18"/>
        <v>0</v>
      </c>
      <c r="K75" s="159">
        <f t="shared" si="18"/>
        <v>65.06</v>
      </c>
      <c r="L75" s="159">
        <f t="shared" si="18"/>
        <v>97.59</v>
      </c>
      <c r="M75" s="159">
        <f t="shared" si="18"/>
        <v>0</v>
      </c>
      <c r="N75" s="159">
        <f t="shared" si="18"/>
        <v>0</v>
      </c>
      <c r="O75" s="159">
        <f t="shared" si="18"/>
        <v>0</v>
      </c>
      <c r="P75" s="159">
        <f t="shared" si="18"/>
        <v>0</v>
      </c>
      <c r="Q75" s="159">
        <f t="shared" si="18"/>
        <v>0</v>
      </c>
      <c r="R75" s="159">
        <f t="shared" si="18"/>
        <v>0</v>
      </c>
      <c r="S75" s="159">
        <f t="shared" si="18"/>
        <v>0</v>
      </c>
      <c r="T75" s="159">
        <f t="shared" si="18"/>
        <v>0</v>
      </c>
    </row>
    <row r="76" spans="2:20" x14ac:dyDescent="0.25">
      <c r="B76" s="23" t="s">
        <v>2392</v>
      </c>
      <c r="C76" s="28" t="s">
        <v>493</v>
      </c>
      <c r="G76" s="159">
        <v>0</v>
      </c>
      <c r="H76" s="159">
        <f>H75*Inputs!$H$82</f>
        <v>0</v>
      </c>
      <c r="I76" s="159">
        <f>I75*Inputs!$H$82</f>
        <v>0</v>
      </c>
      <c r="J76" s="159">
        <f>J75*Inputs!$H$82</f>
        <v>0</v>
      </c>
      <c r="K76" s="159">
        <f>K75*Inputs!$H$82</f>
        <v>65.06</v>
      </c>
      <c r="L76" s="159">
        <f>L75*Inputs!$H$82</f>
        <v>97.59</v>
      </c>
      <c r="M76" s="159">
        <f>M75*Inputs!$H$82</f>
        <v>0</v>
      </c>
      <c r="N76" s="159">
        <f>N75*Inputs!$H$82</f>
        <v>0</v>
      </c>
      <c r="O76" s="159">
        <f>O75*Inputs!$H$82</f>
        <v>0</v>
      </c>
      <c r="P76" s="159">
        <f>P75*Inputs!$H$82</f>
        <v>0</v>
      </c>
      <c r="Q76" s="159">
        <f>Q75*Inputs!$H$82</f>
        <v>0</v>
      </c>
      <c r="R76" s="159">
        <f>R75*Inputs!$H$82</f>
        <v>0</v>
      </c>
      <c r="S76" s="159">
        <f>S75*Inputs!$H$82</f>
        <v>0</v>
      </c>
      <c r="T76" s="159">
        <f>T75*Inputs!$H$82</f>
        <v>0</v>
      </c>
    </row>
    <row r="77" spans="2:20" ht="38.25" customHeight="1" x14ac:dyDescent="0.25">
      <c r="B77" s="64" t="s">
        <v>2393</v>
      </c>
      <c r="C77" s="28" t="s">
        <v>493</v>
      </c>
      <c r="G77" s="159">
        <v>0</v>
      </c>
      <c r="H77" s="159">
        <f>'BUMN Synergy Calculation'!H101*IF('BUMN Synergy Calculation'!H98=0,1/3,'BUMN Synergy Calculation'!H34/'BUMN Synergy Calculation'!H98)</f>
        <v>0</v>
      </c>
      <c r="I77" s="159">
        <f>'BUMN Synergy Calculation'!I101*IF('BUMN Synergy Calculation'!I98=0,1/3,'BUMN Synergy Calculation'!I34/'BUMN Synergy Calculation'!I98)</f>
        <v>0</v>
      </c>
      <c r="J77" s="159">
        <f>'BUMN Synergy Calculation'!J101*IF('BUMN Synergy Calculation'!J98=0,1/3,'BUMN Synergy Calculation'!J34/'BUMN Synergy Calculation'!J98)</f>
        <v>0</v>
      </c>
      <c r="K77" s="159">
        <f>'BUMN Synergy Calculation'!K101*IF('BUMN Synergy Calculation'!K98=0,1/3,'BUMN Synergy Calculation'!K34/'BUMN Synergy Calculation'!K98)</f>
        <v>0</v>
      </c>
      <c r="L77" s="159">
        <f>'BUMN Synergy Calculation'!L101*IF('BUMN Synergy Calculation'!L98=0,1/3,'BUMN Synergy Calculation'!L34/'BUMN Synergy Calculation'!L98)</f>
        <v>0</v>
      </c>
      <c r="M77" s="159">
        <f>'BUMN Synergy Calculation'!M101*IF('BUMN Synergy Calculation'!M98=0,1/3,'BUMN Synergy Calculation'!M34/'BUMN Synergy Calculation'!M98)</f>
        <v>0</v>
      </c>
      <c r="N77" s="159">
        <f>'BUMN Synergy Calculation'!N101*IF('BUMN Synergy Calculation'!N98=0,1/3,'BUMN Synergy Calculation'!N34/'BUMN Synergy Calculation'!N98)</f>
        <v>0</v>
      </c>
      <c r="O77" s="159">
        <f>'BUMN Synergy Calculation'!O101*IF('BUMN Synergy Calculation'!O98=0,1/3,'BUMN Synergy Calculation'!O34/'BUMN Synergy Calculation'!O98)</f>
        <v>0</v>
      </c>
      <c r="P77" s="159">
        <f>'BUMN Synergy Calculation'!P101*IF('BUMN Synergy Calculation'!P98=0,1/3,'BUMN Synergy Calculation'!P34/'BUMN Synergy Calculation'!P98)</f>
        <v>0</v>
      </c>
      <c r="Q77" s="159">
        <f>'BUMN Synergy Calculation'!Q101*IF('BUMN Synergy Calculation'!Q98=0,1/3,'BUMN Synergy Calculation'!Q34/'BUMN Synergy Calculation'!Q98)</f>
        <v>0</v>
      </c>
      <c r="R77" s="159">
        <f>'BUMN Synergy Calculation'!R101*IF('BUMN Synergy Calculation'!R98=0,1/3,'BUMN Synergy Calculation'!R34/'BUMN Synergy Calculation'!R98)</f>
        <v>0</v>
      </c>
      <c r="S77" s="159">
        <f>'BUMN Synergy Calculation'!S101*IF('BUMN Synergy Calculation'!S98=0,1/3,'BUMN Synergy Calculation'!S34/'BUMN Synergy Calculation'!S98)</f>
        <v>0</v>
      </c>
      <c r="T77" s="159">
        <f>'BUMN Synergy Calculation'!T101*IF('BUMN Synergy Calculation'!T98=0,1/3,'BUMN Synergy Calculation'!T34/'BUMN Synergy Calculation'!T98)</f>
        <v>0</v>
      </c>
    </row>
    <row r="78" spans="2:20" ht="26.25" customHeight="1" x14ac:dyDescent="0.25">
      <c r="B78" s="64" t="s">
        <v>2394</v>
      </c>
      <c r="C78" s="28" t="s">
        <v>493</v>
      </c>
      <c r="G78" s="159">
        <v>0</v>
      </c>
      <c r="H78" s="159">
        <f>'BUMN Synergy Calculation'!H101*IF('BUMN Synergy Calculation'!H98=0,1/3,'BUMN Synergy Calculation'!H59/'BUMN Synergy Calculation'!H98)</f>
        <v>0</v>
      </c>
      <c r="I78" s="159">
        <f>'BUMN Synergy Calculation'!I101*IF('BUMN Synergy Calculation'!I98=0,1/3,'BUMN Synergy Calculation'!I59/'BUMN Synergy Calculation'!I98)</f>
        <v>0</v>
      </c>
      <c r="J78" s="159">
        <f>'BUMN Synergy Calculation'!J101*IF('BUMN Synergy Calculation'!J98=0,1/3,'BUMN Synergy Calculation'!J59/'BUMN Synergy Calculation'!J98)</f>
        <v>0</v>
      </c>
      <c r="K78" s="159">
        <f>'BUMN Synergy Calculation'!K101*IF('BUMN Synergy Calculation'!K98=0,1/3,'BUMN Synergy Calculation'!K59/'BUMN Synergy Calculation'!K98)</f>
        <v>0</v>
      </c>
      <c r="L78" s="159">
        <f>'BUMN Synergy Calculation'!L101*IF('BUMN Synergy Calculation'!L98=0,1/3,'BUMN Synergy Calculation'!L59/'BUMN Synergy Calculation'!L98)</f>
        <v>0</v>
      </c>
      <c r="M78" s="159">
        <f>'BUMN Synergy Calculation'!M101*IF('BUMN Synergy Calculation'!M98=0,1/3,'BUMN Synergy Calculation'!M59/'BUMN Synergy Calculation'!M98)</f>
        <v>0</v>
      </c>
      <c r="N78" s="159">
        <f>'BUMN Synergy Calculation'!N101*IF('BUMN Synergy Calculation'!N98=0,1/3,'BUMN Synergy Calculation'!N59/'BUMN Synergy Calculation'!N98)</f>
        <v>0</v>
      </c>
      <c r="O78" s="159">
        <f>'BUMN Synergy Calculation'!O101*IF('BUMN Synergy Calculation'!O98=0,1/3,'BUMN Synergy Calculation'!O59/'BUMN Synergy Calculation'!O98)</f>
        <v>0</v>
      </c>
      <c r="P78" s="159">
        <f>'BUMN Synergy Calculation'!P101*IF('BUMN Synergy Calculation'!P98=0,1/3,'BUMN Synergy Calculation'!P59/'BUMN Synergy Calculation'!P98)</f>
        <v>0</v>
      </c>
      <c r="Q78" s="159">
        <f>'BUMN Synergy Calculation'!Q101*IF('BUMN Synergy Calculation'!Q98=0,1/3,'BUMN Synergy Calculation'!Q59/'BUMN Synergy Calculation'!Q98)</f>
        <v>0</v>
      </c>
      <c r="R78" s="159">
        <f>'BUMN Synergy Calculation'!R101*IF('BUMN Synergy Calculation'!R98=0,1/3,'BUMN Synergy Calculation'!R59/'BUMN Synergy Calculation'!R98)</f>
        <v>0</v>
      </c>
      <c r="S78" s="159">
        <f>'BUMN Synergy Calculation'!S101*IF('BUMN Synergy Calculation'!S98=0,1/3,'BUMN Synergy Calculation'!S59/'BUMN Synergy Calculation'!S98)</f>
        <v>0</v>
      </c>
      <c r="T78" s="159">
        <f>'BUMN Synergy Calculation'!T101*IF('BUMN Synergy Calculation'!T98=0,1/3,'BUMN Synergy Calculation'!T59/'BUMN Synergy Calculation'!T98)</f>
        <v>0</v>
      </c>
    </row>
    <row r="79" spans="2:20" ht="26.25" customHeight="1" x14ac:dyDescent="0.25">
      <c r="B79" s="64" t="s">
        <v>2395</v>
      </c>
      <c r="C79" s="28" t="s">
        <v>493</v>
      </c>
      <c r="G79" s="159">
        <v>0</v>
      </c>
      <c r="H79" s="159">
        <f>'BUMN Synergy Calculation'!H101*IF('BUMN Synergy Calculation'!H98=0,1/3,'BUMN Synergy Calculation'!H81/'BUMN Synergy Calculation'!H98)</f>
        <v>0</v>
      </c>
      <c r="I79" s="159">
        <f>'BUMN Synergy Calculation'!I101*IF('BUMN Synergy Calculation'!I98=0,1/3,'BUMN Synergy Calculation'!I81/'BUMN Synergy Calculation'!I98)</f>
        <v>0</v>
      </c>
      <c r="J79" s="159">
        <f>'BUMN Synergy Calculation'!J101*IF('BUMN Synergy Calculation'!J98=0,1/3,'BUMN Synergy Calculation'!J81/'BUMN Synergy Calculation'!J98)</f>
        <v>0</v>
      </c>
      <c r="K79" s="159">
        <f>'BUMN Synergy Calculation'!K101*IF('BUMN Synergy Calculation'!K98=0,1/3,'BUMN Synergy Calculation'!K81/'BUMN Synergy Calculation'!K98)</f>
        <v>0</v>
      </c>
      <c r="L79" s="159">
        <f>'BUMN Synergy Calculation'!L101*IF('BUMN Synergy Calculation'!L98=0,1/3,'BUMN Synergy Calculation'!L81/'BUMN Synergy Calculation'!L98)</f>
        <v>0</v>
      </c>
      <c r="M79" s="159">
        <f>'BUMN Synergy Calculation'!M101*IF('BUMN Synergy Calculation'!M98=0,1/3,'BUMN Synergy Calculation'!M81/'BUMN Synergy Calculation'!M98)</f>
        <v>0</v>
      </c>
      <c r="N79" s="159">
        <f>'BUMN Synergy Calculation'!N101*IF('BUMN Synergy Calculation'!N98=0,1/3,'BUMN Synergy Calculation'!N81/'BUMN Synergy Calculation'!N98)</f>
        <v>0</v>
      </c>
      <c r="O79" s="159">
        <f>'BUMN Synergy Calculation'!O101*IF('BUMN Synergy Calculation'!O98=0,1/3,'BUMN Synergy Calculation'!O81/'BUMN Synergy Calculation'!O98)</f>
        <v>0</v>
      </c>
      <c r="P79" s="159">
        <f>'BUMN Synergy Calculation'!P101*IF('BUMN Synergy Calculation'!P98=0,1/3,'BUMN Synergy Calculation'!P81/'BUMN Synergy Calculation'!P98)</f>
        <v>0</v>
      </c>
      <c r="Q79" s="159">
        <f>'BUMN Synergy Calculation'!Q101*IF('BUMN Synergy Calculation'!Q98=0,1/3,'BUMN Synergy Calculation'!Q81/'BUMN Synergy Calculation'!Q98)</f>
        <v>0</v>
      </c>
      <c r="R79" s="159">
        <f>'BUMN Synergy Calculation'!R101*IF('BUMN Synergy Calculation'!R98=0,1/3,'BUMN Synergy Calculation'!R81/'BUMN Synergy Calculation'!R98)</f>
        <v>0</v>
      </c>
      <c r="S79" s="159">
        <f>'BUMN Synergy Calculation'!S101*IF('BUMN Synergy Calculation'!S98=0,1/3,'BUMN Synergy Calculation'!S81/'BUMN Synergy Calculation'!S98)</f>
        <v>0</v>
      </c>
      <c r="T79" s="159">
        <f>'BUMN Synergy Calculation'!T101*IF('BUMN Synergy Calculation'!T98=0,1/3,'BUMN Synergy Calculation'!T81/'BUMN Synergy Calculation'!T98)</f>
        <v>0</v>
      </c>
    </row>
    <row r="80" spans="2:20" ht="26.25" customHeight="1" x14ac:dyDescent="0.25">
      <c r="B80" s="133" t="s">
        <v>2396</v>
      </c>
      <c r="C80" s="28" t="s">
        <v>493</v>
      </c>
      <c r="G80" s="174">
        <f>G56+G57+G58+G59+G60+G61+G62+G63</f>
        <v>198.43299999999999</v>
      </c>
      <c r="H80" s="174">
        <f t="shared" ref="H80:T80" si="19">H56+H57+H58+H59+H60+H61+H62+H63+H68+H69+H70+H71+H72+H73+H74+H76</f>
        <v>125.24050000000001</v>
      </c>
      <c r="I80" s="174">
        <f t="shared" si="19"/>
        <v>14.638500000000001</v>
      </c>
      <c r="J80" s="174">
        <f t="shared" si="19"/>
        <v>419.77202976190472</v>
      </c>
      <c r="K80" s="174">
        <f t="shared" si="19"/>
        <v>225.06362499999994</v>
      </c>
      <c r="L80" s="174">
        <f t="shared" si="19"/>
        <v>97.59</v>
      </c>
      <c r="M80" s="174">
        <f t="shared" si="19"/>
        <v>0</v>
      </c>
      <c r="N80" s="174">
        <f t="shared" si="19"/>
        <v>0</v>
      </c>
      <c r="O80" s="174">
        <f t="shared" si="19"/>
        <v>0</v>
      </c>
      <c r="P80" s="174">
        <f t="shared" si="19"/>
        <v>0</v>
      </c>
      <c r="Q80" s="174">
        <f t="shared" si="19"/>
        <v>0</v>
      </c>
      <c r="R80" s="174">
        <f t="shared" si="19"/>
        <v>0</v>
      </c>
      <c r="S80" s="174">
        <f t="shared" si="19"/>
        <v>0</v>
      </c>
      <c r="T80" s="174">
        <f t="shared" si="19"/>
        <v>0</v>
      </c>
    </row>
    <row r="81" spans="2:20" x14ac:dyDescent="0.25">
      <c r="B81" s="21" t="s">
        <v>2397</v>
      </c>
      <c r="C81" s="28" t="s">
        <v>493</v>
      </c>
      <c r="G81" s="174">
        <f>G80</f>
        <v>198.43299999999999</v>
      </c>
      <c r="H81" s="174">
        <f t="shared" ref="H81:T81" si="20">H80+H77+H78+H79</f>
        <v>125.24050000000001</v>
      </c>
      <c r="I81" s="174">
        <f t="shared" si="20"/>
        <v>14.638500000000001</v>
      </c>
      <c r="J81" s="174">
        <f t="shared" si="20"/>
        <v>419.77202976190472</v>
      </c>
      <c r="K81" s="174">
        <f t="shared" si="20"/>
        <v>225.06362499999994</v>
      </c>
      <c r="L81" s="174">
        <f t="shared" si="20"/>
        <v>97.59</v>
      </c>
      <c r="M81" s="174">
        <f t="shared" si="20"/>
        <v>0</v>
      </c>
      <c r="N81" s="174">
        <f t="shared" si="20"/>
        <v>0</v>
      </c>
      <c r="O81" s="174">
        <f t="shared" si="20"/>
        <v>0</v>
      </c>
      <c r="P81" s="174">
        <f t="shared" si="20"/>
        <v>0</v>
      </c>
      <c r="Q81" s="174">
        <f t="shared" si="20"/>
        <v>0</v>
      </c>
      <c r="R81" s="174">
        <f t="shared" si="20"/>
        <v>0</v>
      </c>
      <c r="S81" s="174">
        <f t="shared" si="20"/>
        <v>0</v>
      </c>
      <c r="T81" s="174">
        <f t="shared" si="20"/>
        <v>0</v>
      </c>
    </row>
    <row r="83" spans="2:20" x14ac:dyDescent="0.25">
      <c r="B83" s="58" t="s">
        <v>2398</v>
      </c>
      <c r="C83" s="19"/>
      <c r="D83" s="19"/>
      <c r="E83" s="19"/>
      <c r="F83" s="19"/>
      <c r="G83" s="19"/>
      <c r="H83" s="19"/>
      <c r="I83" s="19"/>
      <c r="J83" s="19"/>
      <c r="K83" s="19"/>
      <c r="L83" s="19"/>
      <c r="M83" s="19"/>
      <c r="N83" s="19"/>
      <c r="O83" s="19"/>
      <c r="P83" s="19"/>
      <c r="Q83" s="19"/>
      <c r="R83" s="19"/>
      <c r="S83" s="19"/>
      <c r="T83" s="19"/>
    </row>
    <row r="84" spans="2:20" x14ac:dyDescent="0.25">
      <c r="B84" s="145" t="s">
        <v>2399</v>
      </c>
    </row>
    <row r="85" spans="2:20" x14ac:dyDescent="0.25">
      <c r="B85" s="154" t="s">
        <v>534</v>
      </c>
    </row>
    <row r="86" spans="2:20" x14ac:dyDescent="0.25">
      <c r="B86" s="23" t="s">
        <v>2400</v>
      </c>
      <c r="E86" s="159">
        <f>(G8*G51+SUMPRODUCT($H$8:$T$8,$H$51:$T$51))/1000*Inputs!$H$64</f>
        <v>208.19200000000001</v>
      </c>
    </row>
    <row r="87" spans="2:20" x14ac:dyDescent="0.25">
      <c r="B87" s="23" t="s">
        <v>2401</v>
      </c>
      <c r="E87" s="159">
        <f>'Source Data'!$E$803*G8/(G8+G9)</f>
        <v>161.81183149156558</v>
      </c>
    </row>
    <row r="88" spans="2:20" ht="26.25" customHeight="1" x14ac:dyDescent="0.25">
      <c r="B88" s="64" t="s">
        <v>2402</v>
      </c>
      <c r="C88" s="28" t="s">
        <v>493</v>
      </c>
      <c r="H88" s="159">
        <f>'Revenue Calculation'!H10*$E$86*(Inputs!$E$198/Inputs!$E$199+(1-Inputs!$E$198)/Inputs!$E$200)</f>
        <v>0</v>
      </c>
      <c r="I88" s="159">
        <f>'Revenue Calculation'!I10*$E$86*(Inputs!$E$198/Inputs!$E$199+(1-Inputs!$E$198)/Inputs!$E$200)</f>
        <v>17.79853586312198</v>
      </c>
      <c r="J88" s="159">
        <f>'Revenue Calculation'!J10*$E$86*(Inputs!$E$198/Inputs!$E$199+(1-Inputs!$E$198)/Inputs!$E$200)</f>
        <v>17.79853586312198</v>
      </c>
      <c r="K88" s="159">
        <f>'Revenue Calculation'!K10*$E$86*(Inputs!$E$198/Inputs!$E$199+(1-Inputs!$E$198)/Inputs!$E$200)</f>
        <v>17.79853586312198</v>
      </c>
      <c r="L88" s="159">
        <f>'Revenue Calculation'!L10*$E$86*(Inputs!$E$198/Inputs!$E$199+(1-Inputs!$E$198)/Inputs!$E$200)</f>
        <v>17.79853586312198</v>
      </c>
      <c r="M88" s="159">
        <f>'Revenue Calculation'!M10*$E$86*(Inputs!$E$198/Inputs!$E$199+(1-Inputs!$E$198)/Inputs!$E$200)</f>
        <v>17.79853586312198</v>
      </c>
      <c r="N88" s="159">
        <f>'Revenue Calculation'!N10*$E$86*(Inputs!$E$198/Inputs!$E$199+(1-Inputs!$E$198)/Inputs!$E$200)</f>
        <v>17.79853586312198</v>
      </c>
      <c r="O88" s="159">
        <f>'Revenue Calculation'!O10*$E$86*(Inputs!$E$198/Inputs!$E$199+(1-Inputs!$E$198)/Inputs!$E$200)</f>
        <v>17.79853586312198</v>
      </c>
      <c r="P88" s="159">
        <f>'Revenue Calculation'!P10*$E$86*(Inputs!$E$198/Inputs!$E$199+(1-Inputs!$E$198)/Inputs!$E$200)</f>
        <v>17.79853586312198</v>
      </c>
      <c r="Q88" s="159">
        <f>'Revenue Calculation'!Q10*$E$86*(Inputs!$E$198/Inputs!$E$199+(1-Inputs!$E$198)/Inputs!$E$200)</f>
        <v>17.79853586312198</v>
      </c>
      <c r="R88" s="159">
        <f>'Revenue Calculation'!R10*$E$86*(Inputs!$E$198/Inputs!$E$199+(1-Inputs!$E$198)/Inputs!$E$200)</f>
        <v>17.79853586312198</v>
      </c>
      <c r="S88" s="159">
        <f>'Revenue Calculation'!S10*$E$86*(Inputs!$E$198/Inputs!$E$199+(1-Inputs!$E$198)/Inputs!$E$200)</f>
        <v>17.79853586312198</v>
      </c>
      <c r="T88" s="159">
        <f>'Revenue Calculation'!T10*$E$86*(Inputs!$E$198/Inputs!$E$199+(1-Inputs!$E$198)/Inputs!$E$200)</f>
        <v>17.79853586312198</v>
      </c>
    </row>
    <row r="89" spans="2:20" ht="26.25" customHeight="1" x14ac:dyDescent="0.25">
      <c r="B89" s="64" t="s">
        <v>2403</v>
      </c>
      <c r="C89" s="28" t="s">
        <v>493</v>
      </c>
      <c r="H89" s="159">
        <f>IF(H52&lt;'Revenue Calculation'!$D$10,0,IF(H52='Revenue Calculation'!$D$10,$E$87*Inputs!$H$64+SUMPRODUCT($H$56:$T$56,--($H$52:$T$52&lt;=H52)),H56))</f>
        <v>0</v>
      </c>
      <c r="I89" s="159">
        <f>IF(I52&lt;'Revenue Calculation'!$D$10,0,IF(I52='Revenue Calculation'!$D$10,$E$87*Inputs!$H$64+SUMPRODUCT($H$56:$T$56,--($H$52:$T$52&lt;=I52)),I56))</f>
        <v>207.35383149156559</v>
      </c>
      <c r="J89" s="159">
        <f>IF(J52&lt;'Revenue Calculation'!$D$10,0,IF(J52='Revenue Calculation'!$D$10,$E$87*Inputs!$H$64+SUMPRODUCT($H$56:$T$56,--($H$52:$T$52&lt;=J52)),J56))</f>
        <v>0</v>
      </c>
      <c r="K89" s="159">
        <f>IF(K52&lt;'Revenue Calculation'!$D$10,0,IF(K52='Revenue Calculation'!$D$10,$E$87*Inputs!$H$64+SUMPRODUCT($H$56:$T$56,--($H$52:$T$52&lt;=K52)),K56))</f>
        <v>0</v>
      </c>
      <c r="L89" s="159">
        <f>IF(L52&lt;'Revenue Calculation'!$D$10,0,IF(L52='Revenue Calculation'!$D$10,$E$87*Inputs!$H$64+SUMPRODUCT($H$56:$T$56,--($H$52:$T$52&lt;=L52)),L56))</f>
        <v>0</v>
      </c>
      <c r="M89" s="159">
        <f>IF(M52&lt;'Revenue Calculation'!$D$10,0,IF(M52='Revenue Calculation'!$D$10,$E$87*Inputs!$H$64+SUMPRODUCT($H$56:$T$56,--($H$52:$T$52&lt;=M52)),M56))</f>
        <v>0</v>
      </c>
      <c r="N89" s="159">
        <f>IF(N52&lt;'Revenue Calculation'!$D$10,0,IF(N52='Revenue Calculation'!$D$10,$E$87*Inputs!$H$64+SUMPRODUCT($H$56:$T$56,--($H$52:$T$52&lt;=N52)),N56))</f>
        <v>0</v>
      </c>
      <c r="O89" s="159">
        <f>IF(O52&lt;'Revenue Calculation'!$D$10,0,IF(O52='Revenue Calculation'!$D$10,$E$87*Inputs!$H$64+SUMPRODUCT($H$56:$T$56,--($H$52:$T$52&lt;=O52)),O56))</f>
        <v>0</v>
      </c>
      <c r="P89" s="159">
        <f>IF(P52&lt;'Revenue Calculation'!$D$10,0,IF(P52='Revenue Calculation'!$D$10,$E$87*Inputs!$H$64+SUMPRODUCT($H$56:$T$56,--($H$52:$T$52&lt;=P52)),P56))</f>
        <v>0</v>
      </c>
      <c r="Q89" s="159">
        <f>IF(Q52&lt;'Revenue Calculation'!$D$10,0,IF(Q52='Revenue Calculation'!$D$10,$E$87*Inputs!$H$64+SUMPRODUCT($H$56:$T$56,--($H$52:$T$52&lt;=Q52)),Q56))</f>
        <v>0</v>
      </c>
      <c r="R89" s="159">
        <f>IF(R52&lt;'Revenue Calculation'!$D$10,0,IF(R52='Revenue Calculation'!$D$10,$E$87*Inputs!$H$64+SUMPRODUCT($H$56:$T$56,--($H$52:$T$52&lt;=R52)),R56))</f>
        <v>0</v>
      </c>
      <c r="S89" s="159">
        <f>IF(S52&lt;'Revenue Calculation'!$D$10,0,IF(S52='Revenue Calculation'!$D$10,$E$87*Inputs!$H$64+SUMPRODUCT($H$56:$T$56,--($H$52:$T$52&lt;=S52)),S56))</f>
        <v>0</v>
      </c>
      <c r="T89" s="159">
        <f>IF(T52&lt;'Revenue Calculation'!$D$10,0,IF(T52='Revenue Calculation'!$D$10,$E$87*Inputs!$H$64+SUMPRODUCT($H$56:$T$56,--($H$52:$T$52&lt;=T52)),T56))</f>
        <v>0</v>
      </c>
    </row>
    <row r="90" spans="2:20" x14ac:dyDescent="0.25">
      <c r="B90" s="23" t="s">
        <v>2404</v>
      </c>
      <c r="C90" s="28" t="s">
        <v>493</v>
      </c>
      <c r="H90" s="159">
        <f>(SUMPRODUCT($H$89:$T$89,--($H$52:$T$52&lt;=H52),--($H$52:$T$52&gt;H52-Inputs!$E$199))*Inputs!$E$198/Inputs!$E$199+SUMPRODUCT($H$89:$T$89,--($H$52:$T$52&lt;=H52),--($H$52:$T$52&gt;H52-Inputs!$E$200))*(1-Inputs!$E$198)/Inputs!$E$200)</f>
        <v>0</v>
      </c>
      <c r="I90" s="159">
        <f>(SUMPRODUCT($H$89:$T$89,--($H$52:$T$52&lt;=I52),--($H$52:$T$52&gt;I52-Inputs!$E$199))*Inputs!$E$198/Inputs!$E$199+SUMPRODUCT($H$89:$T$89,--($H$52:$T$52&lt;=I52),--($H$52:$T$52&gt;I52-Inputs!$E$200))*(1-Inputs!$E$198)/Inputs!$E$200)</f>
        <v>17.726880024969173</v>
      </c>
      <c r="J90" s="159">
        <f>(SUMPRODUCT($H$89:$T$89,--($H$52:$T$52&lt;=J52),--($H$52:$T$52&gt;J52-Inputs!$E$199))*Inputs!$E$198/Inputs!$E$199+SUMPRODUCT($H$89:$T$89,--($H$52:$T$52&lt;=J52),--($H$52:$T$52&gt;J52-Inputs!$E$200))*(1-Inputs!$E$198)/Inputs!$E$200)</f>
        <v>17.726880024969173</v>
      </c>
      <c r="K90" s="159">
        <f>(SUMPRODUCT($H$89:$T$89,--($H$52:$T$52&lt;=K52),--($H$52:$T$52&gt;K52-Inputs!$E$199))*Inputs!$E$198/Inputs!$E$199+SUMPRODUCT($H$89:$T$89,--($H$52:$T$52&lt;=K52),--($H$52:$T$52&gt;K52-Inputs!$E$200))*(1-Inputs!$E$198)/Inputs!$E$200)</f>
        <v>17.726880024969173</v>
      </c>
      <c r="L90" s="159">
        <f>(SUMPRODUCT($H$89:$T$89,--($H$52:$T$52&lt;=L52),--($H$52:$T$52&gt;L52-Inputs!$E$199))*Inputs!$E$198/Inputs!$E$199+SUMPRODUCT($H$89:$T$89,--($H$52:$T$52&lt;=L52),--($H$52:$T$52&gt;L52-Inputs!$E$200))*(1-Inputs!$E$198)/Inputs!$E$200)</f>
        <v>17.726880024969173</v>
      </c>
      <c r="M90" s="159">
        <f>(SUMPRODUCT($H$89:$T$89,--($H$52:$T$52&lt;=M52),--($H$52:$T$52&gt;M52-Inputs!$E$199))*Inputs!$E$198/Inputs!$E$199+SUMPRODUCT($H$89:$T$89,--($H$52:$T$52&lt;=M52),--($H$52:$T$52&gt;M52-Inputs!$E$200))*(1-Inputs!$E$198)/Inputs!$E$200)</f>
        <v>17.726880024969173</v>
      </c>
      <c r="N90" s="159">
        <f>(SUMPRODUCT($H$89:$T$89,--($H$52:$T$52&lt;=N52),--($H$52:$T$52&gt;N52-Inputs!$E$199))*Inputs!$E$198/Inputs!$E$199+SUMPRODUCT($H$89:$T$89,--($H$52:$T$52&lt;=N52),--($H$52:$T$52&gt;N52-Inputs!$E$200))*(1-Inputs!$E$198)/Inputs!$E$200)</f>
        <v>17.726880024969173</v>
      </c>
      <c r="O90" s="159">
        <f>(SUMPRODUCT($H$89:$T$89,--($H$52:$T$52&lt;=O52),--($H$52:$T$52&gt;O52-Inputs!$E$199))*Inputs!$E$198/Inputs!$E$199+SUMPRODUCT($H$89:$T$89,--($H$52:$T$52&lt;=O52),--($H$52:$T$52&gt;O52-Inputs!$E$200))*(1-Inputs!$E$198)/Inputs!$E$200)</f>
        <v>17.726880024969173</v>
      </c>
      <c r="P90" s="159">
        <f>(SUMPRODUCT($H$89:$T$89,--($H$52:$T$52&lt;=P52),--($H$52:$T$52&gt;P52-Inputs!$E$199))*Inputs!$E$198/Inputs!$E$199+SUMPRODUCT($H$89:$T$89,--($H$52:$T$52&lt;=P52),--($H$52:$T$52&gt;P52-Inputs!$E$200))*(1-Inputs!$E$198)/Inputs!$E$200)</f>
        <v>17.726880024969173</v>
      </c>
      <c r="Q90" s="159">
        <f>(SUMPRODUCT($H$89:$T$89,--($H$52:$T$52&lt;=Q52),--($H$52:$T$52&gt;Q52-Inputs!$E$199))*Inputs!$E$198/Inputs!$E$199+SUMPRODUCT($H$89:$T$89,--($H$52:$T$52&lt;=Q52),--($H$52:$T$52&gt;Q52-Inputs!$E$200))*(1-Inputs!$E$198)/Inputs!$E$200)</f>
        <v>5.4615659409843511</v>
      </c>
      <c r="R90" s="159">
        <f>(SUMPRODUCT($H$89:$T$89,--($H$52:$T$52&lt;=R52),--($H$52:$T$52&gt;R52-Inputs!$E$199))*Inputs!$E$198/Inputs!$E$199+SUMPRODUCT($H$89:$T$89,--($H$52:$T$52&lt;=R52),--($H$52:$T$52&gt;R52-Inputs!$E$200))*(1-Inputs!$E$198)/Inputs!$E$200)</f>
        <v>5.4615659409843511</v>
      </c>
      <c r="S90" s="159">
        <f>(SUMPRODUCT($H$89:$T$89,--($H$52:$T$52&lt;=S52),--($H$52:$T$52&gt;S52-Inputs!$E$199))*Inputs!$E$198/Inputs!$E$199+SUMPRODUCT($H$89:$T$89,--($H$52:$T$52&lt;=S52),--($H$52:$T$52&gt;S52-Inputs!$E$200))*(1-Inputs!$E$198)/Inputs!$E$200)</f>
        <v>5.4615659409843511</v>
      </c>
      <c r="T90" s="159">
        <f>(SUMPRODUCT($H$89:$T$89,--($H$52:$T$52&lt;=T52),--($H$52:$T$52&gt;T52-Inputs!$E$199))*Inputs!$E$198/Inputs!$E$199+SUMPRODUCT($H$89:$T$89,--($H$52:$T$52&lt;=T52),--($H$52:$T$52&gt;T52-Inputs!$E$200))*(1-Inputs!$E$198)/Inputs!$E$200)</f>
        <v>5.4615659409843511</v>
      </c>
    </row>
    <row r="91" spans="2:20" x14ac:dyDescent="0.25">
      <c r="B91" s="21" t="s">
        <v>2405</v>
      </c>
      <c r="C91" s="28" t="s">
        <v>493</v>
      </c>
      <c r="H91" s="160">
        <f>IF(Inputs!$E$742=1,H90,H88)</f>
        <v>0</v>
      </c>
      <c r="I91" s="160">
        <f>IF(Inputs!$E$742=1,I90,I88)</f>
        <v>17.79853586312198</v>
      </c>
      <c r="J91" s="160">
        <f>IF(Inputs!$E$742=1,J90,J88)</f>
        <v>17.79853586312198</v>
      </c>
      <c r="K91" s="160">
        <f>IF(Inputs!$E$742=1,K90,K88)</f>
        <v>17.79853586312198</v>
      </c>
      <c r="L91" s="160">
        <f>IF(Inputs!$E$742=1,L90,L88)</f>
        <v>17.79853586312198</v>
      </c>
      <c r="M91" s="160">
        <f>IF(Inputs!$E$742=1,M90,M88)</f>
        <v>17.79853586312198</v>
      </c>
      <c r="N91" s="160">
        <f>IF(Inputs!$E$742=1,N90,N88)</f>
        <v>17.79853586312198</v>
      </c>
      <c r="O91" s="160">
        <f>IF(Inputs!$E$742=1,O90,O88)</f>
        <v>17.79853586312198</v>
      </c>
      <c r="P91" s="160">
        <f>IF(Inputs!$E$742=1,P90,P88)</f>
        <v>17.79853586312198</v>
      </c>
      <c r="Q91" s="160">
        <f>IF(Inputs!$E$742=1,Q90,Q88)</f>
        <v>17.79853586312198</v>
      </c>
      <c r="R91" s="160">
        <f>IF(Inputs!$E$742=1,R90,R88)</f>
        <v>17.79853586312198</v>
      </c>
      <c r="S91" s="160">
        <f>IF(Inputs!$E$742=1,S90,S88)</f>
        <v>17.79853586312198</v>
      </c>
      <c r="T91" s="160">
        <f>IF(Inputs!$E$742=1,T90,T88)</f>
        <v>17.79853586312198</v>
      </c>
    </row>
    <row r="92" spans="2:20" x14ac:dyDescent="0.25">
      <c r="B92" s="154" t="s">
        <v>539</v>
      </c>
    </row>
    <row r="93" spans="2:20" x14ac:dyDescent="0.25">
      <c r="B93" s="23" t="s">
        <v>2400</v>
      </c>
      <c r="E93" s="159">
        <f>(G9*G51+SUMPRODUCT($H$9:$T$9,$H$51:$T$51))/1000*Inputs!$H$65</f>
        <v>130.12</v>
      </c>
    </row>
    <row r="94" spans="2:20" x14ac:dyDescent="0.25">
      <c r="B94" s="23" t="s">
        <v>2401</v>
      </c>
      <c r="E94" s="159">
        <f>'Source Data'!$E$803*G9/(G8+G9)</f>
        <v>35.59860292814443</v>
      </c>
    </row>
    <row r="95" spans="2:20" ht="26.25" customHeight="1" x14ac:dyDescent="0.25">
      <c r="B95" s="64" t="s">
        <v>2402</v>
      </c>
      <c r="C95" s="28" t="s">
        <v>493</v>
      </c>
      <c r="H95" s="159">
        <f>'Revenue Calculation'!H11*$E$93*(Inputs!$E$212/Inputs!$E$213+(1-Inputs!$E$212)/Inputs!$E$214)</f>
        <v>0</v>
      </c>
      <c r="I95" s="159">
        <f>'Revenue Calculation'!I11*$E$93*(Inputs!$E$212/Inputs!$E$213+(1-Inputs!$E$212)/Inputs!$E$214)</f>
        <v>7.4200198051661976</v>
      </c>
      <c r="J95" s="159">
        <f>'Revenue Calculation'!J11*$E$93*(Inputs!$E$212/Inputs!$E$213+(1-Inputs!$E$212)/Inputs!$E$214)</f>
        <v>7.4200198051661976</v>
      </c>
      <c r="K95" s="159">
        <f>'Revenue Calculation'!K11*$E$93*(Inputs!$E$212/Inputs!$E$213+(1-Inputs!$E$212)/Inputs!$E$214)</f>
        <v>7.4200198051661976</v>
      </c>
      <c r="L95" s="159">
        <f>'Revenue Calculation'!L11*$E$93*(Inputs!$E$212/Inputs!$E$213+(1-Inputs!$E$212)/Inputs!$E$214)</f>
        <v>7.4200198051661976</v>
      </c>
      <c r="M95" s="159">
        <f>'Revenue Calculation'!M11*$E$93*(Inputs!$E$212/Inputs!$E$213+(1-Inputs!$E$212)/Inputs!$E$214)</f>
        <v>7.4200198051661976</v>
      </c>
      <c r="N95" s="159">
        <f>'Revenue Calculation'!N11*$E$93*(Inputs!$E$212/Inputs!$E$213+(1-Inputs!$E$212)/Inputs!$E$214)</f>
        <v>7.4200198051661976</v>
      </c>
      <c r="O95" s="159">
        <f>'Revenue Calculation'!O11*$E$93*(Inputs!$E$212/Inputs!$E$213+(1-Inputs!$E$212)/Inputs!$E$214)</f>
        <v>7.4200198051661976</v>
      </c>
      <c r="P95" s="159">
        <f>'Revenue Calculation'!P11*$E$93*(Inputs!$E$212/Inputs!$E$213+(1-Inputs!$E$212)/Inputs!$E$214)</f>
        <v>7.4200198051661976</v>
      </c>
      <c r="Q95" s="159">
        <f>'Revenue Calculation'!Q11*$E$93*(Inputs!$E$212/Inputs!$E$213+(1-Inputs!$E$212)/Inputs!$E$214)</f>
        <v>7.4200198051661976</v>
      </c>
      <c r="R95" s="159">
        <f>'Revenue Calculation'!R11*$E$93*(Inputs!$E$212/Inputs!$E$213+(1-Inputs!$E$212)/Inputs!$E$214)</f>
        <v>7.4200198051661976</v>
      </c>
      <c r="S95" s="159">
        <f>'Revenue Calculation'!S11*$E$93*(Inputs!$E$212/Inputs!$E$213+(1-Inputs!$E$212)/Inputs!$E$214)</f>
        <v>7.4200198051661976</v>
      </c>
      <c r="T95" s="159">
        <f>'Revenue Calculation'!T11*$E$93*(Inputs!$E$212/Inputs!$E$213+(1-Inputs!$E$212)/Inputs!$E$214)</f>
        <v>7.4200198051661976</v>
      </c>
    </row>
    <row r="96" spans="2:20" ht="26.25" customHeight="1" x14ac:dyDescent="0.25">
      <c r="B96" s="64" t="s">
        <v>2403</v>
      </c>
      <c r="C96" s="28" t="s">
        <v>493</v>
      </c>
      <c r="H96" s="159">
        <f>IF(H52&lt;'Revenue Calculation'!$D$11,0,IF(H52='Revenue Calculation'!$D$11,$E$94*Inputs!$H$65+SUMPRODUCT($H$57:$T$57,--($H$52:$T$52&lt;=H52)),H57))</f>
        <v>0</v>
      </c>
      <c r="I96" s="159">
        <f>IF(I52&lt;'Revenue Calculation'!$D$11,0,IF(I52='Revenue Calculation'!$D$11,$E$94*Inputs!$H$65+SUMPRODUCT($H$57:$T$57,--($H$52:$T$52&lt;=I52)),I57))</f>
        <v>129.93560292814442</v>
      </c>
      <c r="J96" s="159">
        <f>IF(J52&lt;'Revenue Calculation'!$D$11,0,IF(J52='Revenue Calculation'!$D$11,$E$94*Inputs!$H$65+SUMPRODUCT($H$57:$T$57,--($H$52:$T$52&lt;=J52)),J57))</f>
        <v>0</v>
      </c>
      <c r="K96" s="159">
        <f>IF(K52&lt;'Revenue Calculation'!$D$11,0,IF(K52='Revenue Calculation'!$D$11,$E$94*Inputs!$H$65+SUMPRODUCT($H$57:$T$57,--($H$52:$T$52&lt;=K52)),K57))</f>
        <v>0</v>
      </c>
      <c r="L96" s="159">
        <f>IF(L52&lt;'Revenue Calculation'!$D$11,0,IF(L52='Revenue Calculation'!$D$11,$E$94*Inputs!$H$65+SUMPRODUCT($H$57:$T$57,--($H$52:$T$52&lt;=L52)),L57))</f>
        <v>0</v>
      </c>
      <c r="M96" s="159">
        <f>IF(M52&lt;'Revenue Calculation'!$D$11,0,IF(M52='Revenue Calculation'!$D$11,$E$94*Inputs!$H$65+SUMPRODUCT($H$57:$T$57,--($H$52:$T$52&lt;=M52)),M57))</f>
        <v>0</v>
      </c>
      <c r="N96" s="159">
        <f>IF(N52&lt;'Revenue Calculation'!$D$11,0,IF(N52='Revenue Calculation'!$D$11,$E$94*Inputs!$H$65+SUMPRODUCT($H$57:$T$57,--($H$52:$T$52&lt;=N52)),N57))</f>
        <v>0</v>
      </c>
      <c r="O96" s="159">
        <f>IF(O52&lt;'Revenue Calculation'!$D$11,0,IF(O52='Revenue Calculation'!$D$11,$E$94*Inputs!$H$65+SUMPRODUCT($H$57:$T$57,--($H$52:$T$52&lt;=O52)),O57))</f>
        <v>0</v>
      </c>
      <c r="P96" s="159">
        <f>IF(P52&lt;'Revenue Calculation'!$D$11,0,IF(P52='Revenue Calculation'!$D$11,$E$94*Inputs!$H$65+SUMPRODUCT($H$57:$T$57,--($H$52:$T$52&lt;=P52)),P57))</f>
        <v>0</v>
      </c>
      <c r="Q96" s="159">
        <f>IF(Q52&lt;'Revenue Calculation'!$D$11,0,IF(Q52='Revenue Calculation'!$D$11,$E$94*Inputs!$H$65+SUMPRODUCT($H$57:$T$57,--($H$52:$T$52&lt;=Q52)),Q57))</f>
        <v>0</v>
      </c>
      <c r="R96" s="159">
        <f>IF(R52&lt;'Revenue Calculation'!$D$11,0,IF(R52='Revenue Calculation'!$D$11,$E$94*Inputs!$H$65+SUMPRODUCT($H$57:$T$57,--($H$52:$T$52&lt;=R52)),R57))</f>
        <v>0</v>
      </c>
      <c r="S96" s="159">
        <f>IF(S52&lt;'Revenue Calculation'!$D$11,0,IF(S52='Revenue Calculation'!$D$11,$E$94*Inputs!$H$65+SUMPRODUCT($H$57:$T$57,--($H$52:$T$52&lt;=S52)),S57))</f>
        <v>0</v>
      </c>
      <c r="T96" s="159">
        <f>IF(T52&lt;'Revenue Calculation'!$D$11,0,IF(T52='Revenue Calculation'!$D$11,$E$94*Inputs!$H$65+SUMPRODUCT($H$57:$T$57,--($H$52:$T$52&lt;=T52)),T57))</f>
        <v>0</v>
      </c>
    </row>
    <row r="97" spans="2:20" x14ac:dyDescent="0.25">
      <c r="B97" s="23" t="s">
        <v>2404</v>
      </c>
      <c r="C97" s="28" t="s">
        <v>493</v>
      </c>
      <c r="H97" s="159">
        <f>(SUMPRODUCT($H$96:$T$96,--($H$52:$T$52&lt;=H52),--($H$52:$T$52&gt;H52-Inputs!$E$213))*Inputs!$E$212/Inputs!$E$213+SUMPRODUCT($H$96:$T$96,--($H$52:$T$52&lt;=H52),--($H$52:$T$52&gt;H52-Inputs!$E$214))*(1-Inputs!$E$212)/Inputs!$E$214)</f>
        <v>0</v>
      </c>
      <c r="I97" s="159">
        <f>(SUMPRODUCT($H$96:$T$96,--($H$52:$T$52&lt;=I52),--($H$52:$T$52&gt;I52-Inputs!$E$213))*Inputs!$E$212/Inputs!$E$213+SUMPRODUCT($H$96:$T$96,--($H$52:$T$52&lt;=I52),--($H$52:$T$52&gt;I52-Inputs!$E$214))*(1-Inputs!$E$212)/Inputs!$E$214)</f>
        <v>7.4095046658702923</v>
      </c>
      <c r="J97" s="159">
        <f>(SUMPRODUCT($H$96:$T$96,--($H$52:$T$52&lt;=J52),--($H$52:$T$52&gt;J52-Inputs!$E$213))*Inputs!$E$212/Inputs!$E$213+SUMPRODUCT($H$96:$T$96,--($H$52:$T$52&lt;=J52),--($H$52:$T$52&gt;J52-Inputs!$E$214))*(1-Inputs!$E$212)/Inputs!$E$214)</f>
        <v>7.4095046658702923</v>
      </c>
      <c r="K97" s="159">
        <f>(SUMPRODUCT($H$96:$T$96,--($H$52:$T$52&lt;=K52),--($H$52:$T$52&gt;K52-Inputs!$E$213))*Inputs!$E$212/Inputs!$E$213+SUMPRODUCT($H$96:$T$96,--($H$52:$T$52&lt;=K52),--($H$52:$T$52&gt;K52-Inputs!$E$214))*(1-Inputs!$E$212)/Inputs!$E$214)</f>
        <v>7.4095046658702923</v>
      </c>
      <c r="L97" s="159">
        <f>(SUMPRODUCT($H$96:$T$96,--($H$52:$T$52&lt;=L52),--($H$52:$T$52&gt;L52-Inputs!$E$213))*Inputs!$E$212/Inputs!$E$213+SUMPRODUCT($H$96:$T$96,--($H$52:$T$52&lt;=L52),--($H$52:$T$52&gt;L52-Inputs!$E$214))*(1-Inputs!$E$212)/Inputs!$E$214)</f>
        <v>7.4095046658702923</v>
      </c>
      <c r="M97" s="159">
        <f>(SUMPRODUCT($H$96:$T$96,--($H$52:$T$52&lt;=M52),--($H$52:$T$52&gt;M52-Inputs!$E$213))*Inputs!$E$212/Inputs!$E$213+SUMPRODUCT($H$96:$T$96,--($H$52:$T$52&lt;=M52),--($H$52:$T$52&gt;M52-Inputs!$E$214))*(1-Inputs!$E$212)/Inputs!$E$214)</f>
        <v>7.4095046658702923</v>
      </c>
      <c r="N97" s="159">
        <f>(SUMPRODUCT($H$96:$T$96,--($H$52:$T$52&lt;=N52),--($H$52:$T$52&gt;N52-Inputs!$E$213))*Inputs!$E$212/Inputs!$E$213+SUMPRODUCT($H$96:$T$96,--($H$52:$T$52&lt;=N52),--($H$52:$T$52&gt;N52-Inputs!$E$214))*(1-Inputs!$E$212)/Inputs!$E$214)</f>
        <v>7.4095046658702923</v>
      </c>
      <c r="O97" s="159">
        <f>(SUMPRODUCT($H$96:$T$96,--($H$52:$T$52&lt;=O52),--($H$52:$T$52&gt;O52-Inputs!$E$213))*Inputs!$E$212/Inputs!$E$213+SUMPRODUCT($H$96:$T$96,--($H$52:$T$52&lt;=O52),--($H$52:$T$52&gt;O52-Inputs!$E$214))*(1-Inputs!$E$212)/Inputs!$E$214)</f>
        <v>7.4095046658702923</v>
      </c>
      <c r="P97" s="159">
        <f>(SUMPRODUCT($H$96:$T$96,--($H$52:$T$52&lt;=P52),--($H$52:$T$52&gt;P52-Inputs!$E$213))*Inputs!$E$212/Inputs!$E$213+SUMPRODUCT($H$96:$T$96,--($H$52:$T$52&lt;=P52),--($H$52:$T$52&gt;P52-Inputs!$E$214))*(1-Inputs!$E$212)/Inputs!$E$214)</f>
        <v>7.4095046658702923</v>
      </c>
      <c r="Q97" s="159">
        <f>(SUMPRODUCT($H$96:$T$96,--($H$52:$T$52&lt;=Q52),--($H$52:$T$52&gt;Q52-Inputs!$E$213))*Inputs!$E$212/Inputs!$E$213+SUMPRODUCT($H$96:$T$96,--($H$52:$T$52&lt;=Q52),--($H$52:$T$52&gt;Q52-Inputs!$E$214))*(1-Inputs!$E$212)/Inputs!$E$214)</f>
        <v>5.8882971334318395</v>
      </c>
      <c r="R97" s="159">
        <f>(SUMPRODUCT($H$96:$T$96,--($H$52:$T$52&lt;=R52),--($H$52:$T$52&gt;R52-Inputs!$E$213))*Inputs!$E$212/Inputs!$E$213+SUMPRODUCT($H$96:$T$96,--($H$52:$T$52&lt;=R52),--($H$52:$T$52&gt;R52-Inputs!$E$214))*(1-Inputs!$E$212)/Inputs!$E$214)</f>
        <v>5.8882971334318395</v>
      </c>
      <c r="S97" s="159">
        <f>(SUMPRODUCT($H$96:$T$96,--($H$52:$T$52&lt;=S52),--($H$52:$T$52&gt;S52-Inputs!$E$213))*Inputs!$E$212/Inputs!$E$213+SUMPRODUCT($H$96:$T$96,--($H$52:$T$52&lt;=S52),--($H$52:$T$52&gt;S52-Inputs!$E$214))*(1-Inputs!$E$212)/Inputs!$E$214)</f>
        <v>5.8882971334318395</v>
      </c>
      <c r="T97" s="159">
        <f>(SUMPRODUCT($H$96:$T$96,--($H$52:$T$52&lt;=T52),--($H$52:$T$52&gt;T52-Inputs!$E$213))*Inputs!$E$212/Inputs!$E$213+SUMPRODUCT($H$96:$T$96,--($H$52:$T$52&lt;=T52),--($H$52:$T$52&gt;T52-Inputs!$E$214))*(1-Inputs!$E$212)/Inputs!$E$214)</f>
        <v>5.8882971334318395</v>
      </c>
    </row>
    <row r="98" spans="2:20" x14ac:dyDescent="0.25">
      <c r="B98" s="21" t="s">
        <v>2406</v>
      </c>
      <c r="C98" s="28" t="s">
        <v>493</v>
      </c>
      <c r="H98" s="160">
        <f>IF(Inputs!$E$742=1,H97,H95)</f>
        <v>0</v>
      </c>
      <c r="I98" s="160">
        <f>IF(Inputs!$E$742=1,I97,I95)</f>
        <v>7.4200198051661976</v>
      </c>
      <c r="J98" s="160">
        <f>IF(Inputs!$E$742=1,J97,J95)</f>
        <v>7.4200198051661976</v>
      </c>
      <c r="K98" s="160">
        <f>IF(Inputs!$E$742=1,K97,K95)</f>
        <v>7.4200198051661976</v>
      </c>
      <c r="L98" s="160">
        <f>IF(Inputs!$E$742=1,L97,L95)</f>
        <v>7.4200198051661976</v>
      </c>
      <c r="M98" s="160">
        <f>IF(Inputs!$E$742=1,M97,M95)</f>
        <v>7.4200198051661976</v>
      </c>
      <c r="N98" s="160">
        <f>IF(Inputs!$E$742=1,N97,N95)</f>
        <v>7.4200198051661976</v>
      </c>
      <c r="O98" s="160">
        <f>IF(Inputs!$E$742=1,O97,O95)</f>
        <v>7.4200198051661976</v>
      </c>
      <c r="P98" s="160">
        <f>IF(Inputs!$E$742=1,P97,P95)</f>
        <v>7.4200198051661976</v>
      </c>
      <c r="Q98" s="160">
        <f>IF(Inputs!$E$742=1,Q97,Q95)</f>
        <v>7.4200198051661976</v>
      </c>
      <c r="R98" s="160">
        <f>IF(Inputs!$E$742=1,R97,R95)</f>
        <v>7.4200198051661976</v>
      </c>
      <c r="S98" s="160">
        <f>IF(Inputs!$E$742=1,S97,S95)</f>
        <v>7.4200198051661976</v>
      </c>
      <c r="T98" s="160">
        <f>IF(Inputs!$E$742=1,T97,T95)</f>
        <v>7.4200198051661976</v>
      </c>
    </row>
    <row r="99" spans="2:20" x14ac:dyDescent="0.25">
      <c r="B99" s="154" t="s">
        <v>542</v>
      </c>
    </row>
    <row r="100" spans="2:20" x14ac:dyDescent="0.25">
      <c r="B100" s="23" t="s">
        <v>2407</v>
      </c>
      <c r="E100" s="159">
        <f>(G10*G51+SUMPRODUCT($H$10:$T$10,$H$51:$T$51))/1000*Inputs!$H$66</f>
        <v>97.990000000000052</v>
      </c>
    </row>
    <row r="101" spans="2:20" x14ac:dyDescent="0.25">
      <c r="B101" s="23" t="s">
        <v>2408</v>
      </c>
      <c r="E101" s="159">
        <f>$E$100*Inputs!$E$741</f>
        <v>0</v>
      </c>
    </row>
    <row r="102" spans="2:20" ht="26.25" customHeight="1" x14ac:dyDescent="0.25">
      <c r="B102" s="64" t="s">
        <v>2402</v>
      </c>
      <c r="C102" s="28" t="s">
        <v>493</v>
      </c>
      <c r="H102" s="159">
        <f>'Revenue Calculation'!H12*$E$101*(Inputs!$E$227/Inputs!$E$228+(1-Inputs!$E$227)/Inputs!$E$229)</f>
        <v>0</v>
      </c>
      <c r="I102" s="159">
        <f>'Revenue Calculation'!I12*$E$101*(Inputs!$E$227/Inputs!$E$228+(1-Inputs!$E$227)/Inputs!$E$229)</f>
        <v>0</v>
      </c>
      <c r="J102" s="159">
        <f>'Revenue Calculation'!J12*$E$101*(Inputs!$E$227/Inputs!$E$228+(1-Inputs!$E$227)/Inputs!$E$229)</f>
        <v>0</v>
      </c>
      <c r="K102" s="159">
        <f>'Revenue Calculation'!K12*$E$101*(Inputs!$E$227/Inputs!$E$228+(1-Inputs!$E$227)/Inputs!$E$229)</f>
        <v>0</v>
      </c>
      <c r="L102" s="159">
        <f>'Revenue Calculation'!L12*$E$101*(Inputs!$E$227/Inputs!$E$228+(1-Inputs!$E$227)/Inputs!$E$229)</f>
        <v>0</v>
      </c>
      <c r="M102" s="159">
        <f>'Revenue Calculation'!M12*$E$101*(Inputs!$E$227/Inputs!$E$228+(1-Inputs!$E$227)/Inputs!$E$229)</f>
        <v>0</v>
      </c>
      <c r="N102" s="159">
        <f>'Revenue Calculation'!N12*$E$101*(Inputs!$E$227/Inputs!$E$228+(1-Inputs!$E$227)/Inputs!$E$229)</f>
        <v>0</v>
      </c>
      <c r="O102" s="159">
        <f>'Revenue Calculation'!O12*$E$101*(Inputs!$E$227/Inputs!$E$228+(1-Inputs!$E$227)/Inputs!$E$229)</f>
        <v>0</v>
      </c>
      <c r="P102" s="159">
        <f>'Revenue Calculation'!P12*$E$101*(Inputs!$E$227/Inputs!$E$228+(1-Inputs!$E$227)/Inputs!$E$229)</f>
        <v>0</v>
      </c>
      <c r="Q102" s="159">
        <f>'Revenue Calculation'!Q12*$E$101*(Inputs!$E$227/Inputs!$E$228+(1-Inputs!$E$227)/Inputs!$E$229)</f>
        <v>0</v>
      </c>
      <c r="R102" s="159">
        <f>'Revenue Calculation'!R12*$E$101*(Inputs!$E$227/Inputs!$E$228+(1-Inputs!$E$227)/Inputs!$E$229)</f>
        <v>0</v>
      </c>
      <c r="S102" s="159">
        <f>'Revenue Calculation'!S12*$E$101*(Inputs!$E$227/Inputs!$E$228+(1-Inputs!$E$227)/Inputs!$E$229)</f>
        <v>0</v>
      </c>
      <c r="T102" s="159">
        <f>'Revenue Calculation'!T12*$E$101*(Inputs!$E$227/Inputs!$E$228+(1-Inputs!$E$227)/Inputs!$E$229)</f>
        <v>0</v>
      </c>
    </row>
    <row r="103" spans="2:20" ht="26.25" customHeight="1" x14ac:dyDescent="0.25">
      <c r="B103" s="64" t="s">
        <v>2403</v>
      </c>
      <c r="C103" s="28" t="s">
        <v>493</v>
      </c>
      <c r="H103" s="159">
        <f>IF(H52&lt;'Revenue Calculation'!$D$12,0,IF(H52='Revenue Calculation'!$D$12,SUMPRODUCT($H$58:$T$58,--($H$52:$T$52&lt;=H52)),H58))</f>
        <v>0</v>
      </c>
      <c r="I103" s="159">
        <f>IF(I52&lt;'Revenue Calculation'!$D$12,0,IF(I52='Revenue Calculation'!$D$12,SUMPRODUCT($H$58:$T$58,--($H$52:$T$52&lt;=I52)),I58))</f>
        <v>0</v>
      </c>
      <c r="J103" s="159">
        <f>IF(J52&lt;'Revenue Calculation'!$D$12,0,IF(J52='Revenue Calculation'!$D$12,SUMPRODUCT($H$58:$T$58,--($H$52:$T$52&lt;=J52)),J58))</f>
        <v>0</v>
      </c>
      <c r="K103" s="159">
        <f>IF(K52&lt;'Revenue Calculation'!$D$12,0,IF(K52='Revenue Calculation'!$D$12,SUMPRODUCT($H$58:$T$58,--($H$52:$T$52&lt;=K52)),K58))</f>
        <v>97.990000000000052</v>
      </c>
      <c r="L103" s="159">
        <f>IF(L52&lt;'Revenue Calculation'!$D$12,0,IF(L52='Revenue Calculation'!$D$12,SUMPRODUCT($H$58:$T$58,--($H$52:$T$52&lt;=L52)),L58))</f>
        <v>0</v>
      </c>
      <c r="M103" s="159">
        <f>IF(M52&lt;'Revenue Calculation'!$D$12,0,IF(M52='Revenue Calculation'!$D$12,SUMPRODUCT($H$58:$T$58,--($H$52:$T$52&lt;=M52)),M58))</f>
        <v>0</v>
      </c>
      <c r="N103" s="159">
        <f>IF(N52&lt;'Revenue Calculation'!$D$12,0,IF(N52='Revenue Calculation'!$D$12,SUMPRODUCT($H$58:$T$58,--($H$52:$T$52&lt;=N52)),N58))</f>
        <v>0</v>
      </c>
      <c r="O103" s="159">
        <f>IF(O52&lt;'Revenue Calculation'!$D$12,0,IF(O52='Revenue Calculation'!$D$12,SUMPRODUCT($H$58:$T$58,--($H$52:$T$52&lt;=O52)),O58))</f>
        <v>0</v>
      </c>
      <c r="P103" s="159">
        <f>IF(P52&lt;'Revenue Calculation'!$D$12,0,IF(P52='Revenue Calculation'!$D$12,SUMPRODUCT($H$58:$T$58,--($H$52:$T$52&lt;=P52)),P58))</f>
        <v>0</v>
      </c>
      <c r="Q103" s="159">
        <f>IF(Q52&lt;'Revenue Calculation'!$D$12,0,IF(Q52='Revenue Calculation'!$D$12,SUMPRODUCT($H$58:$T$58,--($H$52:$T$52&lt;=Q52)),Q58))</f>
        <v>0</v>
      </c>
      <c r="R103" s="159">
        <f>IF(R52&lt;'Revenue Calculation'!$D$12,0,IF(R52='Revenue Calculation'!$D$12,SUMPRODUCT($H$58:$T$58,--($H$52:$T$52&lt;=R52)),R58))</f>
        <v>0</v>
      </c>
      <c r="S103" s="159">
        <f>IF(S52&lt;'Revenue Calculation'!$D$12,0,IF(S52='Revenue Calculation'!$D$12,SUMPRODUCT($H$58:$T$58,--($H$52:$T$52&lt;=S52)),S58))</f>
        <v>0</v>
      </c>
      <c r="T103" s="159">
        <f>IF(T52&lt;'Revenue Calculation'!$D$12,0,IF(T52='Revenue Calculation'!$D$12,SUMPRODUCT($H$58:$T$58,--($H$52:$T$52&lt;=T52)),T58))</f>
        <v>0</v>
      </c>
    </row>
    <row r="104" spans="2:20" x14ac:dyDescent="0.25">
      <c r="B104" s="23" t="s">
        <v>2409</v>
      </c>
      <c r="C104" s="28" t="s">
        <v>493</v>
      </c>
      <c r="H104" s="159">
        <f>(SUMPRODUCT($H$103:$T$103,--($H$52:$T$52&lt;=H52),--($H$52:$T$52&gt;H52-Inputs!$E$228))*Inputs!$E$227/Inputs!$E$228+SUMPRODUCT($H$103:$T$103,--($H$52:$T$52&lt;=H52),--($H$52:$T$52&gt;H52-Inputs!$E$229))*(1-Inputs!$E$227)/Inputs!$E$229)*Inputs!$E$741</f>
        <v>0</v>
      </c>
      <c r="I104" s="159">
        <f>(SUMPRODUCT($H$103:$T$103,--($H$52:$T$52&lt;=I52),--($H$52:$T$52&gt;I52-Inputs!$E$228))*Inputs!$E$227/Inputs!$E$228+SUMPRODUCT($H$103:$T$103,--($H$52:$T$52&lt;=I52),--($H$52:$T$52&gt;I52-Inputs!$E$229))*(1-Inputs!$E$227)/Inputs!$E$229)*Inputs!$E$741</f>
        <v>0</v>
      </c>
      <c r="J104" s="159">
        <f>(SUMPRODUCT($H$103:$T$103,--($H$52:$T$52&lt;=J52),--($H$52:$T$52&gt;J52-Inputs!$E$228))*Inputs!$E$227/Inputs!$E$228+SUMPRODUCT($H$103:$T$103,--($H$52:$T$52&lt;=J52),--($H$52:$T$52&gt;J52-Inputs!$E$229))*(1-Inputs!$E$227)/Inputs!$E$229)*Inputs!$E$741</f>
        <v>0</v>
      </c>
      <c r="K104" s="159">
        <f>(SUMPRODUCT($H$103:$T$103,--($H$52:$T$52&lt;=K52),--($H$52:$T$52&gt;K52-Inputs!$E$228))*Inputs!$E$227/Inputs!$E$228+SUMPRODUCT($H$103:$T$103,--($H$52:$T$52&lt;=K52),--($H$52:$T$52&gt;K52-Inputs!$E$229))*(1-Inputs!$E$227)/Inputs!$E$229)*Inputs!$E$741</f>
        <v>0</v>
      </c>
      <c r="L104" s="159">
        <f>(SUMPRODUCT($H$103:$T$103,--($H$52:$T$52&lt;=L52),--($H$52:$T$52&gt;L52-Inputs!$E$228))*Inputs!$E$227/Inputs!$E$228+SUMPRODUCT($H$103:$T$103,--($H$52:$T$52&lt;=L52),--($H$52:$T$52&gt;L52-Inputs!$E$229))*(1-Inputs!$E$227)/Inputs!$E$229)*Inputs!$E$741</f>
        <v>0</v>
      </c>
      <c r="M104" s="159">
        <f>(SUMPRODUCT($H$103:$T$103,--($H$52:$T$52&lt;=M52),--($H$52:$T$52&gt;M52-Inputs!$E$228))*Inputs!$E$227/Inputs!$E$228+SUMPRODUCT($H$103:$T$103,--($H$52:$T$52&lt;=M52),--($H$52:$T$52&gt;M52-Inputs!$E$229))*(1-Inputs!$E$227)/Inputs!$E$229)*Inputs!$E$741</f>
        <v>0</v>
      </c>
      <c r="N104" s="159">
        <f>(SUMPRODUCT($H$103:$T$103,--($H$52:$T$52&lt;=N52),--($H$52:$T$52&gt;N52-Inputs!$E$228))*Inputs!$E$227/Inputs!$E$228+SUMPRODUCT($H$103:$T$103,--($H$52:$T$52&lt;=N52),--($H$52:$T$52&gt;N52-Inputs!$E$229))*(1-Inputs!$E$227)/Inputs!$E$229)*Inputs!$E$741</f>
        <v>0</v>
      </c>
      <c r="O104" s="159">
        <f>(SUMPRODUCT($H$103:$T$103,--($H$52:$T$52&lt;=O52),--($H$52:$T$52&gt;O52-Inputs!$E$228))*Inputs!$E$227/Inputs!$E$228+SUMPRODUCT($H$103:$T$103,--($H$52:$T$52&lt;=O52),--($H$52:$T$52&gt;O52-Inputs!$E$229))*(1-Inputs!$E$227)/Inputs!$E$229)*Inputs!$E$741</f>
        <v>0</v>
      </c>
      <c r="P104" s="159">
        <f>(SUMPRODUCT($H$103:$T$103,--($H$52:$T$52&lt;=P52),--($H$52:$T$52&gt;P52-Inputs!$E$228))*Inputs!$E$227/Inputs!$E$228+SUMPRODUCT($H$103:$T$103,--($H$52:$T$52&lt;=P52),--($H$52:$T$52&gt;P52-Inputs!$E$229))*(1-Inputs!$E$227)/Inputs!$E$229)*Inputs!$E$741</f>
        <v>0</v>
      </c>
      <c r="Q104" s="159">
        <f>(SUMPRODUCT($H$103:$T$103,--($H$52:$T$52&lt;=Q52),--($H$52:$T$52&gt;Q52-Inputs!$E$228))*Inputs!$E$227/Inputs!$E$228+SUMPRODUCT($H$103:$T$103,--($H$52:$T$52&lt;=Q52),--($H$52:$T$52&gt;Q52-Inputs!$E$229))*(1-Inputs!$E$227)/Inputs!$E$229)*Inputs!$E$741</f>
        <v>0</v>
      </c>
      <c r="R104" s="159">
        <f>(SUMPRODUCT($H$103:$T$103,--($H$52:$T$52&lt;=R52),--($H$52:$T$52&gt;R52-Inputs!$E$228))*Inputs!$E$227/Inputs!$E$228+SUMPRODUCT($H$103:$T$103,--($H$52:$T$52&lt;=R52),--($H$52:$T$52&gt;R52-Inputs!$E$229))*(1-Inputs!$E$227)/Inputs!$E$229)*Inputs!$E$741</f>
        <v>0</v>
      </c>
      <c r="S104" s="159">
        <f>(SUMPRODUCT($H$103:$T$103,--($H$52:$T$52&lt;=S52),--($H$52:$T$52&gt;S52-Inputs!$E$228))*Inputs!$E$227/Inputs!$E$228+SUMPRODUCT($H$103:$T$103,--($H$52:$T$52&lt;=S52),--($H$52:$T$52&gt;S52-Inputs!$E$229))*(1-Inputs!$E$227)/Inputs!$E$229)*Inputs!$E$741</f>
        <v>0</v>
      </c>
      <c r="T104" s="159">
        <f>(SUMPRODUCT($H$103:$T$103,--($H$52:$T$52&lt;=T52),--($H$52:$T$52&gt;T52-Inputs!$E$228))*Inputs!$E$227/Inputs!$E$228+SUMPRODUCT($H$103:$T$103,--($H$52:$T$52&lt;=T52),--($H$52:$T$52&gt;T52-Inputs!$E$229))*(1-Inputs!$E$227)/Inputs!$E$229)*Inputs!$E$741</f>
        <v>0</v>
      </c>
    </row>
    <row r="105" spans="2:20" x14ac:dyDescent="0.25">
      <c r="B105" s="21" t="s">
        <v>2410</v>
      </c>
      <c r="C105" s="28" t="s">
        <v>493</v>
      </c>
      <c r="H105" s="160">
        <f>IF(Inputs!$E$742=1,H104,H102)</f>
        <v>0</v>
      </c>
      <c r="I105" s="160">
        <f>IF(Inputs!$E$742=1,I104,I102)</f>
        <v>0</v>
      </c>
      <c r="J105" s="160">
        <f>IF(Inputs!$E$742=1,J104,J102)</f>
        <v>0</v>
      </c>
      <c r="K105" s="160">
        <f>IF(Inputs!$E$742=1,K104,K102)</f>
        <v>0</v>
      </c>
      <c r="L105" s="160">
        <f>IF(Inputs!$E$742=1,L104,L102)</f>
        <v>0</v>
      </c>
      <c r="M105" s="160">
        <f>IF(Inputs!$E$742=1,M104,M102)</f>
        <v>0</v>
      </c>
      <c r="N105" s="160">
        <f>IF(Inputs!$E$742=1,N104,N102)</f>
        <v>0</v>
      </c>
      <c r="O105" s="160">
        <f>IF(Inputs!$E$742=1,O104,O102)</f>
        <v>0</v>
      </c>
      <c r="P105" s="160">
        <f>IF(Inputs!$E$742=1,P104,P102)</f>
        <v>0</v>
      </c>
      <c r="Q105" s="160">
        <f>IF(Inputs!$E$742=1,Q104,Q102)</f>
        <v>0</v>
      </c>
      <c r="R105" s="160">
        <f>IF(Inputs!$E$742=1,R104,R102)</f>
        <v>0</v>
      </c>
      <c r="S105" s="160">
        <f>IF(Inputs!$E$742=1,S104,S102)</f>
        <v>0</v>
      </c>
      <c r="T105" s="160">
        <f>IF(Inputs!$E$742=1,T104,T102)</f>
        <v>0</v>
      </c>
    </row>
    <row r="106" spans="2:20" x14ac:dyDescent="0.25">
      <c r="B106" s="154" t="s">
        <v>547</v>
      </c>
    </row>
    <row r="107" spans="2:20" x14ac:dyDescent="0.25">
      <c r="B107" s="23" t="s">
        <v>2400</v>
      </c>
      <c r="E107" s="159">
        <f>(G11*G51+SUMPRODUCT($H$11:$T$11,$H$51:$T$51))/1000*Inputs!$H$67</f>
        <v>61.193749999999952</v>
      </c>
    </row>
    <row r="108" spans="2:20" ht="26.25" customHeight="1" x14ac:dyDescent="0.25">
      <c r="B108" s="64" t="s">
        <v>2402</v>
      </c>
      <c r="C108" s="28" t="s">
        <v>493</v>
      </c>
      <c r="H108" s="159">
        <f>'Revenue Calculation'!H13*$E$107*(Inputs!$E$239/Inputs!$E$240+(1-Inputs!$E$239)/Inputs!$E$241)</f>
        <v>0</v>
      </c>
      <c r="I108" s="159">
        <f>'Revenue Calculation'!I13*$E$107*(Inputs!$E$239/Inputs!$E$240+(1-Inputs!$E$239)/Inputs!$E$241)</f>
        <v>0</v>
      </c>
      <c r="J108" s="159">
        <f>'Revenue Calculation'!J13*$E$107*(Inputs!$E$239/Inputs!$E$240+(1-Inputs!$E$239)/Inputs!$E$241)</f>
        <v>0</v>
      </c>
      <c r="K108" s="159">
        <f>'Revenue Calculation'!K13*$E$107*(Inputs!$E$239/Inputs!$E$240+(1-Inputs!$E$239)/Inputs!$E$241)</f>
        <v>4.191771874999997</v>
      </c>
      <c r="L108" s="159">
        <f>'Revenue Calculation'!L13*$E$107*(Inputs!$E$239/Inputs!$E$240+(1-Inputs!$E$239)/Inputs!$E$241)</f>
        <v>4.191771874999997</v>
      </c>
      <c r="M108" s="159">
        <f>'Revenue Calculation'!M13*$E$107*(Inputs!$E$239/Inputs!$E$240+(1-Inputs!$E$239)/Inputs!$E$241)</f>
        <v>4.191771874999997</v>
      </c>
      <c r="N108" s="159">
        <f>'Revenue Calculation'!N13*$E$107*(Inputs!$E$239/Inputs!$E$240+(1-Inputs!$E$239)/Inputs!$E$241)</f>
        <v>4.191771874999997</v>
      </c>
      <c r="O108" s="159">
        <f>'Revenue Calculation'!O13*$E$107*(Inputs!$E$239/Inputs!$E$240+(1-Inputs!$E$239)/Inputs!$E$241)</f>
        <v>4.191771874999997</v>
      </c>
      <c r="P108" s="159">
        <f>'Revenue Calculation'!P13*$E$107*(Inputs!$E$239/Inputs!$E$240+(1-Inputs!$E$239)/Inputs!$E$241)</f>
        <v>4.191771874999997</v>
      </c>
      <c r="Q108" s="159">
        <f>'Revenue Calculation'!Q13*$E$107*(Inputs!$E$239/Inputs!$E$240+(1-Inputs!$E$239)/Inputs!$E$241)</f>
        <v>4.191771874999997</v>
      </c>
      <c r="R108" s="159">
        <f>'Revenue Calculation'!R13*$E$107*(Inputs!$E$239/Inputs!$E$240+(1-Inputs!$E$239)/Inputs!$E$241)</f>
        <v>4.191771874999997</v>
      </c>
      <c r="S108" s="159">
        <f>'Revenue Calculation'!S13*$E$107*(Inputs!$E$239/Inputs!$E$240+(1-Inputs!$E$239)/Inputs!$E$241)</f>
        <v>4.191771874999997</v>
      </c>
      <c r="T108" s="159">
        <f>'Revenue Calculation'!T13*$E$107*(Inputs!$E$239/Inputs!$E$240+(1-Inputs!$E$239)/Inputs!$E$241)</f>
        <v>4.191771874999997</v>
      </c>
    </row>
    <row r="109" spans="2:20" ht="26.25" customHeight="1" x14ac:dyDescent="0.25">
      <c r="B109" s="64" t="s">
        <v>2403</v>
      </c>
      <c r="C109" s="28" t="s">
        <v>493</v>
      </c>
      <c r="H109" s="159">
        <f>IF(H52&lt;'Revenue Calculation'!$D$13,0,IF(H52='Revenue Calculation'!$D$13,SUMPRODUCT($H$59:$T$59,--($H$52:$T$52&lt;=H52)),H59))</f>
        <v>0</v>
      </c>
      <c r="I109" s="159">
        <f>IF(I52&lt;'Revenue Calculation'!$D$13,0,IF(I52='Revenue Calculation'!$D$13,SUMPRODUCT($H$59:$T$59,--($H$52:$T$52&lt;=I52)),I59))</f>
        <v>0</v>
      </c>
      <c r="J109" s="159">
        <f>IF(J52&lt;'Revenue Calculation'!$D$13,0,IF(J52='Revenue Calculation'!$D$13,SUMPRODUCT($H$59:$T$59,--($H$52:$T$52&lt;=J52)),J59))</f>
        <v>0</v>
      </c>
      <c r="K109" s="159">
        <f>IF(K52&lt;'Revenue Calculation'!$D$13,0,IF(K52='Revenue Calculation'!$D$13,SUMPRODUCT($H$59:$T$59,--($H$52:$T$52&lt;=K52)),K59))</f>
        <v>61.193749999999952</v>
      </c>
      <c r="L109" s="159">
        <f>IF(L52&lt;'Revenue Calculation'!$D$13,0,IF(L52='Revenue Calculation'!$D$13,SUMPRODUCT($H$59:$T$59,--($H$52:$T$52&lt;=L52)),L59))</f>
        <v>0</v>
      </c>
      <c r="M109" s="159">
        <f>IF(M52&lt;'Revenue Calculation'!$D$13,0,IF(M52='Revenue Calculation'!$D$13,SUMPRODUCT($H$59:$T$59,--($H$52:$T$52&lt;=M52)),M59))</f>
        <v>0</v>
      </c>
      <c r="N109" s="159">
        <f>IF(N52&lt;'Revenue Calculation'!$D$13,0,IF(N52='Revenue Calculation'!$D$13,SUMPRODUCT($H$59:$T$59,--($H$52:$T$52&lt;=N52)),N59))</f>
        <v>0</v>
      </c>
      <c r="O109" s="159">
        <f>IF(O52&lt;'Revenue Calculation'!$D$13,0,IF(O52='Revenue Calculation'!$D$13,SUMPRODUCT($H$59:$T$59,--($H$52:$T$52&lt;=O52)),O59))</f>
        <v>0</v>
      </c>
      <c r="P109" s="159">
        <f>IF(P52&lt;'Revenue Calculation'!$D$13,0,IF(P52='Revenue Calculation'!$D$13,SUMPRODUCT($H$59:$T$59,--($H$52:$T$52&lt;=P52)),P59))</f>
        <v>0</v>
      </c>
      <c r="Q109" s="159">
        <f>IF(Q52&lt;'Revenue Calculation'!$D$13,0,IF(Q52='Revenue Calculation'!$D$13,SUMPRODUCT($H$59:$T$59,--($H$52:$T$52&lt;=Q52)),Q59))</f>
        <v>0</v>
      </c>
      <c r="R109" s="159">
        <f>IF(R52&lt;'Revenue Calculation'!$D$13,0,IF(R52='Revenue Calculation'!$D$13,SUMPRODUCT($H$59:$T$59,--($H$52:$T$52&lt;=R52)),R59))</f>
        <v>0</v>
      </c>
      <c r="S109" s="159">
        <f>IF(S52&lt;'Revenue Calculation'!$D$13,0,IF(S52='Revenue Calculation'!$D$13,SUMPRODUCT($H$59:$T$59,--($H$52:$T$52&lt;=S52)),S59))</f>
        <v>0</v>
      </c>
      <c r="T109" s="159">
        <f>IF(T52&lt;'Revenue Calculation'!$D$13,0,IF(T52='Revenue Calculation'!$D$13,SUMPRODUCT($H$59:$T$59,--($H$52:$T$52&lt;=T52)),T59))</f>
        <v>0</v>
      </c>
    </row>
    <row r="110" spans="2:20" x14ac:dyDescent="0.25">
      <c r="B110" s="23" t="s">
        <v>2404</v>
      </c>
      <c r="C110" s="28" t="s">
        <v>493</v>
      </c>
      <c r="H110" s="159">
        <f>(SUMPRODUCT($H$109:$T$109,--($H$52:$T$52&lt;=H52),--($H$52:$T$52&gt;H52-Inputs!$E$240))*Inputs!$E$239/Inputs!$E$240+SUMPRODUCT($H$109:$T$109,--($H$52:$T$52&lt;=H52),--($H$52:$T$52&gt;H52-Inputs!$E$241))*(1-Inputs!$E$239)/Inputs!$E$241)</f>
        <v>0</v>
      </c>
      <c r="I110" s="159">
        <f>(SUMPRODUCT($H$109:$T$109,--($H$52:$T$52&lt;=I52),--($H$52:$T$52&gt;I52-Inputs!$E$240))*Inputs!$E$239/Inputs!$E$240+SUMPRODUCT($H$109:$T$109,--($H$52:$T$52&lt;=I52),--($H$52:$T$52&gt;I52-Inputs!$E$241))*(1-Inputs!$E$239)/Inputs!$E$241)</f>
        <v>0</v>
      </c>
      <c r="J110" s="159">
        <f>(SUMPRODUCT($H$109:$T$109,--($H$52:$T$52&lt;=J52),--($H$52:$T$52&gt;J52-Inputs!$E$240))*Inputs!$E$239/Inputs!$E$240+SUMPRODUCT($H$109:$T$109,--($H$52:$T$52&lt;=J52),--($H$52:$T$52&gt;J52-Inputs!$E$241))*(1-Inputs!$E$239)/Inputs!$E$241)</f>
        <v>0</v>
      </c>
      <c r="K110" s="159">
        <f>(SUMPRODUCT($H$109:$T$109,--($H$52:$T$52&lt;=K52),--($H$52:$T$52&gt;K52-Inputs!$E$240))*Inputs!$E$239/Inputs!$E$240+SUMPRODUCT($H$109:$T$109,--($H$52:$T$52&lt;=K52),--($H$52:$T$52&gt;K52-Inputs!$E$241))*(1-Inputs!$E$239)/Inputs!$E$241)</f>
        <v>4.191771874999997</v>
      </c>
      <c r="L110" s="159">
        <f>(SUMPRODUCT($H$109:$T$109,--($H$52:$T$52&lt;=L52),--($H$52:$T$52&gt;L52-Inputs!$E$240))*Inputs!$E$239/Inputs!$E$240+SUMPRODUCT($H$109:$T$109,--($H$52:$T$52&lt;=L52),--($H$52:$T$52&gt;L52-Inputs!$E$241))*(1-Inputs!$E$239)/Inputs!$E$241)</f>
        <v>4.191771874999997</v>
      </c>
      <c r="M110" s="159">
        <f>(SUMPRODUCT($H$109:$T$109,--($H$52:$T$52&lt;=M52),--($H$52:$T$52&gt;M52-Inputs!$E$240))*Inputs!$E$239/Inputs!$E$240+SUMPRODUCT($H$109:$T$109,--($H$52:$T$52&lt;=M52),--($H$52:$T$52&gt;M52-Inputs!$E$241))*(1-Inputs!$E$239)/Inputs!$E$241)</f>
        <v>4.191771874999997</v>
      </c>
      <c r="N110" s="159">
        <f>(SUMPRODUCT($H$109:$T$109,--($H$52:$T$52&lt;=N52),--($H$52:$T$52&gt;N52-Inputs!$E$240))*Inputs!$E$239/Inputs!$E$240+SUMPRODUCT($H$109:$T$109,--($H$52:$T$52&lt;=N52),--($H$52:$T$52&gt;N52-Inputs!$E$241))*(1-Inputs!$E$239)/Inputs!$E$241)</f>
        <v>4.191771874999997</v>
      </c>
      <c r="O110" s="159">
        <f>(SUMPRODUCT($H$109:$T$109,--($H$52:$T$52&lt;=O52),--($H$52:$T$52&gt;O52-Inputs!$E$240))*Inputs!$E$239/Inputs!$E$240+SUMPRODUCT($H$109:$T$109,--($H$52:$T$52&lt;=O52),--($H$52:$T$52&gt;O52-Inputs!$E$241))*(1-Inputs!$E$239)/Inputs!$E$241)</f>
        <v>4.191771874999997</v>
      </c>
      <c r="P110" s="159">
        <f>(SUMPRODUCT($H$109:$T$109,--($H$52:$T$52&lt;=P52),--($H$52:$T$52&gt;P52-Inputs!$E$240))*Inputs!$E$239/Inputs!$E$240+SUMPRODUCT($H$109:$T$109,--($H$52:$T$52&lt;=P52),--($H$52:$T$52&gt;P52-Inputs!$E$241))*(1-Inputs!$E$239)/Inputs!$E$241)</f>
        <v>4.191771874999997</v>
      </c>
      <c r="Q110" s="159">
        <f>(SUMPRODUCT($H$109:$T$109,--($H$52:$T$52&lt;=Q52),--($H$52:$T$52&gt;Q52-Inputs!$E$240))*Inputs!$E$239/Inputs!$E$240+SUMPRODUCT($H$109:$T$109,--($H$52:$T$52&lt;=Q52),--($H$52:$T$52&gt;Q52-Inputs!$E$241))*(1-Inputs!$E$239)/Inputs!$E$241)</f>
        <v>4.191771874999997</v>
      </c>
      <c r="R110" s="159">
        <f>(SUMPRODUCT($H$109:$T$109,--($H$52:$T$52&lt;=R52),--($H$52:$T$52&gt;R52-Inputs!$E$240))*Inputs!$E$239/Inputs!$E$240+SUMPRODUCT($H$109:$T$109,--($H$52:$T$52&lt;=R52),--($H$52:$T$52&gt;R52-Inputs!$E$241))*(1-Inputs!$E$239)/Inputs!$E$241)</f>
        <v>4.191771874999997</v>
      </c>
      <c r="S110" s="159">
        <f>(SUMPRODUCT($H$109:$T$109,--($H$52:$T$52&lt;=S52),--($H$52:$T$52&gt;S52-Inputs!$E$240))*Inputs!$E$239/Inputs!$E$240+SUMPRODUCT($H$109:$T$109,--($H$52:$T$52&lt;=S52),--($H$52:$T$52&gt;S52-Inputs!$E$241))*(1-Inputs!$E$239)/Inputs!$E$241)</f>
        <v>4.191771874999997</v>
      </c>
      <c r="T110" s="159">
        <f>(SUMPRODUCT($H$109:$T$109,--($H$52:$T$52&lt;=T52),--($H$52:$T$52&gt;T52-Inputs!$E$240))*Inputs!$E$239/Inputs!$E$240+SUMPRODUCT($H$109:$T$109,--($H$52:$T$52&lt;=T52),--($H$52:$T$52&gt;T52-Inputs!$E$241))*(1-Inputs!$E$239)/Inputs!$E$241)</f>
        <v>4.191771874999997</v>
      </c>
    </row>
    <row r="111" spans="2:20" x14ac:dyDescent="0.25">
      <c r="B111" s="21" t="s">
        <v>2411</v>
      </c>
      <c r="C111" s="28" t="s">
        <v>493</v>
      </c>
      <c r="H111" s="160">
        <f>IF(Inputs!$E$742=1,H110,H108)</f>
        <v>0</v>
      </c>
      <c r="I111" s="160">
        <f>IF(Inputs!$E$742=1,I110,I108)</f>
        <v>0</v>
      </c>
      <c r="J111" s="160">
        <f>IF(Inputs!$E$742=1,J110,J108)</f>
        <v>0</v>
      </c>
      <c r="K111" s="160">
        <f>IF(Inputs!$E$742=1,K110,K108)</f>
        <v>4.191771874999997</v>
      </c>
      <c r="L111" s="160">
        <f>IF(Inputs!$E$742=1,L110,L108)</f>
        <v>4.191771874999997</v>
      </c>
      <c r="M111" s="160">
        <f>IF(Inputs!$E$742=1,M110,M108)</f>
        <v>4.191771874999997</v>
      </c>
      <c r="N111" s="160">
        <f>IF(Inputs!$E$742=1,N110,N108)</f>
        <v>4.191771874999997</v>
      </c>
      <c r="O111" s="160">
        <f>IF(Inputs!$E$742=1,O110,O108)</f>
        <v>4.191771874999997</v>
      </c>
      <c r="P111" s="160">
        <f>IF(Inputs!$E$742=1,P110,P108)</f>
        <v>4.191771874999997</v>
      </c>
      <c r="Q111" s="160">
        <f>IF(Inputs!$E$742=1,Q110,Q108)</f>
        <v>4.191771874999997</v>
      </c>
      <c r="R111" s="160">
        <f>IF(Inputs!$E$742=1,R110,R108)</f>
        <v>4.191771874999997</v>
      </c>
      <c r="S111" s="160">
        <f>IF(Inputs!$E$742=1,S110,S108)</f>
        <v>4.191771874999997</v>
      </c>
      <c r="T111" s="160">
        <f>IF(Inputs!$E$742=1,T110,T108)</f>
        <v>4.191771874999997</v>
      </c>
    </row>
    <row r="112" spans="2:20" x14ac:dyDescent="0.25">
      <c r="B112" s="154" t="s">
        <v>550</v>
      </c>
    </row>
    <row r="113" spans="2:20" x14ac:dyDescent="0.25">
      <c r="B113" s="23" t="s">
        <v>2400</v>
      </c>
      <c r="E113" s="159">
        <f>(G12*G51+SUMPRODUCT($H$12:$T$12,$H$51:$T$51))/1000*Inputs!$H$68</f>
        <v>110.75690476190474</v>
      </c>
    </row>
    <row r="114" spans="2:20" ht="26.25" customHeight="1" x14ac:dyDescent="0.25">
      <c r="B114" s="64" t="s">
        <v>2412</v>
      </c>
      <c r="C114" s="28" t="s">
        <v>493</v>
      </c>
      <c r="H114" s="159">
        <f>'Revenue Calculation'!H14*$E$113*(Inputs!$E$252/Inputs!$E$253+IF(SUM('Revenue Calculation'!$G$14:H$14)&lt;=Inputs!$E$254,(1-Inputs!$E$252)/Inputs!$E$254,0))</f>
        <v>0</v>
      </c>
      <c r="I114" s="159">
        <f>'Revenue Calculation'!I14*$E$113*(Inputs!$E$252/Inputs!$E$253+IF(SUM('Revenue Calculation'!$G$14:I$14)&lt;=Inputs!$E$254,(1-Inputs!$E$252)/Inputs!$E$254,0))</f>
        <v>0</v>
      </c>
      <c r="J114" s="159">
        <f>'Revenue Calculation'!J14*$E$113*(Inputs!$E$252/Inputs!$E$253+IF(SUM('Revenue Calculation'!$G$14:J$14)&lt;=Inputs!$E$254,(1-Inputs!$E$252)/Inputs!$E$254,0))</f>
        <v>8.8605523809523792</v>
      </c>
      <c r="K114" s="159">
        <f>'Revenue Calculation'!K14*$E$113*(Inputs!$E$252/Inputs!$E$253+IF(SUM('Revenue Calculation'!$G$14:K$14)&lt;=Inputs!$E$254,(1-Inputs!$E$252)/Inputs!$E$254,0))</f>
        <v>8.8605523809523792</v>
      </c>
      <c r="L114" s="159">
        <f>'Revenue Calculation'!L14*$E$113*(Inputs!$E$252/Inputs!$E$253+IF(SUM('Revenue Calculation'!$G$14:L$14)&lt;=Inputs!$E$254,(1-Inputs!$E$252)/Inputs!$E$254,0))</f>
        <v>8.8605523809523792</v>
      </c>
      <c r="M114" s="159">
        <f>'Revenue Calculation'!M14*$E$113*(Inputs!$E$252/Inputs!$E$253+IF(SUM('Revenue Calculation'!$G$14:M$14)&lt;=Inputs!$E$254,(1-Inputs!$E$252)/Inputs!$E$254,0))</f>
        <v>8.8605523809523792</v>
      </c>
      <c r="N114" s="159">
        <f>'Revenue Calculation'!N14*$E$113*(Inputs!$E$252/Inputs!$E$253+IF(SUM('Revenue Calculation'!$G$14:N$14)&lt;=Inputs!$E$254,(1-Inputs!$E$252)/Inputs!$E$254,0))</f>
        <v>8.8605523809523792</v>
      </c>
      <c r="O114" s="159">
        <f>'Revenue Calculation'!O14*$E$113*(Inputs!$E$252/Inputs!$E$253+IF(SUM('Revenue Calculation'!$G$14:O$14)&lt;=Inputs!$E$254,(1-Inputs!$E$252)/Inputs!$E$254,0))</f>
        <v>8.8605523809523792</v>
      </c>
      <c r="P114" s="159">
        <f>'Revenue Calculation'!P14*$E$113*(Inputs!$E$252/Inputs!$E$253+IF(SUM('Revenue Calculation'!$G$14:P$14)&lt;=Inputs!$E$254,(1-Inputs!$E$252)/Inputs!$E$254,0))</f>
        <v>8.8605523809523792</v>
      </c>
      <c r="Q114" s="159">
        <f>'Revenue Calculation'!Q14*$E$113*(Inputs!$E$252/Inputs!$E$253+IF(SUM('Revenue Calculation'!$G$14:Q$14)&lt;=Inputs!$E$254,(1-Inputs!$E$252)/Inputs!$E$254,0))</f>
        <v>8.8605523809523792</v>
      </c>
      <c r="R114" s="159">
        <f>'Revenue Calculation'!R14*$E$113*(Inputs!$E$252/Inputs!$E$253+IF(SUM('Revenue Calculation'!$G$14:R$14)&lt;=Inputs!$E$254,(1-Inputs!$E$252)/Inputs!$E$254,0))</f>
        <v>3.322707142857142</v>
      </c>
      <c r="S114" s="159">
        <f>'Revenue Calculation'!S14*$E$113*(Inputs!$E$252/Inputs!$E$253+IF(SUM('Revenue Calculation'!$G$14:S$14)&lt;=Inputs!$E$254,(1-Inputs!$E$252)/Inputs!$E$254,0))</f>
        <v>3.322707142857142</v>
      </c>
      <c r="T114" s="159">
        <f>'Revenue Calculation'!T14*$E$113*(Inputs!$E$252/Inputs!$E$253+IF(SUM('Revenue Calculation'!$G$14:T$14)&lt;=Inputs!$E$254,(1-Inputs!$E$252)/Inputs!$E$254,0))</f>
        <v>3.322707142857142</v>
      </c>
    </row>
    <row r="115" spans="2:20" ht="26.25" customHeight="1" x14ac:dyDescent="0.25">
      <c r="B115" s="64" t="s">
        <v>2403</v>
      </c>
      <c r="C115" s="28" t="s">
        <v>493</v>
      </c>
      <c r="H115" s="159">
        <f>IF(H52&lt;'Revenue Calculation'!$D$14,0,IF(H52='Revenue Calculation'!$D$14,SUMPRODUCT($H$60:$T$60,--($H$52:$T$52&lt;=H52)),H60))</f>
        <v>0</v>
      </c>
      <c r="I115" s="159">
        <f>IF(I52&lt;'Revenue Calculation'!$D$14,0,IF(I52='Revenue Calculation'!$D$14,SUMPRODUCT($H$60:$T$60,--($H$52:$T$52&lt;=I52)),I60))</f>
        <v>0</v>
      </c>
      <c r="J115" s="159">
        <f>IF(J52&lt;'Revenue Calculation'!$D$14,0,IF(J52='Revenue Calculation'!$D$14,SUMPRODUCT($H$60:$T$60,--($H$52:$T$52&lt;=J52)),J60))</f>
        <v>105.47077976190474</v>
      </c>
      <c r="K115" s="159">
        <f>IF(K52&lt;'Revenue Calculation'!$D$14,0,IF(K52='Revenue Calculation'!$D$14,SUMPRODUCT($H$60:$T$60,--($H$52:$T$52&lt;=K52)),K60))</f>
        <v>5.2861249999999975</v>
      </c>
      <c r="L115" s="159">
        <f>IF(L52&lt;'Revenue Calculation'!$D$14,0,IF(L52='Revenue Calculation'!$D$14,SUMPRODUCT($H$60:$T$60,--($H$52:$T$52&lt;=L52)),L60))</f>
        <v>0</v>
      </c>
      <c r="M115" s="159">
        <f>IF(M52&lt;'Revenue Calculation'!$D$14,0,IF(M52='Revenue Calculation'!$D$14,SUMPRODUCT($H$60:$T$60,--($H$52:$T$52&lt;=M52)),M60))</f>
        <v>0</v>
      </c>
      <c r="N115" s="159">
        <f>IF(N52&lt;'Revenue Calculation'!$D$14,0,IF(N52='Revenue Calculation'!$D$14,SUMPRODUCT($H$60:$T$60,--($H$52:$T$52&lt;=N52)),N60))</f>
        <v>0</v>
      </c>
      <c r="O115" s="159">
        <f>IF(O52&lt;'Revenue Calculation'!$D$14,0,IF(O52='Revenue Calculation'!$D$14,SUMPRODUCT($H$60:$T$60,--($H$52:$T$52&lt;=O52)),O60))</f>
        <v>0</v>
      </c>
      <c r="P115" s="159">
        <f>IF(P52&lt;'Revenue Calculation'!$D$14,0,IF(P52='Revenue Calculation'!$D$14,SUMPRODUCT($H$60:$T$60,--($H$52:$T$52&lt;=P52)),P60))</f>
        <v>0</v>
      </c>
      <c r="Q115" s="159">
        <f>IF(Q52&lt;'Revenue Calculation'!$D$14,0,IF(Q52='Revenue Calculation'!$D$14,SUMPRODUCT($H$60:$T$60,--($H$52:$T$52&lt;=Q52)),Q60))</f>
        <v>0</v>
      </c>
      <c r="R115" s="159">
        <f>IF(R52&lt;'Revenue Calculation'!$D$14,0,IF(R52='Revenue Calculation'!$D$14,SUMPRODUCT($H$60:$T$60,--($H$52:$T$52&lt;=R52)),R60))</f>
        <v>0</v>
      </c>
      <c r="S115" s="159">
        <f>IF(S52&lt;'Revenue Calculation'!$D$14,0,IF(S52='Revenue Calculation'!$D$14,SUMPRODUCT($H$60:$T$60,--($H$52:$T$52&lt;=S52)),S60))</f>
        <v>0</v>
      </c>
      <c r="T115" s="159">
        <f>IF(T52&lt;'Revenue Calculation'!$D$14,0,IF(T52='Revenue Calculation'!$D$14,SUMPRODUCT($H$60:$T$60,--($H$52:$T$52&lt;=T52)),T60))</f>
        <v>0</v>
      </c>
    </row>
    <row r="116" spans="2:20" x14ac:dyDescent="0.25">
      <c r="B116" s="23" t="s">
        <v>2404</v>
      </c>
      <c r="C116" s="28" t="s">
        <v>493</v>
      </c>
      <c r="H116" s="159">
        <f>(SUMPRODUCT($H$115:$T$115,--($H$52:$T$52&lt;=H52),--($H$52:$T$52&gt;H52-Inputs!$E$253))*Inputs!$E$252/Inputs!$E$253+SUMPRODUCT($H$115:$T$115,--($H$52:$T$52&lt;=H52),--($H$52:$T$52&gt;H52-Inputs!$E$254))*(1-Inputs!$E$252)/Inputs!$E$254)</f>
        <v>0</v>
      </c>
      <c r="I116" s="159">
        <f>(SUMPRODUCT($H$115:$T$115,--($H$52:$T$52&lt;=I52),--($H$52:$T$52&gt;I52-Inputs!$E$253))*Inputs!$E$252/Inputs!$E$253+SUMPRODUCT($H$115:$T$115,--($H$52:$T$52&lt;=I52),--($H$52:$T$52&gt;I52-Inputs!$E$254))*(1-Inputs!$E$252)/Inputs!$E$254)</f>
        <v>0</v>
      </c>
      <c r="J116" s="159">
        <f>(SUMPRODUCT($H$115:$T$115,--($H$52:$T$52&lt;=J52),--($H$52:$T$52&gt;J52-Inputs!$E$253))*Inputs!$E$252/Inputs!$E$253+SUMPRODUCT($H$115:$T$115,--($H$52:$T$52&lt;=J52),--($H$52:$T$52&gt;J52-Inputs!$E$254))*(1-Inputs!$E$252)/Inputs!$E$254)</f>
        <v>8.4376623809523785</v>
      </c>
      <c r="K116" s="159">
        <f>(SUMPRODUCT($H$115:$T$115,--($H$52:$T$52&lt;=K52),--($H$52:$T$52&gt;K52-Inputs!$E$253))*Inputs!$E$252/Inputs!$E$253+SUMPRODUCT($H$115:$T$115,--($H$52:$T$52&lt;=K52),--($H$52:$T$52&gt;K52-Inputs!$E$254))*(1-Inputs!$E$252)/Inputs!$E$254)</f>
        <v>8.8605523809523792</v>
      </c>
      <c r="L116" s="159">
        <f>(SUMPRODUCT($H$115:$T$115,--($H$52:$T$52&lt;=L52),--($H$52:$T$52&gt;L52-Inputs!$E$253))*Inputs!$E$252/Inputs!$E$253+SUMPRODUCT($H$115:$T$115,--($H$52:$T$52&lt;=L52),--($H$52:$T$52&gt;L52-Inputs!$E$254))*(1-Inputs!$E$252)/Inputs!$E$254)</f>
        <v>8.8605523809523792</v>
      </c>
      <c r="M116" s="159">
        <f>(SUMPRODUCT($H$115:$T$115,--($H$52:$T$52&lt;=M52),--($H$52:$T$52&gt;M52-Inputs!$E$253))*Inputs!$E$252/Inputs!$E$253+SUMPRODUCT($H$115:$T$115,--($H$52:$T$52&lt;=M52),--($H$52:$T$52&gt;M52-Inputs!$E$254))*(1-Inputs!$E$252)/Inputs!$E$254)</f>
        <v>8.8605523809523792</v>
      </c>
      <c r="N116" s="159">
        <f>(SUMPRODUCT($H$115:$T$115,--($H$52:$T$52&lt;=N52),--($H$52:$T$52&gt;N52-Inputs!$E$253))*Inputs!$E$252/Inputs!$E$253+SUMPRODUCT($H$115:$T$115,--($H$52:$T$52&lt;=N52),--($H$52:$T$52&gt;N52-Inputs!$E$254))*(1-Inputs!$E$252)/Inputs!$E$254)</f>
        <v>8.8605523809523792</v>
      </c>
      <c r="O116" s="159">
        <f>(SUMPRODUCT($H$115:$T$115,--($H$52:$T$52&lt;=O52),--($H$52:$T$52&gt;O52-Inputs!$E$253))*Inputs!$E$252/Inputs!$E$253+SUMPRODUCT($H$115:$T$115,--($H$52:$T$52&lt;=O52),--($H$52:$T$52&gt;O52-Inputs!$E$254))*(1-Inputs!$E$252)/Inputs!$E$254)</f>
        <v>8.8605523809523792</v>
      </c>
      <c r="P116" s="159">
        <f>(SUMPRODUCT($H$115:$T$115,--($H$52:$T$52&lt;=P52),--($H$52:$T$52&gt;P52-Inputs!$E$253))*Inputs!$E$252/Inputs!$E$253+SUMPRODUCT($H$115:$T$115,--($H$52:$T$52&lt;=P52),--($H$52:$T$52&gt;P52-Inputs!$E$254))*(1-Inputs!$E$252)/Inputs!$E$254)</f>
        <v>8.8605523809523792</v>
      </c>
      <c r="Q116" s="159">
        <f>(SUMPRODUCT($H$115:$T$115,--($H$52:$T$52&lt;=Q52),--($H$52:$T$52&gt;Q52-Inputs!$E$253))*Inputs!$E$252/Inputs!$E$253+SUMPRODUCT($H$115:$T$115,--($H$52:$T$52&lt;=Q52),--($H$52:$T$52&gt;Q52-Inputs!$E$254))*(1-Inputs!$E$252)/Inputs!$E$254)</f>
        <v>8.8605523809523792</v>
      </c>
      <c r="R116" s="159">
        <f>(SUMPRODUCT($H$115:$T$115,--($H$52:$T$52&lt;=R52),--($H$52:$T$52&gt;R52-Inputs!$E$253))*Inputs!$E$252/Inputs!$E$253+SUMPRODUCT($H$115:$T$115,--($H$52:$T$52&lt;=R52),--($H$52:$T$52&gt;R52-Inputs!$E$254))*(1-Inputs!$E$252)/Inputs!$E$254)</f>
        <v>3.5870133928571417</v>
      </c>
      <c r="S116" s="159">
        <f>(SUMPRODUCT($H$115:$T$115,--($H$52:$T$52&lt;=S52),--($H$52:$T$52&gt;S52-Inputs!$E$253))*Inputs!$E$252/Inputs!$E$253+SUMPRODUCT($H$115:$T$115,--($H$52:$T$52&lt;=S52),--($H$52:$T$52&gt;S52-Inputs!$E$254))*(1-Inputs!$E$252)/Inputs!$E$254)</f>
        <v>3.322707142857142</v>
      </c>
      <c r="T116" s="159">
        <f>(SUMPRODUCT($H$115:$T$115,--($H$52:$T$52&lt;=T52),--($H$52:$T$52&gt;T52-Inputs!$E$253))*Inputs!$E$252/Inputs!$E$253+SUMPRODUCT($H$115:$T$115,--($H$52:$T$52&lt;=T52),--($H$52:$T$52&gt;T52-Inputs!$E$254))*(1-Inputs!$E$252)/Inputs!$E$254)</f>
        <v>3.322707142857142</v>
      </c>
    </row>
    <row r="117" spans="2:20" x14ac:dyDescent="0.25">
      <c r="B117" s="21" t="s">
        <v>2413</v>
      </c>
      <c r="C117" s="28" t="s">
        <v>493</v>
      </c>
      <c r="H117" s="160">
        <f>IF(Inputs!$E$742=1,H116,H114)</f>
        <v>0</v>
      </c>
      <c r="I117" s="160">
        <f>IF(Inputs!$E$742=1,I116,I114)</f>
        <v>0</v>
      </c>
      <c r="J117" s="160">
        <f>IF(Inputs!$E$742=1,J116,J114)</f>
        <v>8.8605523809523792</v>
      </c>
      <c r="K117" s="160">
        <f>IF(Inputs!$E$742=1,K116,K114)</f>
        <v>8.8605523809523792</v>
      </c>
      <c r="L117" s="160">
        <f>IF(Inputs!$E$742=1,L116,L114)</f>
        <v>8.8605523809523792</v>
      </c>
      <c r="M117" s="160">
        <f>IF(Inputs!$E$742=1,M116,M114)</f>
        <v>8.8605523809523792</v>
      </c>
      <c r="N117" s="160">
        <f>IF(Inputs!$E$742=1,N116,N114)</f>
        <v>8.8605523809523792</v>
      </c>
      <c r="O117" s="160">
        <f>IF(Inputs!$E$742=1,O116,O114)</f>
        <v>8.8605523809523792</v>
      </c>
      <c r="P117" s="160">
        <f>IF(Inputs!$E$742=1,P116,P114)</f>
        <v>8.8605523809523792</v>
      </c>
      <c r="Q117" s="160">
        <f>IF(Inputs!$E$742=1,Q116,Q114)</f>
        <v>8.8605523809523792</v>
      </c>
      <c r="R117" s="160">
        <f>IF(Inputs!$E$742=1,R116,R114)</f>
        <v>3.322707142857142</v>
      </c>
      <c r="S117" s="160">
        <f>IF(Inputs!$E$742=1,S116,S114)</f>
        <v>3.322707142857142</v>
      </c>
      <c r="T117" s="160">
        <f>IF(Inputs!$E$742=1,T116,T114)</f>
        <v>3.322707142857142</v>
      </c>
    </row>
    <row r="118" spans="2:20" x14ac:dyDescent="0.25">
      <c r="B118" s="154" t="s">
        <v>555</v>
      </c>
    </row>
    <row r="119" spans="2:20" x14ac:dyDescent="0.25">
      <c r="B119" s="23" t="s">
        <v>2400</v>
      </c>
      <c r="E119" s="159">
        <f>(G13*G51+SUMPRODUCT($H$13:$T$13,$H$51:$T$51))/1000*Inputs!$H$69</f>
        <v>81.725000000000051</v>
      </c>
    </row>
    <row r="120" spans="2:20" ht="26.25" customHeight="1" x14ac:dyDescent="0.25">
      <c r="B120" s="64" t="s">
        <v>2402</v>
      </c>
      <c r="C120" s="28" t="s">
        <v>493</v>
      </c>
      <c r="H120" s="159">
        <f>'Revenue Calculation'!H15*$E$119*(Inputs!$E$263/Inputs!$E$264+(1-Inputs!$E$263)/Inputs!$E$265)</f>
        <v>0</v>
      </c>
      <c r="I120" s="159">
        <f>'Revenue Calculation'!I15*$E$119*(Inputs!$E$263/Inputs!$E$264+(1-Inputs!$E$263)/Inputs!$E$265)</f>
        <v>0</v>
      </c>
      <c r="J120" s="159">
        <f>'Revenue Calculation'!J15*$E$119*(Inputs!$E$263/Inputs!$E$264+(1-Inputs!$E$263)/Inputs!$E$265)</f>
        <v>0</v>
      </c>
      <c r="K120" s="159">
        <f>'Revenue Calculation'!K15*$E$119*(Inputs!$E$263/Inputs!$E$264+(1-Inputs!$E$263)/Inputs!$E$265)</f>
        <v>0</v>
      </c>
      <c r="L120" s="159">
        <f>'Revenue Calculation'!L15*$E$119*(Inputs!$E$263/Inputs!$E$264+(1-Inputs!$E$263)/Inputs!$E$265)</f>
        <v>7.1509375000000039</v>
      </c>
      <c r="M120" s="159">
        <f>'Revenue Calculation'!M15*$E$119*(Inputs!$E$263/Inputs!$E$264+(1-Inputs!$E$263)/Inputs!$E$265)</f>
        <v>7.1509375000000039</v>
      </c>
      <c r="N120" s="159">
        <f>'Revenue Calculation'!N15*$E$119*(Inputs!$E$263/Inputs!$E$264+(1-Inputs!$E$263)/Inputs!$E$265)</f>
        <v>7.1509375000000039</v>
      </c>
      <c r="O120" s="159">
        <f>'Revenue Calculation'!O15*$E$119*(Inputs!$E$263/Inputs!$E$264+(1-Inputs!$E$263)/Inputs!$E$265)</f>
        <v>7.1509375000000039</v>
      </c>
      <c r="P120" s="159">
        <f>'Revenue Calculation'!P15*$E$119*(Inputs!$E$263/Inputs!$E$264+(1-Inputs!$E$263)/Inputs!$E$265)</f>
        <v>7.1509375000000039</v>
      </c>
      <c r="Q120" s="159">
        <f>'Revenue Calculation'!Q15*$E$119*(Inputs!$E$263/Inputs!$E$264+(1-Inputs!$E$263)/Inputs!$E$265)</f>
        <v>7.1509375000000039</v>
      </c>
      <c r="R120" s="159">
        <f>'Revenue Calculation'!R15*$E$119*(Inputs!$E$263/Inputs!$E$264+(1-Inputs!$E$263)/Inputs!$E$265)</f>
        <v>7.1509375000000039</v>
      </c>
      <c r="S120" s="159">
        <f>'Revenue Calculation'!S15*$E$119*(Inputs!$E$263/Inputs!$E$264+(1-Inputs!$E$263)/Inputs!$E$265)</f>
        <v>7.1509375000000039</v>
      </c>
      <c r="T120" s="159">
        <f>'Revenue Calculation'!T15*$E$119*(Inputs!$E$263/Inputs!$E$264+(1-Inputs!$E$263)/Inputs!$E$265)</f>
        <v>7.1509375000000039</v>
      </c>
    </row>
    <row r="121" spans="2:20" ht="26.25" customHeight="1" x14ac:dyDescent="0.25">
      <c r="B121" s="64" t="s">
        <v>2403</v>
      </c>
      <c r="C121" s="28" t="s">
        <v>493</v>
      </c>
      <c r="H121" s="159">
        <f>IF(H52&lt;'Revenue Calculation'!$D$15,0,IF(H52='Revenue Calculation'!$D$15,SUMPRODUCT($H$61:$T$61,--($H$52:$T$52&lt;=H52)),H61))</f>
        <v>0</v>
      </c>
      <c r="I121" s="159">
        <f>IF(I52&lt;'Revenue Calculation'!$D$15,0,IF(I52='Revenue Calculation'!$D$15,SUMPRODUCT($H$61:$T$61,--($H$52:$T$52&lt;=I52)),I61))</f>
        <v>0</v>
      </c>
      <c r="J121" s="159">
        <f>IF(J52&lt;'Revenue Calculation'!$D$15,0,IF(J52='Revenue Calculation'!$D$15,SUMPRODUCT($H$61:$T$61,--($H$52:$T$52&lt;=J52)),J61))</f>
        <v>0</v>
      </c>
      <c r="K121" s="159">
        <f>IF(K52&lt;'Revenue Calculation'!$D$15,0,IF(K52='Revenue Calculation'!$D$15,SUMPRODUCT($H$61:$T$61,--($H$52:$T$52&lt;=K52)),K61))</f>
        <v>0</v>
      </c>
      <c r="L121" s="159">
        <f>IF(L52&lt;'Revenue Calculation'!$D$15,0,IF(L52='Revenue Calculation'!$D$15,SUMPRODUCT($H$61:$T$61,--($H$52:$T$52&lt;=L52)),L61))</f>
        <v>81.725000000000051</v>
      </c>
      <c r="M121" s="159">
        <f>IF(M52&lt;'Revenue Calculation'!$D$15,0,IF(M52='Revenue Calculation'!$D$15,SUMPRODUCT($H$61:$T$61,--($H$52:$T$52&lt;=M52)),M61))</f>
        <v>0</v>
      </c>
      <c r="N121" s="159">
        <f>IF(N52&lt;'Revenue Calculation'!$D$15,0,IF(N52='Revenue Calculation'!$D$15,SUMPRODUCT($H$61:$T$61,--($H$52:$T$52&lt;=N52)),N61))</f>
        <v>0</v>
      </c>
      <c r="O121" s="159">
        <f>IF(O52&lt;'Revenue Calculation'!$D$15,0,IF(O52='Revenue Calculation'!$D$15,SUMPRODUCT($H$61:$T$61,--($H$52:$T$52&lt;=O52)),O61))</f>
        <v>0</v>
      </c>
      <c r="P121" s="159">
        <f>IF(P52&lt;'Revenue Calculation'!$D$15,0,IF(P52='Revenue Calculation'!$D$15,SUMPRODUCT($H$61:$T$61,--($H$52:$T$52&lt;=P52)),P61))</f>
        <v>0</v>
      </c>
      <c r="Q121" s="159">
        <f>IF(Q52&lt;'Revenue Calculation'!$D$15,0,IF(Q52='Revenue Calculation'!$D$15,SUMPRODUCT($H$61:$T$61,--($H$52:$T$52&lt;=Q52)),Q61))</f>
        <v>0</v>
      </c>
      <c r="R121" s="159">
        <f>IF(R52&lt;'Revenue Calculation'!$D$15,0,IF(R52='Revenue Calculation'!$D$15,SUMPRODUCT($H$61:$T$61,--($H$52:$T$52&lt;=R52)),R61))</f>
        <v>0</v>
      </c>
      <c r="S121" s="159">
        <f>IF(S52&lt;'Revenue Calculation'!$D$15,0,IF(S52='Revenue Calculation'!$D$15,SUMPRODUCT($H$61:$T$61,--($H$52:$T$52&lt;=S52)),S61))</f>
        <v>0</v>
      </c>
      <c r="T121" s="159">
        <f>IF(T52&lt;'Revenue Calculation'!$D$15,0,IF(T52='Revenue Calculation'!$D$15,SUMPRODUCT($H$61:$T$61,--($H$52:$T$52&lt;=T52)),T61))</f>
        <v>0</v>
      </c>
    </row>
    <row r="122" spans="2:20" x14ac:dyDescent="0.25">
      <c r="B122" s="23" t="s">
        <v>2404</v>
      </c>
      <c r="C122" s="28" t="s">
        <v>493</v>
      </c>
      <c r="H122" s="159">
        <f>(SUMPRODUCT($H$121:$T$121,--($H$52:$T$52&lt;=H52),--($H$52:$T$52&gt;H52-Inputs!$E$264))*Inputs!$E$263/Inputs!$E$264+SUMPRODUCT($H$121:$T$121,--($H$52:$T$52&lt;=H52),--($H$52:$T$52&gt;H52-Inputs!$E$265))*(1-Inputs!$E$263)/Inputs!$E$265)</f>
        <v>0</v>
      </c>
      <c r="I122" s="159">
        <f>(SUMPRODUCT($H$121:$T$121,--($H$52:$T$52&lt;=I52),--($H$52:$T$52&gt;I52-Inputs!$E$264))*Inputs!$E$263/Inputs!$E$264+SUMPRODUCT($H$121:$T$121,--($H$52:$T$52&lt;=I52),--($H$52:$T$52&gt;I52-Inputs!$E$265))*(1-Inputs!$E$263)/Inputs!$E$265)</f>
        <v>0</v>
      </c>
      <c r="J122" s="159">
        <f>(SUMPRODUCT($H$121:$T$121,--($H$52:$T$52&lt;=J52),--($H$52:$T$52&gt;J52-Inputs!$E$264))*Inputs!$E$263/Inputs!$E$264+SUMPRODUCT($H$121:$T$121,--($H$52:$T$52&lt;=J52),--($H$52:$T$52&gt;J52-Inputs!$E$265))*(1-Inputs!$E$263)/Inputs!$E$265)</f>
        <v>0</v>
      </c>
      <c r="K122" s="159">
        <f>(SUMPRODUCT($H$121:$T$121,--($H$52:$T$52&lt;=K52),--($H$52:$T$52&gt;K52-Inputs!$E$264))*Inputs!$E$263/Inputs!$E$264+SUMPRODUCT($H$121:$T$121,--($H$52:$T$52&lt;=K52),--($H$52:$T$52&gt;K52-Inputs!$E$265))*(1-Inputs!$E$263)/Inputs!$E$265)</f>
        <v>0</v>
      </c>
      <c r="L122" s="159">
        <f>(SUMPRODUCT($H$121:$T$121,--($H$52:$T$52&lt;=L52),--($H$52:$T$52&gt;L52-Inputs!$E$264))*Inputs!$E$263/Inputs!$E$264+SUMPRODUCT($H$121:$T$121,--($H$52:$T$52&lt;=L52),--($H$52:$T$52&gt;L52-Inputs!$E$265))*(1-Inputs!$E$263)/Inputs!$E$265)</f>
        <v>7.1509375000000048</v>
      </c>
      <c r="M122" s="159">
        <f>(SUMPRODUCT($H$121:$T$121,--($H$52:$T$52&lt;=M52),--($H$52:$T$52&gt;M52-Inputs!$E$264))*Inputs!$E$263/Inputs!$E$264+SUMPRODUCT($H$121:$T$121,--($H$52:$T$52&lt;=M52),--($H$52:$T$52&gt;M52-Inputs!$E$265))*(1-Inputs!$E$263)/Inputs!$E$265)</f>
        <v>7.1509375000000048</v>
      </c>
      <c r="N122" s="159">
        <f>(SUMPRODUCT($H$121:$T$121,--($H$52:$T$52&lt;=N52),--($H$52:$T$52&gt;N52-Inputs!$E$264))*Inputs!$E$263/Inputs!$E$264+SUMPRODUCT($H$121:$T$121,--($H$52:$T$52&lt;=N52),--($H$52:$T$52&gt;N52-Inputs!$E$265))*(1-Inputs!$E$263)/Inputs!$E$265)</f>
        <v>7.1509375000000048</v>
      </c>
      <c r="O122" s="159">
        <f>(SUMPRODUCT($H$121:$T$121,--($H$52:$T$52&lt;=O52),--($H$52:$T$52&gt;O52-Inputs!$E$264))*Inputs!$E$263/Inputs!$E$264+SUMPRODUCT($H$121:$T$121,--($H$52:$T$52&lt;=O52),--($H$52:$T$52&gt;O52-Inputs!$E$265))*(1-Inputs!$E$263)/Inputs!$E$265)</f>
        <v>7.1509375000000048</v>
      </c>
      <c r="P122" s="159">
        <f>(SUMPRODUCT($H$121:$T$121,--($H$52:$T$52&lt;=P52),--($H$52:$T$52&gt;P52-Inputs!$E$264))*Inputs!$E$263/Inputs!$E$264+SUMPRODUCT($H$121:$T$121,--($H$52:$T$52&lt;=P52),--($H$52:$T$52&gt;P52-Inputs!$E$265))*(1-Inputs!$E$263)/Inputs!$E$265)</f>
        <v>7.1509375000000048</v>
      </c>
      <c r="Q122" s="159">
        <f>(SUMPRODUCT($H$121:$T$121,--($H$52:$T$52&lt;=Q52),--($H$52:$T$52&gt;Q52-Inputs!$E$264))*Inputs!$E$263/Inputs!$E$264+SUMPRODUCT($H$121:$T$121,--($H$52:$T$52&lt;=Q52),--($H$52:$T$52&gt;Q52-Inputs!$E$265))*(1-Inputs!$E$263)/Inputs!$E$265)</f>
        <v>7.1509375000000048</v>
      </c>
      <c r="R122" s="159">
        <f>(SUMPRODUCT($H$121:$T$121,--($H$52:$T$52&lt;=R52),--($H$52:$T$52&gt;R52-Inputs!$E$264))*Inputs!$E$263/Inputs!$E$264+SUMPRODUCT($H$121:$T$121,--($H$52:$T$52&lt;=R52),--($H$52:$T$52&gt;R52-Inputs!$E$265))*(1-Inputs!$E$263)/Inputs!$E$265)</f>
        <v>7.1509375000000048</v>
      </c>
      <c r="S122" s="159">
        <f>(SUMPRODUCT($H$121:$T$121,--($H$52:$T$52&lt;=S52),--($H$52:$T$52&gt;S52-Inputs!$E$264))*Inputs!$E$263/Inputs!$E$264+SUMPRODUCT($H$121:$T$121,--($H$52:$T$52&lt;=S52),--($H$52:$T$52&gt;S52-Inputs!$E$265))*(1-Inputs!$E$263)/Inputs!$E$265)</f>
        <v>7.1509375000000048</v>
      </c>
      <c r="T122" s="159">
        <f>(SUMPRODUCT($H$121:$T$121,--($H$52:$T$52&lt;=T52),--($H$52:$T$52&gt;T52-Inputs!$E$264))*Inputs!$E$263/Inputs!$E$264+SUMPRODUCT($H$121:$T$121,--($H$52:$T$52&lt;=T52),--($H$52:$T$52&gt;T52-Inputs!$E$265))*(1-Inputs!$E$263)/Inputs!$E$265)</f>
        <v>2.0431250000000012</v>
      </c>
    </row>
    <row r="123" spans="2:20" x14ac:dyDescent="0.25">
      <c r="B123" s="21" t="s">
        <v>2414</v>
      </c>
      <c r="C123" s="28" t="s">
        <v>493</v>
      </c>
      <c r="H123" s="160">
        <f>IF(Inputs!$E$742=1,H122,H120)</f>
        <v>0</v>
      </c>
      <c r="I123" s="160">
        <f>IF(Inputs!$E$742=1,I122,I120)</f>
        <v>0</v>
      </c>
      <c r="J123" s="160">
        <f>IF(Inputs!$E$742=1,J122,J120)</f>
        <v>0</v>
      </c>
      <c r="K123" s="160">
        <f>IF(Inputs!$E$742=1,K122,K120)</f>
        <v>0</v>
      </c>
      <c r="L123" s="160">
        <f>IF(Inputs!$E$742=1,L122,L120)</f>
        <v>7.1509375000000039</v>
      </c>
      <c r="M123" s="160">
        <f>IF(Inputs!$E$742=1,M122,M120)</f>
        <v>7.1509375000000039</v>
      </c>
      <c r="N123" s="160">
        <f>IF(Inputs!$E$742=1,N122,N120)</f>
        <v>7.1509375000000039</v>
      </c>
      <c r="O123" s="160">
        <f>IF(Inputs!$E$742=1,O122,O120)</f>
        <v>7.1509375000000039</v>
      </c>
      <c r="P123" s="160">
        <f>IF(Inputs!$E$742=1,P122,P120)</f>
        <v>7.1509375000000039</v>
      </c>
      <c r="Q123" s="160">
        <f>IF(Inputs!$E$742=1,Q122,Q120)</f>
        <v>7.1509375000000039</v>
      </c>
      <c r="R123" s="160">
        <f>IF(Inputs!$E$742=1,R122,R120)</f>
        <v>7.1509375000000039</v>
      </c>
      <c r="S123" s="160">
        <f>IF(Inputs!$E$742=1,S122,S120)</f>
        <v>7.1509375000000039</v>
      </c>
      <c r="T123" s="160">
        <f>IF(Inputs!$E$742=1,T122,T120)</f>
        <v>7.1509375000000039</v>
      </c>
    </row>
    <row r="124" spans="2:20" x14ac:dyDescent="0.25">
      <c r="B124" s="154" t="s">
        <v>559</v>
      </c>
    </row>
    <row r="125" spans="2:20" x14ac:dyDescent="0.25">
      <c r="B125" s="23" t="s">
        <v>2400</v>
      </c>
      <c r="E125" s="159">
        <f>(G14*G51+SUMPRODUCT($H$14:$T$14,$H$51:$T$51))/1000*Inputs!$H$70</f>
        <v>228.10999999999987</v>
      </c>
    </row>
    <row r="126" spans="2:20" ht="26.25" customHeight="1" x14ac:dyDescent="0.25">
      <c r="B126" s="64" t="s">
        <v>2402</v>
      </c>
      <c r="C126" s="28" t="s">
        <v>493</v>
      </c>
      <c r="H126" s="159">
        <f>'Revenue Calculation'!H16*$E$125*(Inputs!$E$273/Inputs!$E$274+(1-Inputs!$E$273)/Inputs!$E$275)</f>
        <v>0</v>
      </c>
      <c r="I126" s="159">
        <f>'Revenue Calculation'!I16*$E$125*(Inputs!$E$273/Inputs!$E$274+(1-Inputs!$E$273)/Inputs!$E$275)</f>
        <v>0</v>
      </c>
      <c r="J126" s="159">
        <f>'Revenue Calculation'!J16*$E$125*(Inputs!$E$273/Inputs!$E$274+(1-Inputs!$E$273)/Inputs!$E$275)</f>
        <v>13.116324999999991</v>
      </c>
      <c r="K126" s="159">
        <f>'Revenue Calculation'!K16*$E$125*(Inputs!$E$273/Inputs!$E$274+(1-Inputs!$E$273)/Inputs!$E$275)</f>
        <v>13.116324999999991</v>
      </c>
      <c r="L126" s="159">
        <f>'Revenue Calculation'!L16*$E$125*(Inputs!$E$273/Inputs!$E$274+(1-Inputs!$E$273)/Inputs!$E$275)</f>
        <v>13.116324999999991</v>
      </c>
      <c r="M126" s="159">
        <f>'Revenue Calculation'!M16*$E$125*(Inputs!$E$273/Inputs!$E$274+(1-Inputs!$E$273)/Inputs!$E$275)</f>
        <v>13.116324999999991</v>
      </c>
      <c r="N126" s="159">
        <f>'Revenue Calculation'!N16*$E$125*(Inputs!$E$273/Inputs!$E$274+(1-Inputs!$E$273)/Inputs!$E$275)</f>
        <v>13.116324999999991</v>
      </c>
      <c r="O126" s="159">
        <f>'Revenue Calculation'!O16*$E$125*(Inputs!$E$273/Inputs!$E$274+(1-Inputs!$E$273)/Inputs!$E$275)</f>
        <v>13.116324999999991</v>
      </c>
      <c r="P126" s="159">
        <f>'Revenue Calculation'!P16*$E$125*(Inputs!$E$273/Inputs!$E$274+(1-Inputs!$E$273)/Inputs!$E$275)</f>
        <v>13.116324999999991</v>
      </c>
      <c r="Q126" s="159">
        <f>'Revenue Calculation'!Q16*$E$125*(Inputs!$E$273/Inputs!$E$274+(1-Inputs!$E$273)/Inputs!$E$275)</f>
        <v>13.116324999999991</v>
      </c>
      <c r="R126" s="159">
        <f>'Revenue Calculation'!R16*$E$125*(Inputs!$E$273/Inputs!$E$274+(1-Inputs!$E$273)/Inputs!$E$275)</f>
        <v>13.116324999999991</v>
      </c>
      <c r="S126" s="159">
        <f>'Revenue Calculation'!S16*$E$125*(Inputs!$E$273/Inputs!$E$274+(1-Inputs!$E$273)/Inputs!$E$275)</f>
        <v>13.116324999999991</v>
      </c>
      <c r="T126" s="159">
        <f>'Revenue Calculation'!T16*$E$125*(Inputs!$E$273/Inputs!$E$274+(1-Inputs!$E$273)/Inputs!$E$275)</f>
        <v>13.116324999999991</v>
      </c>
    </row>
    <row r="127" spans="2:20" ht="26.25" customHeight="1" x14ac:dyDescent="0.25">
      <c r="B127" s="64" t="s">
        <v>2403</v>
      </c>
      <c r="C127" s="28" t="s">
        <v>493</v>
      </c>
      <c r="H127" s="159">
        <f>IF(H52&lt;'Revenue Calculation'!$D$16,0,IF(H52='Revenue Calculation'!$D$16,SUMPRODUCT($H$62:$T$62,--($H$52:$T$52&lt;=H52)),H62))</f>
        <v>0</v>
      </c>
      <c r="I127" s="159">
        <f>IF(I52&lt;'Revenue Calculation'!$D$16,0,IF(I52='Revenue Calculation'!$D$16,SUMPRODUCT($H$62:$T$62,--($H$52:$T$52&lt;=I52)),I62))</f>
        <v>0</v>
      </c>
      <c r="J127" s="159">
        <f>IF(J52&lt;'Revenue Calculation'!$D$16,0,IF(J52='Revenue Calculation'!$D$16,SUMPRODUCT($H$62:$T$62,--($H$52:$T$52&lt;=J52)),J62))</f>
        <v>114.25499999999997</v>
      </c>
      <c r="K127" s="159">
        <f>IF(K52&lt;'Revenue Calculation'!$D$16,0,IF(K52='Revenue Calculation'!$D$16,SUMPRODUCT($H$62:$T$62,--($H$52:$T$52&lt;=K52)),K62))</f>
        <v>113.85499999999993</v>
      </c>
      <c r="L127" s="159">
        <f>IF(L52&lt;'Revenue Calculation'!$D$16,0,IF(L52='Revenue Calculation'!$D$16,SUMPRODUCT($H$62:$T$62,--($H$52:$T$52&lt;=L52)),L62))</f>
        <v>0</v>
      </c>
      <c r="M127" s="159">
        <f>IF(M52&lt;'Revenue Calculation'!$D$16,0,IF(M52='Revenue Calculation'!$D$16,SUMPRODUCT($H$62:$T$62,--($H$52:$T$52&lt;=M52)),M62))</f>
        <v>0</v>
      </c>
      <c r="N127" s="159">
        <f>IF(N52&lt;'Revenue Calculation'!$D$16,0,IF(N52='Revenue Calculation'!$D$16,SUMPRODUCT($H$62:$T$62,--($H$52:$T$52&lt;=N52)),N62))</f>
        <v>0</v>
      </c>
      <c r="O127" s="159">
        <f>IF(O52&lt;'Revenue Calculation'!$D$16,0,IF(O52='Revenue Calculation'!$D$16,SUMPRODUCT($H$62:$T$62,--($H$52:$T$52&lt;=O52)),O62))</f>
        <v>0</v>
      </c>
      <c r="P127" s="159">
        <f>IF(P52&lt;'Revenue Calculation'!$D$16,0,IF(P52='Revenue Calculation'!$D$16,SUMPRODUCT($H$62:$T$62,--($H$52:$T$52&lt;=P52)),P62))</f>
        <v>0</v>
      </c>
      <c r="Q127" s="159">
        <f>IF(Q52&lt;'Revenue Calculation'!$D$16,0,IF(Q52='Revenue Calculation'!$D$16,SUMPRODUCT($H$62:$T$62,--($H$52:$T$52&lt;=Q52)),Q62))</f>
        <v>0</v>
      </c>
      <c r="R127" s="159">
        <f>IF(R52&lt;'Revenue Calculation'!$D$16,0,IF(R52='Revenue Calculation'!$D$16,SUMPRODUCT($H$62:$T$62,--($H$52:$T$52&lt;=R52)),R62))</f>
        <v>0</v>
      </c>
      <c r="S127" s="159">
        <f>IF(S52&lt;'Revenue Calculation'!$D$16,0,IF(S52='Revenue Calculation'!$D$16,SUMPRODUCT($H$62:$T$62,--($H$52:$T$52&lt;=S52)),S62))</f>
        <v>0</v>
      </c>
      <c r="T127" s="159">
        <f>IF(T52&lt;'Revenue Calculation'!$D$16,0,IF(T52='Revenue Calculation'!$D$16,SUMPRODUCT($H$62:$T$62,--($H$52:$T$52&lt;=T52)),T62))</f>
        <v>0</v>
      </c>
    </row>
    <row r="128" spans="2:20" x14ac:dyDescent="0.25">
      <c r="B128" s="23" t="s">
        <v>2404</v>
      </c>
      <c r="C128" s="28" t="s">
        <v>493</v>
      </c>
      <c r="H128" s="159">
        <f>(SUMPRODUCT($H$127:$T$127,--($H$52:$T$52&lt;=H52),--($H$52:$T$52&gt;H52-Inputs!$E$274))*Inputs!$E$273/Inputs!$E$274+SUMPRODUCT($H$127:$T$127,--($H$52:$T$52&lt;=H52),--($H$52:$T$52&gt;H52-Inputs!$E$275))*(1-Inputs!$E$273)/Inputs!$E$275)</f>
        <v>0</v>
      </c>
      <c r="I128" s="159">
        <f>(SUMPRODUCT($H$127:$T$127,--($H$52:$T$52&lt;=I52),--($H$52:$T$52&gt;I52-Inputs!$E$274))*Inputs!$E$273/Inputs!$E$274+SUMPRODUCT($H$127:$T$127,--($H$52:$T$52&lt;=I52),--($H$52:$T$52&gt;I52-Inputs!$E$275))*(1-Inputs!$E$273)/Inputs!$E$275)</f>
        <v>0</v>
      </c>
      <c r="J128" s="159">
        <f>(SUMPRODUCT($H$127:$T$127,--($H$52:$T$52&lt;=J52),--($H$52:$T$52&gt;J52-Inputs!$E$274))*Inputs!$E$273/Inputs!$E$274+SUMPRODUCT($H$127:$T$127,--($H$52:$T$52&lt;=J52),--($H$52:$T$52&gt;J52-Inputs!$E$275))*(1-Inputs!$E$273)/Inputs!$E$275)</f>
        <v>6.5696624999999971</v>
      </c>
      <c r="K128" s="159">
        <f>(SUMPRODUCT($H$127:$T$127,--($H$52:$T$52&lt;=K52),--($H$52:$T$52&gt;K52-Inputs!$E$274))*Inputs!$E$273/Inputs!$E$274+SUMPRODUCT($H$127:$T$127,--($H$52:$T$52&lt;=K52),--($H$52:$T$52&gt;K52-Inputs!$E$275))*(1-Inputs!$E$273)/Inputs!$E$275)</f>
        <v>13.116324999999993</v>
      </c>
      <c r="L128" s="159">
        <f>(SUMPRODUCT($H$127:$T$127,--($H$52:$T$52&lt;=L52),--($H$52:$T$52&gt;L52-Inputs!$E$274))*Inputs!$E$273/Inputs!$E$274+SUMPRODUCT($H$127:$T$127,--($H$52:$T$52&lt;=L52),--($H$52:$T$52&gt;L52-Inputs!$E$275))*(1-Inputs!$E$273)/Inputs!$E$275)</f>
        <v>13.116324999999993</v>
      </c>
      <c r="M128" s="159">
        <f>(SUMPRODUCT($H$127:$T$127,--($H$52:$T$52&lt;=M52),--($H$52:$T$52&gt;M52-Inputs!$E$274))*Inputs!$E$273/Inputs!$E$274+SUMPRODUCT($H$127:$T$127,--($H$52:$T$52&lt;=M52),--($H$52:$T$52&gt;M52-Inputs!$E$275))*(1-Inputs!$E$273)/Inputs!$E$275)</f>
        <v>13.116324999999993</v>
      </c>
      <c r="N128" s="159">
        <f>(SUMPRODUCT($H$127:$T$127,--($H$52:$T$52&lt;=N52),--($H$52:$T$52&gt;N52-Inputs!$E$274))*Inputs!$E$273/Inputs!$E$274+SUMPRODUCT($H$127:$T$127,--($H$52:$T$52&lt;=N52),--($H$52:$T$52&gt;N52-Inputs!$E$275))*(1-Inputs!$E$273)/Inputs!$E$275)</f>
        <v>13.116324999999993</v>
      </c>
      <c r="O128" s="159">
        <f>(SUMPRODUCT($H$127:$T$127,--($H$52:$T$52&lt;=O52),--($H$52:$T$52&gt;O52-Inputs!$E$274))*Inputs!$E$273/Inputs!$E$274+SUMPRODUCT($H$127:$T$127,--($H$52:$T$52&lt;=O52),--($H$52:$T$52&gt;O52-Inputs!$E$275))*(1-Inputs!$E$273)/Inputs!$E$275)</f>
        <v>13.116324999999993</v>
      </c>
      <c r="P128" s="159">
        <f>(SUMPRODUCT($H$127:$T$127,--($H$52:$T$52&lt;=P52),--($H$52:$T$52&gt;P52-Inputs!$E$274))*Inputs!$E$273/Inputs!$E$274+SUMPRODUCT($H$127:$T$127,--($H$52:$T$52&lt;=P52),--($H$52:$T$52&gt;P52-Inputs!$E$275))*(1-Inputs!$E$273)/Inputs!$E$275)</f>
        <v>13.116324999999993</v>
      </c>
      <c r="Q128" s="159">
        <f>(SUMPRODUCT($H$127:$T$127,--($H$52:$T$52&lt;=Q52),--($H$52:$T$52&gt;Q52-Inputs!$E$274))*Inputs!$E$273/Inputs!$E$274+SUMPRODUCT($H$127:$T$127,--($H$52:$T$52&lt;=Q52),--($H$52:$T$52&gt;Q52-Inputs!$E$275))*(1-Inputs!$E$273)/Inputs!$E$275)</f>
        <v>13.116324999999993</v>
      </c>
      <c r="R128" s="159">
        <f>(SUMPRODUCT($H$127:$T$127,--($H$52:$T$52&lt;=R52),--($H$52:$T$52&gt;R52-Inputs!$E$274))*Inputs!$E$273/Inputs!$E$274+SUMPRODUCT($H$127:$T$127,--($H$52:$T$52&lt;=R52),--($H$52:$T$52&gt;R52-Inputs!$E$275))*(1-Inputs!$E$273)/Inputs!$E$275)</f>
        <v>11.688137499999995</v>
      </c>
      <c r="S128" s="159">
        <f>(SUMPRODUCT($H$127:$T$127,--($H$52:$T$52&lt;=S52),--($H$52:$T$52&gt;S52-Inputs!$E$274))*Inputs!$E$273/Inputs!$E$274+SUMPRODUCT($H$127:$T$127,--($H$52:$T$52&lt;=S52),--($H$52:$T$52&gt;S52-Inputs!$E$275))*(1-Inputs!$E$273)/Inputs!$E$275)</f>
        <v>10.264949999999995</v>
      </c>
      <c r="T128" s="159">
        <f>(SUMPRODUCT($H$127:$T$127,--($H$52:$T$52&lt;=T52),--($H$52:$T$52&gt;T52-Inputs!$E$274))*Inputs!$E$273/Inputs!$E$274+SUMPRODUCT($H$127:$T$127,--($H$52:$T$52&lt;=T52),--($H$52:$T$52&gt;T52-Inputs!$E$275))*(1-Inputs!$E$273)/Inputs!$E$275)</f>
        <v>10.264949999999995</v>
      </c>
    </row>
    <row r="129" spans="2:20" x14ac:dyDescent="0.25">
      <c r="B129" s="21" t="s">
        <v>2415</v>
      </c>
      <c r="C129" s="28" t="s">
        <v>493</v>
      </c>
      <c r="H129" s="160">
        <f>IF(Inputs!$E$742=1,H128,H126)</f>
        <v>0</v>
      </c>
      <c r="I129" s="160">
        <f>IF(Inputs!$E$742=1,I128,I126)</f>
        <v>0</v>
      </c>
      <c r="J129" s="160">
        <f>IF(Inputs!$E$742=1,J128,J126)</f>
        <v>13.116324999999991</v>
      </c>
      <c r="K129" s="160">
        <f>IF(Inputs!$E$742=1,K128,K126)</f>
        <v>13.116324999999991</v>
      </c>
      <c r="L129" s="160">
        <f>IF(Inputs!$E$742=1,L128,L126)</f>
        <v>13.116324999999991</v>
      </c>
      <c r="M129" s="160">
        <f>IF(Inputs!$E$742=1,M128,M126)</f>
        <v>13.116324999999991</v>
      </c>
      <c r="N129" s="160">
        <f>IF(Inputs!$E$742=1,N128,N126)</f>
        <v>13.116324999999991</v>
      </c>
      <c r="O129" s="160">
        <f>IF(Inputs!$E$742=1,O128,O126)</f>
        <v>13.116324999999991</v>
      </c>
      <c r="P129" s="160">
        <f>IF(Inputs!$E$742=1,P128,P126)</f>
        <v>13.116324999999991</v>
      </c>
      <c r="Q129" s="160">
        <f>IF(Inputs!$E$742=1,Q128,Q126)</f>
        <v>13.116324999999991</v>
      </c>
      <c r="R129" s="160">
        <f>IF(Inputs!$E$742=1,R128,R126)</f>
        <v>13.116324999999991</v>
      </c>
      <c r="S129" s="160">
        <f>IF(Inputs!$E$742=1,S128,S126)</f>
        <v>13.116324999999991</v>
      </c>
      <c r="T129" s="160">
        <f>IF(Inputs!$E$742=1,T128,T126)</f>
        <v>13.116324999999991</v>
      </c>
    </row>
    <row r="130" spans="2:20" x14ac:dyDescent="0.25">
      <c r="B130" s="154" t="s">
        <v>581</v>
      </c>
    </row>
    <row r="131" spans="2:20" x14ac:dyDescent="0.25">
      <c r="B131" s="23" t="s">
        <v>2400</v>
      </c>
      <c r="E131" s="159">
        <f>(G15*G51+SUMPRODUCT($H$15:$T$15,$H$51:$T$51))/1000*Inputs!$H$78</f>
        <v>0</v>
      </c>
    </row>
    <row r="132" spans="2:20" ht="26.25" customHeight="1" x14ac:dyDescent="0.25">
      <c r="B132" s="64" t="s">
        <v>2402</v>
      </c>
      <c r="C132" s="28" t="s">
        <v>493</v>
      </c>
      <c r="H132" s="159">
        <f>'Revenue Calculation'!H24*$E$131*(Inputs!$E$309/Inputs!$E$310+(1-Inputs!$E$309)/Inputs!$E$311)</f>
        <v>0</v>
      </c>
      <c r="I132" s="159">
        <f>'Revenue Calculation'!I24*$E$131*(Inputs!$E$309/Inputs!$E$310+(1-Inputs!$E$309)/Inputs!$E$311)</f>
        <v>0</v>
      </c>
      <c r="J132" s="159">
        <f>'Revenue Calculation'!J24*$E$131*(Inputs!$E$309/Inputs!$E$310+(1-Inputs!$E$309)/Inputs!$E$311)</f>
        <v>0</v>
      </c>
      <c r="K132" s="159">
        <f>'Revenue Calculation'!K24*$E$131*(Inputs!$E$309/Inputs!$E$310+(1-Inputs!$E$309)/Inputs!$E$311)</f>
        <v>0</v>
      </c>
      <c r="L132" s="159">
        <f>'Revenue Calculation'!L24*$E$131*(Inputs!$E$309/Inputs!$E$310+(1-Inputs!$E$309)/Inputs!$E$311)</f>
        <v>0</v>
      </c>
      <c r="M132" s="159">
        <f>'Revenue Calculation'!M24*$E$131*(Inputs!$E$309/Inputs!$E$310+(1-Inputs!$E$309)/Inputs!$E$311)</f>
        <v>0</v>
      </c>
      <c r="N132" s="159">
        <f>'Revenue Calculation'!N24*$E$131*(Inputs!$E$309/Inputs!$E$310+(1-Inputs!$E$309)/Inputs!$E$311)</f>
        <v>0</v>
      </c>
      <c r="O132" s="159">
        <f>'Revenue Calculation'!O24*$E$131*(Inputs!$E$309/Inputs!$E$310+(1-Inputs!$E$309)/Inputs!$E$311)</f>
        <v>0</v>
      </c>
      <c r="P132" s="159">
        <f>'Revenue Calculation'!P24*$E$131*(Inputs!$E$309/Inputs!$E$310+(1-Inputs!$E$309)/Inputs!$E$311)</f>
        <v>0</v>
      </c>
      <c r="Q132" s="159">
        <f>'Revenue Calculation'!Q24*$E$131*(Inputs!$E$309/Inputs!$E$310+(1-Inputs!$E$309)/Inputs!$E$311)</f>
        <v>0</v>
      </c>
      <c r="R132" s="159">
        <f>'Revenue Calculation'!R24*$E$131*(Inputs!$E$309/Inputs!$E$310+(1-Inputs!$E$309)/Inputs!$E$311)</f>
        <v>0</v>
      </c>
      <c r="S132" s="159">
        <f>'Revenue Calculation'!S24*$E$131*(Inputs!$E$309/Inputs!$E$310+(1-Inputs!$E$309)/Inputs!$E$311)</f>
        <v>0</v>
      </c>
      <c r="T132" s="159">
        <f>'Revenue Calculation'!T24*$E$131*(Inputs!$E$309/Inputs!$E$310+(1-Inputs!$E$309)/Inputs!$E$311)</f>
        <v>0</v>
      </c>
    </row>
    <row r="133" spans="2:20" ht="26.25" customHeight="1" x14ac:dyDescent="0.25">
      <c r="B133" s="64" t="s">
        <v>2403</v>
      </c>
      <c r="C133" s="28" t="s">
        <v>493</v>
      </c>
      <c r="H133" s="159">
        <f>IF(H52&lt;'Revenue Calculation'!$D$24,0,IF(H52='Revenue Calculation'!$D$24,SUMPRODUCT($H$63:$T$63,--($H$52:$T$52&lt;=H52)),H63))</f>
        <v>0</v>
      </c>
      <c r="I133" s="159">
        <f>IF(I52&lt;'Revenue Calculation'!$D$24,0,IF(I52='Revenue Calculation'!$D$24,SUMPRODUCT($H$63:$T$63,--($H$52:$T$52&lt;=I52)),I63))</f>
        <v>0</v>
      </c>
      <c r="J133" s="159">
        <f>IF(J52&lt;'Revenue Calculation'!$D$24,0,IF(J52='Revenue Calculation'!$D$24,SUMPRODUCT($H$63:$T$63,--($H$52:$T$52&lt;=J52)),J63))</f>
        <v>0</v>
      </c>
      <c r="K133" s="159">
        <f>IF(K52&lt;'Revenue Calculation'!$D$24,0,IF(K52='Revenue Calculation'!$D$24,SUMPRODUCT($H$63:$T$63,--($H$52:$T$52&lt;=K52)),K63))</f>
        <v>0</v>
      </c>
      <c r="L133" s="159">
        <f>IF(L52&lt;'Revenue Calculation'!$D$24,0,IF(L52='Revenue Calculation'!$D$24,SUMPRODUCT($H$63:$T$63,--($H$52:$T$52&lt;=L52)),L63))</f>
        <v>0</v>
      </c>
      <c r="M133" s="159">
        <f>IF(M52&lt;'Revenue Calculation'!$D$24,0,IF(M52='Revenue Calculation'!$D$24,SUMPRODUCT($H$63:$T$63,--($H$52:$T$52&lt;=M52)),M63))</f>
        <v>0</v>
      </c>
      <c r="N133" s="159">
        <f>IF(N52&lt;'Revenue Calculation'!$D$24,0,IF(N52='Revenue Calculation'!$D$24,SUMPRODUCT($H$63:$T$63,--($H$52:$T$52&lt;=N52)),N63))</f>
        <v>0</v>
      </c>
      <c r="O133" s="159">
        <f>IF(O52&lt;'Revenue Calculation'!$D$24,0,IF(O52='Revenue Calculation'!$D$24,SUMPRODUCT($H$63:$T$63,--($H$52:$T$52&lt;=O52)),O63))</f>
        <v>0</v>
      </c>
      <c r="P133" s="159">
        <f>IF(P52&lt;'Revenue Calculation'!$D$24,0,IF(P52='Revenue Calculation'!$D$24,SUMPRODUCT($H$63:$T$63,--($H$52:$T$52&lt;=P52)),P63))</f>
        <v>0</v>
      </c>
      <c r="Q133" s="159">
        <f>IF(Q52&lt;'Revenue Calculation'!$D$24,0,IF(Q52='Revenue Calculation'!$D$24,SUMPRODUCT($H$63:$T$63,--($H$52:$T$52&lt;=Q52)),Q63))</f>
        <v>0</v>
      </c>
      <c r="R133" s="159">
        <f>IF(R52&lt;'Revenue Calculation'!$D$24,0,IF(R52='Revenue Calculation'!$D$24,SUMPRODUCT($H$63:$T$63,--($H$52:$T$52&lt;=R52)),R63))</f>
        <v>0</v>
      </c>
      <c r="S133" s="159">
        <f>IF(S52&lt;'Revenue Calculation'!$D$24,0,IF(S52='Revenue Calculation'!$D$24,SUMPRODUCT($H$63:$T$63,--($H$52:$T$52&lt;=S52)),S63))</f>
        <v>0</v>
      </c>
      <c r="T133" s="159">
        <f>IF(T52&lt;'Revenue Calculation'!$D$24,0,IF(T52='Revenue Calculation'!$D$24,SUMPRODUCT($H$63:$T$63,--($H$52:$T$52&lt;=T52)),T63))</f>
        <v>0</v>
      </c>
    </row>
    <row r="134" spans="2:20" x14ac:dyDescent="0.25">
      <c r="B134" s="23" t="s">
        <v>2404</v>
      </c>
      <c r="C134" s="28" t="s">
        <v>493</v>
      </c>
      <c r="H134" s="159">
        <f>(SUMPRODUCT($H$133:$T$133,--($H$52:$T$52&lt;=H52),--($H$52:$T$52&gt;H52-Inputs!$E$310))*Inputs!$E$309/Inputs!$E$310+SUMPRODUCT($H$133:$T$133,--($H$52:$T$52&lt;=H52),--($H$52:$T$52&gt;H52-Inputs!$E$311))*(1-Inputs!$E$309)/Inputs!$E$311)</f>
        <v>0</v>
      </c>
      <c r="I134" s="159">
        <f>(SUMPRODUCT($H$133:$T$133,--($H$52:$T$52&lt;=I52),--($H$52:$T$52&gt;I52-Inputs!$E$310))*Inputs!$E$309/Inputs!$E$310+SUMPRODUCT($H$133:$T$133,--($H$52:$T$52&lt;=I52),--($H$52:$T$52&gt;I52-Inputs!$E$311))*(1-Inputs!$E$309)/Inputs!$E$311)</f>
        <v>0</v>
      </c>
      <c r="J134" s="159">
        <f>(SUMPRODUCT($H$133:$T$133,--($H$52:$T$52&lt;=J52),--($H$52:$T$52&gt;J52-Inputs!$E$310))*Inputs!$E$309/Inputs!$E$310+SUMPRODUCT($H$133:$T$133,--($H$52:$T$52&lt;=J52),--($H$52:$T$52&gt;J52-Inputs!$E$311))*(1-Inputs!$E$309)/Inputs!$E$311)</f>
        <v>0</v>
      </c>
      <c r="K134" s="159">
        <f>(SUMPRODUCT($H$133:$T$133,--($H$52:$T$52&lt;=K52),--($H$52:$T$52&gt;K52-Inputs!$E$310))*Inputs!$E$309/Inputs!$E$310+SUMPRODUCT($H$133:$T$133,--($H$52:$T$52&lt;=K52),--($H$52:$T$52&gt;K52-Inputs!$E$311))*(1-Inputs!$E$309)/Inputs!$E$311)</f>
        <v>0</v>
      </c>
      <c r="L134" s="159">
        <f>(SUMPRODUCT($H$133:$T$133,--($H$52:$T$52&lt;=L52),--($H$52:$T$52&gt;L52-Inputs!$E$310))*Inputs!$E$309/Inputs!$E$310+SUMPRODUCT($H$133:$T$133,--($H$52:$T$52&lt;=L52),--($H$52:$T$52&gt;L52-Inputs!$E$311))*(1-Inputs!$E$309)/Inputs!$E$311)</f>
        <v>0</v>
      </c>
      <c r="M134" s="159">
        <f>(SUMPRODUCT($H$133:$T$133,--($H$52:$T$52&lt;=M52),--($H$52:$T$52&gt;M52-Inputs!$E$310))*Inputs!$E$309/Inputs!$E$310+SUMPRODUCT($H$133:$T$133,--($H$52:$T$52&lt;=M52),--($H$52:$T$52&gt;M52-Inputs!$E$311))*(1-Inputs!$E$309)/Inputs!$E$311)</f>
        <v>0</v>
      </c>
      <c r="N134" s="159">
        <f>(SUMPRODUCT($H$133:$T$133,--($H$52:$T$52&lt;=N52),--($H$52:$T$52&gt;N52-Inputs!$E$310))*Inputs!$E$309/Inputs!$E$310+SUMPRODUCT($H$133:$T$133,--($H$52:$T$52&lt;=N52),--($H$52:$T$52&gt;N52-Inputs!$E$311))*(1-Inputs!$E$309)/Inputs!$E$311)</f>
        <v>0</v>
      </c>
      <c r="O134" s="159">
        <f>(SUMPRODUCT($H$133:$T$133,--($H$52:$T$52&lt;=O52),--($H$52:$T$52&gt;O52-Inputs!$E$310))*Inputs!$E$309/Inputs!$E$310+SUMPRODUCT($H$133:$T$133,--($H$52:$T$52&lt;=O52),--($H$52:$T$52&gt;O52-Inputs!$E$311))*(1-Inputs!$E$309)/Inputs!$E$311)</f>
        <v>0</v>
      </c>
      <c r="P134" s="159">
        <f>(SUMPRODUCT($H$133:$T$133,--($H$52:$T$52&lt;=P52),--($H$52:$T$52&gt;P52-Inputs!$E$310))*Inputs!$E$309/Inputs!$E$310+SUMPRODUCT($H$133:$T$133,--($H$52:$T$52&lt;=P52),--($H$52:$T$52&gt;P52-Inputs!$E$311))*(1-Inputs!$E$309)/Inputs!$E$311)</f>
        <v>0</v>
      </c>
      <c r="Q134" s="159">
        <f>(SUMPRODUCT($H$133:$T$133,--($H$52:$T$52&lt;=Q52),--($H$52:$T$52&gt;Q52-Inputs!$E$310))*Inputs!$E$309/Inputs!$E$310+SUMPRODUCT($H$133:$T$133,--($H$52:$T$52&lt;=Q52),--($H$52:$T$52&gt;Q52-Inputs!$E$311))*(1-Inputs!$E$309)/Inputs!$E$311)</f>
        <v>0</v>
      </c>
      <c r="R134" s="159">
        <f>(SUMPRODUCT($H$133:$T$133,--($H$52:$T$52&lt;=R52),--($H$52:$T$52&gt;R52-Inputs!$E$310))*Inputs!$E$309/Inputs!$E$310+SUMPRODUCT($H$133:$T$133,--($H$52:$T$52&lt;=R52),--($H$52:$T$52&gt;R52-Inputs!$E$311))*(1-Inputs!$E$309)/Inputs!$E$311)</f>
        <v>0</v>
      </c>
      <c r="S134" s="159">
        <f>(SUMPRODUCT($H$133:$T$133,--($H$52:$T$52&lt;=S52),--($H$52:$T$52&gt;S52-Inputs!$E$310))*Inputs!$E$309/Inputs!$E$310+SUMPRODUCT($H$133:$T$133,--($H$52:$T$52&lt;=S52),--($H$52:$T$52&gt;S52-Inputs!$E$311))*(1-Inputs!$E$309)/Inputs!$E$311)</f>
        <v>0</v>
      </c>
      <c r="T134" s="159">
        <f>(SUMPRODUCT($H$133:$T$133,--($H$52:$T$52&lt;=T52),--($H$52:$T$52&gt;T52-Inputs!$E$310))*Inputs!$E$309/Inputs!$E$310+SUMPRODUCT($H$133:$T$133,--($H$52:$T$52&lt;=T52),--($H$52:$T$52&gt;T52-Inputs!$E$311))*(1-Inputs!$E$309)/Inputs!$E$311)</f>
        <v>0</v>
      </c>
    </row>
    <row r="135" spans="2:20" x14ac:dyDescent="0.25">
      <c r="B135" s="21" t="s">
        <v>2416</v>
      </c>
      <c r="C135" s="28" t="s">
        <v>493</v>
      </c>
      <c r="H135" s="160">
        <f>IF(Inputs!$E$742=1,H134,H132)</f>
        <v>0</v>
      </c>
      <c r="I135" s="160">
        <f>IF(Inputs!$E$742=1,I134,I132)</f>
        <v>0</v>
      </c>
      <c r="J135" s="160">
        <f>IF(Inputs!$E$742=1,J134,J132)</f>
        <v>0</v>
      </c>
      <c r="K135" s="160">
        <f>IF(Inputs!$E$742=1,K134,K132)</f>
        <v>0</v>
      </c>
      <c r="L135" s="160">
        <f>IF(Inputs!$E$742=1,L134,L132)</f>
        <v>0</v>
      </c>
      <c r="M135" s="160">
        <f>IF(Inputs!$E$742=1,M134,M132)</f>
        <v>0</v>
      </c>
      <c r="N135" s="160">
        <f>IF(Inputs!$E$742=1,N134,N132)</f>
        <v>0</v>
      </c>
      <c r="O135" s="160">
        <f>IF(Inputs!$E$742=1,O134,O132)</f>
        <v>0</v>
      </c>
      <c r="P135" s="160">
        <f>IF(Inputs!$E$742=1,P134,P132)</f>
        <v>0</v>
      </c>
      <c r="Q135" s="160">
        <f>IF(Inputs!$E$742=1,Q134,Q132)</f>
        <v>0</v>
      </c>
      <c r="R135" s="160">
        <f>IF(Inputs!$E$742=1,R134,R132)</f>
        <v>0</v>
      </c>
      <c r="S135" s="160">
        <f>IF(Inputs!$E$742=1,S134,S132)</f>
        <v>0</v>
      </c>
      <c r="T135" s="160">
        <f>IF(Inputs!$E$742=1,T134,T132)</f>
        <v>0</v>
      </c>
    </row>
    <row r="136" spans="2:20" x14ac:dyDescent="0.25">
      <c r="B136" s="154" t="s">
        <v>2417</v>
      </c>
    </row>
    <row r="137" spans="2:20" x14ac:dyDescent="0.25">
      <c r="B137" s="23" t="s">
        <v>2418</v>
      </c>
      <c r="C137" s="28" t="s">
        <v>493</v>
      </c>
      <c r="H137" s="159">
        <f>'Revenue Calculation'!H17*Inputs!$E$284*Inputs!$E$55*INDEX($G$51:$T$51,1,'Revenue Calculation'!$D$17-2022)/1000/Inputs!$E$288</f>
        <v>0</v>
      </c>
      <c r="I137" s="159">
        <f>'Revenue Calculation'!I17*Inputs!$E$284*Inputs!$E$55*INDEX($G$51:$T$51,1,'Revenue Calculation'!$D$17-2022)/1000/Inputs!$E$288</f>
        <v>0</v>
      </c>
      <c r="J137" s="159">
        <f>'Revenue Calculation'!J17*Inputs!$E$284*Inputs!$E$55*INDEX($G$51:$T$51,1,'Revenue Calculation'!$D$17-2022)/1000/Inputs!$E$288</f>
        <v>0</v>
      </c>
      <c r="K137" s="159">
        <f>'Revenue Calculation'!K17*Inputs!$E$284*Inputs!$E$55*INDEX($G$51:$T$51,1,'Revenue Calculation'!$D$17-2022)/1000/Inputs!$E$288</f>
        <v>0.13012000000000001</v>
      </c>
      <c r="L137" s="159">
        <f>'Revenue Calculation'!L17*Inputs!$E$284*Inputs!$E$55*INDEX($G$51:$T$51,1,'Revenue Calculation'!$D$17-2022)/1000/Inputs!$E$288</f>
        <v>0.13012000000000001</v>
      </c>
      <c r="M137" s="159">
        <f>'Revenue Calculation'!M17*Inputs!$E$284*Inputs!$E$55*INDEX($G$51:$T$51,1,'Revenue Calculation'!$D$17-2022)/1000/Inputs!$E$288</f>
        <v>0.13012000000000001</v>
      </c>
      <c r="N137" s="159">
        <f>'Revenue Calculation'!N17*Inputs!$E$284*Inputs!$E$55*INDEX($G$51:$T$51,1,'Revenue Calculation'!$D$17-2022)/1000/Inputs!$E$288</f>
        <v>0.13012000000000001</v>
      </c>
      <c r="O137" s="159">
        <f>'Revenue Calculation'!O17*Inputs!$E$284*Inputs!$E$55*INDEX($G$51:$T$51,1,'Revenue Calculation'!$D$17-2022)/1000/Inputs!$E$288</f>
        <v>0.13012000000000001</v>
      </c>
      <c r="P137" s="159">
        <f>'Revenue Calculation'!P17*Inputs!$E$284*Inputs!$E$55*INDEX($G$51:$T$51,1,'Revenue Calculation'!$D$17-2022)/1000/Inputs!$E$288</f>
        <v>0.13012000000000001</v>
      </c>
      <c r="Q137" s="159">
        <f>'Revenue Calculation'!Q17*Inputs!$E$284*Inputs!$E$55*INDEX($G$51:$T$51,1,'Revenue Calculation'!$D$17-2022)/1000/Inputs!$E$288</f>
        <v>0.13012000000000001</v>
      </c>
      <c r="R137" s="159">
        <f>'Revenue Calculation'!R17*Inputs!$E$284*Inputs!$E$55*INDEX($G$51:$T$51,1,'Revenue Calculation'!$D$17-2022)/1000/Inputs!$E$288</f>
        <v>0.13012000000000001</v>
      </c>
      <c r="S137" s="159">
        <f>'Revenue Calculation'!S17*Inputs!$E$284*Inputs!$E$55*INDEX($G$51:$T$51,1,'Revenue Calculation'!$D$17-2022)/1000/Inputs!$E$288</f>
        <v>0.13012000000000001</v>
      </c>
      <c r="T137" s="159">
        <f>'Revenue Calculation'!T17*Inputs!$E$284*Inputs!$E$55*INDEX($G$51:$T$51,1,'Revenue Calculation'!$D$17-2022)/1000/Inputs!$E$288</f>
        <v>0.13012000000000001</v>
      </c>
    </row>
    <row r="138" spans="2:20" x14ac:dyDescent="0.25">
      <c r="B138" s="23" t="s">
        <v>2419</v>
      </c>
      <c r="C138" s="28" t="s">
        <v>493</v>
      </c>
      <c r="H138" s="159">
        <f>SUMPRODUCT($H$64:$T$64,--($H$52:$T$52&lt;=H52),--($H$52:$T$52&gt;H52-Inputs!$E$288))/Inputs!$E$288</f>
        <v>0</v>
      </c>
      <c r="I138" s="159">
        <f>SUMPRODUCT($H$64:$T$64,--($H$52:$T$52&lt;=I52),--($H$52:$T$52&gt;I52-Inputs!$E$288))/Inputs!$E$288</f>
        <v>0</v>
      </c>
      <c r="J138" s="159">
        <f>SUMPRODUCT($H$64:$T$64,--($H$52:$T$52&lt;=J52),--($H$52:$T$52&gt;J52-Inputs!$E$288))/Inputs!$E$288</f>
        <v>0</v>
      </c>
      <c r="K138" s="159">
        <f>SUMPRODUCT($H$64:$T$64,--($H$52:$T$52&lt;=K52),--($H$52:$T$52&gt;K52-Inputs!$E$288))/Inputs!$E$288</f>
        <v>0.13012000000000001</v>
      </c>
      <c r="L138" s="159">
        <f>SUMPRODUCT($H$64:$T$64,--($H$52:$T$52&lt;=L52),--($H$52:$T$52&gt;L52-Inputs!$E$288))/Inputs!$E$288</f>
        <v>0.13012000000000001</v>
      </c>
      <c r="M138" s="159">
        <f>SUMPRODUCT($H$64:$T$64,--($H$52:$T$52&lt;=M52),--($H$52:$T$52&gt;M52-Inputs!$E$288))/Inputs!$E$288</f>
        <v>0.13012000000000001</v>
      </c>
      <c r="N138" s="159">
        <f>SUMPRODUCT($H$64:$T$64,--($H$52:$T$52&lt;=N52),--($H$52:$T$52&gt;N52-Inputs!$E$288))/Inputs!$E$288</f>
        <v>0.13012000000000001</v>
      </c>
      <c r="O138" s="159">
        <f>SUMPRODUCT($H$64:$T$64,--($H$52:$T$52&lt;=O52),--($H$52:$T$52&gt;O52-Inputs!$E$288))/Inputs!$E$288</f>
        <v>0.13012000000000001</v>
      </c>
      <c r="P138" s="159">
        <f>SUMPRODUCT($H$64:$T$64,--($H$52:$T$52&lt;=P52),--($H$52:$T$52&gt;P52-Inputs!$E$288))/Inputs!$E$288</f>
        <v>0</v>
      </c>
      <c r="Q138" s="159">
        <f>SUMPRODUCT($H$64:$T$64,--($H$52:$T$52&lt;=Q52),--($H$52:$T$52&gt;Q52-Inputs!$E$288))/Inputs!$E$288</f>
        <v>0</v>
      </c>
      <c r="R138" s="159">
        <f>SUMPRODUCT($H$64:$T$64,--($H$52:$T$52&lt;=R52),--($H$52:$T$52&gt;R52-Inputs!$E$288))/Inputs!$E$288</f>
        <v>0</v>
      </c>
      <c r="S138" s="159">
        <f>SUMPRODUCT($H$64:$T$64,--($H$52:$T$52&lt;=S52),--($H$52:$T$52&gt;S52-Inputs!$E$288))/Inputs!$E$288</f>
        <v>0</v>
      </c>
      <c r="T138" s="159">
        <f>SUMPRODUCT($H$64:$T$64,--($H$52:$T$52&lt;=T52),--($H$52:$T$52&gt;T52-Inputs!$E$288))/Inputs!$E$288</f>
        <v>0</v>
      </c>
    </row>
    <row r="139" spans="2:20" x14ac:dyDescent="0.25">
      <c r="B139" s="21" t="s">
        <v>2420</v>
      </c>
      <c r="C139" s="28" t="s">
        <v>493</v>
      </c>
      <c r="H139" s="160">
        <f>IF(Inputs!$E$742=1,H138,H137)</f>
        <v>0</v>
      </c>
      <c r="I139" s="160">
        <f>IF(Inputs!$E$742=1,I138,I137)</f>
        <v>0</v>
      </c>
      <c r="J139" s="160">
        <f>IF(Inputs!$E$742=1,J138,J137)</f>
        <v>0</v>
      </c>
      <c r="K139" s="160">
        <f>IF(Inputs!$E$742=1,K138,K137)</f>
        <v>0.13012000000000001</v>
      </c>
      <c r="L139" s="160">
        <f>IF(Inputs!$E$742=1,L138,L137)</f>
        <v>0.13012000000000001</v>
      </c>
      <c r="M139" s="160">
        <f>IF(Inputs!$E$742=1,M138,M137)</f>
        <v>0.13012000000000001</v>
      </c>
      <c r="N139" s="160">
        <f>IF(Inputs!$E$742=1,N138,N137)</f>
        <v>0.13012000000000001</v>
      </c>
      <c r="O139" s="160">
        <f>IF(Inputs!$E$742=1,O138,O137)</f>
        <v>0.13012000000000001</v>
      </c>
      <c r="P139" s="160">
        <f>IF(Inputs!$E$742=1,P138,P137)</f>
        <v>0.13012000000000001</v>
      </c>
      <c r="Q139" s="160">
        <f>IF(Inputs!$E$742=1,Q138,Q137)</f>
        <v>0.13012000000000001</v>
      </c>
      <c r="R139" s="160">
        <f>IF(Inputs!$E$742=1,R138,R137)</f>
        <v>0.13012000000000001</v>
      </c>
      <c r="S139" s="160">
        <f>IF(Inputs!$E$742=1,S138,S137)</f>
        <v>0.13012000000000001</v>
      </c>
      <c r="T139" s="160">
        <f>IF(Inputs!$E$742=1,T138,T137)</f>
        <v>0.13012000000000001</v>
      </c>
    </row>
    <row r="140" spans="2:20" x14ac:dyDescent="0.25">
      <c r="B140" s="23" t="s">
        <v>2421</v>
      </c>
      <c r="C140" s="28" t="s">
        <v>493</v>
      </c>
      <c r="H140" s="159">
        <f>'Revenue Calculation'!H18*Inputs!$E$285*Inputs!$E$55*INDEX($G$51:$T$51,1,'Revenue Calculation'!$D$18-2022)/1000/Inputs!$E$288</f>
        <v>0</v>
      </c>
      <c r="I140" s="159">
        <f>'Revenue Calculation'!I18*Inputs!$E$285*Inputs!$E$55*INDEX($G$51:$T$51,1,'Revenue Calculation'!$D$18-2022)/1000/Inputs!$E$288</f>
        <v>0</v>
      </c>
      <c r="J140" s="159">
        <f>'Revenue Calculation'!J18*Inputs!$E$285*Inputs!$E$55*INDEX($G$51:$T$51,1,'Revenue Calculation'!$D$18-2022)/1000/Inputs!$E$288</f>
        <v>0</v>
      </c>
      <c r="K140" s="159">
        <f>'Revenue Calculation'!K18*Inputs!$E$285*Inputs!$E$55*INDEX($G$51:$T$51,1,'Revenue Calculation'!$D$18-2022)/1000/Inputs!$E$288</f>
        <v>0.13012000000000001</v>
      </c>
      <c r="L140" s="159">
        <f>'Revenue Calculation'!L18*Inputs!$E$285*Inputs!$E$55*INDEX($G$51:$T$51,1,'Revenue Calculation'!$D$18-2022)/1000/Inputs!$E$288</f>
        <v>0.13012000000000001</v>
      </c>
      <c r="M140" s="159">
        <f>'Revenue Calculation'!M18*Inputs!$E$285*Inputs!$E$55*INDEX($G$51:$T$51,1,'Revenue Calculation'!$D$18-2022)/1000/Inputs!$E$288</f>
        <v>0.13012000000000001</v>
      </c>
      <c r="N140" s="159">
        <f>'Revenue Calculation'!N18*Inputs!$E$285*Inputs!$E$55*INDEX($G$51:$T$51,1,'Revenue Calculation'!$D$18-2022)/1000/Inputs!$E$288</f>
        <v>0.13012000000000001</v>
      </c>
      <c r="O140" s="159">
        <f>'Revenue Calculation'!O18*Inputs!$E$285*Inputs!$E$55*INDEX($G$51:$T$51,1,'Revenue Calculation'!$D$18-2022)/1000/Inputs!$E$288</f>
        <v>0.13012000000000001</v>
      </c>
      <c r="P140" s="159">
        <f>'Revenue Calculation'!P18*Inputs!$E$285*Inputs!$E$55*INDEX($G$51:$T$51,1,'Revenue Calculation'!$D$18-2022)/1000/Inputs!$E$288</f>
        <v>0.13012000000000001</v>
      </c>
      <c r="Q140" s="159">
        <f>'Revenue Calculation'!Q18*Inputs!$E$285*Inputs!$E$55*INDEX($G$51:$T$51,1,'Revenue Calculation'!$D$18-2022)/1000/Inputs!$E$288</f>
        <v>0.13012000000000001</v>
      </c>
      <c r="R140" s="159">
        <f>'Revenue Calculation'!R18*Inputs!$E$285*Inputs!$E$55*INDEX($G$51:$T$51,1,'Revenue Calculation'!$D$18-2022)/1000/Inputs!$E$288</f>
        <v>0.13012000000000001</v>
      </c>
      <c r="S140" s="159">
        <f>'Revenue Calculation'!S18*Inputs!$E$285*Inputs!$E$55*INDEX($G$51:$T$51,1,'Revenue Calculation'!$D$18-2022)/1000/Inputs!$E$288</f>
        <v>0.13012000000000001</v>
      </c>
      <c r="T140" s="159">
        <f>'Revenue Calculation'!T18*Inputs!$E$285*Inputs!$E$55*INDEX($G$51:$T$51,1,'Revenue Calculation'!$D$18-2022)/1000/Inputs!$E$288</f>
        <v>0.13012000000000001</v>
      </c>
    </row>
    <row r="141" spans="2:20" x14ac:dyDescent="0.25">
      <c r="B141" s="23" t="s">
        <v>2422</v>
      </c>
      <c r="C141" s="28" t="s">
        <v>493</v>
      </c>
      <c r="H141" s="159">
        <f>SUMPRODUCT($H$65:$T$65,--($H$52:$T$52&lt;=H52),--($H$52:$T$52&gt;H52-Inputs!$E$288))/Inputs!$E$288</f>
        <v>0</v>
      </c>
      <c r="I141" s="159">
        <f>SUMPRODUCT($H$65:$T$65,--($H$52:$T$52&lt;=I52),--($H$52:$T$52&gt;I52-Inputs!$E$288))/Inputs!$E$288</f>
        <v>0</v>
      </c>
      <c r="J141" s="159">
        <f>SUMPRODUCT($H$65:$T$65,--($H$52:$T$52&lt;=J52),--($H$52:$T$52&gt;J52-Inputs!$E$288))/Inputs!$E$288</f>
        <v>0</v>
      </c>
      <c r="K141" s="159">
        <f>SUMPRODUCT($H$65:$T$65,--($H$52:$T$52&lt;=K52),--($H$52:$T$52&gt;K52-Inputs!$E$288))/Inputs!$E$288</f>
        <v>0.13012000000000001</v>
      </c>
      <c r="L141" s="159">
        <f>SUMPRODUCT($H$65:$T$65,--($H$52:$T$52&lt;=L52),--($H$52:$T$52&gt;L52-Inputs!$E$288))/Inputs!$E$288</f>
        <v>0.13012000000000001</v>
      </c>
      <c r="M141" s="159">
        <f>SUMPRODUCT($H$65:$T$65,--($H$52:$T$52&lt;=M52),--($H$52:$T$52&gt;M52-Inputs!$E$288))/Inputs!$E$288</f>
        <v>0.13012000000000001</v>
      </c>
      <c r="N141" s="159">
        <f>SUMPRODUCT($H$65:$T$65,--($H$52:$T$52&lt;=N52),--($H$52:$T$52&gt;N52-Inputs!$E$288))/Inputs!$E$288</f>
        <v>0.13012000000000001</v>
      </c>
      <c r="O141" s="159">
        <f>SUMPRODUCT($H$65:$T$65,--($H$52:$T$52&lt;=O52),--($H$52:$T$52&gt;O52-Inputs!$E$288))/Inputs!$E$288</f>
        <v>0.13012000000000001</v>
      </c>
      <c r="P141" s="159">
        <f>SUMPRODUCT($H$65:$T$65,--($H$52:$T$52&lt;=P52),--($H$52:$T$52&gt;P52-Inputs!$E$288))/Inputs!$E$288</f>
        <v>0</v>
      </c>
      <c r="Q141" s="159">
        <f>SUMPRODUCT($H$65:$T$65,--($H$52:$T$52&lt;=Q52),--($H$52:$T$52&gt;Q52-Inputs!$E$288))/Inputs!$E$288</f>
        <v>0</v>
      </c>
      <c r="R141" s="159">
        <f>SUMPRODUCT($H$65:$T$65,--($H$52:$T$52&lt;=R52),--($H$52:$T$52&gt;R52-Inputs!$E$288))/Inputs!$E$288</f>
        <v>0</v>
      </c>
      <c r="S141" s="159">
        <f>SUMPRODUCT($H$65:$T$65,--($H$52:$T$52&lt;=S52),--($H$52:$T$52&gt;S52-Inputs!$E$288))/Inputs!$E$288</f>
        <v>0</v>
      </c>
      <c r="T141" s="159">
        <f>SUMPRODUCT($H$65:$T$65,--($H$52:$T$52&lt;=T52),--($H$52:$T$52&gt;T52-Inputs!$E$288))/Inputs!$E$288</f>
        <v>0</v>
      </c>
    </row>
    <row r="142" spans="2:20" x14ac:dyDescent="0.25">
      <c r="B142" s="21" t="s">
        <v>2423</v>
      </c>
      <c r="C142" s="28" t="s">
        <v>493</v>
      </c>
      <c r="H142" s="160">
        <f>IF(Inputs!$E$742=1,H141,H140)</f>
        <v>0</v>
      </c>
      <c r="I142" s="160">
        <f>IF(Inputs!$E$742=1,I141,I140)</f>
        <v>0</v>
      </c>
      <c r="J142" s="160">
        <f>IF(Inputs!$E$742=1,J141,J140)</f>
        <v>0</v>
      </c>
      <c r="K142" s="160">
        <f>IF(Inputs!$E$742=1,K141,K140)</f>
        <v>0.13012000000000001</v>
      </c>
      <c r="L142" s="160">
        <f>IF(Inputs!$E$742=1,L141,L140)</f>
        <v>0.13012000000000001</v>
      </c>
      <c r="M142" s="160">
        <f>IF(Inputs!$E$742=1,M141,M140)</f>
        <v>0.13012000000000001</v>
      </c>
      <c r="N142" s="160">
        <f>IF(Inputs!$E$742=1,N141,N140)</f>
        <v>0.13012000000000001</v>
      </c>
      <c r="O142" s="160">
        <f>IF(Inputs!$E$742=1,O141,O140)</f>
        <v>0.13012000000000001</v>
      </c>
      <c r="P142" s="160">
        <f>IF(Inputs!$E$742=1,P141,P140)</f>
        <v>0.13012000000000001</v>
      </c>
      <c r="Q142" s="160">
        <f>IF(Inputs!$E$742=1,Q141,Q140)</f>
        <v>0.13012000000000001</v>
      </c>
      <c r="R142" s="160">
        <f>IF(Inputs!$E$742=1,R141,R140)</f>
        <v>0.13012000000000001</v>
      </c>
      <c r="S142" s="160">
        <f>IF(Inputs!$E$742=1,S141,S140)</f>
        <v>0.13012000000000001</v>
      </c>
      <c r="T142" s="160">
        <f>IF(Inputs!$E$742=1,T141,T140)</f>
        <v>0.13012000000000001</v>
      </c>
    </row>
    <row r="143" spans="2:20" x14ac:dyDescent="0.25">
      <c r="B143" s="23" t="s">
        <v>2424</v>
      </c>
      <c r="C143" s="28" t="s">
        <v>493</v>
      </c>
      <c r="H143" s="159">
        <f>'Revenue Calculation'!H19*Inputs!$E$286*Inputs!$E$55*INDEX($G$51:$T$51,1,'Revenue Calculation'!$D$19-2022)/1000/Inputs!$E$288</f>
        <v>0</v>
      </c>
      <c r="I143" s="159">
        <f>'Revenue Calculation'!I19*Inputs!$E$286*Inputs!$E$55*INDEX($G$51:$T$51,1,'Revenue Calculation'!$D$19-2022)/1000/Inputs!$E$288</f>
        <v>0</v>
      </c>
      <c r="J143" s="159">
        <f>'Revenue Calculation'!J19*Inputs!$E$286*Inputs!$E$55*INDEX($G$51:$T$51,1,'Revenue Calculation'!$D$19-2022)/1000/Inputs!$E$288</f>
        <v>0</v>
      </c>
      <c r="K143" s="159">
        <f>'Revenue Calculation'!K19*Inputs!$E$286*Inputs!$E$55*INDEX($G$51:$T$51,1,'Revenue Calculation'!$D$19-2022)/1000/Inputs!$E$288</f>
        <v>0</v>
      </c>
      <c r="L143" s="159">
        <f>'Revenue Calculation'!L19*Inputs!$E$286*Inputs!$E$55*INDEX($G$51:$T$51,1,'Revenue Calculation'!$D$19-2022)/1000/Inputs!$E$288</f>
        <v>9.7589999999999996E-2</v>
      </c>
      <c r="M143" s="159">
        <f>'Revenue Calculation'!M19*Inputs!$E$286*Inputs!$E$55*INDEX($G$51:$T$51,1,'Revenue Calculation'!$D$19-2022)/1000/Inputs!$E$288</f>
        <v>9.7589999999999996E-2</v>
      </c>
      <c r="N143" s="159">
        <f>'Revenue Calculation'!N19*Inputs!$E$286*Inputs!$E$55*INDEX($G$51:$T$51,1,'Revenue Calculation'!$D$19-2022)/1000/Inputs!$E$288</f>
        <v>9.7589999999999996E-2</v>
      </c>
      <c r="O143" s="159">
        <f>'Revenue Calculation'!O19*Inputs!$E$286*Inputs!$E$55*INDEX($G$51:$T$51,1,'Revenue Calculation'!$D$19-2022)/1000/Inputs!$E$288</f>
        <v>9.7589999999999996E-2</v>
      </c>
      <c r="P143" s="159">
        <f>'Revenue Calculation'!P19*Inputs!$E$286*Inputs!$E$55*INDEX($G$51:$T$51,1,'Revenue Calculation'!$D$19-2022)/1000/Inputs!$E$288</f>
        <v>9.7589999999999996E-2</v>
      </c>
      <c r="Q143" s="159">
        <f>'Revenue Calculation'!Q19*Inputs!$E$286*Inputs!$E$55*INDEX($G$51:$T$51,1,'Revenue Calculation'!$D$19-2022)/1000/Inputs!$E$288</f>
        <v>9.7589999999999996E-2</v>
      </c>
      <c r="R143" s="159">
        <f>'Revenue Calculation'!R19*Inputs!$E$286*Inputs!$E$55*INDEX($G$51:$T$51,1,'Revenue Calculation'!$D$19-2022)/1000/Inputs!$E$288</f>
        <v>9.7589999999999996E-2</v>
      </c>
      <c r="S143" s="159">
        <f>'Revenue Calculation'!S19*Inputs!$E$286*Inputs!$E$55*INDEX($G$51:$T$51,1,'Revenue Calculation'!$D$19-2022)/1000/Inputs!$E$288</f>
        <v>9.7589999999999996E-2</v>
      </c>
      <c r="T143" s="159">
        <f>'Revenue Calculation'!T19*Inputs!$E$286*Inputs!$E$55*INDEX($G$51:$T$51,1,'Revenue Calculation'!$D$19-2022)/1000/Inputs!$E$288</f>
        <v>9.7589999999999996E-2</v>
      </c>
    </row>
    <row r="144" spans="2:20" x14ac:dyDescent="0.25">
      <c r="B144" s="23" t="s">
        <v>2425</v>
      </c>
      <c r="C144" s="28" t="s">
        <v>493</v>
      </c>
      <c r="H144" s="159">
        <f>SUMPRODUCT($H$66:$T$66,--($H$52:$T$52&lt;=H52),--($H$52:$T$52&gt;H52-Inputs!$E$288))/Inputs!$E$288</f>
        <v>0</v>
      </c>
      <c r="I144" s="159">
        <f>SUMPRODUCT($H$66:$T$66,--($H$52:$T$52&lt;=I52),--($H$52:$T$52&gt;I52-Inputs!$E$288))/Inputs!$E$288</f>
        <v>0</v>
      </c>
      <c r="J144" s="159">
        <f>SUMPRODUCT($H$66:$T$66,--($H$52:$T$52&lt;=J52),--($H$52:$T$52&gt;J52-Inputs!$E$288))/Inputs!$E$288</f>
        <v>0</v>
      </c>
      <c r="K144" s="159">
        <f>SUMPRODUCT($H$66:$T$66,--($H$52:$T$52&lt;=K52),--($H$52:$T$52&gt;K52-Inputs!$E$288))/Inputs!$E$288</f>
        <v>0</v>
      </c>
      <c r="L144" s="159">
        <f>SUMPRODUCT($H$66:$T$66,--($H$52:$T$52&lt;=L52),--($H$52:$T$52&gt;L52-Inputs!$E$288))/Inputs!$E$288</f>
        <v>9.7589999999999996E-2</v>
      </c>
      <c r="M144" s="159">
        <f>SUMPRODUCT($H$66:$T$66,--($H$52:$T$52&lt;=M52),--($H$52:$T$52&gt;M52-Inputs!$E$288))/Inputs!$E$288</f>
        <v>9.7589999999999996E-2</v>
      </c>
      <c r="N144" s="159">
        <f>SUMPRODUCT($H$66:$T$66,--($H$52:$T$52&lt;=N52),--($H$52:$T$52&gt;N52-Inputs!$E$288))/Inputs!$E$288</f>
        <v>9.7589999999999996E-2</v>
      </c>
      <c r="O144" s="159">
        <f>SUMPRODUCT($H$66:$T$66,--($H$52:$T$52&lt;=O52),--($H$52:$T$52&gt;O52-Inputs!$E$288))/Inputs!$E$288</f>
        <v>9.7589999999999996E-2</v>
      </c>
      <c r="P144" s="159">
        <f>SUMPRODUCT($H$66:$T$66,--($H$52:$T$52&lt;=P52),--($H$52:$T$52&gt;P52-Inputs!$E$288))/Inputs!$E$288</f>
        <v>9.7589999999999996E-2</v>
      </c>
      <c r="Q144" s="159">
        <f>SUMPRODUCT($H$66:$T$66,--($H$52:$T$52&lt;=Q52),--($H$52:$T$52&gt;Q52-Inputs!$E$288))/Inputs!$E$288</f>
        <v>0</v>
      </c>
      <c r="R144" s="159">
        <f>SUMPRODUCT($H$66:$T$66,--($H$52:$T$52&lt;=R52),--($H$52:$T$52&gt;R52-Inputs!$E$288))/Inputs!$E$288</f>
        <v>0</v>
      </c>
      <c r="S144" s="159">
        <f>SUMPRODUCT($H$66:$T$66,--($H$52:$T$52&lt;=S52),--($H$52:$T$52&gt;S52-Inputs!$E$288))/Inputs!$E$288</f>
        <v>0</v>
      </c>
      <c r="T144" s="159">
        <f>SUMPRODUCT($H$66:$T$66,--($H$52:$T$52&lt;=T52),--($H$52:$T$52&gt;T52-Inputs!$E$288))/Inputs!$E$288</f>
        <v>0</v>
      </c>
    </row>
    <row r="145" spans="2:20" x14ac:dyDescent="0.25">
      <c r="B145" s="21" t="s">
        <v>2426</v>
      </c>
      <c r="C145" s="28" t="s">
        <v>493</v>
      </c>
      <c r="H145" s="160">
        <f>IF(Inputs!$E$742=1,H144,H143)</f>
        <v>0</v>
      </c>
      <c r="I145" s="160">
        <f>IF(Inputs!$E$742=1,I144,I143)</f>
        <v>0</v>
      </c>
      <c r="J145" s="160">
        <f>IF(Inputs!$E$742=1,J144,J143)</f>
        <v>0</v>
      </c>
      <c r="K145" s="160">
        <f>IF(Inputs!$E$742=1,K144,K143)</f>
        <v>0</v>
      </c>
      <c r="L145" s="160">
        <f>IF(Inputs!$E$742=1,L144,L143)</f>
        <v>9.7589999999999996E-2</v>
      </c>
      <c r="M145" s="160">
        <f>IF(Inputs!$E$742=1,M144,M143)</f>
        <v>9.7589999999999996E-2</v>
      </c>
      <c r="N145" s="160">
        <f>IF(Inputs!$E$742=1,N144,N143)</f>
        <v>9.7589999999999996E-2</v>
      </c>
      <c r="O145" s="160">
        <f>IF(Inputs!$E$742=1,O144,O143)</f>
        <v>9.7589999999999996E-2</v>
      </c>
      <c r="P145" s="160">
        <f>IF(Inputs!$E$742=1,P144,P143)</f>
        <v>9.7589999999999996E-2</v>
      </c>
      <c r="Q145" s="160">
        <f>IF(Inputs!$E$742=1,Q144,Q143)</f>
        <v>9.7589999999999996E-2</v>
      </c>
      <c r="R145" s="160">
        <f>IF(Inputs!$E$742=1,R144,R143)</f>
        <v>9.7589999999999996E-2</v>
      </c>
      <c r="S145" s="160">
        <f>IF(Inputs!$E$742=1,S144,S143)</f>
        <v>9.7589999999999996E-2</v>
      </c>
      <c r="T145" s="160">
        <f>IF(Inputs!$E$742=1,T144,T143)</f>
        <v>9.7589999999999996E-2</v>
      </c>
    </row>
    <row r="146" spans="2:20" x14ac:dyDescent="0.25">
      <c r="B146" s="23" t="s">
        <v>2427</v>
      </c>
      <c r="C146" s="28" t="s">
        <v>493</v>
      </c>
      <c r="H146" s="159">
        <f>'Revenue Calculation'!H20*Inputs!$E$287*Inputs!$E$55*INDEX($G$51:$T$51,1,'Revenue Calculation'!$D$20-2022)/1000/Inputs!$E$288</f>
        <v>0</v>
      </c>
      <c r="I146" s="159">
        <f>'Revenue Calculation'!I20*Inputs!$E$287*Inputs!$E$55*INDEX($G$51:$T$51,1,'Revenue Calculation'!$D$20-2022)/1000/Inputs!$E$288</f>
        <v>0</v>
      </c>
      <c r="J146" s="159">
        <f>'Revenue Calculation'!J20*Inputs!$E$287*Inputs!$E$55*INDEX($G$51:$T$51,1,'Revenue Calculation'!$D$20-2022)/1000/Inputs!$E$288</f>
        <v>0</v>
      </c>
      <c r="K146" s="159">
        <f>'Revenue Calculation'!K20*Inputs!$E$287*Inputs!$E$55*INDEX($G$51:$T$51,1,'Revenue Calculation'!$D$20-2022)/1000/Inputs!$E$288</f>
        <v>0.13012000000000001</v>
      </c>
      <c r="L146" s="159">
        <f>'Revenue Calculation'!L20*Inputs!$E$287*Inputs!$E$55*INDEX($G$51:$T$51,1,'Revenue Calculation'!$D$20-2022)/1000/Inputs!$E$288</f>
        <v>0.13012000000000001</v>
      </c>
      <c r="M146" s="159">
        <f>'Revenue Calculation'!M20*Inputs!$E$287*Inputs!$E$55*INDEX($G$51:$T$51,1,'Revenue Calculation'!$D$20-2022)/1000/Inputs!$E$288</f>
        <v>0.13012000000000001</v>
      </c>
      <c r="N146" s="159">
        <f>'Revenue Calculation'!N20*Inputs!$E$287*Inputs!$E$55*INDEX($G$51:$T$51,1,'Revenue Calculation'!$D$20-2022)/1000/Inputs!$E$288</f>
        <v>0.13012000000000001</v>
      </c>
      <c r="O146" s="159">
        <f>'Revenue Calculation'!O20*Inputs!$E$287*Inputs!$E$55*INDEX($G$51:$T$51,1,'Revenue Calculation'!$D$20-2022)/1000/Inputs!$E$288</f>
        <v>0.13012000000000001</v>
      </c>
      <c r="P146" s="159">
        <f>'Revenue Calculation'!P20*Inputs!$E$287*Inputs!$E$55*INDEX($G$51:$T$51,1,'Revenue Calculation'!$D$20-2022)/1000/Inputs!$E$288</f>
        <v>0.13012000000000001</v>
      </c>
      <c r="Q146" s="159">
        <f>'Revenue Calculation'!Q20*Inputs!$E$287*Inputs!$E$55*INDEX($G$51:$T$51,1,'Revenue Calculation'!$D$20-2022)/1000/Inputs!$E$288</f>
        <v>0.13012000000000001</v>
      </c>
      <c r="R146" s="159">
        <f>'Revenue Calculation'!R20*Inputs!$E$287*Inputs!$E$55*INDEX($G$51:$T$51,1,'Revenue Calculation'!$D$20-2022)/1000/Inputs!$E$288</f>
        <v>0.13012000000000001</v>
      </c>
      <c r="S146" s="159">
        <f>'Revenue Calculation'!S20*Inputs!$E$287*Inputs!$E$55*INDEX($G$51:$T$51,1,'Revenue Calculation'!$D$20-2022)/1000/Inputs!$E$288</f>
        <v>0.13012000000000001</v>
      </c>
      <c r="T146" s="159">
        <f>'Revenue Calculation'!T20*Inputs!$E$287*Inputs!$E$55*INDEX($G$51:$T$51,1,'Revenue Calculation'!$D$20-2022)/1000/Inputs!$E$288</f>
        <v>0.13012000000000001</v>
      </c>
    </row>
    <row r="147" spans="2:20" x14ac:dyDescent="0.25">
      <c r="B147" s="23" t="s">
        <v>2428</v>
      </c>
      <c r="C147" s="28" t="s">
        <v>493</v>
      </c>
      <c r="H147" s="159">
        <f>SUMPRODUCT($H$67:$T$67,--($H$52:$T$52&lt;=H52),--($H$52:$T$52&gt;H52-Inputs!$E$288))/Inputs!$E$288</f>
        <v>0</v>
      </c>
      <c r="I147" s="159">
        <f>SUMPRODUCT($H$67:$T$67,--($H$52:$T$52&lt;=I52),--($H$52:$T$52&gt;I52-Inputs!$E$288))/Inputs!$E$288</f>
        <v>0</v>
      </c>
      <c r="J147" s="159">
        <f>SUMPRODUCT($H$67:$T$67,--($H$52:$T$52&lt;=J52),--($H$52:$T$52&gt;J52-Inputs!$E$288))/Inputs!$E$288</f>
        <v>0</v>
      </c>
      <c r="K147" s="159">
        <f>SUMPRODUCT($H$67:$T$67,--($H$52:$T$52&lt;=K52),--($H$52:$T$52&gt;K52-Inputs!$E$288))/Inputs!$E$288</f>
        <v>0.13012000000000001</v>
      </c>
      <c r="L147" s="159">
        <f>SUMPRODUCT($H$67:$T$67,--($H$52:$T$52&lt;=L52),--($H$52:$T$52&gt;L52-Inputs!$E$288))/Inputs!$E$288</f>
        <v>0.13012000000000001</v>
      </c>
      <c r="M147" s="159">
        <f>SUMPRODUCT($H$67:$T$67,--($H$52:$T$52&lt;=M52),--($H$52:$T$52&gt;M52-Inputs!$E$288))/Inputs!$E$288</f>
        <v>0.13012000000000001</v>
      </c>
      <c r="N147" s="159">
        <f>SUMPRODUCT($H$67:$T$67,--($H$52:$T$52&lt;=N52),--($H$52:$T$52&gt;N52-Inputs!$E$288))/Inputs!$E$288</f>
        <v>0.13012000000000001</v>
      </c>
      <c r="O147" s="159">
        <f>SUMPRODUCT($H$67:$T$67,--($H$52:$T$52&lt;=O52),--($H$52:$T$52&gt;O52-Inputs!$E$288))/Inputs!$E$288</f>
        <v>0.13012000000000001</v>
      </c>
      <c r="P147" s="159">
        <f>SUMPRODUCT($H$67:$T$67,--($H$52:$T$52&lt;=P52),--($H$52:$T$52&gt;P52-Inputs!$E$288))/Inputs!$E$288</f>
        <v>0</v>
      </c>
      <c r="Q147" s="159">
        <f>SUMPRODUCT($H$67:$T$67,--($H$52:$T$52&lt;=Q52),--($H$52:$T$52&gt;Q52-Inputs!$E$288))/Inputs!$E$288</f>
        <v>0</v>
      </c>
      <c r="R147" s="159">
        <f>SUMPRODUCT($H$67:$T$67,--($H$52:$T$52&lt;=R52),--($H$52:$T$52&gt;R52-Inputs!$E$288))/Inputs!$E$288</f>
        <v>0</v>
      </c>
      <c r="S147" s="159">
        <f>SUMPRODUCT($H$67:$T$67,--($H$52:$T$52&lt;=S52),--($H$52:$T$52&gt;S52-Inputs!$E$288))/Inputs!$E$288</f>
        <v>0</v>
      </c>
      <c r="T147" s="159">
        <f>SUMPRODUCT($H$67:$T$67,--($H$52:$T$52&lt;=T52),--($H$52:$T$52&gt;T52-Inputs!$E$288))/Inputs!$E$288</f>
        <v>0</v>
      </c>
    </row>
    <row r="148" spans="2:20" x14ac:dyDescent="0.25">
      <c r="B148" s="21" t="s">
        <v>2429</v>
      </c>
      <c r="C148" s="28" t="s">
        <v>493</v>
      </c>
      <c r="H148" s="160">
        <f>IF(Inputs!$E$742=1,H147,H146)</f>
        <v>0</v>
      </c>
      <c r="I148" s="160">
        <f>IF(Inputs!$E$742=1,I147,I146)</f>
        <v>0</v>
      </c>
      <c r="J148" s="160">
        <f>IF(Inputs!$E$742=1,J147,J146)</f>
        <v>0</v>
      </c>
      <c r="K148" s="160">
        <f>IF(Inputs!$E$742=1,K147,K146)</f>
        <v>0.13012000000000001</v>
      </c>
      <c r="L148" s="160">
        <f>IF(Inputs!$E$742=1,L147,L146)</f>
        <v>0.13012000000000001</v>
      </c>
      <c r="M148" s="160">
        <f>IF(Inputs!$E$742=1,M147,M146)</f>
        <v>0.13012000000000001</v>
      </c>
      <c r="N148" s="160">
        <f>IF(Inputs!$E$742=1,N147,N146)</f>
        <v>0.13012000000000001</v>
      </c>
      <c r="O148" s="160">
        <f>IF(Inputs!$E$742=1,O147,O146)</f>
        <v>0.13012000000000001</v>
      </c>
      <c r="P148" s="160">
        <f>IF(Inputs!$E$742=1,P147,P146)</f>
        <v>0.13012000000000001</v>
      </c>
      <c r="Q148" s="160">
        <f>IF(Inputs!$E$742=1,Q147,Q146)</f>
        <v>0.13012000000000001</v>
      </c>
      <c r="R148" s="160">
        <f>IF(Inputs!$E$742=1,R147,R146)</f>
        <v>0.13012000000000001</v>
      </c>
      <c r="S148" s="160">
        <f>IF(Inputs!$E$742=1,S147,S146)</f>
        <v>0.13012000000000001</v>
      </c>
      <c r="T148" s="160">
        <f>IF(Inputs!$E$742=1,T147,T146)</f>
        <v>0.13012000000000001</v>
      </c>
    </row>
    <row r="149" spans="2:20" x14ac:dyDescent="0.25">
      <c r="B149" s="21" t="s">
        <v>2430</v>
      </c>
      <c r="C149" s="28" t="s">
        <v>493</v>
      </c>
      <c r="H149" s="160">
        <f t="shared" ref="H149:T149" si="21">H88+H95+H102+H108+H114+H120+H126+H132+H137+H140+H143+H146</f>
        <v>0</v>
      </c>
      <c r="I149" s="160">
        <f t="shared" si="21"/>
        <v>25.218555668288179</v>
      </c>
      <c r="J149" s="160">
        <f t="shared" si="21"/>
        <v>47.195433049240549</v>
      </c>
      <c r="K149" s="160">
        <f t="shared" si="21"/>
        <v>51.777564924240536</v>
      </c>
      <c r="L149" s="160">
        <f t="shared" si="21"/>
        <v>59.026092424240538</v>
      </c>
      <c r="M149" s="160">
        <f t="shared" si="21"/>
        <v>59.026092424240538</v>
      </c>
      <c r="N149" s="160">
        <f t="shared" si="21"/>
        <v>59.026092424240538</v>
      </c>
      <c r="O149" s="160">
        <f t="shared" si="21"/>
        <v>59.026092424240538</v>
      </c>
      <c r="P149" s="160">
        <f t="shared" si="21"/>
        <v>59.026092424240538</v>
      </c>
      <c r="Q149" s="160">
        <f t="shared" si="21"/>
        <v>59.026092424240538</v>
      </c>
      <c r="R149" s="160">
        <f t="shared" si="21"/>
        <v>53.488247186145301</v>
      </c>
      <c r="S149" s="160">
        <f t="shared" si="21"/>
        <v>53.488247186145301</v>
      </c>
      <c r="T149" s="160">
        <f t="shared" si="21"/>
        <v>53.488247186145301</v>
      </c>
    </row>
    <row r="150" spans="2:20" x14ac:dyDescent="0.25">
      <c r="B150" s="21" t="s">
        <v>2431</v>
      </c>
      <c r="C150" s="28" t="s">
        <v>493</v>
      </c>
      <c r="H150" s="160">
        <f t="shared" ref="H150:T150" si="22">H90+H97+H104+H110+H116+H122+H128+H134+H138+H141+H144+H147</f>
        <v>0</v>
      </c>
      <c r="I150" s="160">
        <f t="shared" si="22"/>
        <v>25.136384690839463</v>
      </c>
      <c r="J150" s="160">
        <f t="shared" si="22"/>
        <v>40.143709571791838</v>
      </c>
      <c r="K150" s="160">
        <f t="shared" si="22"/>
        <v>51.695393946791832</v>
      </c>
      <c r="L150" s="160">
        <f t="shared" si="22"/>
        <v>58.943921446791826</v>
      </c>
      <c r="M150" s="160">
        <f t="shared" si="22"/>
        <v>58.943921446791826</v>
      </c>
      <c r="N150" s="160">
        <f t="shared" si="22"/>
        <v>58.943921446791826</v>
      </c>
      <c r="O150" s="160">
        <f t="shared" si="22"/>
        <v>58.943921446791826</v>
      </c>
      <c r="P150" s="160">
        <f t="shared" si="22"/>
        <v>58.553561446791832</v>
      </c>
      <c r="Q150" s="160">
        <f t="shared" si="22"/>
        <v>44.669449830368563</v>
      </c>
      <c r="R150" s="160">
        <f t="shared" si="22"/>
        <v>37.967723342273331</v>
      </c>
      <c r="S150" s="160">
        <f t="shared" si="22"/>
        <v>36.280229592273329</v>
      </c>
      <c r="T150" s="160">
        <f t="shared" si="22"/>
        <v>31.172417092273324</v>
      </c>
    </row>
    <row r="151" spans="2:20" x14ac:dyDescent="0.25">
      <c r="B151" s="154" t="s">
        <v>2432</v>
      </c>
    </row>
    <row r="152" spans="2:20" x14ac:dyDescent="0.25">
      <c r="B152" s="23" t="s">
        <v>2433</v>
      </c>
      <c r="C152" s="28" t="s">
        <v>493</v>
      </c>
      <c r="H152" s="159">
        <f>SUMPRODUCT($H$77:$T$77,--($H$52:$T$52&lt;=H52),--($H$52:$T$52&gt;H52-Inputs!$E$474))/Inputs!$E$474</f>
        <v>0</v>
      </c>
      <c r="I152" s="159">
        <f>SUMPRODUCT($H$77:$T$77,--($H$52:$T$52&lt;=I52),--($H$52:$T$52&gt;I52-Inputs!$E$474))/Inputs!$E$474</f>
        <v>0</v>
      </c>
      <c r="J152" s="159">
        <f>SUMPRODUCT($H$77:$T$77,--($H$52:$T$52&lt;=J52),--($H$52:$T$52&gt;J52-Inputs!$E$474))/Inputs!$E$474</f>
        <v>0</v>
      </c>
      <c r="K152" s="159">
        <f>SUMPRODUCT($H$77:$T$77,--($H$52:$T$52&lt;=K52),--($H$52:$T$52&gt;K52-Inputs!$E$474))/Inputs!$E$474</f>
        <v>0</v>
      </c>
      <c r="L152" s="159">
        <f>SUMPRODUCT($H$77:$T$77,--($H$52:$T$52&lt;=L52),--($H$52:$T$52&gt;L52-Inputs!$E$474))/Inputs!$E$474</f>
        <v>0</v>
      </c>
      <c r="M152" s="159">
        <f>SUMPRODUCT($H$77:$T$77,--($H$52:$T$52&lt;=M52),--($H$52:$T$52&gt;M52-Inputs!$E$474))/Inputs!$E$474</f>
        <v>0</v>
      </c>
      <c r="N152" s="159">
        <f>SUMPRODUCT($H$77:$T$77,--($H$52:$T$52&lt;=N52),--($H$52:$T$52&gt;N52-Inputs!$E$474))/Inputs!$E$474</f>
        <v>0</v>
      </c>
      <c r="O152" s="159">
        <f>SUMPRODUCT($H$77:$T$77,--($H$52:$T$52&lt;=O52),--($H$52:$T$52&gt;O52-Inputs!$E$474))/Inputs!$E$474</f>
        <v>0</v>
      </c>
      <c r="P152" s="159">
        <f>SUMPRODUCT($H$77:$T$77,--($H$52:$T$52&lt;=P52),--($H$52:$T$52&gt;P52-Inputs!$E$474))/Inputs!$E$474</f>
        <v>0</v>
      </c>
      <c r="Q152" s="159">
        <f>SUMPRODUCT($H$77:$T$77,--($H$52:$T$52&lt;=Q52),--($H$52:$T$52&gt;Q52-Inputs!$E$474))/Inputs!$E$474</f>
        <v>0</v>
      </c>
      <c r="R152" s="159">
        <f>SUMPRODUCT($H$77:$T$77,--($H$52:$T$52&lt;=R52),--($H$52:$T$52&gt;R52-Inputs!$E$474))/Inputs!$E$474</f>
        <v>0</v>
      </c>
      <c r="S152" s="159">
        <f>SUMPRODUCT($H$77:$T$77,--($H$52:$T$52&lt;=S52),--($H$52:$T$52&gt;S52-Inputs!$E$474))/Inputs!$E$474</f>
        <v>0</v>
      </c>
      <c r="T152" s="159">
        <f>SUMPRODUCT($H$77:$T$77,--($H$52:$T$52&lt;=T52),--($H$52:$T$52&gt;T52-Inputs!$E$474))/Inputs!$E$474</f>
        <v>0</v>
      </c>
    </row>
    <row r="153" spans="2:20" x14ac:dyDescent="0.25">
      <c r="B153" s="23" t="s">
        <v>2434</v>
      </c>
      <c r="C153" s="28" t="s">
        <v>493</v>
      </c>
      <c r="H153" s="159">
        <f>SUMPRODUCT($H$78:$T$78,--($H$52:$T$52&lt;=H52),--($H$52:$T$52&gt;H52-Inputs!$E$474))/Inputs!$E$474</f>
        <v>0</v>
      </c>
      <c r="I153" s="159">
        <f>SUMPRODUCT($H$78:$T$78,--($H$52:$T$52&lt;=I52),--($H$52:$T$52&gt;I52-Inputs!$E$474))/Inputs!$E$474</f>
        <v>0</v>
      </c>
      <c r="J153" s="159">
        <f>SUMPRODUCT($H$78:$T$78,--($H$52:$T$52&lt;=J52),--($H$52:$T$52&gt;J52-Inputs!$E$474))/Inputs!$E$474</f>
        <v>0</v>
      </c>
      <c r="K153" s="159">
        <f>SUMPRODUCT($H$78:$T$78,--($H$52:$T$52&lt;=K52),--($H$52:$T$52&gt;K52-Inputs!$E$474))/Inputs!$E$474</f>
        <v>0</v>
      </c>
      <c r="L153" s="159">
        <f>SUMPRODUCT($H$78:$T$78,--($H$52:$T$52&lt;=L52),--($H$52:$T$52&gt;L52-Inputs!$E$474))/Inputs!$E$474</f>
        <v>0</v>
      </c>
      <c r="M153" s="159">
        <f>SUMPRODUCT($H$78:$T$78,--($H$52:$T$52&lt;=M52),--($H$52:$T$52&gt;M52-Inputs!$E$474))/Inputs!$E$474</f>
        <v>0</v>
      </c>
      <c r="N153" s="159">
        <f>SUMPRODUCT($H$78:$T$78,--($H$52:$T$52&lt;=N52),--($H$52:$T$52&gt;N52-Inputs!$E$474))/Inputs!$E$474</f>
        <v>0</v>
      </c>
      <c r="O153" s="159">
        <f>SUMPRODUCT($H$78:$T$78,--($H$52:$T$52&lt;=O52),--($H$52:$T$52&gt;O52-Inputs!$E$474))/Inputs!$E$474</f>
        <v>0</v>
      </c>
      <c r="P153" s="159">
        <f>SUMPRODUCT($H$78:$T$78,--($H$52:$T$52&lt;=P52),--($H$52:$T$52&gt;P52-Inputs!$E$474))/Inputs!$E$474</f>
        <v>0</v>
      </c>
      <c r="Q153" s="159">
        <f>SUMPRODUCT($H$78:$T$78,--($H$52:$T$52&lt;=Q52),--($H$52:$T$52&gt;Q52-Inputs!$E$474))/Inputs!$E$474</f>
        <v>0</v>
      </c>
      <c r="R153" s="159">
        <f>SUMPRODUCT($H$78:$T$78,--($H$52:$T$52&lt;=R52),--($H$52:$T$52&gt;R52-Inputs!$E$474))/Inputs!$E$474</f>
        <v>0</v>
      </c>
      <c r="S153" s="159">
        <f>SUMPRODUCT($H$78:$T$78,--($H$52:$T$52&lt;=S52),--($H$52:$T$52&gt;S52-Inputs!$E$474))/Inputs!$E$474</f>
        <v>0</v>
      </c>
      <c r="T153" s="159">
        <f>SUMPRODUCT($H$78:$T$78,--($H$52:$T$52&lt;=T52),--($H$52:$T$52&gt;T52-Inputs!$E$474))/Inputs!$E$474</f>
        <v>0</v>
      </c>
    </row>
    <row r="154" spans="2:20" x14ac:dyDescent="0.25">
      <c r="B154" s="23" t="s">
        <v>2435</v>
      </c>
      <c r="C154" s="28" t="s">
        <v>493</v>
      </c>
      <c r="H154" s="159">
        <f>SUMPRODUCT($H$79:$T$79,--($H$52:$T$52&lt;=H52),--($H$52:$T$52&gt;H52-Inputs!$E$474))/Inputs!$E$474</f>
        <v>0</v>
      </c>
      <c r="I154" s="159">
        <f>SUMPRODUCT($H$79:$T$79,--($H$52:$T$52&lt;=I52),--($H$52:$T$52&gt;I52-Inputs!$E$474))/Inputs!$E$474</f>
        <v>0</v>
      </c>
      <c r="J154" s="159">
        <f>SUMPRODUCT($H$79:$T$79,--($H$52:$T$52&lt;=J52),--($H$52:$T$52&gt;J52-Inputs!$E$474))/Inputs!$E$474</f>
        <v>0</v>
      </c>
      <c r="K154" s="159">
        <f>SUMPRODUCT($H$79:$T$79,--($H$52:$T$52&lt;=K52),--($H$52:$T$52&gt;K52-Inputs!$E$474))/Inputs!$E$474</f>
        <v>0</v>
      </c>
      <c r="L154" s="159">
        <f>SUMPRODUCT($H$79:$T$79,--($H$52:$T$52&lt;=L52),--($H$52:$T$52&gt;L52-Inputs!$E$474))/Inputs!$E$474</f>
        <v>0</v>
      </c>
      <c r="M154" s="159">
        <f>SUMPRODUCT($H$79:$T$79,--($H$52:$T$52&lt;=M52),--($H$52:$T$52&gt;M52-Inputs!$E$474))/Inputs!$E$474</f>
        <v>0</v>
      </c>
      <c r="N154" s="159">
        <f>SUMPRODUCT($H$79:$T$79,--($H$52:$T$52&lt;=N52),--($H$52:$T$52&gt;N52-Inputs!$E$474))/Inputs!$E$474</f>
        <v>0</v>
      </c>
      <c r="O154" s="159">
        <f>SUMPRODUCT($H$79:$T$79,--($H$52:$T$52&lt;=O52),--($H$52:$T$52&gt;O52-Inputs!$E$474))/Inputs!$E$474</f>
        <v>0</v>
      </c>
      <c r="P154" s="159">
        <f>SUMPRODUCT($H$79:$T$79,--($H$52:$T$52&lt;=P52),--($H$52:$T$52&gt;P52-Inputs!$E$474))/Inputs!$E$474</f>
        <v>0</v>
      </c>
      <c r="Q154" s="159">
        <f>SUMPRODUCT($H$79:$T$79,--($H$52:$T$52&lt;=Q52),--($H$52:$T$52&gt;Q52-Inputs!$E$474))/Inputs!$E$474</f>
        <v>0</v>
      </c>
      <c r="R154" s="159">
        <f>SUMPRODUCT($H$79:$T$79,--($H$52:$T$52&lt;=R52),--($H$52:$T$52&gt;R52-Inputs!$E$474))/Inputs!$E$474</f>
        <v>0</v>
      </c>
      <c r="S154" s="159">
        <f>SUMPRODUCT($H$79:$T$79,--($H$52:$T$52&lt;=S52),--($H$52:$T$52&gt;S52-Inputs!$E$474))/Inputs!$E$474</f>
        <v>0</v>
      </c>
      <c r="T154" s="159">
        <f>SUMPRODUCT($H$79:$T$79,--($H$52:$T$52&lt;=T52),--($H$52:$T$52&gt;T52-Inputs!$E$474))/Inputs!$E$474</f>
        <v>0</v>
      </c>
    </row>
    <row r="155" spans="2:20" x14ac:dyDescent="0.25">
      <c r="B155" s="154" t="str">
        <f>"P16  "&amp;Inputs!$E$605</f>
        <v>P16  Lampung</v>
      </c>
    </row>
    <row r="156" spans="2:20" ht="26.25" customHeight="1" x14ac:dyDescent="0.25">
      <c r="B156" s="64" t="s">
        <v>2436</v>
      </c>
      <c r="C156" s="28" t="s">
        <v>493</v>
      </c>
      <c r="H156" s="159">
        <f>IF(Inputs!$H$79=1,IF(H52=YEAR(N(Inputs!$E$607)),SUMPRODUCT($H$72:$T$72,--($H$52:$T$52&lt;=H52)),IF(H52&gt;YEAR(N(Inputs!$E$607)),H72,0)),0)</f>
        <v>0</v>
      </c>
      <c r="I156" s="159">
        <f>IF(Inputs!$H$79=1,IF(I52=YEAR(N(Inputs!$E$607)),SUMPRODUCT($H$72:$T$72,--($H$52:$T$52&lt;=I52)),IF(I52&gt;YEAR(N(Inputs!$E$607)),I72,0)),0)</f>
        <v>0</v>
      </c>
      <c r="J156" s="159">
        <f>IF(Inputs!$H$79=1,IF(J52=YEAR(N(Inputs!$E$607)),SUMPRODUCT($H$72:$T$72,--($H$52:$T$52&lt;=J52)),IF(J52&gt;YEAR(N(Inputs!$E$607)),J72,0)),0)</f>
        <v>0</v>
      </c>
      <c r="K156" s="159">
        <f>IF(Inputs!$H$79=1,IF(K52=YEAR(N(Inputs!$E$607)),SUMPRODUCT($H$72:$T$72,--($H$52:$T$52&lt;=K52)),IF(K52&gt;YEAR(N(Inputs!$E$607)),K72,0)),0)</f>
        <v>0</v>
      </c>
      <c r="L156" s="159">
        <f>IF(Inputs!$H$79=1,IF(L52=YEAR(N(Inputs!$E$607)),SUMPRODUCT($H$72:$T$72,--($H$52:$T$52&lt;=L52)),IF(L52&gt;YEAR(N(Inputs!$E$607)),L72,0)),0)</f>
        <v>0</v>
      </c>
      <c r="M156" s="159">
        <f>IF(Inputs!$H$79=1,IF(M52=YEAR(N(Inputs!$E$607)),SUMPRODUCT($H$72:$T$72,--($H$52:$T$52&lt;=M52)),IF(M52&gt;YEAR(N(Inputs!$E$607)),M72,0)),0)</f>
        <v>0</v>
      </c>
      <c r="N156" s="159">
        <f>IF(Inputs!$H$79=1,IF(N52=YEAR(N(Inputs!$E$607)),SUMPRODUCT($H$72:$T$72,--($H$52:$T$52&lt;=N52)),IF(N52&gt;YEAR(N(Inputs!$E$607)),N72,0)),0)</f>
        <v>0</v>
      </c>
      <c r="O156" s="159">
        <f>IF(Inputs!$H$79=1,IF(O52=YEAR(N(Inputs!$E$607)),SUMPRODUCT($H$72:$T$72,--($H$52:$T$52&lt;=O52)),IF(O52&gt;YEAR(N(Inputs!$E$607)),O72,0)),0)</f>
        <v>0</v>
      </c>
      <c r="P156" s="159">
        <f>IF(Inputs!$H$79=1,IF(P52=YEAR(N(Inputs!$E$607)),SUMPRODUCT($H$72:$T$72,--($H$52:$T$52&lt;=P52)),IF(P52&gt;YEAR(N(Inputs!$E$607)),P72,0)),0)</f>
        <v>0</v>
      </c>
      <c r="Q156" s="159">
        <f>IF(Inputs!$H$79=1,IF(Q52=YEAR(N(Inputs!$E$607)),SUMPRODUCT($H$72:$T$72,--($H$52:$T$52&lt;=Q52)),IF(Q52&gt;YEAR(N(Inputs!$E$607)),Q72,0)),0)</f>
        <v>0</v>
      </c>
      <c r="R156" s="159">
        <f>IF(Inputs!$H$79=1,IF(R52=YEAR(N(Inputs!$E$607)),SUMPRODUCT($H$72:$T$72,--($H$52:$T$52&lt;=R52)),IF(R52&gt;YEAR(N(Inputs!$E$607)),R72,0)),0)</f>
        <v>0</v>
      </c>
      <c r="S156" s="159">
        <f>IF(Inputs!$H$79=1,IF(S52=YEAR(N(Inputs!$E$607)),SUMPRODUCT($H$72:$T$72,--($H$52:$T$52&lt;=S52)),IF(S52&gt;YEAR(N(Inputs!$E$607)),S72,0)),0)</f>
        <v>0</v>
      </c>
      <c r="T156" s="159">
        <f>IF(Inputs!$H$79=1,IF(T52=YEAR(N(Inputs!$E$607)),SUMPRODUCT($H$72:$T$72,--($H$52:$T$52&lt;=T52)),IF(T52&gt;YEAR(N(Inputs!$E$607)),T72,0)),0)</f>
        <v>0</v>
      </c>
    </row>
    <row r="157" spans="2:20" x14ac:dyDescent="0.25">
      <c r="B157" s="23" t="s">
        <v>2437</v>
      </c>
      <c r="C157" s="28" t="s">
        <v>816</v>
      </c>
      <c r="G157" s="165">
        <v>0</v>
      </c>
      <c r="H157" s="165">
        <f>IF(Inputs!$H$79=1,MAX(0,(DATE(H52,12,31)-N(Inputs!$E$607)+1)/365.25),0)</f>
        <v>0</v>
      </c>
      <c r="I157" s="165">
        <f>IF(Inputs!$H$79=1,MAX(0,(DATE(I52,12,31)-N(Inputs!$E$607)+1)/365.25),0)</f>
        <v>0</v>
      </c>
      <c r="J157" s="165">
        <f>IF(Inputs!$H$79=1,MAX(0,(DATE(J52,12,31)-N(Inputs!$E$607)+1)/365.25),0)</f>
        <v>0</v>
      </c>
      <c r="K157" s="165">
        <f>IF(Inputs!$H$79=1,MAX(0,(DATE(K52,12,31)-N(Inputs!$E$607)+1)/365.25),0)</f>
        <v>0</v>
      </c>
      <c r="L157" s="165">
        <f>IF(Inputs!$H$79=1,MAX(0,(DATE(L52,12,31)-N(Inputs!$E$607)+1)/365.25),0)</f>
        <v>0</v>
      </c>
      <c r="M157" s="165">
        <f>IF(Inputs!$H$79=1,MAX(0,(DATE(M52,12,31)-N(Inputs!$E$607)+1)/365.25),0)</f>
        <v>0</v>
      </c>
      <c r="N157" s="165">
        <f>IF(Inputs!$H$79=1,MAX(0,(DATE(N52,12,31)-N(Inputs!$E$607)+1)/365.25),0)</f>
        <v>0</v>
      </c>
      <c r="O157" s="165">
        <f>IF(Inputs!$H$79=1,MAX(0,(DATE(O52,12,31)-N(Inputs!$E$607)+1)/365.25),0)</f>
        <v>0</v>
      </c>
      <c r="P157" s="165">
        <f>IF(Inputs!$H$79=1,MAX(0,(DATE(P52,12,31)-N(Inputs!$E$607)+1)/365.25),0)</f>
        <v>0</v>
      </c>
      <c r="Q157" s="165">
        <f>IF(Inputs!$H$79=1,MAX(0,(DATE(Q52,12,31)-N(Inputs!$E$607)+1)/365.25),0)</f>
        <v>0</v>
      </c>
      <c r="R157" s="165">
        <f>IF(Inputs!$H$79=1,MAX(0,(DATE(R52,12,31)-N(Inputs!$E$607)+1)/365.25),0)</f>
        <v>0</v>
      </c>
      <c r="S157" s="165">
        <f>IF(Inputs!$H$79=1,MAX(0,(DATE(S52,12,31)-N(Inputs!$E$607)+1)/365.25),0)</f>
        <v>0</v>
      </c>
      <c r="T157" s="165">
        <f>IF(Inputs!$H$79=1,MAX(0,(DATE(T52,12,31)-N(Inputs!$E$607)+1)/365.25),0)</f>
        <v>0</v>
      </c>
    </row>
    <row r="158" spans="2:20" x14ac:dyDescent="0.25">
      <c r="B158" s="21" t="s">
        <v>2438</v>
      </c>
      <c r="C158" s="28" t="s">
        <v>493</v>
      </c>
      <c r="H158" s="160">
        <f>IF(Inputs!$H$79=1,SUMPRODUCT($H$156:$T$156,--($H$52:$T$52&lt;=H52))*(N(Inputs!$E$610)*(MIN(Inputs!$E$611,H157)-MIN(Inputs!$E$611,G157))/Inputs!$E$611+(1-N(Inputs!$E$610))*(MIN(Inputs!$E$612,H157)-MIN(Inputs!$E$612,G157))/Inputs!$E$612),0)</f>
        <v>0</v>
      </c>
      <c r="I158" s="160">
        <f>IF(Inputs!$H$79=1,SUMPRODUCT($H$156:$T$156,--($H$52:$T$52&lt;=I52))*(N(Inputs!$E$610)*(MIN(Inputs!$E$611,I157)-MIN(Inputs!$E$611,H157))/Inputs!$E$611+(1-N(Inputs!$E$610))*(MIN(Inputs!$E$612,I157)-MIN(Inputs!$E$612,H157))/Inputs!$E$612),0)</f>
        <v>0</v>
      </c>
      <c r="J158" s="160">
        <f>IF(Inputs!$H$79=1,SUMPRODUCT($H$156:$T$156,--($H$52:$T$52&lt;=J52))*(N(Inputs!$E$610)*(MIN(Inputs!$E$611,J157)-MIN(Inputs!$E$611,I157))/Inputs!$E$611+(1-N(Inputs!$E$610))*(MIN(Inputs!$E$612,J157)-MIN(Inputs!$E$612,I157))/Inputs!$E$612),0)</f>
        <v>0</v>
      </c>
      <c r="K158" s="160">
        <f>IF(Inputs!$H$79=1,SUMPRODUCT($H$156:$T$156,--($H$52:$T$52&lt;=K52))*(N(Inputs!$E$610)*(MIN(Inputs!$E$611,K157)-MIN(Inputs!$E$611,J157))/Inputs!$E$611+(1-N(Inputs!$E$610))*(MIN(Inputs!$E$612,K157)-MIN(Inputs!$E$612,J157))/Inputs!$E$612),0)</f>
        <v>0</v>
      </c>
      <c r="L158" s="160">
        <f>IF(Inputs!$H$79=1,SUMPRODUCT($H$156:$T$156,--($H$52:$T$52&lt;=L52))*(N(Inputs!$E$610)*(MIN(Inputs!$E$611,L157)-MIN(Inputs!$E$611,K157))/Inputs!$E$611+(1-N(Inputs!$E$610))*(MIN(Inputs!$E$612,L157)-MIN(Inputs!$E$612,K157))/Inputs!$E$612),0)</f>
        <v>0</v>
      </c>
      <c r="M158" s="160">
        <f>IF(Inputs!$H$79=1,SUMPRODUCT($H$156:$T$156,--($H$52:$T$52&lt;=M52))*(N(Inputs!$E$610)*(MIN(Inputs!$E$611,M157)-MIN(Inputs!$E$611,L157))/Inputs!$E$611+(1-N(Inputs!$E$610))*(MIN(Inputs!$E$612,M157)-MIN(Inputs!$E$612,L157))/Inputs!$E$612),0)</f>
        <v>0</v>
      </c>
      <c r="N158" s="160">
        <f>IF(Inputs!$H$79=1,SUMPRODUCT($H$156:$T$156,--($H$52:$T$52&lt;=N52))*(N(Inputs!$E$610)*(MIN(Inputs!$E$611,N157)-MIN(Inputs!$E$611,M157))/Inputs!$E$611+(1-N(Inputs!$E$610))*(MIN(Inputs!$E$612,N157)-MIN(Inputs!$E$612,M157))/Inputs!$E$612),0)</f>
        <v>0</v>
      </c>
      <c r="O158" s="160">
        <f>IF(Inputs!$H$79=1,SUMPRODUCT($H$156:$T$156,--($H$52:$T$52&lt;=O52))*(N(Inputs!$E$610)*(MIN(Inputs!$E$611,O157)-MIN(Inputs!$E$611,N157))/Inputs!$E$611+(1-N(Inputs!$E$610))*(MIN(Inputs!$E$612,O157)-MIN(Inputs!$E$612,N157))/Inputs!$E$612),0)</f>
        <v>0</v>
      </c>
      <c r="P158" s="160">
        <f>IF(Inputs!$H$79=1,SUMPRODUCT($H$156:$T$156,--($H$52:$T$52&lt;=P52))*(N(Inputs!$E$610)*(MIN(Inputs!$E$611,P157)-MIN(Inputs!$E$611,O157))/Inputs!$E$611+(1-N(Inputs!$E$610))*(MIN(Inputs!$E$612,P157)-MIN(Inputs!$E$612,O157))/Inputs!$E$612),0)</f>
        <v>0</v>
      </c>
      <c r="Q158" s="160">
        <f>IF(Inputs!$H$79=1,SUMPRODUCT($H$156:$T$156,--($H$52:$T$52&lt;=Q52))*(N(Inputs!$E$610)*(MIN(Inputs!$E$611,Q157)-MIN(Inputs!$E$611,P157))/Inputs!$E$611+(1-N(Inputs!$E$610))*(MIN(Inputs!$E$612,Q157)-MIN(Inputs!$E$612,P157))/Inputs!$E$612),0)</f>
        <v>0</v>
      </c>
      <c r="R158" s="160">
        <f>IF(Inputs!$H$79=1,SUMPRODUCT($H$156:$T$156,--($H$52:$T$52&lt;=R52))*(N(Inputs!$E$610)*(MIN(Inputs!$E$611,R157)-MIN(Inputs!$E$611,Q157))/Inputs!$E$611+(1-N(Inputs!$E$610))*(MIN(Inputs!$E$612,R157)-MIN(Inputs!$E$612,Q157))/Inputs!$E$612),0)</f>
        <v>0</v>
      </c>
      <c r="S158" s="160">
        <f>IF(Inputs!$H$79=1,SUMPRODUCT($H$156:$T$156,--($H$52:$T$52&lt;=S52))*(N(Inputs!$E$610)*(MIN(Inputs!$E$611,S157)-MIN(Inputs!$E$611,R157))/Inputs!$E$611+(1-N(Inputs!$E$610))*(MIN(Inputs!$E$612,S157)-MIN(Inputs!$E$612,R157))/Inputs!$E$612),0)</f>
        <v>0</v>
      </c>
      <c r="T158" s="160">
        <f>IF(Inputs!$H$79=1,SUMPRODUCT($H$156:$T$156,--($H$52:$T$52&lt;=T52))*(N(Inputs!$E$610)*(MIN(Inputs!$E$611,T157)-MIN(Inputs!$E$611,S157))/Inputs!$E$611+(1-N(Inputs!$E$610))*(MIN(Inputs!$E$612,T157)-MIN(Inputs!$E$612,S157))/Inputs!$E$612),0)</f>
        <v>0</v>
      </c>
    </row>
    <row r="159" spans="2:20" x14ac:dyDescent="0.25">
      <c r="B159" s="154" t="str">
        <f>"P17  "&amp;Inputs!$E$639</f>
        <v>P17  Pipeline Project 2</v>
      </c>
    </row>
    <row r="160" spans="2:20" ht="26.25" customHeight="1" x14ac:dyDescent="0.25">
      <c r="B160" s="64" t="s">
        <v>2436</v>
      </c>
      <c r="C160" s="28" t="s">
        <v>493</v>
      </c>
      <c r="H160" s="159">
        <f>IF(Inputs!$H$80=1,IF(H52=YEAR(N(Inputs!$E$641)),SUMPRODUCT($H$73:$T$73,--($H$52:$T$52&lt;=H52)),IF(H52&gt;YEAR(N(Inputs!$E$641)),H73,0)),0)</f>
        <v>0</v>
      </c>
      <c r="I160" s="159">
        <f>IF(Inputs!$H$80=1,IF(I52=YEAR(N(Inputs!$E$641)),SUMPRODUCT($H$73:$T$73,--($H$52:$T$52&lt;=I52)),IF(I52&gt;YEAR(N(Inputs!$E$641)),I73,0)),0)</f>
        <v>0</v>
      </c>
      <c r="J160" s="159">
        <f>IF(Inputs!$H$80=1,IF(J52=YEAR(N(Inputs!$E$641)),SUMPRODUCT($H$73:$T$73,--($H$52:$T$52&lt;=J52)),IF(J52&gt;YEAR(N(Inputs!$E$641)),J73,0)),0)</f>
        <v>0</v>
      </c>
      <c r="K160" s="159">
        <f>IF(Inputs!$H$80=1,IF(K52=YEAR(N(Inputs!$E$641)),SUMPRODUCT($H$73:$T$73,--($H$52:$T$52&lt;=K52)),IF(K52&gt;YEAR(N(Inputs!$E$641)),K73,0)),0)</f>
        <v>0</v>
      </c>
      <c r="L160" s="159">
        <f>IF(Inputs!$H$80=1,IF(L52=YEAR(N(Inputs!$E$641)),SUMPRODUCT($H$73:$T$73,--($H$52:$T$52&lt;=L52)),IF(L52&gt;YEAR(N(Inputs!$E$641)),L73,0)),0)</f>
        <v>0</v>
      </c>
      <c r="M160" s="159">
        <f>IF(Inputs!$H$80=1,IF(M52=YEAR(N(Inputs!$E$641)),SUMPRODUCT($H$73:$T$73,--($H$52:$T$52&lt;=M52)),IF(M52&gt;YEAR(N(Inputs!$E$641)),M73,0)),0)</f>
        <v>0</v>
      </c>
      <c r="N160" s="159">
        <f>IF(Inputs!$H$80=1,IF(N52=YEAR(N(Inputs!$E$641)),SUMPRODUCT($H$73:$T$73,--($H$52:$T$52&lt;=N52)),IF(N52&gt;YEAR(N(Inputs!$E$641)),N73,0)),0)</f>
        <v>0</v>
      </c>
      <c r="O160" s="159">
        <f>IF(Inputs!$H$80=1,IF(O52=YEAR(N(Inputs!$E$641)),SUMPRODUCT($H$73:$T$73,--($H$52:$T$52&lt;=O52)),IF(O52&gt;YEAR(N(Inputs!$E$641)),O73,0)),0)</f>
        <v>0</v>
      </c>
      <c r="P160" s="159">
        <f>IF(Inputs!$H$80=1,IF(P52=YEAR(N(Inputs!$E$641)),SUMPRODUCT($H$73:$T$73,--($H$52:$T$52&lt;=P52)),IF(P52&gt;YEAR(N(Inputs!$E$641)),P73,0)),0)</f>
        <v>0</v>
      </c>
      <c r="Q160" s="159">
        <f>IF(Inputs!$H$80=1,IF(Q52=YEAR(N(Inputs!$E$641)),SUMPRODUCT($H$73:$T$73,--($H$52:$T$52&lt;=Q52)),IF(Q52&gt;YEAR(N(Inputs!$E$641)),Q73,0)),0)</f>
        <v>0</v>
      </c>
      <c r="R160" s="159">
        <f>IF(Inputs!$H$80=1,IF(R52=YEAR(N(Inputs!$E$641)),SUMPRODUCT($H$73:$T$73,--($H$52:$T$52&lt;=R52)),IF(R52&gt;YEAR(N(Inputs!$E$641)),R73,0)),0)</f>
        <v>0</v>
      </c>
      <c r="S160" s="159">
        <f>IF(Inputs!$H$80=1,IF(S52=YEAR(N(Inputs!$E$641)),SUMPRODUCT($H$73:$T$73,--($H$52:$T$52&lt;=S52)),IF(S52&gt;YEAR(N(Inputs!$E$641)),S73,0)),0)</f>
        <v>0</v>
      </c>
      <c r="T160" s="159">
        <f>IF(Inputs!$H$80=1,IF(T52=YEAR(N(Inputs!$E$641)),SUMPRODUCT($H$73:$T$73,--($H$52:$T$52&lt;=T52)),IF(T52&gt;YEAR(N(Inputs!$E$641)),T73,0)),0)</f>
        <v>0</v>
      </c>
    </row>
    <row r="161" spans="2:20" x14ac:dyDescent="0.25">
      <c r="B161" s="23" t="s">
        <v>2437</v>
      </c>
      <c r="C161" s="28" t="s">
        <v>816</v>
      </c>
      <c r="G161" s="165">
        <v>0</v>
      </c>
      <c r="H161" s="165">
        <f>IF(Inputs!$H$80=1,MAX(0,(DATE(H52,12,31)-N(Inputs!$E$641)+1)/365.25),0)</f>
        <v>0</v>
      </c>
      <c r="I161" s="165">
        <f>IF(Inputs!$H$80=1,MAX(0,(DATE(I52,12,31)-N(Inputs!$E$641)+1)/365.25),0)</f>
        <v>0</v>
      </c>
      <c r="J161" s="165">
        <f>IF(Inputs!$H$80=1,MAX(0,(DATE(J52,12,31)-N(Inputs!$E$641)+1)/365.25),0)</f>
        <v>0</v>
      </c>
      <c r="K161" s="165">
        <f>IF(Inputs!$H$80=1,MAX(0,(DATE(K52,12,31)-N(Inputs!$E$641)+1)/365.25),0)</f>
        <v>0</v>
      </c>
      <c r="L161" s="165">
        <f>IF(Inputs!$H$80=1,MAX(0,(DATE(L52,12,31)-N(Inputs!$E$641)+1)/365.25),0)</f>
        <v>0</v>
      </c>
      <c r="M161" s="165">
        <f>IF(Inputs!$H$80=1,MAX(0,(DATE(M52,12,31)-N(Inputs!$E$641)+1)/365.25),0)</f>
        <v>0</v>
      </c>
      <c r="N161" s="165">
        <f>IF(Inputs!$H$80=1,MAX(0,(DATE(N52,12,31)-N(Inputs!$E$641)+1)/365.25),0)</f>
        <v>0</v>
      </c>
      <c r="O161" s="165">
        <f>IF(Inputs!$H$80=1,MAX(0,(DATE(O52,12,31)-N(Inputs!$E$641)+1)/365.25),0)</f>
        <v>0</v>
      </c>
      <c r="P161" s="165">
        <f>IF(Inputs!$H$80=1,MAX(0,(DATE(P52,12,31)-N(Inputs!$E$641)+1)/365.25),0)</f>
        <v>0</v>
      </c>
      <c r="Q161" s="165">
        <f>IF(Inputs!$H$80=1,MAX(0,(DATE(Q52,12,31)-N(Inputs!$E$641)+1)/365.25),0)</f>
        <v>0</v>
      </c>
      <c r="R161" s="165">
        <f>IF(Inputs!$H$80=1,MAX(0,(DATE(R52,12,31)-N(Inputs!$E$641)+1)/365.25),0)</f>
        <v>0</v>
      </c>
      <c r="S161" s="165">
        <f>IF(Inputs!$H$80=1,MAX(0,(DATE(S52,12,31)-N(Inputs!$E$641)+1)/365.25),0)</f>
        <v>0</v>
      </c>
      <c r="T161" s="165">
        <f>IF(Inputs!$H$80=1,MAX(0,(DATE(T52,12,31)-N(Inputs!$E$641)+1)/365.25),0)</f>
        <v>0</v>
      </c>
    </row>
    <row r="162" spans="2:20" x14ac:dyDescent="0.25">
      <c r="B162" s="21" t="s">
        <v>2438</v>
      </c>
      <c r="C162" s="28" t="s">
        <v>493</v>
      </c>
      <c r="H162" s="160">
        <f>IF(Inputs!$H$80=1,SUMPRODUCT($H$160:$T$160,--($H$52:$T$52&lt;=H52))*(N(Inputs!$E$644)*(MIN(Inputs!$E$645,H161)-MIN(Inputs!$E$645,G161))/Inputs!$E$645+(1-N(Inputs!$E$644))*(MIN(Inputs!$E$646,H161)-MIN(Inputs!$E$646,G161))/Inputs!$E$646),0)</f>
        <v>0</v>
      </c>
      <c r="I162" s="160">
        <f>IF(Inputs!$H$80=1,SUMPRODUCT($H$160:$T$160,--($H$52:$T$52&lt;=I52))*(N(Inputs!$E$644)*(MIN(Inputs!$E$645,I161)-MIN(Inputs!$E$645,H161))/Inputs!$E$645+(1-N(Inputs!$E$644))*(MIN(Inputs!$E$646,I161)-MIN(Inputs!$E$646,H161))/Inputs!$E$646),0)</f>
        <v>0</v>
      </c>
      <c r="J162" s="160">
        <f>IF(Inputs!$H$80=1,SUMPRODUCT($H$160:$T$160,--($H$52:$T$52&lt;=J52))*(N(Inputs!$E$644)*(MIN(Inputs!$E$645,J161)-MIN(Inputs!$E$645,I161))/Inputs!$E$645+(1-N(Inputs!$E$644))*(MIN(Inputs!$E$646,J161)-MIN(Inputs!$E$646,I161))/Inputs!$E$646),0)</f>
        <v>0</v>
      </c>
      <c r="K162" s="160">
        <f>IF(Inputs!$H$80=1,SUMPRODUCT($H$160:$T$160,--($H$52:$T$52&lt;=K52))*(N(Inputs!$E$644)*(MIN(Inputs!$E$645,K161)-MIN(Inputs!$E$645,J161))/Inputs!$E$645+(1-N(Inputs!$E$644))*(MIN(Inputs!$E$646,K161)-MIN(Inputs!$E$646,J161))/Inputs!$E$646),0)</f>
        <v>0</v>
      </c>
      <c r="L162" s="160">
        <f>IF(Inputs!$H$80=1,SUMPRODUCT($H$160:$T$160,--($H$52:$T$52&lt;=L52))*(N(Inputs!$E$644)*(MIN(Inputs!$E$645,L161)-MIN(Inputs!$E$645,K161))/Inputs!$E$645+(1-N(Inputs!$E$644))*(MIN(Inputs!$E$646,L161)-MIN(Inputs!$E$646,K161))/Inputs!$E$646),0)</f>
        <v>0</v>
      </c>
      <c r="M162" s="160">
        <f>IF(Inputs!$H$80=1,SUMPRODUCT($H$160:$T$160,--($H$52:$T$52&lt;=M52))*(N(Inputs!$E$644)*(MIN(Inputs!$E$645,M161)-MIN(Inputs!$E$645,L161))/Inputs!$E$645+(1-N(Inputs!$E$644))*(MIN(Inputs!$E$646,M161)-MIN(Inputs!$E$646,L161))/Inputs!$E$646),0)</f>
        <v>0</v>
      </c>
      <c r="N162" s="160">
        <f>IF(Inputs!$H$80=1,SUMPRODUCT($H$160:$T$160,--($H$52:$T$52&lt;=N52))*(N(Inputs!$E$644)*(MIN(Inputs!$E$645,N161)-MIN(Inputs!$E$645,M161))/Inputs!$E$645+(1-N(Inputs!$E$644))*(MIN(Inputs!$E$646,N161)-MIN(Inputs!$E$646,M161))/Inputs!$E$646),0)</f>
        <v>0</v>
      </c>
      <c r="O162" s="160">
        <f>IF(Inputs!$H$80=1,SUMPRODUCT($H$160:$T$160,--($H$52:$T$52&lt;=O52))*(N(Inputs!$E$644)*(MIN(Inputs!$E$645,O161)-MIN(Inputs!$E$645,N161))/Inputs!$E$645+(1-N(Inputs!$E$644))*(MIN(Inputs!$E$646,O161)-MIN(Inputs!$E$646,N161))/Inputs!$E$646),0)</f>
        <v>0</v>
      </c>
      <c r="P162" s="160">
        <f>IF(Inputs!$H$80=1,SUMPRODUCT($H$160:$T$160,--($H$52:$T$52&lt;=P52))*(N(Inputs!$E$644)*(MIN(Inputs!$E$645,P161)-MIN(Inputs!$E$645,O161))/Inputs!$E$645+(1-N(Inputs!$E$644))*(MIN(Inputs!$E$646,P161)-MIN(Inputs!$E$646,O161))/Inputs!$E$646),0)</f>
        <v>0</v>
      </c>
      <c r="Q162" s="160">
        <f>IF(Inputs!$H$80=1,SUMPRODUCT($H$160:$T$160,--($H$52:$T$52&lt;=Q52))*(N(Inputs!$E$644)*(MIN(Inputs!$E$645,Q161)-MIN(Inputs!$E$645,P161))/Inputs!$E$645+(1-N(Inputs!$E$644))*(MIN(Inputs!$E$646,Q161)-MIN(Inputs!$E$646,P161))/Inputs!$E$646),0)</f>
        <v>0</v>
      </c>
      <c r="R162" s="160">
        <f>IF(Inputs!$H$80=1,SUMPRODUCT($H$160:$T$160,--($H$52:$T$52&lt;=R52))*(N(Inputs!$E$644)*(MIN(Inputs!$E$645,R161)-MIN(Inputs!$E$645,Q161))/Inputs!$E$645+(1-N(Inputs!$E$644))*(MIN(Inputs!$E$646,R161)-MIN(Inputs!$E$646,Q161))/Inputs!$E$646),0)</f>
        <v>0</v>
      </c>
      <c r="S162" s="160">
        <f>IF(Inputs!$H$80=1,SUMPRODUCT($H$160:$T$160,--($H$52:$T$52&lt;=S52))*(N(Inputs!$E$644)*(MIN(Inputs!$E$645,S161)-MIN(Inputs!$E$645,R161))/Inputs!$E$645+(1-N(Inputs!$E$644))*(MIN(Inputs!$E$646,S161)-MIN(Inputs!$E$646,R161))/Inputs!$E$646),0)</f>
        <v>0</v>
      </c>
      <c r="T162" s="160">
        <f>IF(Inputs!$H$80=1,SUMPRODUCT($H$160:$T$160,--($H$52:$T$52&lt;=T52))*(N(Inputs!$E$644)*(MIN(Inputs!$E$645,T161)-MIN(Inputs!$E$645,S161))/Inputs!$E$645+(1-N(Inputs!$E$644))*(MIN(Inputs!$E$646,T161)-MIN(Inputs!$E$646,S161))/Inputs!$E$646),0)</f>
        <v>0</v>
      </c>
    </row>
    <row r="163" spans="2:20" x14ac:dyDescent="0.25">
      <c r="B163" s="154" t="str">
        <f>"P18  "&amp;Inputs!$E$673</f>
        <v>P18  Pipeline Project 3</v>
      </c>
    </row>
    <row r="164" spans="2:20" ht="26.25" customHeight="1" x14ac:dyDescent="0.25">
      <c r="B164" s="64" t="s">
        <v>2436</v>
      </c>
      <c r="C164" s="28" t="s">
        <v>493</v>
      </c>
      <c r="H164" s="159">
        <f>IF(Inputs!$H$81=1,IF(H52=YEAR(N(Inputs!$E$675)),SUMPRODUCT($H$74:$T$74,--($H$52:$T$52&lt;=H52)),IF(H52&gt;YEAR(N(Inputs!$E$675)),H74,0)),0)</f>
        <v>0</v>
      </c>
      <c r="I164" s="159">
        <f>IF(Inputs!$H$81=1,IF(I52=YEAR(N(Inputs!$E$675)),SUMPRODUCT($H$74:$T$74,--($H$52:$T$52&lt;=I52)),IF(I52&gt;YEAR(N(Inputs!$E$675)),I74,0)),0)</f>
        <v>0</v>
      </c>
      <c r="J164" s="159">
        <f>IF(Inputs!$H$81=1,IF(J52=YEAR(N(Inputs!$E$675)),SUMPRODUCT($H$74:$T$74,--($H$52:$T$52&lt;=J52)),IF(J52&gt;YEAR(N(Inputs!$E$675)),J74,0)),0)</f>
        <v>0</v>
      </c>
      <c r="K164" s="159">
        <f>IF(Inputs!$H$81=1,IF(K52=YEAR(N(Inputs!$E$675)),SUMPRODUCT($H$74:$T$74,--($H$52:$T$52&lt;=K52)),IF(K52&gt;YEAR(N(Inputs!$E$675)),K74,0)),0)</f>
        <v>0</v>
      </c>
      <c r="L164" s="159">
        <f>IF(Inputs!$H$81=1,IF(L52=YEAR(N(Inputs!$E$675)),SUMPRODUCT($H$74:$T$74,--($H$52:$T$52&lt;=L52)),IF(L52&gt;YEAR(N(Inputs!$E$675)),L74,0)),0)</f>
        <v>0</v>
      </c>
      <c r="M164" s="159">
        <f>IF(Inputs!$H$81=1,IF(M52=YEAR(N(Inputs!$E$675)),SUMPRODUCT($H$74:$T$74,--($H$52:$T$52&lt;=M52)),IF(M52&gt;YEAR(N(Inputs!$E$675)),M74,0)),0)</f>
        <v>0</v>
      </c>
      <c r="N164" s="159">
        <f>IF(Inputs!$H$81=1,IF(N52=YEAR(N(Inputs!$E$675)),SUMPRODUCT($H$74:$T$74,--($H$52:$T$52&lt;=N52)),IF(N52&gt;YEAR(N(Inputs!$E$675)),N74,0)),0)</f>
        <v>0</v>
      </c>
      <c r="O164" s="159">
        <f>IF(Inputs!$H$81=1,IF(O52=YEAR(N(Inputs!$E$675)),SUMPRODUCT($H$74:$T$74,--($H$52:$T$52&lt;=O52)),IF(O52&gt;YEAR(N(Inputs!$E$675)),O74,0)),0)</f>
        <v>0</v>
      </c>
      <c r="P164" s="159">
        <f>IF(Inputs!$H$81=1,IF(P52=YEAR(N(Inputs!$E$675)),SUMPRODUCT($H$74:$T$74,--($H$52:$T$52&lt;=P52)),IF(P52&gt;YEAR(N(Inputs!$E$675)),P74,0)),0)</f>
        <v>0</v>
      </c>
      <c r="Q164" s="159">
        <f>IF(Inputs!$H$81=1,IF(Q52=YEAR(N(Inputs!$E$675)),SUMPRODUCT($H$74:$T$74,--($H$52:$T$52&lt;=Q52)),IF(Q52&gt;YEAR(N(Inputs!$E$675)),Q74,0)),0)</f>
        <v>0</v>
      </c>
      <c r="R164" s="159">
        <f>IF(Inputs!$H$81=1,IF(R52=YEAR(N(Inputs!$E$675)),SUMPRODUCT($H$74:$T$74,--($H$52:$T$52&lt;=R52)),IF(R52&gt;YEAR(N(Inputs!$E$675)),R74,0)),0)</f>
        <v>0</v>
      </c>
      <c r="S164" s="159">
        <f>IF(Inputs!$H$81=1,IF(S52=YEAR(N(Inputs!$E$675)),SUMPRODUCT($H$74:$T$74,--($H$52:$T$52&lt;=S52)),IF(S52&gt;YEAR(N(Inputs!$E$675)),S74,0)),0)</f>
        <v>0</v>
      </c>
      <c r="T164" s="159">
        <f>IF(Inputs!$H$81=1,IF(T52=YEAR(N(Inputs!$E$675)),SUMPRODUCT($H$74:$T$74,--($H$52:$T$52&lt;=T52)),IF(T52&gt;YEAR(N(Inputs!$E$675)),T74,0)),0)</f>
        <v>0</v>
      </c>
    </row>
    <row r="165" spans="2:20" x14ac:dyDescent="0.25">
      <c r="B165" s="23" t="s">
        <v>2437</v>
      </c>
      <c r="C165" s="28" t="s">
        <v>816</v>
      </c>
      <c r="G165" s="165">
        <v>0</v>
      </c>
      <c r="H165" s="165">
        <f>IF(Inputs!$H$81=1,MAX(0,(DATE(H52,12,31)-N(Inputs!$E$675)+1)/365.25),0)</f>
        <v>0</v>
      </c>
      <c r="I165" s="165">
        <f>IF(Inputs!$H$81=1,MAX(0,(DATE(I52,12,31)-N(Inputs!$E$675)+1)/365.25),0)</f>
        <v>0</v>
      </c>
      <c r="J165" s="165">
        <f>IF(Inputs!$H$81=1,MAX(0,(DATE(J52,12,31)-N(Inputs!$E$675)+1)/365.25),0)</f>
        <v>0</v>
      </c>
      <c r="K165" s="165">
        <f>IF(Inputs!$H$81=1,MAX(0,(DATE(K52,12,31)-N(Inputs!$E$675)+1)/365.25),0)</f>
        <v>0</v>
      </c>
      <c r="L165" s="165">
        <f>IF(Inputs!$H$81=1,MAX(0,(DATE(L52,12,31)-N(Inputs!$E$675)+1)/365.25),0)</f>
        <v>0</v>
      </c>
      <c r="M165" s="165">
        <f>IF(Inputs!$H$81=1,MAX(0,(DATE(M52,12,31)-N(Inputs!$E$675)+1)/365.25),0)</f>
        <v>0</v>
      </c>
      <c r="N165" s="165">
        <f>IF(Inputs!$H$81=1,MAX(0,(DATE(N52,12,31)-N(Inputs!$E$675)+1)/365.25),0)</f>
        <v>0</v>
      </c>
      <c r="O165" s="165">
        <f>IF(Inputs!$H$81=1,MAX(0,(DATE(O52,12,31)-N(Inputs!$E$675)+1)/365.25),0)</f>
        <v>0</v>
      </c>
      <c r="P165" s="165">
        <f>IF(Inputs!$H$81=1,MAX(0,(DATE(P52,12,31)-N(Inputs!$E$675)+1)/365.25),0)</f>
        <v>0</v>
      </c>
      <c r="Q165" s="165">
        <f>IF(Inputs!$H$81=1,MAX(0,(DATE(Q52,12,31)-N(Inputs!$E$675)+1)/365.25),0)</f>
        <v>0</v>
      </c>
      <c r="R165" s="165">
        <f>IF(Inputs!$H$81=1,MAX(0,(DATE(R52,12,31)-N(Inputs!$E$675)+1)/365.25),0)</f>
        <v>0</v>
      </c>
      <c r="S165" s="165">
        <f>IF(Inputs!$H$81=1,MAX(0,(DATE(S52,12,31)-N(Inputs!$E$675)+1)/365.25),0)</f>
        <v>0</v>
      </c>
      <c r="T165" s="165">
        <f>IF(Inputs!$H$81=1,MAX(0,(DATE(T52,12,31)-N(Inputs!$E$675)+1)/365.25),0)</f>
        <v>0</v>
      </c>
    </row>
    <row r="166" spans="2:20" x14ac:dyDescent="0.25">
      <c r="B166" s="21" t="s">
        <v>2438</v>
      </c>
      <c r="C166" s="28" t="s">
        <v>493</v>
      </c>
      <c r="H166" s="160">
        <f>IF(Inputs!$H$81=1,SUMPRODUCT($H$164:$T$164,--($H$52:$T$52&lt;=H52))*(N(Inputs!$E$678)*(MIN(Inputs!$E$679,H165)-MIN(Inputs!$E$679,G165))/Inputs!$E$679+(1-N(Inputs!$E$678))*(MIN(Inputs!$E$680,H165)-MIN(Inputs!$E$680,G165))/Inputs!$E$680),0)</f>
        <v>0</v>
      </c>
      <c r="I166" s="160">
        <f>IF(Inputs!$H$81=1,SUMPRODUCT($H$164:$T$164,--($H$52:$T$52&lt;=I52))*(N(Inputs!$E$678)*(MIN(Inputs!$E$679,I165)-MIN(Inputs!$E$679,H165))/Inputs!$E$679+(1-N(Inputs!$E$678))*(MIN(Inputs!$E$680,I165)-MIN(Inputs!$E$680,H165))/Inputs!$E$680),0)</f>
        <v>0</v>
      </c>
      <c r="J166" s="160">
        <f>IF(Inputs!$H$81=1,SUMPRODUCT($H$164:$T$164,--($H$52:$T$52&lt;=J52))*(N(Inputs!$E$678)*(MIN(Inputs!$E$679,J165)-MIN(Inputs!$E$679,I165))/Inputs!$E$679+(1-N(Inputs!$E$678))*(MIN(Inputs!$E$680,J165)-MIN(Inputs!$E$680,I165))/Inputs!$E$680),0)</f>
        <v>0</v>
      </c>
      <c r="K166" s="160">
        <f>IF(Inputs!$H$81=1,SUMPRODUCT($H$164:$T$164,--($H$52:$T$52&lt;=K52))*(N(Inputs!$E$678)*(MIN(Inputs!$E$679,K165)-MIN(Inputs!$E$679,J165))/Inputs!$E$679+(1-N(Inputs!$E$678))*(MIN(Inputs!$E$680,K165)-MIN(Inputs!$E$680,J165))/Inputs!$E$680),0)</f>
        <v>0</v>
      </c>
      <c r="L166" s="160">
        <f>IF(Inputs!$H$81=1,SUMPRODUCT($H$164:$T$164,--($H$52:$T$52&lt;=L52))*(N(Inputs!$E$678)*(MIN(Inputs!$E$679,L165)-MIN(Inputs!$E$679,K165))/Inputs!$E$679+(1-N(Inputs!$E$678))*(MIN(Inputs!$E$680,L165)-MIN(Inputs!$E$680,K165))/Inputs!$E$680),0)</f>
        <v>0</v>
      </c>
      <c r="M166" s="160">
        <f>IF(Inputs!$H$81=1,SUMPRODUCT($H$164:$T$164,--($H$52:$T$52&lt;=M52))*(N(Inputs!$E$678)*(MIN(Inputs!$E$679,M165)-MIN(Inputs!$E$679,L165))/Inputs!$E$679+(1-N(Inputs!$E$678))*(MIN(Inputs!$E$680,M165)-MIN(Inputs!$E$680,L165))/Inputs!$E$680),0)</f>
        <v>0</v>
      </c>
      <c r="N166" s="160">
        <f>IF(Inputs!$H$81=1,SUMPRODUCT($H$164:$T$164,--($H$52:$T$52&lt;=N52))*(N(Inputs!$E$678)*(MIN(Inputs!$E$679,N165)-MIN(Inputs!$E$679,M165))/Inputs!$E$679+(1-N(Inputs!$E$678))*(MIN(Inputs!$E$680,N165)-MIN(Inputs!$E$680,M165))/Inputs!$E$680),0)</f>
        <v>0</v>
      </c>
      <c r="O166" s="160">
        <f>IF(Inputs!$H$81=1,SUMPRODUCT($H$164:$T$164,--($H$52:$T$52&lt;=O52))*(N(Inputs!$E$678)*(MIN(Inputs!$E$679,O165)-MIN(Inputs!$E$679,N165))/Inputs!$E$679+(1-N(Inputs!$E$678))*(MIN(Inputs!$E$680,O165)-MIN(Inputs!$E$680,N165))/Inputs!$E$680),0)</f>
        <v>0</v>
      </c>
      <c r="P166" s="160">
        <f>IF(Inputs!$H$81=1,SUMPRODUCT($H$164:$T$164,--($H$52:$T$52&lt;=P52))*(N(Inputs!$E$678)*(MIN(Inputs!$E$679,P165)-MIN(Inputs!$E$679,O165))/Inputs!$E$679+(1-N(Inputs!$E$678))*(MIN(Inputs!$E$680,P165)-MIN(Inputs!$E$680,O165))/Inputs!$E$680),0)</f>
        <v>0</v>
      </c>
      <c r="Q166" s="160">
        <f>IF(Inputs!$H$81=1,SUMPRODUCT($H$164:$T$164,--($H$52:$T$52&lt;=Q52))*(N(Inputs!$E$678)*(MIN(Inputs!$E$679,Q165)-MIN(Inputs!$E$679,P165))/Inputs!$E$679+(1-N(Inputs!$E$678))*(MIN(Inputs!$E$680,Q165)-MIN(Inputs!$E$680,P165))/Inputs!$E$680),0)</f>
        <v>0</v>
      </c>
      <c r="R166" s="160">
        <f>IF(Inputs!$H$81=1,SUMPRODUCT($H$164:$T$164,--($H$52:$T$52&lt;=R52))*(N(Inputs!$E$678)*(MIN(Inputs!$E$679,R165)-MIN(Inputs!$E$679,Q165))/Inputs!$E$679+(1-N(Inputs!$E$678))*(MIN(Inputs!$E$680,R165)-MIN(Inputs!$E$680,Q165))/Inputs!$E$680),0)</f>
        <v>0</v>
      </c>
      <c r="S166" s="160">
        <f>IF(Inputs!$H$81=1,SUMPRODUCT($H$164:$T$164,--($H$52:$T$52&lt;=S52))*(N(Inputs!$E$678)*(MIN(Inputs!$E$679,S165)-MIN(Inputs!$E$679,R165))/Inputs!$E$679+(1-N(Inputs!$E$678))*(MIN(Inputs!$E$680,S165)-MIN(Inputs!$E$680,R165))/Inputs!$E$680),0)</f>
        <v>0</v>
      </c>
      <c r="T166" s="160">
        <f>IF(Inputs!$H$81=1,SUMPRODUCT($H$164:$T$164,--($H$52:$T$52&lt;=T52))*(N(Inputs!$E$678)*(MIN(Inputs!$E$679,T165)-MIN(Inputs!$E$679,S165))/Inputs!$E$679+(1-N(Inputs!$E$678))*(MIN(Inputs!$E$680,T165)-MIN(Inputs!$E$680,S165))/Inputs!$E$680),0)</f>
        <v>0</v>
      </c>
    </row>
    <row r="167" spans="2:20" x14ac:dyDescent="0.25">
      <c r="B167" s="154" t="s">
        <v>2439</v>
      </c>
    </row>
    <row r="168" spans="2:20" ht="26.25" customHeight="1" x14ac:dyDescent="0.25">
      <c r="B168" s="64" t="s">
        <v>2440</v>
      </c>
      <c r="C168" s="28" t="s">
        <v>493</v>
      </c>
      <c r="H168" s="159">
        <f>IF(H52=YEAR(Inputs!$E$571),SUMPRODUCT($H$75:$T$75,--($H$52:$T$52&lt;=H52)),IF(H52&gt;YEAR(Inputs!$E$571),H75,0))</f>
        <v>0</v>
      </c>
      <c r="I168" s="159">
        <f>IF(I52=YEAR(Inputs!$E$571),SUMPRODUCT($H$75:$T$75,--($H$52:$T$52&lt;=I52)),IF(I52&gt;YEAR(Inputs!$E$571),I75,0))</f>
        <v>0</v>
      </c>
      <c r="J168" s="159">
        <f>IF(J52=YEAR(Inputs!$E$571),SUMPRODUCT($H$75:$T$75,--($H$52:$T$52&lt;=J52)),IF(J52&gt;YEAR(Inputs!$E$571),J75,0))</f>
        <v>0</v>
      </c>
      <c r="K168" s="159">
        <f>IF(K52=YEAR(Inputs!$E$571),SUMPRODUCT($H$75:$T$75,--($H$52:$T$52&lt;=K52)),IF(K52&gt;YEAR(Inputs!$E$571),K75,0))</f>
        <v>0</v>
      </c>
      <c r="L168" s="159">
        <f>IF(L52=YEAR(Inputs!$E$571),SUMPRODUCT($H$75:$T$75,--($H$52:$T$52&lt;=L52)),IF(L52&gt;YEAR(Inputs!$E$571),L75,0))</f>
        <v>0</v>
      </c>
      <c r="M168" s="159">
        <f>IF(M52=YEAR(Inputs!$E$571),SUMPRODUCT($H$75:$T$75,--($H$52:$T$52&lt;=M52)),IF(M52&gt;YEAR(Inputs!$E$571),M75,0))</f>
        <v>162.65</v>
      </c>
      <c r="N168" s="159">
        <f>IF(N52=YEAR(Inputs!$E$571),SUMPRODUCT($H$75:$T$75,--($H$52:$T$52&lt;=N52)),IF(N52&gt;YEAR(Inputs!$E$571),N75,0))</f>
        <v>0</v>
      </c>
      <c r="O168" s="159">
        <f>IF(O52=YEAR(Inputs!$E$571),SUMPRODUCT($H$75:$T$75,--($H$52:$T$52&lt;=O52)),IF(O52&gt;YEAR(Inputs!$E$571),O75,0))</f>
        <v>0</v>
      </c>
      <c r="P168" s="159">
        <f>IF(P52=YEAR(Inputs!$E$571),SUMPRODUCT($H$75:$T$75,--($H$52:$T$52&lt;=P52)),IF(P52&gt;YEAR(Inputs!$E$571),P75,0))</f>
        <v>0</v>
      </c>
      <c r="Q168" s="159">
        <f>IF(Q52=YEAR(Inputs!$E$571),SUMPRODUCT($H$75:$T$75,--($H$52:$T$52&lt;=Q52)),IF(Q52&gt;YEAR(Inputs!$E$571),Q75,0))</f>
        <v>0</v>
      </c>
      <c r="R168" s="159">
        <f>IF(R52=YEAR(Inputs!$E$571),SUMPRODUCT($H$75:$T$75,--($H$52:$T$52&lt;=R52)),IF(R52&gt;YEAR(Inputs!$E$571),R75,0))</f>
        <v>0</v>
      </c>
      <c r="S168" s="159">
        <f>IF(S52=YEAR(Inputs!$E$571),SUMPRODUCT($H$75:$T$75,--($H$52:$T$52&lt;=S52)),IF(S52&gt;YEAR(Inputs!$E$571),S75,0))</f>
        <v>0</v>
      </c>
      <c r="T168" s="159">
        <f>IF(T52=YEAR(Inputs!$E$571),SUMPRODUCT($H$75:$T$75,--($H$52:$T$52&lt;=T52)),IF(T52&gt;YEAR(Inputs!$E$571),T75,0))</f>
        <v>0</v>
      </c>
    </row>
    <row r="169" spans="2:20" x14ac:dyDescent="0.25">
      <c r="B169" s="23" t="s">
        <v>2441</v>
      </c>
      <c r="C169" s="28" t="s">
        <v>816</v>
      </c>
      <c r="G169" s="165">
        <v>0</v>
      </c>
      <c r="H169" s="165">
        <f>MAX(0,(DATE(H52,12,31)-Inputs!$E$571+1)/365.25)</f>
        <v>0</v>
      </c>
      <c r="I169" s="165">
        <f>MAX(0,(DATE(I52,12,31)-Inputs!$E$571+1)/365.25)</f>
        <v>0</v>
      </c>
      <c r="J169" s="165">
        <f>MAX(0,(DATE(J52,12,31)-Inputs!$E$571+1)/365.25)</f>
        <v>0</v>
      </c>
      <c r="K169" s="165">
        <f>MAX(0,(DATE(K52,12,31)-Inputs!$E$571+1)/365.25)</f>
        <v>0</v>
      </c>
      <c r="L169" s="165">
        <f>MAX(0,(DATE(L52,12,31)-Inputs!$E$571+1)/365.25)</f>
        <v>0</v>
      </c>
      <c r="M169" s="165">
        <f>MAX(0,(DATE(M52,12,31)-Inputs!$E$571+1)/365.25)</f>
        <v>0.99931553730321698</v>
      </c>
      <c r="N169" s="165">
        <f>MAX(0,(DATE(N52,12,31)-Inputs!$E$571+1)/365.25)</f>
        <v>1.998631074606434</v>
      </c>
      <c r="O169" s="165">
        <f>MAX(0,(DATE(O52,12,31)-Inputs!$E$571+1)/365.25)</f>
        <v>2.9979466119096507</v>
      </c>
      <c r="P169" s="165">
        <f>MAX(0,(DATE(P52,12,31)-Inputs!$E$571+1)/365.25)</f>
        <v>4</v>
      </c>
      <c r="Q169" s="165">
        <f>MAX(0,(DATE(Q52,12,31)-Inputs!$E$571+1)/365.25)</f>
        <v>4.9993155373032172</v>
      </c>
      <c r="R169" s="165">
        <f>MAX(0,(DATE(R52,12,31)-Inputs!$E$571+1)/365.25)</f>
        <v>5.9986310746064335</v>
      </c>
      <c r="S169" s="165">
        <f>MAX(0,(DATE(S52,12,31)-Inputs!$E$571+1)/365.25)</f>
        <v>6.9979466119096507</v>
      </c>
      <c r="T169" s="165">
        <f>MAX(0,(DATE(T52,12,31)-Inputs!$E$571+1)/365.25)</f>
        <v>8</v>
      </c>
    </row>
    <row r="170" spans="2:20" ht="26.25" customHeight="1" x14ac:dyDescent="0.25">
      <c r="B170" s="133" t="s">
        <v>2442</v>
      </c>
      <c r="C170" s="28" t="s">
        <v>493</v>
      </c>
      <c r="H170" s="160">
        <f>SUMPRODUCT($H$168:$T$168,--($H$52:$T$52&lt;=H52))*(Inputs!$E$579*(MIN(Inputs!$E$580,H169)-MIN(Inputs!$E$580,G169))/Inputs!$E$580+(1-Inputs!$E$579)*(MIN(Inputs!$E$581,H169)-MIN(Inputs!$E$581,G169))/Inputs!$E$581)</f>
        <v>0</v>
      </c>
      <c r="I170" s="160">
        <f>SUMPRODUCT($H$168:$T$168,--($H$52:$T$52&lt;=I52))*(Inputs!$E$579*(MIN(Inputs!$E$580,I169)-MIN(Inputs!$E$580,H169))/Inputs!$E$580+(1-Inputs!$E$579)*(MIN(Inputs!$E$581,I169)-MIN(Inputs!$E$581,H169))/Inputs!$E$581)</f>
        <v>0</v>
      </c>
      <c r="J170" s="160">
        <f>SUMPRODUCT($H$168:$T$168,--($H$52:$T$52&lt;=J52))*(Inputs!$E$579*(MIN(Inputs!$E$580,J169)-MIN(Inputs!$E$580,I169))/Inputs!$E$580+(1-Inputs!$E$579)*(MIN(Inputs!$E$581,J169)-MIN(Inputs!$E$581,I169))/Inputs!$E$581)</f>
        <v>0</v>
      </c>
      <c r="K170" s="160">
        <f>SUMPRODUCT($H$168:$T$168,--($H$52:$T$52&lt;=K52))*(Inputs!$E$579*(MIN(Inputs!$E$580,K169)-MIN(Inputs!$E$580,J169))/Inputs!$E$580+(1-Inputs!$E$579)*(MIN(Inputs!$E$581,K169)-MIN(Inputs!$E$581,J169))/Inputs!$E$581)</f>
        <v>0</v>
      </c>
      <c r="L170" s="160">
        <f>SUMPRODUCT($H$168:$T$168,--($H$52:$T$52&lt;=L52))*(Inputs!$E$579*(MIN(Inputs!$E$580,L169)-MIN(Inputs!$E$580,K169))/Inputs!$E$580+(1-Inputs!$E$579)*(MIN(Inputs!$E$581,L169)-MIN(Inputs!$E$581,K169))/Inputs!$E$581)</f>
        <v>0</v>
      </c>
      <c r="M170" s="160">
        <f>SUMPRODUCT($H$168:$T$168,--($H$52:$T$52&lt;=M52))*(Inputs!$E$579*(MIN(Inputs!$E$580,M169)-MIN(Inputs!$E$580,L169))/Inputs!$E$580+(1-Inputs!$E$579)*(MIN(Inputs!$E$581,M169)-MIN(Inputs!$E$581,L169))/Inputs!$E$581)</f>
        <v>11.377707049965778</v>
      </c>
      <c r="N170" s="160">
        <f>SUMPRODUCT($H$168:$T$168,--($H$52:$T$52&lt;=N52))*(Inputs!$E$579*(MIN(Inputs!$E$580,N169)-MIN(Inputs!$E$580,M169))/Inputs!$E$580+(1-Inputs!$E$579)*(MIN(Inputs!$E$581,N169)-MIN(Inputs!$E$581,M169))/Inputs!$E$581)</f>
        <v>11.377707049965778</v>
      </c>
      <c r="O170" s="160">
        <f>SUMPRODUCT($H$168:$T$168,--($H$52:$T$52&lt;=O52))*(Inputs!$E$579*(MIN(Inputs!$E$580,O169)-MIN(Inputs!$E$580,N169))/Inputs!$E$580+(1-Inputs!$E$579)*(MIN(Inputs!$E$581,O169)-MIN(Inputs!$E$581,N169))/Inputs!$E$581)</f>
        <v>11.377707049965776</v>
      </c>
      <c r="P170" s="160">
        <f>SUMPRODUCT($H$168:$T$168,--($H$52:$T$52&lt;=P52))*(Inputs!$E$579*(MIN(Inputs!$E$580,P169)-MIN(Inputs!$E$580,O169))/Inputs!$E$580+(1-Inputs!$E$579)*(MIN(Inputs!$E$581,P169)-MIN(Inputs!$E$581,O169))/Inputs!$E$581)</f>
        <v>11.408878850102672</v>
      </c>
      <c r="Q170" s="160">
        <f>SUMPRODUCT($H$168:$T$168,--($H$52:$T$52&lt;=Q52))*(Inputs!$E$579*(MIN(Inputs!$E$580,Q169)-MIN(Inputs!$E$580,P169))/Inputs!$E$580+(1-Inputs!$E$579)*(MIN(Inputs!$E$581,Q169)-MIN(Inputs!$E$581,P169))/Inputs!$E$581)</f>
        <v>11.37770704996578</v>
      </c>
      <c r="R170" s="160">
        <f>SUMPRODUCT($H$168:$T$168,--($H$52:$T$52&lt;=R52))*(Inputs!$E$579*(MIN(Inputs!$E$580,R169)-MIN(Inputs!$E$580,Q169))/Inputs!$E$580+(1-Inputs!$E$579)*(MIN(Inputs!$E$581,R169)-MIN(Inputs!$E$581,Q169))/Inputs!$E$581)</f>
        <v>11.377707049965771</v>
      </c>
      <c r="S170" s="160">
        <f>SUMPRODUCT($H$168:$T$168,--($H$52:$T$52&lt;=S52))*(Inputs!$E$579*(MIN(Inputs!$E$580,S169)-MIN(Inputs!$E$580,R169))/Inputs!$E$580+(1-Inputs!$E$579)*(MIN(Inputs!$E$581,S169)-MIN(Inputs!$E$581,R169))/Inputs!$E$581)</f>
        <v>11.37770704996578</v>
      </c>
      <c r="T170" s="160">
        <f>SUMPRODUCT($H$168:$T$168,--($H$52:$T$52&lt;=T52))*(Inputs!$E$579*(MIN(Inputs!$E$580,T169)-MIN(Inputs!$E$580,S169))/Inputs!$E$580+(1-Inputs!$E$579)*(MIN(Inputs!$E$581,T169)-MIN(Inputs!$E$581,S169))/Inputs!$E$581)</f>
        <v>11.408878850102672</v>
      </c>
    </row>
    <row r="171" spans="2:20" x14ac:dyDescent="0.25">
      <c r="B171" s="21" t="s">
        <v>2443</v>
      </c>
      <c r="C171" s="28" t="s">
        <v>493</v>
      </c>
      <c r="H171" s="160">
        <f>H170*Inputs!$H$82</f>
        <v>0</v>
      </c>
      <c r="I171" s="160">
        <f>I170*Inputs!$H$82</f>
        <v>0</v>
      </c>
      <c r="J171" s="160">
        <f>J170*Inputs!$H$82</f>
        <v>0</v>
      </c>
      <c r="K171" s="160">
        <f>K170*Inputs!$H$82</f>
        <v>0</v>
      </c>
      <c r="L171" s="160">
        <f>L170*Inputs!$H$82</f>
        <v>0</v>
      </c>
      <c r="M171" s="160">
        <f>M170*Inputs!$H$82</f>
        <v>11.377707049965778</v>
      </c>
      <c r="N171" s="160">
        <f>N170*Inputs!$H$82</f>
        <v>11.377707049965778</v>
      </c>
      <c r="O171" s="160">
        <f>O170*Inputs!$H$82</f>
        <v>11.377707049965776</v>
      </c>
      <c r="P171" s="160">
        <f>P170*Inputs!$H$82</f>
        <v>11.408878850102672</v>
      </c>
      <c r="Q171" s="160">
        <f>Q170*Inputs!$H$82</f>
        <v>11.37770704996578</v>
      </c>
      <c r="R171" s="160">
        <f>R170*Inputs!$H$82</f>
        <v>11.377707049965771</v>
      </c>
      <c r="S171" s="160">
        <f>S170*Inputs!$H$82</f>
        <v>11.37770704996578</v>
      </c>
      <c r="T171" s="160">
        <f>T170*Inputs!$H$82</f>
        <v>11.408878850102672</v>
      </c>
    </row>
    <row r="172" spans="2:20" x14ac:dyDescent="0.25">
      <c r="B172" s="23" t="s">
        <v>2444</v>
      </c>
      <c r="C172" s="28" t="s">
        <v>493</v>
      </c>
      <c r="G172" s="159">
        <v>0</v>
      </c>
      <c r="H172" s="159">
        <f t="shared" ref="H172:T172" si="23">G172+H75-H170</f>
        <v>0</v>
      </c>
      <c r="I172" s="159">
        <f t="shared" si="23"/>
        <v>0</v>
      </c>
      <c r="J172" s="159">
        <f t="shared" si="23"/>
        <v>0</v>
      </c>
      <c r="K172" s="159">
        <f t="shared" si="23"/>
        <v>65.06</v>
      </c>
      <c r="L172" s="159">
        <f t="shared" si="23"/>
        <v>162.65</v>
      </c>
      <c r="M172" s="159">
        <f t="shared" si="23"/>
        <v>151.27229295003423</v>
      </c>
      <c r="N172" s="159">
        <f t="shared" si="23"/>
        <v>139.89458590006845</v>
      </c>
      <c r="O172" s="159">
        <f t="shared" si="23"/>
        <v>128.51687885010267</v>
      </c>
      <c r="P172" s="159">
        <f t="shared" si="23"/>
        <v>117.108</v>
      </c>
      <c r="Q172" s="159">
        <f t="shared" si="23"/>
        <v>105.73029295003423</v>
      </c>
      <c r="R172" s="159">
        <f t="shared" si="23"/>
        <v>94.352585900068448</v>
      </c>
      <c r="S172" s="159">
        <f t="shared" si="23"/>
        <v>82.97487885010267</v>
      </c>
      <c r="T172" s="159">
        <f t="shared" si="23"/>
        <v>71.566000000000003</v>
      </c>
    </row>
    <row r="174" spans="2:20" x14ac:dyDescent="0.25">
      <c r="B174" s="58" t="s">
        <v>2445</v>
      </c>
      <c r="C174" s="19"/>
      <c r="D174" s="19"/>
      <c r="E174" s="19"/>
      <c r="F174" s="19"/>
      <c r="G174" s="19"/>
      <c r="H174" s="19"/>
      <c r="I174" s="19"/>
      <c r="J174" s="19"/>
      <c r="K174" s="19"/>
      <c r="L174" s="19"/>
      <c r="M174" s="19"/>
      <c r="N174" s="19"/>
      <c r="O174" s="19"/>
      <c r="P174" s="19"/>
      <c r="Q174" s="19"/>
      <c r="R174" s="19"/>
      <c r="S174" s="19"/>
      <c r="T174" s="19"/>
    </row>
    <row r="175" spans="2:20" x14ac:dyDescent="0.25">
      <c r="B175" s="23" t="s">
        <v>2446</v>
      </c>
      <c r="C175" s="28" t="s">
        <v>493</v>
      </c>
      <c r="H175" s="159">
        <f>Inputs!H182+Inputs!H183+Inputs!H184+Inputs!H185</f>
        <v>0.43948041534999999</v>
      </c>
      <c r="I175" s="159">
        <f>Inputs!I182+Inputs!I183+Inputs!I184+Inputs!I185</f>
        <v>0.43948041534999999</v>
      </c>
      <c r="J175" s="159">
        <f>Inputs!J182+Inputs!J183+Inputs!J184+Inputs!J185</f>
        <v>0.43948041534999999</v>
      </c>
      <c r="K175" s="159">
        <f>Inputs!K182+Inputs!K183+Inputs!K184+Inputs!K185</f>
        <v>0.43948041534999999</v>
      </c>
      <c r="L175" s="159">
        <f>Inputs!L182+Inputs!L183+Inputs!L184+Inputs!L185</f>
        <v>0.43948041534999999</v>
      </c>
      <c r="M175" s="159">
        <f>Inputs!M182+Inputs!M183+Inputs!M184+Inputs!M185</f>
        <v>0.43948041534999999</v>
      </c>
      <c r="N175" s="159">
        <f>Inputs!N182+Inputs!N183+Inputs!N184+Inputs!N185</f>
        <v>0.43948041534999999</v>
      </c>
      <c r="O175" s="159">
        <f>Inputs!O182+Inputs!O183+Inputs!O184+Inputs!O185</f>
        <v>0.43948041534999999</v>
      </c>
      <c r="P175" s="159">
        <f>Inputs!P182+Inputs!P183+Inputs!P184+Inputs!P185</f>
        <v>0.43948041534999999</v>
      </c>
      <c r="Q175" s="159">
        <f>Inputs!Q182+Inputs!Q183+Inputs!Q184+Inputs!Q185</f>
        <v>0.43948041534999999</v>
      </c>
      <c r="R175" s="159">
        <f>Inputs!R182+Inputs!R183+Inputs!R184+Inputs!R185</f>
        <v>0.43948041534999999</v>
      </c>
      <c r="S175" s="159">
        <f>Inputs!S182+Inputs!S183+Inputs!S184+Inputs!S185</f>
        <v>0.43948041534999999</v>
      </c>
      <c r="T175" s="159">
        <f>Inputs!T182+Inputs!T183+Inputs!T184+Inputs!T185</f>
        <v>0.43948041534999999</v>
      </c>
    </row>
    <row r="176" spans="2:20" x14ac:dyDescent="0.25">
      <c r="B176" s="154" t="s">
        <v>2447</v>
      </c>
    </row>
    <row r="177" spans="2:20" x14ac:dyDescent="0.25">
      <c r="B177" s="23" t="s">
        <v>2448</v>
      </c>
      <c r="C177" s="28" t="s">
        <v>493</v>
      </c>
      <c r="H177" s="159">
        <f>'Cost Calculation'!H29+'Cost Calculation'!H36</f>
        <v>41.740782175912301</v>
      </c>
      <c r="I177" s="159">
        <f>'Cost Calculation'!I29+'Cost Calculation'!I36</f>
        <v>41.746256305782097</v>
      </c>
      <c r="J177" s="159">
        <f>'Cost Calculation'!J29+'Cost Calculation'!J36</f>
        <v>42.751839918249296</v>
      </c>
      <c r="K177" s="159">
        <f>'Cost Calculation'!K29+'Cost Calculation'!K36</f>
        <v>42.757535202965833</v>
      </c>
      <c r="L177" s="159">
        <f>'Cost Calculation'!L29+'Cost Calculation'!L36</f>
        <v>42.763344393376705</v>
      </c>
      <c r="M177" s="159">
        <f>'Cost Calculation'!M29+'Cost Calculation'!M36</f>
        <v>43.769269767595794</v>
      </c>
      <c r="N177" s="159">
        <f>'Cost Calculation'!N29+'Cost Calculation'!N36</f>
        <v>43.775313649299264</v>
      </c>
      <c r="O177" s="159">
        <f>'Cost Calculation'!O29+'Cost Calculation'!O36</f>
        <v>43.781478408636801</v>
      </c>
      <c r="P177" s="159">
        <f>'Cost Calculation'!P29+'Cost Calculation'!P36</f>
        <v>44.787766463161091</v>
      </c>
      <c r="Q177" s="159">
        <f>'Cost Calculation'!Q29+'Cost Calculation'!Q36</f>
        <v>44.794180278775869</v>
      </c>
      <c r="R177" s="159">
        <f>'Cost Calculation'!R29+'Cost Calculation'!R36</f>
        <v>44.800722370702942</v>
      </c>
      <c r="S177" s="159">
        <f>'Cost Calculation'!S29+'Cost Calculation'!S36</f>
        <v>44.80739530446855</v>
      </c>
      <c r="T177" s="159">
        <f>'Cost Calculation'!T29+'Cost Calculation'!T36</f>
        <v>44.814201696909478</v>
      </c>
    </row>
    <row r="178" spans="2:20" ht="26.25" customHeight="1" x14ac:dyDescent="0.25">
      <c r="B178" s="133" t="s">
        <v>2449</v>
      </c>
      <c r="C178" s="28" t="s">
        <v>493</v>
      </c>
      <c r="H178" s="160">
        <f>IF(Inputs!$E$743=1,MIN(H177,MAX(0,G179)),H177)</f>
        <v>41.740782175912301</v>
      </c>
      <c r="I178" s="160">
        <f>IF(Inputs!$E$743=1,MIN(I177,MAX(0,H179)),I177)</f>
        <v>41.746256305782097</v>
      </c>
      <c r="J178" s="160">
        <f>IF(Inputs!$E$743=1,MIN(J177,MAX(0,I179)),J177)</f>
        <v>42.751839918249296</v>
      </c>
      <c r="K178" s="160">
        <f>IF(Inputs!$E$743=1,MIN(K177,MAX(0,J179)),K177)</f>
        <v>42.757535202965833</v>
      </c>
      <c r="L178" s="160">
        <f>IF(Inputs!$E$743=1,MIN(L177,MAX(0,K179)),L177)</f>
        <v>42.763344393376705</v>
      </c>
      <c r="M178" s="160">
        <f>IF(Inputs!$E$743=1,MIN(M177,MAX(0,L179)),M177)</f>
        <v>43.769269767595794</v>
      </c>
      <c r="N178" s="160">
        <f>IF(Inputs!$E$743=1,MIN(N177,MAX(0,M179)),N177)</f>
        <v>43.775313649299264</v>
      </c>
      <c r="O178" s="160">
        <f>IF(Inputs!$E$743=1,MIN(O177,MAX(0,N179)),O177)</f>
        <v>43.781478408636801</v>
      </c>
      <c r="P178" s="160">
        <f>IF(Inputs!$E$743=1,MIN(P177,MAX(0,O179)),P177)</f>
        <v>44.787766463161091</v>
      </c>
      <c r="Q178" s="160">
        <f>IF(Inputs!$E$743=1,MIN(Q177,MAX(0,P179)),Q177)</f>
        <v>44.794180278775869</v>
      </c>
      <c r="R178" s="160">
        <f>IF(Inputs!$E$743=1,MIN(R177,MAX(0,Q179)),R177)</f>
        <v>44.800722370702942</v>
      </c>
      <c r="S178" s="160">
        <f>IF(Inputs!$E$743=1,MIN(S177,MAX(0,R179)),S177)</f>
        <v>44.80739530446855</v>
      </c>
      <c r="T178" s="160">
        <f>IF(Inputs!$E$743=1,MIN(T177,MAX(0,S179)),T177)</f>
        <v>44.814201696909478</v>
      </c>
    </row>
    <row r="179" spans="2:20" ht="26.25" customHeight="1" x14ac:dyDescent="0.25">
      <c r="B179" s="64" t="s">
        <v>2450</v>
      </c>
      <c r="C179" s="28" t="s">
        <v>493</v>
      </c>
      <c r="G179" s="29">
        <f>'Source Data'!$E$814</f>
        <v>327.325840159427</v>
      </c>
      <c r="H179" s="159">
        <f t="shared" ref="H179:T179" si="24">G179-H178</f>
        <v>285.58505798351473</v>
      </c>
      <c r="I179" s="159">
        <f t="shared" si="24"/>
        <v>243.83880167773265</v>
      </c>
      <c r="J179" s="159">
        <f t="shared" si="24"/>
        <v>201.08696175948336</v>
      </c>
      <c r="K179" s="159">
        <f t="shared" si="24"/>
        <v>158.32942655651752</v>
      </c>
      <c r="L179" s="159">
        <f t="shared" si="24"/>
        <v>115.56608216314081</v>
      </c>
      <c r="M179" s="159">
        <f t="shared" si="24"/>
        <v>71.796812395545004</v>
      </c>
      <c r="N179" s="159">
        <f t="shared" si="24"/>
        <v>28.02149874624574</v>
      </c>
      <c r="O179" s="159">
        <f t="shared" si="24"/>
        <v>-15.759979662391061</v>
      </c>
      <c r="P179" s="159">
        <f t="shared" si="24"/>
        <v>-60.547746125552152</v>
      </c>
      <c r="Q179" s="159">
        <f t="shared" si="24"/>
        <v>-105.34192640432802</v>
      </c>
      <c r="R179" s="159">
        <f t="shared" si="24"/>
        <v>-150.14264877503098</v>
      </c>
      <c r="S179" s="159">
        <f t="shared" si="24"/>
        <v>-194.95004407949952</v>
      </c>
      <c r="T179" s="159">
        <f t="shared" si="24"/>
        <v>-239.76424577640898</v>
      </c>
    </row>
    <row r="180" spans="2:20" x14ac:dyDescent="0.25">
      <c r="B180" s="154" t="s">
        <v>2451</v>
      </c>
    </row>
    <row r="181" spans="2:20" x14ac:dyDescent="0.25">
      <c r="B181" s="23" t="s">
        <v>2448</v>
      </c>
      <c r="C181" s="28" t="s">
        <v>493</v>
      </c>
      <c r="H181" s="159">
        <f>'Cost Calculation'!H60+'Cost Calculation'!H67</f>
        <v>40.958825604243003</v>
      </c>
      <c r="I181" s="159">
        <f>'Cost Calculation'!I60+'Cost Calculation'!I67</f>
        <v>40.961418579151264</v>
      </c>
      <c r="J181" s="159">
        <f>'Cost Calculation'!J60+'Cost Calculation'!J67</f>
        <v>41.964063413557689</v>
      </c>
      <c r="K181" s="159">
        <f>'Cost Calculation'!K60+'Cost Calculation'!K67</f>
        <v>41.966761144652239</v>
      </c>
      <c r="L181" s="159">
        <f>'Cost Calculation'!L60+'Cost Calculation'!L67</f>
        <v>41.969512830368686</v>
      </c>
      <c r="M181" s="159">
        <f>'Cost Calculation'!M60+'Cost Calculation'!M67</f>
        <v>42.972319549799458</v>
      </c>
      <c r="N181" s="159">
        <f>'Cost Calculation'!N60+'Cost Calculation'!N67</f>
        <v>42.975182403618852</v>
      </c>
      <c r="O181" s="159">
        <f>'Cost Calculation'!O60+'Cost Calculation'!O67</f>
        <v>42.978102514514624</v>
      </c>
      <c r="P181" s="159">
        <f>'Cost Calculation'!P60+'Cost Calculation'!P67</f>
        <v>43.981081027628321</v>
      </c>
      <c r="Q181" s="159">
        <f>'Cost Calculation'!Q60+'Cost Calculation'!Q67</f>
        <v>43.984119111004283</v>
      </c>
      <c r="R181" s="159">
        <f>'Cost Calculation'!R60+'Cost Calculation'!R67</f>
        <v>43.987217956047772</v>
      </c>
      <c r="S181" s="159">
        <f>'Cost Calculation'!S60+'Cost Calculation'!S67</f>
        <v>43.990378777992127</v>
      </c>
      <c r="T181" s="159">
        <f>'Cost Calculation'!T60+'Cost Calculation'!T67</f>
        <v>43.993602816375372</v>
      </c>
    </row>
    <row r="182" spans="2:20" ht="26.25" customHeight="1" x14ac:dyDescent="0.25">
      <c r="B182" s="133" t="s">
        <v>2449</v>
      </c>
      <c r="C182" s="28" t="s">
        <v>493</v>
      </c>
      <c r="H182" s="160">
        <f>IF(Inputs!$E$743=1,MIN(H181,MAX(0,G183)),H181)</f>
        <v>40.958825604243003</v>
      </c>
      <c r="I182" s="160">
        <f>IF(Inputs!$E$743=1,MIN(I181,MAX(0,H183)),I181)</f>
        <v>40.961418579151264</v>
      </c>
      <c r="J182" s="160">
        <f>IF(Inputs!$E$743=1,MIN(J181,MAX(0,I183)),J181)</f>
        <v>41.964063413557689</v>
      </c>
      <c r="K182" s="160">
        <f>IF(Inputs!$E$743=1,MIN(K181,MAX(0,J183)),K181)</f>
        <v>41.966761144652239</v>
      </c>
      <c r="L182" s="160">
        <f>IF(Inputs!$E$743=1,MIN(L181,MAX(0,K183)),L181)</f>
        <v>41.969512830368686</v>
      </c>
      <c r="M182" s="160">
        <f>IF(Inputs!$E$743=1,MIN(M181,MAX(0,L183)),M181)</f>
        <v>42.972319549799458</v>
      </c>
      <c r="N182" s="160">
        <f>IF(Inputs!$E$743=1,MIN(N181,MAX(0,M183)),N181)</f>
        <v>42.975182403618852</v>
      </c>
      <c r="O182" s="160">
        <f>IF(Inputs!$E$743=1,MIN(O181,MAX(0,N183)),O181)</f>
        <v>42.978102514514624</v>
      </c>
      <c r="P182" s="160">
        <f>IF(Inputs!$E$743=1,MIN(P181,MAX(0,O183)),P181)</f>
        <v>43.981081027628321</v>
      </c>
      <c r="Q182" s="160">
        <f>IF(Inputs!$E$743=1,MIN(Q181,MAX(0,P183)),Q181)</f>
        <v>43.984119111004283</v>
      </c>
      <c r="R182" s="160">
        <f>IF(Inputs!$E$743=1,MIN(R181,MAX(0,Q183)),R181)</f>
        <v>43.987217956047772</v>
      </c>
      <c r="S182" s="160">
        <f>IF(Inputs!$E$743=1,MIN(S181,MAX(0,R183)),S181)</f>
        <v>43.990378777992127</v>
      </c>
      <c r="T182" s="160">
        <f>IF(Inputs!$E$743=1,MIN(T181,MAX(0,S183)),T181)</f>
        <v>43.993602816375372</v>
      </c>
    </row>
    <row r="183" spans="2:20" ht="26.25" customHeight="1" x14ac:dyDescent="0.25">
      <c r="B183" s="64" t="s">
        <v>2450</v>
      </c>
      <c r="C183" s="28" t="s">
        <v>493</v>
      </c>
      <c r="G183" s="29">
        <f>'Source Data'!$E$815</f>
        <v>494.44284118395001</v>
      </c>
      <c r="H183" s="159">
        <f t="shared" ref="H183:T183" si="25">G183-H182</f>
        <v>453.48401557970703</v>
      </c>
      <c r="I183" s="159">
        <f t="shared" si="25"/>
        <v>412.52259700055578</v>
      </c>
      <c r="J183" s="159">
        <f t="shared" si="25"/>
        <v>370.55853358699807</v>
      </c>
      <c r="K183" s="159">
        <f t="shared" si="25"/>
        <v>328.59177244234581</v>
      </c>
      <c r="L183" s="159">
        <f t="shared" si="25"/>
        <v>286.62225961197714</v>
      </c>
      <c r="M183" s="159">
        <f t="shared" si="25"/>
        <v>243.64994006217768</v>
      </c>
      <c r="N183" s="159">
        <f t="shared" si="25"/>
        <v>200.67475765855883</v>
      </c>
      <c r="O183" s="159">
        <f t="shared" si="25"/>
        <v>157.6966551440442</v>
      </c>
      <c r="P183" s="159">
        <f t="shared" si="25"/>
        <v>113.71557411641588</v>
      </c>
      <c r="Q183" s="159">
        <f t="shared" si="25"/>
        <v>69.73145500541159</v>
      </c>
      <c r="R183" s="159">
        <f t="shared" si="25"/>
        <v>25.744237049363818</v>
      </c>
      <c r="S183" s="159">
        <f t="shared" si="25"/>
        <v>-18.246141728628309</v>
      </c>
      <c r="T183" s="159">
        <f t="shared" si="25"/>
        <v>-62.239744545003681</v>
      </c>
    </row>
    <row r="184" spans="2:20" x14ac:dyDescent="0.25">
      <c r="B184" s="154" t="s">
        <v>2452</v>
      </c>
    </row>
    <row r="185" spans="2:20" x14ac:dyDescent="0.25">
      <c r="B185" s="23" t="s">
        <v>2448</v>
      </c>
      <c r="C185" s="28" t="s">
        <v>493</v>
      </c>
      <c r="H185" s="29">
        <f>Inputs!H126</f>
        <v>5.2339742134299998</v>
      </c>
      <c r="I185" s="29">
        <f>Inputs!I126</f>
        <v>5.2339742134299998</v>
      </c>
      <c r="J185" s="29">
        <f>Inputs!J126</f>
        <v>2.6169871067149999</v>
      </c>
      <c r="K185" s="29">
        <f>Inputs!K126</f>
        <v>0</v>
      </c>
      <c r="L185" s="29">
        <f>Inputs!L126</f>
        <v>0</v>
      </c>
      <c r="M185" s="29">
        <f>Inputs!M126</f>
        <v>0</v>
      </c>
      <c r="N185" s="29">
        <f>Inputs!N126</f>
        <v>0</v>
      </c>
      <c r="O185" s="29">
        <f>Inputs!O126</f>
        <v>0</v>
      </c>
      <c r="P185" s="29">
        <f>Inputs!P126</f>
        <v>0</v>
      </c>
      <c r="Q185" s="29">
        <f>Inputs!Q126</f>
        <v>0</v>
      </c>
      <c r="R185" s="29">
        <f>Inputs!R126</f>
        <v>0</v>
      </c>
      <c r="S185" s="29">
        <f>Inputs!S126</f>
        <v>0</v>
      </c>
      <c r="T185" s="29">
        <f>Inputs!T126</f>
        <v>0</v>
      </c>
    </row>
    <row r="186" spans="2:20" ht="26.25" customHeight="1" x14ac:dyDescent="0.25">
      <c r="B186" s="133" t="s">
        <v>2449</v>
      </c>
      <c r="C186" s="28" t="s">
        <v>493</v>
      </c>
      <c r="H186" s="160">
        <f>IF(Inputs!$E$743=1,MIN(H185,MAX(0,G187)),H185)</f>
        <v>5.2339742134299998</v>
      </c>
      <c r="I186" s="160">
        <f>IF(Inputs!$E$743=1,MIN(I185,MAX(0,H187)),I185)</f>
        <v>5.2339742134299998</v>
      </c>
      <c r="J186" s="160">
        <f>IF(Inputs!$E$743=1,MIN(J185,MAX(0,I187)),J185)</f>
        <v>2.6169871067149999</v>
      </c>
      <c r="K186" s="160">
        <f>IF(Inputs!$E$743=1,MIN(K185,MAX(0,J187)),K185)</f>
        <v>0</v>
      </c>
      <c r="L186" s="160">
        <f>IF(Inputs!$E$743=1,MIN(L185,MAX(0,K187)),L185)</f>
        <v>0</v>
      </c>
      <c r="M186" s="160">
        <f>IF(Inputs!$E$743=1,MIN(M185,MAX(0,L187)),M185)</f>
        <v>0</v>
      </c>
      <c r="N186" s="160">
        <f>IF(Inputs!$E$743=1,MIN(N185,MAX(0,M187)),N185)</f>
        <v>0</v>
      </c>
      <c r="O186" s="160">
        <f>IF(Inputs!$E$743=1,MIN(O185,MAX(0,N187)),O185)</f>
        <v>0</v>
      </c>
      <c r="P186" s="160">
        <f>IF(Inputs!$E$743=1,MIN(P185,MAX(0,O187)),P185)</f>
        <v>0</v>
      </c>
      <c r="Q186" s="160">
        <f>IF(Inputs!$E$743=1,MIN(Q185,MAX(0,P187)),Q185)</f>
        <v>0</v>
      </c>
      <c r="R186" s="160">
        <f>IF(Inputs!$E$743=1,MIN(R185,MAX(0,Q187)),R185)</f>
        <v>0</v>
      </c>
      <c r="S186" s="160">
        <f>IF(Inputs!$E$743=1,MIN(S185,MAX(0,R187)),S185)</f>
        <v>0</v>
      </c>
      <c r="T186" s="160">
        <f>IF(Inputs!$E$743=1,MIN(T185,MAX(0,S187)),T185)</f>
        <v>0</v>
      </c>
    </row>
    <row r="187" spans="2:20" ht="26.25" customHeight="1" x14ac:dyDescent="0.25">
      <c r="B187" s="64" t="s">
        <v>2450</v>
      </c>
      <c r="C187" s="28" t="s">
        <v>493</v>
      </c>
      <c r="G187" s="29">
        <f>'Source Data'!$E$816</f>
        <v>3.04885373796</v>
      </c>
      <c r="H187" s="159">
        <f t="shared" ref="H187:T187" si="26">G187-H186</f>
        <v>-2.1851204754699998</v>
      </c>
      <c r="I187" s="159">
        <f t="shared" si="26"/>
        <v>-7.4190946888999996</v>
      </c>
      <c r="J187" s="159">
        <f t="shared" si="26"/>
        <v>-10.036081795614999</v>
      </c>
      <c r="K187" s="159">
        <f t="shared" si="26"/>
        <v>-10.036081795614999</v>
      </c>
      <c r="L187" s="159">
        <f t="shared" si="26"/>
        <v>-10.036081795614999</v>
      </c>
      <c r="M187" s="159">
        <f t="shared" si="26"/>
        <v>-10.036081795614999</v>
      </c>
      <c r="N187" s="159">
        <f t="shared" si="26"/>
        <v>-10.036081795614999</v>
      </c>
      <c r="O187" s="159">
        <f t="shared" si="26"/>
        <v>-10.036081795614999</v>
      </c>
      <c r="P187" s="159">
        <f t="shared" si="26"/>
        <v>-10.036081795614999</v>
      </c>
      <c r="Q187" s="159">
        <f t="shared" si="26"/>
        <v>-10.036081795614999</v>
      </c>
      <c r="R187" s="159">
        <f t="shared" si="26"/>
        <v>-10.036081795614999</v>
      </c>
      <c r="S187" s="159">
        <f t="shared" si="26"/>
        <v>-10.036081795614999</v>
      </c>
      <c r="T187" s="159">
        <f t="shared" si="26"/>
        <v>-10.036081795614999</v>
      </c>
    </row>
    <row r="188" spans="2:20" x14ac:dyDescent="0.25">
      <c r="B188" s="154" t="s">
        <v>2453</v>
      </c>
    </row>
    <row r="189" spans="2:20" x14ac:dyDescent="0.25">
      <c r="B189" s="23" t="s">
        <v>2448</v>
      </c>
      <c r="C189" s="28" t="s">
        <v>493</v>
      </c>
      <c r="H189" s="159">
        <f t="shared" ref="H189:T189" si="27">H175</f>
        <v>0.43948041534999999</v>
      </c>
      <c r="I189" s="159">
        <f t="shared" si="27"/>
        <v>0.43948041534999999</v>
      </c>
      <c r="J189" s="159">
        <f t="shared" si="27"/>
        <v>0.43948041534999999</v>
      </c>
      <c r="K189" s="159">
        <f t="shared" si="27"/>
        <v>0.43948041534999999</v>
      </c>
      <c r="L189" s="159">
        <f t="shared" si="27"/>
        <v>0.43948041534999999</v>
      </c>
      <c r="M189" s="159">
        <f t="shared" si="27"/>
        <v>0.43948041534999999</v>
      </c>
      <c r="N189" s="159">
        <f t="shared" si="27"/>
        <v>0.43948041534999999</v>
      </c>
      <c r="O189" s="159">
        <f t="shared" si="27"/>
        <v>0.43948041534999999</v>
      </c>
      <c r="P189" s="159">
        <f t="shared" si="27"/>
        <v>0.43948041534999999</v>
      </c>
      <c r="Q189" s="159">
        <f t="shared" si="27"/>
        <v>0.43948041534999999</v>
      </c>
      <c r="R189" s="159">
        <f t="shared" si="27"/>
        <v>0.43948041534999999</v>
      </c>
      <c r="S189" s="159">
        <f t="shared" si="27"/>
        <v>0.43948041534999999</v>
      </c>
      <c r="T189" s="159">
        <f t="shared" si="27"/>
        <v>0.43948041534999999</v>
      </c>
    </row>
    <row r="190" spans="2:20" ht="26.25" customHeight="1" x14ac:dyDescent="0.25">
      <c r="B190" s="133" t="s">
        <v>2449</v>
      </c>
      <c r="C190" s="28" t="s">
        <v>493</v>
      </c>
      <c r="H190" s="160">
        <f>IF(Inputs!$E$743=1,MIN(H189,MAX(0,G191)),H189)</f>
        <v>0.43948041534999999</v>
      </c>
      <c r="I190" s="160">
        <f>IF(Inputs!$E$743=1,MIN(I189,MAX(0,H191)),I189)</f>
        <v>0.43948041534999999</v>
      </c>
      <c r="J190" s="160">
        <f>IF(Inputs!$E$743=1,MIN(J189,MAX(0,I191)),J189)</f>
        <v>0.43948041534999999</v>
      </c>
      <c r="K190" s="160">
        <f>IF(Inputs!$E$743=1,MIN(K189,MAX(0,J191)),K189)</f>
        <v>0.43948041534999999</v>
      </c>
      <c r="L190" s="160">
        <f>IF(Inputs!$E$743=1,MIN(L189,MAX(0,K191)),L189)</f>
        <v>0.43948041534999999</v>
      </c>
      <c r="M190" s="160">
        <f>IF(Inputs!$E$743=1,MIN(M189,MAX(0,L191)),M189)</f>
        <v>0.43948041534999999</v>
      </c>
      <c r="N190" s="160">
        <f>IF(Inputs!$E$743=1,MIN(N189,MAX(0,M191)),N189)</f>
        <v>0.43948041534999999</v>
      </c>
      <c r="O190" s="160">
        <f>IF(Inputs!$E$743=1,MIN(O189,MAX(0,N191)),O189)</f>
        <v>0.43948041534999999</v>
      </c>
      <c r="P190" s="160">
        <f>IF(Inputs!$E$743=1,MIN(P189,MAX(0,O191)),P189)</f>
        <v>0.43948041534999999</v>
      </c>
      <c r="Q190" s="160">
        <f>IF(Inputs!$E$743=1,MIN(Q189,MAX(0,P191)),Q189)</f>
        <v>0.43948041534999999</v>
      </c>
      <c r="R190" s="160">
        <f>IF(Inputs!$E$743=1,MIN(R189,MAX(0,Q191)),R189)</f>
        <v>0.43948041534999999</v>
      </c>
      <c r="S190" s="160">
        <f>IF(Inputs!$E$743=1,MIN(S189,MAX(0,R191)),S189)</f>
        <v>0.43948041534999999</v>
      </c>
      <c r="T190" s="160">
        <f>IF(Inputs!$E$743=1,MIN(T189,MAX(0,S191)),T189)</f>
        <v>0.43948041534999999</v>
      </c>
    </row>
    <row r="191" spans="2:20" ht="26.25" customHeight="1" x14ac:dyDescent="0.25">
      <c r="B191" s="64" t="s">
        <v>2450</v>
      </c>
      <c r="C191" s="28" t="s">
        <v>493</v>
      </c>
      <c r="G191" s="29">
        <f>'Source Data'!$E$817</f>
        <v>1.20478385166</v>
      </c>
      <c r="H191" s="159">
        <f t="shared" ref="H191:T191" si="28">G191-H190</f>
        <v>0.76530343630999997</v>
      </c>
      <c r="I191" s="159">
        <f t="shared" si="28"/>
        <v>0.32582302095999999</v>
      </c>
      <c r="J191" s="159">
        <f t="shared" si="28"/>
        <v>-0.11365739439</v>
      </c>
      <c r="K191" s="159">
        <f t="shared" si="28"/>
        <v>-0.55313780973999993</v>
      </c>
      <c r="L191" s="159">
        <f t="shared" si="28"/>
        <v>-0.99261822508999997</v>
      </c>
      <c r="M191" s="159">
        <f t="shared" si="28"/>
        <v>-1.43209864044</v>
      </c>
      <c r="N191" s="159">
        <f t="shared" si="28"/>
        <v>-1.8715790557900001</v>
      </c>
      <c r="O191" s="159">
        <f t="shared" si="28"/>
        <v>-2.3110594711400001</v>
      </c>
      <c r="P191" s="159">
        <f t="shared" si="28"/>
        <v>-2.7505398864899999</v>
      </c>
      <c r="Q191" s="159">
        <f t="shared" si="28"/>
        <v>-3.1900203018399997</v>
      </c>
      <c r="R191" s="159">
        <f t="shared" si="28"/>
        <v>-3.6295007171899996</v>
      </c>
      <c r="S191" s="159">
        <f t="shared" si="28"/>
        <v>-4.0689811325399994</v>
      </c>
      <c r="T191" s="159">
        <f t="shared" si="28"/>
        <v>-4.5084615478899996</v>
      </c>
    </row>
    <row r="193" spans="2:20" x14ac:dyDescent="0.25">
      <c r="B193" s="58" t="s">
        <v>2454</v>
      </c>
      <c r="C193" s="19"/>
      <c r="D193" s="19"/>
      <c r="E193" s="19"/>
      <c r="F193" s="19"/>
      <c r="G193" s="19"/>
      <c r="H193" s="19"/>
      <c r="I193" s="19"/>
      <c r="J193" s="19"/>
      <c r="K193" s="19"/>
      <c r="L193" s="19"/>
      <c r="M193" s="19"/>
      <c r="N193" s="19"/>
      <c r="O193" s="19"/>
      <c r="P193" s="19"/>
      <c r="Q193" s="19"/>
      <c r="R193" s="19"/>
      <c r="S193" s="19"/>
      <c r="T193" s="19"/>
    </row>
    <row r="194" spans="2:20" x14ac:dyDescent="0.25">
      <c r="B194" s="23" t="s">
        <v>2455</v>
      </c>
      <c r="C194" s="28" t="s">
        <v>493</v>
      </c>
      <c r="H194" s="159">
        <f>Inputs!H479*'Revenue Calculation'!H41</f>
        <v>0</v>
      </c>
      <c r="I194" s="159">
        <f>Inputs!I479*'Revenue Calculation'!I41</f>
        <v>0</v>
      </c>
      <c r="J194" s="159">
        <f>Inputs!J479*'Revenue Calculation'!J41</f>
        <v>0</v>
      </c>
      <c r="K194" s="159">
        <f>Inputs!K479*'Revenue Calculation'!K41</f>
        <v>0</v>
      </c>
      <c r="L194" s="159">
        <f>Inputs!L479*'Revenue Calculation'!L41</f>
        <v>0</v>
      </c>
      <c r="M194" s="159">
        <f>Inputs!M479*'Revenue Calculation'!M41</f>
        <v>0</v>
      </c>
      <c r="N194" s="159">
        <f>Inputs!N479*'Revenue Calculation'!N41</f>
        <v>0</v>
      </c>
      <c r="O194" s="159">
        <f>Inputs!O479*'Revenue Calculation'!O41</f>
        <v>0</v>
      </c>
      <c r="P194" s="159">
        <f>Inputs!P479*'Revenue Calculation'!P41</f>
        <v>0</v>
      </c>
      <c r="Q194" s="159">
        <f>Inputs!Q479*'Revenue Calculation'!Q41</f>
        <v>0</v>
      </c>
      <c r="R194" s="159">
        <f>Inputs!R479*'Revenue Calculation'!R41</f>
        <v>0</v>
      </c>
      <c r="S194" s="159">
        <f>Inputs!S479*'Revenue Calculation'!S41</f>
        <v>0</v>
      </c>
      <c r="T194" s="159">
        <f>Inputs!T479*'Revenue Calculation'!T41</f>
        <v>0</v>
      </c>
    </row>
    <row r="195" spans="2:20" x14ac:dyDescent="0.25">
      <c r="B195" s="23" t="s">
        <v>2456</v>
      </c>
      <c r="C195" s="28" t="s">
        <v>493</v>
      </c>
      <c r="H195" s="159">
        <f>Inputs!H479*'Revenue Calculation'!H47</f>
        <v>0</v>
      </c>
      <c r="I195" s="159">
        <f>Inputs!I479*'Revenue Calculation'!I47</f>
        <v>0</v>
      </c>
      <c r="J195" s="159">
        <f>Inputs!J479*'Revenue Calculation'!J47</f>
        <v>0</v>
      </c>
      <c r="K195" s="159">
        <f>Inputs!K479*'Revenue Calculation'!K47</f>
        <v>0</v>
      </c>
      <c r="L195" s="159">
        <f>Inputs!L479*'Revenue Calculation'!L47</f>
        <v>0</v>
      </c>
      <c r="M195" s="159">
        <f>Inputs!M479*'Revenue Calculation'!M47</f>
        <v>0</v>
      </c>
      <c r="N195" s="159">
        <f>Inputs!N479*'Revenue Calculation'!N47</f>
        <v>0</v>
      </c>
      <c r="O195" s="159">
        <f>Inputs!O479*'Revenue Calculation'!O47</f>
        <v>0</v>
      </c>
      <c r="P195" s="159">
        <f>Inputs!P479*'Revenue Calculation'!P47</f>
        <v>0</v>
      </c>
      <c r="Q195" s="159">
        <f>Inputs!Q479*'Revenue Calculation'!Q47</f>
        <v>0</v>
      </c>
      <c r="R195" s="159">
        <f>Inputs!R479*'Revenue Calculation'!R47</f>
        <v>0</v>
      </c>
      <c r="S195" s="159">
        <f>Inputs!S479*'Revenue Calculation'!S47</f>
        <v>0</v>
      </c>
      <c r="T195" s="159">
        <f>Inputs!T479*'Revenue Calculation'!T47</f>
        <v>0</v>
      </c>
    </row>
    <row r="196" spans="2:20" x14ac:dyDescent="0.25">
      <c r="B196" s="23" t="s">
        <v>2457</v>
      </c>
      <c r="C196" s="28" t="s">
        <v>493</v>
      </c>
      <c r="H196" s="159">
        <f>Inputs!H479*'Revenue Calculation'!H53</f>
        <v>0</v>
      </c>
      <c r="I196" s="159">
        <f>Inputs!I479*'Revenue Calculation'!I53</f>
        <v>0</v>
      </c>
      <c r="J196" s="159">
        <f>Inputs!J479*'Revenue Calculation'!J53</f>
        <v>0</v>
      </c>
      <c r="K196" s="159">
        <f>Inputs!K479*'Revenue Calculation'!K53</f>
        <v>0</v>
      </c>
      <c r="L196" s="159">
        <f>Inputs!L479*'Revenue Calculation'!L53</f>
        <v>0</v>
      </c>
      <c r="M196" s="159">
        <f>Inputs!M479*'Revenue Calculation'!M53</f>
        <v>0</v>
      </c>
      <c r="N196" s="159">
        <f>Inputs!N479*'Revenue Calculation'!N53</f>
        <v>0</v>
      </c>
      <c r="O196" s="159">
        <f>Inputs!O479*'Revenue Calculation'!O53</f>
        <v>0</v>
      </c>
      <c r="P196" s="159">
        <f>Inputs!P479*'Revenue Calculation'!P53</f>
        <v>0</v>
      </c>
      <c r="Q196" s="159">
        <f>Inputs!Q479*'Revenue Calculation'!Q53</f>
        <v>0</v>
      </c>
      <c r="R196" s="159">
        <f>Inputs!R479*'Revenue Calculation'!R53</f>
        <v>0</v>
      </c>
      <c r="S196" s="159">
        <f>Inputs!S479*'Revenue Calculation'!S53</f>
        <v>0</v>
      </c>
      <c r="T196" s="159">
        <f>Inputs!T479*'Revenue Calculation'!T53</f>
        <v>0</v>
      </c>
    </row>
    <row r="197" spans="2:20" x14ac:dyDescent="0.25">
      <c r="B197" s="23" t="s">
        <v>2458</v>
      </c>
      <c r="C197" s="28" t="s">
        <v>493</v>
      </c>
      <c r="H197" s="159">
        <f>Inputs!H479*'Revenue Calculation'!H92</f>
        <v>0</v>
      </c>
      <c r="I197" s="159">
        <f>Inputs!I479*'Revenue Calculation'!I92</f>
        <v>0</v>
      </c>
      <c r="J197" s="159">
        <f>Inputs!J479*'Revenue Calculation'!J92</f>
        <v>0</v>
      </c>
      <c r="K197" s="159">
        <f>Inputs!K479*'Revenue Calculation'!K92</f>
        <v>0</v>
      </c>
      <c r="L197" s="159">
        <f>Inputs!L479*'Revenue Calculation'!L92</f>
        <v>0</v>
      </c>
      <c r="M197" s="159">
        <f>Inputs!M479*'Revenue Calculation'!M92</f>
        <v>0</v>
      </c>
      <c r="N197" s="159">
        <f>Inputs!N479*'Revenue Calculation'!N92</f>
        <v>0</v>
      </c>
      <c r="O197" s="159">
        <f>Inputs!O479*'Revenue Calculation'!O92</f>
        <v>0</v>
      </c>
      <c r="P197" s="159">
        <f>Inputs!P479*'Revenue Calculation'!P92</f>
        <v>0</v>
      </c>
      <c r="Q197" s="159">
        <f>Inputs!Q479*'Revenue Calculation'!Q92</f>
        <v>0</v>
      </c>
      <c r="R197" s="159">
        <f>Inputs!R479*'Revenue Calculation'!R92</f>
        <v>0</v>
      </c>
      <c r="S197" s="159">
        <f>Inputs!S479*'Revenue Calculation'!S92</f>
        <v>0</v>
      </c>
      <c r="T197" s="159">
        <f>Inputs!T479*'Revenue Calculation'!T92</f>
        <v>0</v>
      </c>
    </row>
    <row r="198" spans="2:20" x14ac:dyDescent="0.25">
      <c r="B198" s="23" t="s">
        <v>2459</v>
      </c>
      <c r="C198" s="28" t="s">
        <v>493</v>
      </c>
      <c r="H198" s="159">
        <f>Inputs!H479*'Revenue Calculation'!H99</f>
        <v>0</v>
      </c>
      <c r="I198" s="159">
        <f>Inputs!I479*'Revenue Calculation'!I99</f>
        <v>0</v>
      </c>
      <c r="J198" s="159">
        <f>Inputs!J479*'Revenue Calculation'!J99</f>
        <v>0</v>
      </c>
      <c r="K198" s="159">
        <f>Inputs!K479*'Revenue Calculation'!K99</f>
        <v>0</v>
      </c>
      <c r="L198" s="159">
        <f>Inputs!L479*'Revenue Calculation'!L99</f>
        <v>0</v>
      </c>
      <c r="M198" s="159">
        <f>Inputs!M479*'Revenue Calculation'!M99</f>
        <v>0</v>
      </c>
      <c r="N198" s="159">
        <f>Inputs!N479*'Revenue Calculation'!N99</f>
        <v>0</v>
      </c>
      <c r="O198" s="159">
        <f>Inputs!O479*'Revenue Calculation'!O99</f>
        <v>0</v>
      </c>
      <c r="P198" s="159">
        <f>Inputs!P479*'Revenue Calculation'!P99</f>
        <v>0</v>
      </c>
      <c r="Q198" s="159">
        <f>Inputs!Q479*'Revenue Calculation'!Q99</f>
        <v>0</v>
      </c>
      <c r="R198" s="159">
        <f>Inputs!R479*'Revenue Calculation'!R99</f>
        <v>0</v>
      </c>
      <c r="S198" s="159">
        <f>Inputs!S479*'Revenue Calculation'!S99</f>
        <v>0</v>
      </c>
      <c r="T198" s="159">
        <f>Inputs!T479*'Revenue Calculation'!T99</f>
        <v>0</v>
      </c>
    </row>
    <row r="199" spans="2:20" x14ac:dyDescent="0.25">
      <c r="B199" s="23" t="s">
        <v>2460</v>
      </c>
      <c r="C199" s="28" t="s">
        <v>493</v>
      </c>
      <c r="H199" s="159">
        <f>Inputs!H479*'Revenue Calculation'!H104</f>
        <v>0</v>
      </c>
      <c r="I199" s="159">
        <f>Inputs!I479*'Revenue Calculation'!I104</f>
        <v>0</v>
      </c>
      <c r="J199" s="159">
        <f>Inputs!J479*'Revenue Calculation'!J104</f>
        <v>0</v>
      </c>
      <c r="K199" s="159">
        <f>Inputs!K479*'Revenue Calculation'!K104</f>
        <v>0</v>
      </c>
      <c r="L199" s="159">
        <f>Inputs!L479*'Revenue Calculation'!L104</f>
        <v>0</v>
      </c>
      <c r="M199" s="159">
        <f>Inputs!M479*'Revenue Calculation'!M104</f>
        <v>0</v>
      </c>
      <c r="N199" s="159">
        <f>Inputs!N479*'Revenue Calculation'!N104</f>
        <v>0</v>
      </c>
      <c r="O199" s="159">
        <f>Inputs!O479*'Revenue Calculation'!O104</f>
        <v>0</v>
      </c>
      <c r="P199" s="159">
        <f>Inputs!P479*'Revenue Calculation'!P104</f>
        <v>0</v>
      </c>
      <c r="Q199" s="159">
        <f>Inputs!Q479*'Revenue Calculation'!Q104</f>
        <v>0</v>
      </c>
      <c r="R199" s="159">
        <f>Inputs!R479*'Revenue Calculation'!R104</f>
        <v>0</v>
      </c>
      <c r="S199" s="159">
        <f>Inputs!S479*'Revenue Calculation'!S104</f>
        <v>0</v>
      </c>
      <c r="T199" s="159">
        <f>Inputs!T479*'Revenue Calculation'!T104</f>
        <v>0</v>
      </c>
    </row>
    <row r="200" spans="2:20" x14ac:dyDescent="0.25">
      <c r="B200" s="23" t="s">
        <v>2461</v>
      </c>
      <c r="C200" s="28" t="s">
        <v>493</v>
      </c>
      <c r="H200" s="159">
        <f>Inputs!H479*'Revenue Calculation'!H111</f>
        <v>0</v>
      </c>
      <c r="I200" s="159">
        <f>Inputs!I479*'Revenue Calculation'!I111</f>
        <v>0</v>
      </c>
      <c r="J200" s="159">
        <f>Inputs!J479*'Revenue Calculation'!J111</f>
        <v>0</v>
      </c>
      <c r="K200" s="159">
        <f>Inputs!K479*'Revenue Calculation'!K111</f>
        <v>0</v>
      </c>
      <c r="L200" s="159">
        <f>Inputs!L479*'Revenue Calculation'!L111</f>
        <v>0</v>
      </c>
      <c r="M200" s="159">
        <f>Inputs!M479*'Revenue Calculation'!M111</f>
        <v>0</v>
      </c>
      <c r="N200" s="159">
        <f>Inputs!N479*'Revenue Calculation'!N111</f>
        <v>0</v>
      </c>
      <c r="O200" s="159">
        <f>Inputs!O479*'Revenue Calculation'!O111</f>
        <v>0</v>
      </c>
      <c r="P200" s="159">
        <f>Inputs!P479*'Revenue Calculation'!P111</f>
        <v>0</v>
      </c>
      <c r="Q200" s="159">
        <f>Inputs!Q479*'Revenue Calculation'!Q111</f>
        <v>0</v>
      </c>
      <c r="R200" s="159">
        <f>Inputs!R479*'Revenue Calculation'!R111</f>
        <v>0</v>
      </c>
      <c r="S200" s="159">
        <f>Inputs!S479*'Revenue Calculation'!S111</f>
        <v>0</v>
      </c>
      <c r="T200" s="159">
        <f>Inputs!T479*'Revenue Calculation'!T111</f>
        <v>0</v>
      </c>
    </row>
    <row r="201" spans="2:20" x14ac:dyDescent="0.25">
      <c r="B201" s="23" t="s">
        <v>2462</v>
      </c>
      <c r="C201" s="28" t="s">
        <v>493</v>
      </c>
      <c r="H201" s="159">
        <f>Inputs!H479*'Revenue Calculation'!H115</f>
        <v>0</v>
      </c>
      <c r="I201" s="159">
        <f>Inputs!I479*'Revenue Calculation'!I115</f>
        <v>0</v>
      </c>
      <c r="J201" s="159">
        <f>Inputs!J479*'Revenue Calculation'!J115</f>
        <v>0</v>
      </c>
      <c r="K201" s="159">
        <f>Inputs!K479*'Revenue Calculation'!K115</f>
        <v>0</v>
      </c>
      <c r="L201" s="159">
        <f>Inputs!L479*'Revenue Calculation'!L115</f>
        <v>0</v>
      </c>
      <c r="M201" s="159">
        <f>Inputs!M479*'Revenue Calculation'!M115</f>
        <v>0</v>
      </c>
      <c r="N201" s="159">
        <f>Inputs!N479*'Revenue Calculation'!N115</f>
        <v>0</v>
      </c>
      <c r="O201" s="159">
        <f>Inputs!O479*'Revenue Calculation'!O115</f>
        <v>0</v>
      </c>
      <c r="P201" s="159">
        <f>Inputs!P479*'Revenue Calculation'!P115</f>
        <v>0</v>
      </c>
      <c r="Q201" s="159">
        <f>Inputs!Q479*'Revenue Calculation'!Q115</f>
        <v>0</v>
      </c>
      <c r="R201" s="159">
        <f>Inputs!R479*'Revenue Calculation'!R115</f>
        <v>0</v>
      </c>
      <c r="S201" s="159">
        <f>Inputs!S479*'Revenue Calculation'!S115</f>
        <v>0</v>
      </c>
      <c r="T201" s="159">
        <f>Inputs!T479*'Revenue Calculation'!T115</f>
        <v>0</v>
      </c>
    </row>
    <row r="202" spans="2:20" x14ac:dyDescent="0.25">
      <c r="B202" s="23" t="s">
        <v>2463</v>
      </c>
      <c r="C202" s="28" t="s">
        <v>493</v>
      </c>
      <c r="H202" s="159">
        <f>Inputs!H479*'Revenue Calculation'!H122</f>
        <v>0</v>
      </c>
      <c r="I202" s="159">
        <f>Inputs!I479*'Revenue Calculation'!I122</f>
        <v>0</v>
      </c>
      <c r="J202" s="159">
        <f>Inputs!J479*'Revenue Calculation'!J122</f>
        <v>0</v>
      </c>
      <c r="K202" s="159">
        <f>Inputs!K479*'Revenue Calculation'!K122</f>
        <v>0</v>
      </c>
      <c r="L202" s="159">
        <f>Inputs!L479*'Revenue Calculation'!L122</f>
        <v>0</v>
      </c>
      <c r="M202" s="159">
        <f>Inputs!M479*'Revenue Calculation'!M122</f>
        <v>0</v>
      </c>
      <c r="N202" s="159">
        <f>Inputs!N479*'Revenue Calculation'!N122</f>
        <v>0</v>
      </c>
      <c r="O202" s="159">
        <f>Inputs!O479*'Revenue Calculation'!O122</f>
        <v>0</v>
      </c>
      <c r="P202" s="159">
        <f>Inputs!P479*'Revenue Calculation'!P122</f>
        <v>0</v>
      </c>
      <c r="Q202" s="159">
        <f>Inputs!Q479*'Revenue Calculation'!Q122</f>
        <v>0</v>
      </c>
      <c r="R202" s="159">
        <f>Inputs!R479*'Revenue Calculation'!R122</f>
        <v>0</v>
      </c>
      <c r="S202" s="159">
        <f>Inputs!S479*'Revenue Calculation'!S122</f>
        <v>0</v>
      </c>
      <c r="T202" s="159">
        <f>Inputs!T479*'Revenue Calculation'!T122</f>
        <v>0</v>
      </c>
    </row>
    <row r="203" spans="2:20" x14ac:dyDescent="0.25">
      <c r="B203" s="23" t="s">
        <v>2464</v>
      </c>
      <c r="C203" s="28" t="s">
        <v>493</v>
      </c>
      <c r="H203" s="159">
        <f>Inputs!H479*'Revenue Calculation'!H129</f>
        <v>0</v>
      </c>
      <c r="I203" s="159">
        <f>Inputs!I479*'Revenue Calculation'!I129</f>
        <v>0</v>
      </c>
      <c r="J203" s="159">
        <f>Inputs!J479*'Revenue Calculation'!J129</f>
        <v>0</v>
      </c>
      <c r="K203" s="159">
        <f>Inputs!K479*'Revenue Calculation'!K129</f>
        <v>0</v>
      </c>
      <c r="L203" s="159">
        <f>Inputs!L479*'Revenue Calculation'!L129</f>
        <v>0</v>
      </c>
      <c r="M203" s="159">
        <f>Inputs!M479*'Revenue Calculation'!M129</f>
        <v>0</v>
      </c>
      <c r="N203" s="159">
        <f>Inputs!N479*'Revenue Calculation'!N129</f>
        <v>0</v>
      </c>
      <c r="O203" s="159">
        <f>Inputs!O479*'Revenue Calculation'!O129</f>
        <v>0</v>
      </c>
      <c r="P203" s="159">
        <f>Inputs!P479*'Revenue Calculation'!P129</f>
        <v>0</v>
      </c>
      <c r="Q203" s="159">
        <f>Inputs!Q479*'Revenue Calculation'!Q129</f>
        <v>0</v>
      </c>
      <c r="R203" s="159">
        <f>Inputs!R479*'Revenue Calculation'!R129</f>
        <v>0</v>
      </c>
      <c r="S203" s="159">
        <f>Inputs!S479*'Revenue Calculation'!S129</f>
        <v>0</v>
      </c>
      <c r="T203" s="159">
        <f>Inputs!T479*'Revenue Calculation'!T129</f>
        <v>0</v>
      </c>
    </row>
    <row r="204" spans="2:20" x14ac:dyDescent="0.25">
      <c r="B204" s="23" t="s">
        <v>2465</v>
      </c>
      <c r="C204" s="28" t="s">
        <v>493</v>
      </c>
      <c r="H204" s="159">
        <f>Inputs!H479*'Revenue Calculation'!H133</f>
        <v>0</v>
      </c>
      <c r="I204" s="159">
        <f>Inputs!I479*'Revenue Calculation'!I133</f>
        <v>0</v>
      </c>
      <c r="J204" s="159">
        <f>Inputs!J479*'Revenue Calculation'!J133</f>
        <v>0</v>
      </c>
      <c r="K204" s="159">
        <f>Inputs!K479*'Revenue Calculation'!K133</f>
        <v>0</v>
      </c>
      <c r="L204" s="159">
        <f>Inputs!L479*'Revenue Calculation'!L133</f>
        <v>0</v>
      </c>
      <c r="M204" s="159">
        <f>Inputs!M479*'Revenue Calculation'!M133</f>
        <v>0</v>
      </c>
      <c r="N204" s="159">
        <f>Inputs!N479*'Revenue Calculation'!N133</f>
        <v>0</v>
      </c>
      <c r="O204" s="159">
        <f>Inputs!O479*'Revenue Calculation'!O133</f>
        <v>0</v>
      </c>
      <c r="P204" s="159">
        <f>Inputs!P479*'Revenue Calculation'!P133</f>
        <v>0</v>
      </c>
      <c r="Q204" s="159">
        <f>Inputs!Q479*'Revenue Calculation'!Q133</f>
        <v>0</v>
      </c>
      <c r="R204" s="159">
        <f>Inputs!R479*'Revenue Calculation'!R133</f>
        <v>0</v>
      </c>
      <c r="S204" s="159">
        <f>Inputs!S479*'Revenue Calculation'!S133</f>
        <v>0</v>
      </c>
      <c r="T204" s="159">
        <f>Inputs!T479*'Revenue Calculation'!T133</f>
        <v>0</v>
      </c>
    </row>
    <row r="205" spans="2:20" x14ac:dyDescent="0.25">
      <c r="B205" s="23" t="s">
        <v>2466</v>
      </c>
      <c r="C205" s="28" t="s">
        <v>493</v>
      </c>
      <c r="H205" s="159">
        <f>Inputs!H479*'Revenue Calculation'!H157</f>
        <v>0</v>
      </c>
      <c r="I205" s="159">
        <f>Inputs!I479*'Revenue Calculation'!I157</f>
        <v>0</v>
      </c>
      <c r="J205" s="159">
        <f>Inputs!J479*'Revenue Calculation'!J157</f>
        <v>0</v>
      </c>
      <c r="K205" s="159">
        <f>Inputs!K479*'Revenue Calculation'!K157</f>
        <v>0</v>
      </c>
      <c r="L205" s="159">
        <f>Inputs!L479*'Revenue Calculation'!L157</f>
        <v>0</v>
      </c>
      <c r="M205" s="159">
        <f>Inputs!M479*'Revenue Calculation'!M157</f>
        <v>0</v>
      </c>
      <c r="N205" s="159">
        <f>Inputs!N479*'Revenue Calculation'!N157</f>
        <v>0</v>
      </c>
      <c r="O205" s="159">
        <f>Inputs!O479*'Revenue Calculation'!O157</f>
        <v>0</v>
      </c>
      <c r="P205" s="159">
        <f>Inputs!P479*'Revenue Calculation'!P157</f>
        <v>0</v>
      </c>
      <c r="Q205" s="159">
        <f>Inputs!Q479*'Revenue Calculation'!Q157</f>
        <v>0</v>
      </c>
      <c r="R205" s="159">
        <f>Inputs!R479*'Revenue Calculation'!R157</f>
        <v>0</v>
      </c>
      <c r="S205" s="159">
        <f>Inputs!S479*'Revenue Calculation'!S157</f>
        <v>0</v>
      </c>
      <c r="T205" s="159">
        <f>Inputs!T479*'Revenue Calculation'!T157</f>
        <v>0</v>
      </c>
    </row>
    <row r="206" spans="2:20" x14ac:dyDescent="0.25">
      <c r="B206" s="23" t="s">
        <v>2467</v>
      </c>
      <c r="C206" s="28" t="s">
        <v>493</v>
      </c>
      <c r="H206" s="159">
        <f>Inputs!H479*'Revenue Calculation'!H163</f>
        <v>0</v>
      </c>
      <c r="I206" s="159">
        <f>Inputs!I479*'Revenue Calculation'!I163</f>
        <v>0</v>
      </c>
      <c r="J206" s="159">
        <f>Inputs!J479*'Revenue Calculation'!J163</f>
        <v>0</v>
      </c>
      <c r="K206" s="159">
        <f>Inputs!K479*'Revenue Calculation'!K163</f>
        <v>0</v>
      </c>
      <c r="L206" s="159">
        <f>Inputs!L479*'Revenue Calculation'!L163</f>
        <v>0</v>
      </c>
      <c r="M206" s="159">
        <f>Inputs!M479*'Revenue Calculation'!M163</f>
        <v>0</v>
      </c>
      <c r="N206" s="159">
        <f>Inputs!N479*'Revenue Calculation'!N163</f>
        <v>0</v>
      </c>
      <c r="O206" s="159">
        <f>Inputs!O479*'Revenue Calculation'!O163</f>
        <v>0</v>
      </c>
      <c r="P206" s="159">
        <f>Inputs!P479*'Revenue Calculation'!P163</f>
        <v>0</v>
      </c>
      <c r="Q206" s="159">
        <f>Inputs!Q479*'Revenue Calculation'!Q163</f>
        <v>0</v>
      </c>
      <c r="R206" s="159">
        <f>Inputs!R479*'Revenue Calculation'!R163</f>
        <v>0</v>
      </c>
      <c r="S206" s="159">
        <f>Inputs!S479*'Revenue Calculation'!S163</f>
        <v>0</v>
      </c>
      <c r="T206" s="159">
        <f>Inputs!T479*'Revenue Calculation'!T163</f>
        <v>0</v>
      </c>
    </row>
    <row r="207" spans="2:20" x14ac:dyDescent="0.25">
      <c r="B207" s="23" t="s">
        <v>2468</v>
      </c>
      <c r="C207" s="28" t="s">
        <v>493</v>
      </c>
      <c r="H207" s="159">
        <f>Inputs!H479*'Revenue Calculation'!H167</f>
        <v>0</v>
      </c>
      <c r="I207" s="159">
        <f>Inputs!I479*'Revenue Calculation'!I167</f>
        <v>0</v>
      </c>
      <c r="J207" s="159">
        <f>Inputs!J479*'Revenue Calculation'!J167</f>
        <v>0</v>
      </c>
      <c r="K207" s="159">
        <f>Inputs!K479*'Revenue Calculation'!K167</f>
        <v>0</v>
      </c>
      <c r="L207" s="159">
        <f>Inputs!L479*'Revenue Calculation'!L167</f>
        <v>0</v>
      </c>
      <c r="M207" s="159">
        <f>Inputs!M479*'Revenue Calculation'!M167</f>
        <v>0</v>
      </c>
      <c r="N207" s="159">
        <f>Inputs!N479*'Revenue Calculation'!N167</f>
        <v>0</v>
      </c>
      <c r="O207" s="159">
        <f>Inputs!O479*'Revenue Calculation'!O167</f>
        <v>0</v>
      </c>
      <c r="P207" s="159">
        <f>Inputs!P479*'Revenue Calculation'!P167</f>
        <v>0</v>
      </c>
      <c r="Q207" s="159">
        <f>Inputs!Q479*'Revenue Calculation'!Q167</f>
        <v>0</v>
      </c>
      <c r="R207" s="159">
        <f>Inputs!R479*'Revenue Calculation'!R167</f>
        <v>0</v>
      </c>
      <c r="S207" s="159">
        <f>Inputs!S479*'Revenue Calculation'!S167</f>
        <v>0</v>
      </c>
      <c r="T207" s="159">
        <f>Inputs!T479*'Revenue Calculation'!T167</f>
        <v>0</v>
      </c>
    </row>
    <row r="208" spans="2:20" x14ac:dyDescent="0.25">
      <c r="B208" s="23" t="s">
        <v>2469</v>
      </c>
      <c r="C208" s="28" t="s">
        <v>493</v>
      </c>
      <c r="H208" s="159">
        <f>Inputs!H479*'Revenue Calculation'!H171</f>
        <v>0</v>
      </c>
      <c r="I208" s="159">
        <f>Inputs!I479*'Revenue Calculation'!I171</f>
        <v>0</v>
      </c>
      <c r="J208" s="159">
        <f>Inputs!J479*'Revenue Calculation'!J171</f>
        <v>0</v>
      </c>
      <c r="K208" s="159">
        <f>Inputs!K479*'Revenue Calculation'!K171</f>
        <v>0</v>
      </c>
      <c r="L208" s="159">
        <f>Inputs!L479*'Revenue Calculation'!L171</f>
        <v>0</v>
      </c>
      <c r="M208" s="159">
        <f>Inputs!M479*'Revenue Calculation'!M171</f>
        <v>0</v>
      </c>
      <c r="N208" s="159">
        <f>Inputs!N479*'Revenue Calculation'!N171</f>
        <v>0</v>
      </c>
      <c r="O208" s="159">
        <f>Inputs!O479*'Revenue Calculation'!O171</f>
        <v>0</v>
      </c>
      <c r="P208" s="159">
        <f>Inputs!P479*'Revenue Calculation'!P171</f>
        <v>0</v>
      </c>
      <c r="Q208" s="159">
        <f>Inputs!Q479*'Revenue Calculation'!Q171</f>
        <v>0</v>
      </c>
      <c r="R208" s="159">
        <f>Inputs!R479*'Revenue Calculation'!R171</f>
        <v>0</v>
      </c>
      <c r="S208" s="159">
        <f>Inputs!S479*'Revenue Calculation'!S171</f>
        <v>0</v>
      </c>
      <c r="T208" s="159">
        <f>Inputs!T479*'Revenue Calculation'!T171</f>
        <v>0</v>
      </c>
    </row>
    <row r="209" spans="2:20" x14ac:dyDescent="0.25">
      <c r="B209" s="23" t="s">
        <v>2470</v>
      </c>
      <c r="C209" s="28" t="s">
        <v>493</v>
      </c>
      <c r="H209" s="159">
        <f>Inputs!H479*'Revenue Calculation'!H186</f>
        <v>0</v>
      </c>
      <c r="I209" s="159">
        <f>Inputs!I479*'Revenue Calculation'!I186</f>
        <v>0</v>
      </c>
      <c r="J209" s="159">
        <f>Inputs!J479*'Revenue Calculation'!J186</f>
        <v>0</v>
      </c>
      <c r="K209" s="159">
        <f>Inputs!K479*'Revenue Calculation'!K186</f>
        <v>0</v>
      </c>
      <c r="L209" s="159">
        <f>Inputs!L479*'Revenue Calculation'!L186</f>
        <v>0</v>
      </c>
      <c r="M209" s="159">
        <f>Inputs!M479*'Revenue Calculation'!M186</f>
        <v>0</v>
      </c>
      <c r="N209" s="159">
        <f>Inputs!N479*'Revenue Calculation'!N186</f>
        <v>0</v>
      </c>
      <c r="O209" s="159">
        <f>Inputs!O479*'Revenue Calculation'!O186</f>
        <v>0</v>
      </c>
      <c r="P209" s="159">
        <f>Inputs!P479*'Revenue Calculation'!P186</f>
        <v>0</v>
      </c>
      <c r="Q209" s="159">
        <f>Inputs!Q479*'Revenue Calculation'!Q186</f>
        <v>0</v>
      </c>
      <c r="R209" s="159">
        <f>Inputs!R479*'Revenue Calculation'!R186</f>
        <v>0</v>
      </c>
      <c r="S209" s="159">
        <f>Inputs!S479*'Revenue Calculation'!S186</f>
        <v>0</v>
      </c>
      <c r="T209" s="159">
        <f>Inputs!T479*'Revenue Calculation'!T186</f>
        <v>0</v>
      </c>
    </row>
    <row r="210" spans="2:20" x14ac:dyDescent="0.25">
      <c r="B210" s="21" t="s">
        <v>2471</v>
      </c>
      <c r="C210" s="28" t="s">
        <v>493</v>
      </c>
      <c r="G210" s="157"/>
      <c r="H210" s="158">
        <f t="shared" ref="H210:T210" si="29">SUM(H194:H209)</f>
        <v>0</v>
      </c>
      <c r="I210" s="158">
        <f t="shared" si="29"/>
        <v>0</v>
      </c>
      <c r="J210" s="158">
        <f t="shared" si="29"/>
        <v>0</v>
      </c>
      <c r="K210" s="158">
        <f t="shared" si="29"/>
        <v>0</v>
      </c>
      <c r="L210" s="158">
        <f t="shared" si="29"/>
        <v>0</v>
      </c>
      <c r="M210" s="158">
        <f t="shared" si="29"/>
        <v>0</v>
      </c>
      <c r="N210" s="158">
        <f t="shared" si="29"/>
        <v>0</v>
      </c>
      <c r="O210" s="158">
        <f t="shared" si="29"/>
        <v>0</v>
      </c>
      <c r="P210" s="158">
        <f t="shared" si="29"/>
        <v>0</v>
      </c>
      <c r="Q210" s="158">
        <f t="shared" si="29"/>
        <v>0</v>
      </c>
      <c r="R210" s="158">
        <f t="shared" si="29"/>
        <v>0</v>
      </c>
      <c r="S210" s="158">
        <f t="shared" si="29"/>
        <v>0</v>
      </c>
      <c r="T210" s="158">
        <f t="shared" si="29"/>
        <v>0</v>
      </c>
    </row>
    <row r="211" spans="2:20" x14ac:dyDescent="0.25">
      <c r="B211" s="23" t="s">
        <v>2472</v>
      </c>
      <c r="C211" s="28" t="s">
        <v>493</v>
      </c>
      <c r="H211" s="159">
        <f>SUMPRODUCT($H$194:$T$194,--($H$52:$T$52&lt;=H52),--($H$52:$T$52&gt;H52-Inputs!$E$480))/Inputs!$E$480</f>
        <v>0</v>
      </c>
      <c r="I211" s="159">
        <f>SUMPRODUCT($H$194:$T$194,--($H$52:$T$52&lt;=I52),--($H$52:$T$52&gt;I52-Inputs!$E$480))/Inputs!$E$480</f>
        <v>0</v>
      </c>
      <c r="J211" s="159">
        <f>SUMPRODUCT($H$194:$T$194,--($H$52:$T$52&lt;=J52),--($H$52:$T$52&gt;J52-Inputs!$E$480))/Inputs!$E$480</f>
        <v>0</v>
      </c>
      <c r="K211" s="159">
        <f>SUMPRODUCT($H$194:$T$194,--($H$52:$T$52&lt;=K52),--($H$52:$T$52&gt;K52-Inputs!$E$480))/Inputs!$E$480</f>
        <v>0</v>
      </c>
      <c r="L211" s="159">
        <f>SUMPRODUCT($H$194:$T$194,--($H$52:$T$52&lt;=L52),--($H$52:$T$52&gt;L52-Inputs!$E$480))/Inputs!$E$480</f>
        <v>0</v>
      </c>
      <c r="M211" s="159">
        <f>SUMPRODUCT($H$194:$T$194,--($H$52:$T$52&lt;=M52),--($H$52:$T$52&gt;M52-Inputs!$E$480))/Inputs!$E$480</f>
        <v>0</v>
      </c>
      <c r="N211" s="159">
        <f>SUMPRODUCT($H$194:$T$194,--($H$52:$T$52&lt;=N52),--($H$52:$T$52&gt;N52-Inputs!$E$480))/Inputs!$E$480</f>
        <v>0</v>
      </c>
      <c r="O211" s="159">
        <f>SUMPRODUCT($H$194:$T$194,--($H$52:$T$52&lt;=O52),--($H$52:$T$52&gt;O52-Inputs!$E$480))/Inputs!$E$480</f>
        <v>0</v>
      </c>
      <c r="P211" s="159">
        <f>SUMPRODUCT($H$194:$T$194,--($H$52:$T$52&lt;=P52),--($H$52:$T$52&gt;P52-Inputs!$E$480))/Inputs!$E$480</f>
        <v>0</v>
      </c>
      <c r="Q211" s="159">
        <f>SUMPRODUCT($H$194:$T$194,--($H$52:$T$52&lt;=Q52),--($H$52:$T$52&gt;Q52-Inputs!$E$480))/Inputs!$E$480</f>
        <v>0</v>
      </c>
      <c r="R211" s="159">
        <f>SUMPRODUCT($H$194:$T$194,--($H$52:$T$52&lt;=R52),--($H$52:$T$52&gt;R52-Inputs!$E$480))/Inputs!$E$480</f>
        <v>0</v>
      </c>
      <c r="S211" s="159">
        <f>SUMPRODUCT($H$194:$T$194,--($H$52:$T$52&lt;=S52),--($H$52:$T$52&gt;S52-Inputs!$E$480))/Inputs!$E$480</f>
        <v>0</v>
      </c>
      <c r="T211" s="159">
        <f>SUMPRODUCT($H$194:$T$194,--($H$52:$T$52&lt;=T52),--($H$52:$T$52&gt;T52-Inputs!$E$480))/Inputs!$E$480</f>
        <v>0</v>
      </c>
    </row>
    <row r="212" spans="2:20" x14ac:dyDescent="0.25">
      <c r="B212" s="23" t="s">
        <v>2473</v>
      </c>
      <c r="C212" s="28" t="s">
        <v>493</v>
      </c>
      <c r="H212" s="159">
        <f>SUMPRODUCT($H$195:$T$195,--($H$52:$T$52&lt;=H52),--($H$52:$T$52&gt;H52-Inputs!$E$480))/Inputs!$E$480</f>
        <v>0</v>
      </c>
      <c r="I212" s="159">
        <f>SUMPRODUCT($H$195:$T$195,--($H$52:$T$52&lt;=I52),--($H$52:$T$52&gt;I52-Inputs!$E$480))/Inputs!$E$480</f>
        <v>0</v>
      </c>
      <c r="J212" s="159">
        <f>SUMPRODUCT($H$195:$T$195,--($H$52:$T$52&lt;=J52),--($H$52:$T$52&gt;J52-Inputs!$E$480))/Inputs!$E$480</f>
        <v>0</v>
      </c>
      <c r="K212" s="159">
        <f>SUMPRODUCT($H$195:$T$195,--($H$52:$T$52&lt;=K52),--($H$52:$T$52&gt;K52-Inputs!$E$480))/Inputs!$E$480</f>
        <v>0</v>
      </c>
      <c r="L212" s="159">
        <f>SUMPRODUCT($H$195:$T$195,--($H$52:$T$52&lt;=L52),--($H$52:$T$52&gt;L52-Inputs!$E$480))/Inputs!$E$480</f>
        <v>0</v>
      </c>
      <c r="M212" s="159">
        <f>SUMPRODUCT($H$195:$T$195,--($H$52:$T$52&lt;=M52),--($H$52:$T$52&gt;M52-Inputs!$E$480))/Inputs!$E$480</f>
        <v>0</v>
      </c>
      <c r="N212" s="159">
        <f>SUMPRODUCT($H$195:$T$195,--($H$52:$T$52&lt;=N52),--($H$52:$T$52&gt;N52-Inputs!$E$480))/Inputs!$E$480</f>
        <v>0</v>
      </c>
      <c r="O212" s="159">
        <f>SUMPRODUCT($H$195:$T$195,--($H$52:$T$52&lt;=O52),--($H$52:$T$52&gt;O52-Inputs!$E$480))/Inputs!$E$480</f>
        <v>0</v>
      </c>
      <c r="P212" s="159">
        <f>SUMPRODUCT($H$195:$T$195,--($H$52:$T$52&lt;=P52),--($H$52:$T$52&gt;P52-Inputs!$E$480))/Inputs!$E$480</f>
        <v>0</v>
      </c>
      <c r="Q212" s="159">
        <f>SUMPRODUCT($H$195:$T$195,--($H$52:$T$52&lt;=Q52),--($H$52:$T$52&gt;Q52-Inputs!$E$480))/Inputs!$E$480</f>
        <v>0</v>
      </c>
      <c r="R212" s="159">
        <f>SUMPRODUCT($H$195:$T$195,--($H$52:$T$52&lt;=R52),--($H$52:$T$52&gt;R52-Inputs!$E$480))/Inputs!$E$480</f>
        <v>0</v>
      </c>
      <c r="S212" s="159">
        <f>SUMPRODUCT($H$195:$T$195,--($H$52:$T$52&lt;=S52),--($H$52:$T$52&gt;S52-Inputs!$E$480))/Inputs!$E$480</f>
        <v>0</v>
      </c>
      <c r="T212" s="159">
        <f>SUMPRODUCT($H$195:$T$195,--($H$52:$T$52&lt;=T52),--($H$52:$T$52&gt;T52-Inputs!$E$480))/Inputs!$E$480</f>
        <v>0</v>
      </c>
    </row>
    <row r="213" spans="2:20" x14ac:dyDescent="0.25">
      <c r="B213" s="23" t="s">
        <v>2474</v>
      </c>
      <c r="C213" s="28" t="s">
        <v>493</v>
      </c>
      <c r="H213" s="159">
        <f>SUMPRODUCT($H$196:$T$196,--($H$52:$T$52&lt;=H52),--($H$52:$T$52&gt;H52-Inputs!$E$480))/Inputs!$E$480</f>
        <v>0</v>
      </c>
      <c r="I213" s="159">
        <f>SUMPRODUCT($H$196:$T$196,--($H$52:$T$52&lt;=I52),--($H$52:$T$52&gt;I52-Inputs!$E$480))/Inputs!$E$480</f>
        <v>0</v>
      </c>
      <c r="J213" s="159">
        <f>SUMPRODUCT($H$196:$T$196,--($H$52:$T$52&lt;=J52),--($H$52:$T$52&gt;J52-Inputs!$E$480))/Inputs!$E$480</f>
        <v>0</v>
      </c>
      <c r="K213" s="159">
        <f>SUMPRODUCT($H$196:$T$196,--($H$52:$T$52&lt;=K52),--($H$52:$T$52&gt;K52-Inputs!$E$480))/Inputs!$E$480</f>
        <v>0</v>
      </c>
      <c r="L213" s="159">
        <f>SUMPRODUCT($H$196:$T$196,--($H$52:$T$52&lt;=L52),--($H$52:$T$52&gt;L52-Inputs!$E$480))/Inputs!$E$480</f>
        <v>0</v>
      </c>
      <c r="M213" s="159">
        <f>SUMPRODUCT($H$196:$T$196,--($H$52:$T$52&lt;=M52),--($H$52:$T$52&gt;M52-Inputs!$E$480))/Inputs!$E$480</f>
        <v>0</v>
      </c>
      <c r="N213" s="159">
        <f>SUMPRODUCT($H$196:$T$196,--($H$52:$T$52&lt;=N52),--($H$52:$T$52&gt;N52-Inputs!$E$480))/Inputs!$E$480</f>
        <v>0</v>
      </c>
      <c r="O213" s="159">
        <f>SUMPRODUCT($H$196:$T$196,--($H$52:$T$52&lt;=O52),--($H$52:$T$52&gt;O52-Inputs!$E$480))/Inputs!$E$480</f>
        <v>0</v>
      </c>
      <c r="P213" s="159">
        <f>SUMPRODUCT($H$196:$T$196,--($H$52:$T$52&lt;=P52),--($H$52:$T$52&gt;P52-Inputs!$E$480))/Inputs!$E$480</f>
        <v>0</v>
      </c>
      <c r="Q213" s="159">
        <f>SUMPRODUCT($H$196:$T$196,--($H$52:$T$52&lt;=Q52),--($H$52:$T$52&gt;Q52-Inputs!$E$480))/Inputs!$E$480</f>
        <v>0</v>
      </c>
      <c r="R213" s="159">
        <f>SUMPRODUCT($H$196:$T$196,--($H$52:$T$52&lt;=R52),--($H$52:$T$52&gt;R52-Inputs!$E$480))/Inputs!$E$480</f>
        <v>0</v>
      </c>
      <c r="S213" s="159">
        <f>SUMPRODUCT($H$196:$T$196,--($H$52:$T$52&lt;=S52),--($H$52:$T$52&gt;S52-Inputs!$E$480))/Inputs!$E$480</f>
        <v>0</v>
      </c>
      <c r="T213" s="159">
        <f>SUMPRODUCT($H$196:$T$196,--($H$52:$T$52&lt;=T52),--($H$52:$T$52&gt;T52-Inputs!$E$480))/Inputs!$E$480</f>
        <v>0</v>
      </c>
    </row>
    <row r="214" spans="2:20" x14ac:dyDescent="0.25">
      <c r="B214" s="23" t="s">
        <v>2475</v>
      </c>
      <c r="C214" s="28" t="s">
        <v>493</v>
      </c>
      <c r="H214" s="159">
        <f>SUMPRODUCT($H$197:$T$197,--($H$52:$T$52&lt;=H52),--($H$52:$T$52&gt;H52-Inputs!$E$480))/Inputs!$E$480</f>
        <v>0</v>
      </c>
      <c r="I214" s="159">
        <f>SUMPRODUCT($H$197:$T$197,--($H$52:$T$52&lt;=I52),--($H$52:$T$52&gt;I52-Inputs!$E$480))/Inputs!$E$480</f>
        <v>0</v>
      </c>
      <c r="J214" s="159">
        <f>SUMPRODUCT($H$197:$T$197,--($H$52:$T$52&lt;=J52),--($H$52:$T$52&gt;J52-Inputs!$E$480))/Inputs!$E$480</f>
        <v>0</v>
      </c>
      <c r="K214" s="159">
        <f>SUMPRODUCT($H$197:$T$197,--($H$52:$T$52&lt;=K52),--($H$52:$T$52&gt;K52-Inputs!$E$480))/Inputs!$E$480</f>
        <v>0</v>
      </c>
      <c r="L214" s="159">
        <f>SUMPRODUCT($H$197:$T$197,--($H$52:$T$52&lt;=L52),--($H$52:$T$52&gt;L52-Inputs!$E$480))/Inputs!$E$480</f>
        <v>0</v>
      </c>
      <c r="M214" s="159">
        <f>SUMPRODUCT($H$197:$T$197,--($H$52:$T$52&lt;=M52),--($H$52:$T$52&gt;M52-Inputs!$E$480))/Inputs!$E$480</f>
        <v>0</v>
      </c>
      <c r="N214" s="159">
        <f>SUMPRODUCT($H$197:$T$197,--($H$52:$T$52&lt;=N52),--($H$52:$T$52&gt;N52-Inputs!$E$480))/Inputs!$E$480</f>
        <v>0</v>
      </c>
      <c r="O214" s="159">
        <f>SUMPRODUCT($H$197:$T$197,--($H$52:$T$52&lt;=O52),--($H$52:$T$52&gt;O52-Inputs!$E$480))/Inputs!$E$480</f>
        <v>0</v>
      </c>
      <c r="P214" s="159">
        <f>SUMPRODUCT($H$197:$T$197,--($H$52:$T$52&lt;=P52),--($H$52:$T$52&gt;P52-Inputs!$E$480))/Inputs!$E$480</f>
        <v>0</v>
      </c>
      <c r="Q214" s="159">
        <f>SUMPRODUCT($H$197:$T$197,--($H$52:$T$52&lt;=Q52),--($H$52:$T$52&gt;Q52-Inputs!$E$480))/Inputs!$E$480</f>
        <v>0</v>
      </c>
      <c r="R214" s="159">
        <f>SUMPRODUCT($H$197:$T$197,--($H$52:$T$52&lt;=R52),--($H$52:$T$52&gt;R52-Inputs!$E$480))/Inputs!$E$480</f>
        <v>0</v>
      </c>
      <c r="S214" s="159">
        <f>SUMPRODUCT($H$197:$T$197,--($H$52:$T$52&lt;=S52),--($H$52:$T$52&gt;S52-Inputs!$E$480))/Inputs!$E$480</f>
        <v>0</v>
      </c>
      <c r="T214" s="159">
        <f>SUMPRODUCT($H$197:$T$197,--($H$52:$T$52&lt;=T52),--($H$52:$T$52&gt;T52-Inputs!$E$480))/Inputs!$E$480</f>
        <v>0</v>
      </c>
    </row>
    <row r="215" spans="2:20" x14ac:dyDescent="0.25">
      <c r="B215" s="23" t="s">
        <v>2476</v>
      </c>
      <c r="C215" s="28" t="s">
        <v>493</v>
      </c>
      <c r="H215" s="159">
        <f>SUMPRODUCT($H$198:$T$198,--($H$52:$T$52&lt;=H52),--($H$52:$T$52&gt;H52-Inputs!$E$480))/Inputs!$E$480</f>
        <v>0</v>
      </c>
      <c r="I215" s="159">
        <f>SUMPRODUCT($H$198:$T$198,--($H$52:$T$52&lt;=I52),--($H$52:$T$52&gt;I52-Inputs!$E$480))/Inputs!$E$480</f>
        <v>0</v>
      </c>
      <c r="J215" s="159">
        <f>SUMPRODUCT($H$198:$T$198,--($H$52:$T$52&lt;=J52),--($H$52:$T$52&gt;J52-Inputs!$E$480))/Inputs!$E$480</f>
        <v>0</v>
      </c>
      <c r="K215" s="159">
        <f>SUMPRODUCT($H$198:$T$198,--($H$52:$T$52&lt;=K52),--($H$52:$T$52&gt;K52-Inputs!$E$480))/Inputs!$E$480</f>
        <v>0</v>
      </c>
      <c r="L215" s="159">
        <f>SUMPRODUCT($H$198:$T$198,--($H$52:$T$52&lt;=L52),--($H$52:$T$52&gt;L52-Inputs!$E$480))/Inputs!$E$480</f>
        <v>0</v>
      </c>
      <c r="M215" s="159">
        <f>SUMPRODUCT($H$198:$T$198,--($H$52:$T$52&lt;=M52),--($H$52:$T$52&gt;M52-Inputs!$E$480))/Inputs!$E$480</f>
        <v>0</v>
      </c>
      <c r="N215" s="159">
        <f>SUMPRODUCT($H$198:$T$198,--($H$52:$T$52&lt;=N52),--($H$52:$T$52&gt;N52-Inputs!$E$480))/Inputs!$E$480</f>
        <v>0</v>
      </c>
      <c r="O215" s="159">
        <f>SUMPRODUCT($H$198:$T$198,--($H$52:$T$52&lt;=O52),--($H$52:$T$52&gt;O52-Inputs!$E$480))/Inputs!$E$480</f>
        <v>0</v>
      </c>
      <c r="P215" s="159">
        <f>SUMPRODUCT($H$198:$T$198,--($H$52:$T$52&lt;=P52),--($H$52:$T$52&gt;P52-Inputs!$E$480))/Inputs!$E$480</f>
        <v>0</v>
      </c>
      <c r="Q215" s="159">
        <f>SUMPRODUCT($H$198:$T$198,--($H$52:$T$52&lt;=Q52),--($H$52:$T$52&gt;Q52-Inputs!$E$480))/Inputs!$E$480</f>
        <v>0</v>
      </c>
      <c r="R215" s="159">
        <f>SUMPRODUCT($H$198:$T$198,--($H$52:$T$52&lt;=R52),--($H$52:$T$52&gt;R52-Inputs!$E$480))/Inputs!$E$480</f>
        <v>0</v>
      </c>
      <c r="S215" s="159">
        <f>SUMPRODUCT($H$198:$T$198,--($H$52:$T$52&lt;=S52),--($H$52:$T$52&gt;S52-Inputs!$E$480))/Inputs!$E$480</f>
        <v>0</v>
      </c>
      <c r="T215" s="159">
        <f>SUMPRODUCT($H$198:$T$198,--($H$52:$T$52&lt;=T52),--($H$52:$T$52&gt;T52-Inputs!$E$480))/Inputs!$E$480</f>
        <v>0</v>
      </c>
    </row>
    <row r="216" spans="2:20" x14ac:dyDescent="0.25">
      <c r="B216" s="23" t="s">
        <v>2477</v>
      </c>
      <c r="C216" s="28" t="s">
        <v>493</v>
      </c>
      <c r="H216" s="159">
        <f>SUMPRODUCT($H$199:$T$199,--($H$52:$T$52&lt;=H52),--($H$52:$T$52&gt;H52-Inputs!$E$480))/Inputs!$E$480</f>
        <v>0</v>
      </c>
      <c r="I216" s="159">
        <f>SUMPRODUCT($H$199:$T$199,--($H$52:$T$52&lt;=I52),--($H$52:$T$52&gt;I52-Inputs!$E$480))/Inputs!$E$480</f>
        <v>0</v>
      </c>
      <c r="J216" s="159">
        <f>SUMPRODUCT($H$199:$T$199,--($H$52:$T$52&lt;=J52),--($H$52:$T$52&gt;J52-Inputs!$E$480))/Inputs!$E$480</f>
        <v>0</v>
      </c>
      <c r="K216" s="159">
        <f>SUMPRODUCT($H$199:$T$199,--($H$52:$T$52&lt;=K52),--($H$52:$T$52&gt;K52-Inputs!$E$480))/Inputs!$E$480</f>
        <v>0</v>
      </c>
      <c r="L216" s="159">
        <f>SUMPRODUCT($H$199:$T$199,--($H$52:$T$52&lt;=L52),--($H$52:$T$52&gt;L52-Inputs!$E$480))/Inputs!$E$480</f>
        <v>0</v>
      </c>
      <c r="M216" s="159">
        <f>SUMPRODUCT($H$199:$T$199,--($H$52:$T$52&lt;=M52),--($H$52:$T$52&gt;M52-Inputs!$E$480))/Inputs!$E$480</f>
        <v>0</v>
      </c>
      <c r="N216" s="159">
        <f>SUMPRODUCT($H$199:$T$199,--($H$52:$T$52&lt;=N52),--($H$52:$T$52&gt;N52-Inputs!$E$480))/Inputs!$E$480</f>
        <v>0</v>
      </c>
      <c r="O216" s="159">
        <f>SUMPRODUCT($H$199:$T$199,--($H$52:$T$52&lt;=O52),--($H$52:$T$52&gt;O52-Inputs!$E$480))/Inputs!$E$480</f>
        <v>0</v>
      </c>
      <c r="P216" s="159">
        <f>SUMPRODUCT($H$199:$T$199,--($H$52:$T$52&lt;=P52),--($H$52:$T$52&gt;P52-Inputs!$E$480))/Inputs!$E$480</f>
        <v>0</v>
      </c>
      <c r="Q216" s="159">
        <f>SUMPRODUCT($H$199:$T$199,--($H$52:$T$52&lt;=Q52),--($H$52:$T$52&gt;Q52-Inputs!$E$480))/Inputs!$E$480</f>
        <v>0</v>
      </c>
      <c r="R216" s="159">
        <f>SUMPRODUCT($H$199:$T$199,--($H$52:$T$52&lt;=R52),--($H$52:$T$52&gt;R52-Inputs!$E$480))/Inputs!$E$480</f>
        <v>0</v>
      </c>
      <c r="S216" s="159">
        <f>SUMPRODUCT($H$199:$T$199,--($H$52:$T$52&lt;=S52),--($H$52:$T$52&gt;S52-Inputs!$E$480))/Inputs!$E$480</f>
        <v>0</v>
      </c>
      <c r="T216" s="159">
        <f>SUMPRODUCT($H$199:$T$199,--($H$52:$T$52&lt;=T52),--($H$52:$T$52&gt;T52-Inputs!$E$480))/Inputs!$E$480</f>
        <v>0</v>
      </c>
    </row>
    <row r="217" spans="2:20" x14ac:dyDescent="0.25">
      <c r="B217" s="23" t="s">
        <v>2478</v>
      </c>
      <c r="C217" s="28" t="s">
        <v>493</v>
      </c>
      <c r="H217" s="159">
        <f>SUMPRODUCT($H$200:$T$200,--($H$52:$T$52&lt;=H52),--($H$52:$T$52&gt;H52-Inputs!$E$480))/Inputs!$E$480</f>
        <v>0</v>
      </c>
      <c r="I217" s="159">
        <f>SUMPRODUCT($H$200:$T$200,--($H$52:$T$52&lt;=I52),--($H$52:$T$52&gt;I52-Inputs!$E$480))/Inputs!$E$480</f>
        <v>0</v>
      </c>
      <c r="J217" s="159">
        <f>SUMPRODUCT($H$200:$T$200,--($H$52:$T$52&lt;=J52),--($H$52:$T$52&gt;J52-Inputs!$E$480))/Inputs!$E$480</f>
        <v>0</v>
      </c>
      <c r="K217" s="159">
        <f>SUMPRODUCT($H$200:$T$200,--($H$52:$T$52&lt;=K52),--($H$52:$T$52&gt;K52-Inputs!$E$480))/Inputs!$E$480</f>
        <v>0</v>
      </c>
      <c r="L217" s="159">
        <f>SUMPRODUCT($H$200:$T$200,--($H$52:$T$52&lt;=L52),--($H$52:$T$52&gt;L52-Inputs!$E$480))/Inputs!$E$480</f>
        <v>0</v>
      </c>
      <c r="M217" s="159">
        <f>SUMPRODUCT($H$200:$T$200,--($H$52:$T$52&lt;=M52),--($H$52:$T$52&gt;M52-Inputs!$E$480))/Inputs!$E$480</f>
        <v>0</v>
      </c>
      <c r="N217" s="159">
        <f>SUMPRODUCT($H$200:$T$200,--($H$52:$T$52&lt;=N52),--($H$52:$T$52&gt;N52-Inputs!$E$480))/Inputs!$E$480</f>
        <v>0</v>
      </c>
      <c r="O217" s="159">
        <f>SUMPRODUCT($H$200:$T$200,--($H$52:$T$52&lt;=O52),--($H$52:$T$52&gt;O52-Inputs!$E$480))/Inputs!$E$480</f>
        <v>0</v>
      </c>
      <c r="P217" s="159">
        <f>SUMPRODUCT($H$200:$T$200,--($H$52:$T$52&lt;=P52),--($H$52:$T$52&gt;P52-Inputs!$E$480))/Inputs!$E$480</f>
        <v>0</v>
      </c>
      <c r="Q217" s="159">
        <f>SUMPRODUCT($H$200:$T$200,--($H$52:$T$52&lt;=Q52),--($H$52:$T$52&gt;Q52-Inputs!$E$480))/Inputs!$E$480</f>
        <v>0</v>
      </c>
      <c r="R217" s="159">
        <f>SUMPRODUCT($H$200:$T$200,--($H$52:$T$52&lt;=R52),--($H$52:$T$52&gt;R52-Inputs!$E$480))/Inputs!$E$480</f>
        <v>0</v>
      </c>
      <c r="S217" s="159">
        <f>SUMPRODUCT($H$200:$T$200,--($H$52:$T$52&lt;=S52),--($H$52:$T$52&gt;S52-Inputs!$E$480))/Inputs!$E$480</f>
        <v>0</v>
      </c>
      <c r="T217" s="159">
        <f>SUMPRODUCT($H$200:$T$200,--($H$52:$T$52&lt;=T52),--($H$52:$T$52&gt;T52-Inputs!$E$480))/Inputs!$E$480</f>
        <v>0</v>
      </c>
    </row>
    <row r="218" spans="2:20" x14ac:dyDescent="0.25">
      <c r="B218" s="23" t="s">
        <v>2479</v>
      </c>
      <c r="C218" s="28" t="s">
        <v>493</v>
      </c>
      <c r="H218" s="159">
        <f>SUMPRODUCT($H$201:$T$201,--($H$52:$T$52&lt;=H52),--($H$52:$T$52&gt;H52-Inputs!$E$480))/Inputs!$E$480</f>
        <v>0</v>
      </c>
      <c r="I218" s="159">
        <f>SUMPRODUCT($H$201:$T$201,--($H$52:$T$52&lt;=I52),--($H$52:$T$52&gt;I52-Inputs!$E$480))/Inputs!$E$480</f>
        <v>0</v>
      </c>
      <c r="J218" s="159">
        <f>SUMPRODUCT($H$201:$T$201,--($H$52:$T$52&lt;=J52),--($H$52:$T$52&gt;J52-Inputs!$E$480))/Inputs!$E$480</f>
        <v>0</v>
      </c>
      <c r="K218" s="159">
        <f>SUMPRODUCT($H$201:$T$201,--($H$52:$T$52&lt;=K52),--($H$52:$T$52&gt;K52-Inputs!$E$480))/Inputs!$E$480</f>
        <v>0</v>
      </c>
      <c r="L218" s="159">
        <f>SUMPRODUCT($H$201:$T$201,--($H$52:$T$52&lt;=L52),--($H$52:$T$52&gt;L52-Inputs!$E$480))/Inputs!$E$480</f>
        <v>0</v>
      </c>
      <c r="M218" s="159">
        <f>SUMPRODUCT($H$201:$T$201,--($H$52:$T$52&lt;=M52),--($H$52:$T$52&gt;M52-Inputs!$E$480))/Inputs!$E$480</f>
        <v>0</v>
      </c>
      <c r="N218" s="159">
        <f>SUMPRODUCT($H$201:$T$201,--($H$52:$T$52&lt;=N52),--($H$52:$T$52&gt;N52-Inputs!$E$480))/Inputs!$E$480</f>
        <v>0</v>
      </c>
      <c r="O218" s="159">
        <f>SUMPRODUCT($H$201:$T$201,--($H$52:$T$52&lt;=O52),--($H$52:$T$52&gt;O52-Inputs!$E$480))/Inputs!$E$480</f>
        <v>0</v>
      </c>
      <c r="P218" s="159">
        <f>SUMPRODUCT($H$201:$T$201,--($H$52:$T$52&lt;=P52),--($H$52:$T$52&gt;P52-Inputs!$E$480))/Inputs!$E$480</f>
        <v>0</v>
      </c>
      <c r="Q218" s="159">
        <f>SUMPRODUCT($H$201:$T$201,--($H$52:$T$52&lt;=Q52),--($H$52:$T$52&gt;Q52-Inputs!$E$480))/Inputs!$E$480</f>
        <v>0</v>
      </c>
      <c r="R218" s="159">
        <f>SUMPRODUCT($H$201:$T$201,--($H$52:$T$52&lt;=R52),--($H$52:$T$52&gt;R52-Inputs!$E$480))/Inputs!$E$480</f>
        <v>0</v>
      </c>
      <c r="S218" s="159">
        <f>SUMPRODUCT($H$201:$T$201,--($H$52:$T$52&lt;=S52),--($H$52:$T$52&gt;S52-Inputs!$E$480))/Inputs!$E$480</f>
        <v>0</v>
      </c>
      <c r="T218" s="159">
        <f>SUMPRODUCT($H$201:$T$201,--($H$52:$T$52&lt;=T52),--($H$52:$T$52&gt;T52-Inputs!$E$480))/Inputs!$E$480</f>
        <v>0</v>
      </c>
    </row>
    <row r="219" spans="2:20" x14ac:dyDescent="0.25">
      <c r="B219" s="23" t="s">
        <v>2480</v>
      </c>
      <c r="C219" s="28" t="s">
        <v>493</v>
      </c>
      <c r="H219" s="159">
        <f>SUMPRODUCT($H$202:$T$202,--($H$52:$T$52&lt;=H52),--($H$52:$T$52&gt;H52-Inputs!$E$480))/Inputs!$E$480</f>
        <v>0</v>
      </c>
      <c r="I219" s="159">
        <f>SUMPRODUCT($H$202:$T$202,--($H$52:$T$52&lt;=I52),--($H$52:$T$52&gt;I52-Inputs!$E$480))/Inputs!$E$480</f>
        <v>0</v>
      </c>
      <c r="J219" s="159">
        <f>SUMPRODUCT($H$202:$T$202,--($H$52:$T$52&lt;=J52),--($H$52:$T$52&gt;J52-Inputs!$E$480))/Inputs!$E$480</f>
        <v>0</v>
      </c>
      <c r="K219" s="159">
        <f>SUMPRODUCT($H$202:$T$202,--($H$52:$T$52&lt;=K52),--($H$52:$T$52&gt;K52-Inputs!$E$480))/Inputs!$E$480</f>
        <v>0</v>
      </c>
      <c r="L219" s="159">
        <f>SUMPRODUCT($H$202:$T$202,--($H$52:$T$52&lt;=L52),--($H$52:$T$52&gt;L52-Inputs!$E$480))/Inputs!$E$480</f>
        <v>0</v>
      </c>
      <c r="M219" s="159">
        <f>SUMPRODUCT($H$202:$T$202,--($H$52:$T$52&lt;=M52),--($H$52:$T$52&gt;M52-Inputs!$E$480))/Inputs!$E$480</f>
        <v>0</v>
      </c>
      <c r="N219" s="159">
        <f>SUMPRODUCT($H$202:$T$202,--($H$52:$T$52&lt;=N52),--($H$52:$T$52&gt;N52-Inputs!$E$480))/Inputs!$E$480</f>
        <v>0</v>
      </c>
      <c r="O219" s="159">
        <f>SUMPRODUCT($H$202:$T$202,--($H$52:$T$52&lt;=O52),--($H$52:$T$52&gt;O52-Inputs!$E$480))/Inputs!$E$480</f>
        <v>0</v>
      </c>
      <c r="P219" s="159">
        <f>SUMPRODUCT($H$202:$T$202,--($H$52:$T$52&lt;=P52),--($H$52:$T$52&gt;P52-Inputs!$E$480))/Inputs!$E$480</f>
        <v>0</v>
      </c>
      <c r="Q219" s="159">
        <f>SUMPRODUCT($H$202:$T$202,--($H$52:$T$52&lt;=Q52),--($H$52:$T$52&gt;Q52-Inputs!$E$480))/Inputs!$E$480</f>
        <v>0</v>
      </c>
      <c r="R219" s="159">
        <f>SUMPRODUCT($H$202:$T$202,--($H$52:$T$52&lt;=R52),--($H$52:$T$52&gt;R52-Inputs!$E$480))/Inputs!$E$480</f>
        <v>0</v>
      </c>
      <c r="S219" s="159">
        <f>SUMPRODUCT($H$202:$T$202,--($H$52:$T$52&lt;=S52),--($H$52:$T$52&gt;S52-Inputs!$E$480))/Inputs!$E$480</f>
        <v>0</v>
      </c>
      <c r="T219" s="159">
        <f>SUMPRODUCT($H$202:$T$202,--($H$52:$T$52&lt;=T52),--($H$52:$T$52&gt;T52-Inputs!$E$480))/Inputs!$E$480</f>
        <v>0</v>
      </c>
    </row>
    <row r="220" spans="2:20" x14ac:dyDescent="0.25">
      <c r="B220" s="23" t="s">
        <v>2481</v>
      </c>
      <c r="C220" s="28" t="s">
        <v>493</v>
      </c>
      <c r="H220" s="159">
        <f>SUMPRODUCT($H$203:$T$203,--($H$52:$T$52&lt;=H52),--($H$52:$T$52&gt;H52-Inputs!$E$480))/Inputs!$E$480</f>
        <v>0</v>
      </c>
      <c r="I220" s="159">
        <f>SUMPRODUCT($H$203:$T$203,--($H$52:$T$52&lt;=I52),--($H$52:$T$52&gt;I52-Inputs!$E$480))/Inputs!$E$480</f>
        <v>0</v>
      </c>
      <c r="J220" s="159">
        <f>SUMPRODUCT($H$203:$T$203,--($H$52:$T$52&lt;=J52),--($H$52:$T$52&gt;J52-Inputs!$E$480))/Inputs!$E$480</f>
        <v>0</v>
      </c>
      <c r="K220" s="159">
        <f>SUMPRODUCT($H$203:$T$203,--($H$52:$T$52&lt;=K52),--($H$52:$T$52&gt;K52-Inputs!$E$480))/Inputs!$E$480</f>
        <v>0</v>
      </c>
      <c r="L220" s="159">
        <f>SUMPRODUCT($H$203:$T$203,--($H$52:$T$52&lt;=L52),--($H$52:$T$52&gt;L52-Inputs!$E$480))/Inputs!$E$480</f>
        <v>0</v>
      </c>
      <c r="M220" s="159">
        <f>SUMPRODUCT($H$203:$T$203,--($H$52:$T$52&lt;=M52),--($H$52:$T$52&gt;M52-Inputs!$E$480))/Inputs!$E$480</f>
        <v>0</v>
      </c>
      <c r="N220" s="159">
        <f>SUMPRODUCT($H$203:$T$203,--($H$52:$T$52&lt;=N52),--($H$52:$T$52&gt;N52-Inputs!$E$480))/Inputs!$E$480</f>
        <v>0</v>
      </c>
      <c r="O220" s="159">
        <f>SUMPRODUCT($H$203:$T$203,--($H$52:$T$52&lt;=O52),--($H$52:$T$52&gt;O52-Inputs!$E$480))/Inputs!$E$480</f>
        <v>0</v>
      </c>
      <c r="P220" s="159">
        <f>SUMPRODUCT($H$203:$T$203,--($H$52:$T$52&lt;=P52),--($H$52:$T$52&gt;P52-Inputs!$E$480))/Inputs!$E$480</f>
        <v>0</v>
      </c>
      <c r="Q220" s="159">
        <f>SUMPRODUCT($H$203:$T$203,--($H$52:$T$52&lt;=Q52),--($H$52:$T$52&gt;Q52-Inputs!$E$480))/Inputs!$E$480</f>
        <v>0</v>
      </c>
      <c r="R220" s="159">
        <f>SUMPRODUCT($H$203:$T$203,--($H$52:$T$52&lt;=R52),--($H$52:$T$52&gt;R52-Inputs!$E$480))/Inputs!$E$480</f>
        <v>0</v>
      </c>
      <c r="S220" s="159">
        <f>SUMPRODUCT($H$203:$T$203,--($H$52:$T$52&lt;=S52),--($H$52:$T$52&gt;S52-Inputs!$E$480))/Inputs!$E$480</f>
        <v>0</v>
      </c>
      <c r="T220" s="159">
        <f>SUMPRODUCT($H$203:$T$203,--($H$52:$T$52&lt;=T52),--($H$52:$T$52&gt;T52-Inputs!$E$480))/Inputs!$E$480</f>
        <v>0</v>
      </c>
    </row>
    <row r="221" spans="2:20" x14ac:dyDescent="0.25">
      <c r="B221" s="23" t="s">
        <v>2482</v>
      </c>
      <c r="C221" s="28" t="s">
        <v>493</v>
      </c>
      <c r="H221" s="159">
        <f>SUMPRODUCT($H$204:$T$204,--($H$52:$T$52&lt;=H52),--($H$52:$T$52&gt;H52-Inputs!$E$480))/Inputs!$E$480</f>
        <v>0</v>
      </c>
      <c r="I221" s="159">
        <f>SUMPRODUCT($H$204:$T$204,--($H$52:$T$52&lt;=I52),--($H$52:$T$52&gt;I52-Inputs!$E$480))/Inputs!$E$480</f>
        <v>0</v>
      </c>
      <c r="J221" s="159">
        <f>SUMPRODUCT($H$204:$T$204,--($H$52:$T$52&lt;=J52),--($H$52:$T$52&gt;J52-Inputs!$E$480))/Inputs!$E$480</f>
        <v>0</v>
      </c>
      <c r="K221" s="159">
        <f>SUMPRODUCT($H$204:$T$204,--($H$52:$T$52&lt;=K52),--($H$52:$T$52&gt;K52-Inputs!$E$480))/Inputs!$E$480</f>
        <v>0</v>
      </c>
      <c r="L221" s="159">
        <f>SUMPRODUCT($H$204:$T$204,--($H$52:$T$52&lt;=L52),--($H$52:$T$52&gt;L52-Inputs!$E$480))/Inputs!$E$480</f>
        <v>0</v>
      </c>
      <c r="M221" s="159">
        <f>SUMPRODUCT($H$204:$T$204,--($H$52:$T$52&lt;=M52),--($H$52:$T$52&gt;M52-Inputs!$E$480))/Inputs!$E$480</f>
        <v>0</v>
      </c>
      <c r="N221" s="159">
        <f>SUMPRODUCT($H$204:$T$204,--($H$52:$T$52&lt;=N52),--($H$52:$T$52&gt;N52-Inputs!$E$480))/Inputs!$E$480</f>
        <v>0</v>
      </c>
      <c r="O221" s="159">
        <f>SUMPRODUCT($H$204:$T$204,--($H$52:$T$52&lt;=O52),--($H$52:$T$52&gt;O52-Inputs!$E$480))/Inputs!$E$480</f>
        <v>0</v>
      </c>
      <c r="P221" s="159">
        <f>SUMPRODUCT($H$204:$T$204,--($H$52:$T$52&lt;=P52),--($H$52:$T$52&gt;P52-Inputs!$E$480))/Inputs!$E$480</f>
        <v>0</v>
      </c>
      <c r="Q221" s="159">
        <f>SUMPRODUCT($H$204:$T$204,--($H$52:$T$52&lt;=Q52),--($H$52:$T$52&gt;Q52-Inputs!$E$480))/Inputs!$E$480</f>
        <v>0</v>
      </c>
      <c r="R221" s="159">
        <f>SUMPRODUCT($H$204:$T$204,--($H$52:$T$52&lt;=R52),--($H$52:$T$52&gt;R52-Inputs!$E$480))/Inputs!$E$480</f>
        <v>0</v>
      </c>
      <c r="S221" s="159">
        <f>SUMPRODUCT($H$204:$T$204,--($H$52:$T$52&lt;=S52),--($H$52:$T$52&gt;S52-Inputs!$E$480))/Inputs!$E$480</f>
        <v>0</v>
      </c>
      <c r="T221" s="159">
        <f>SUMPRODUCT($H$204:$T$204,--($H$52:$T$52&lt;=T52),--($H$52:$T$52&gt;T52-Inputs!$E$480))/Inputs!$E$480</f>
        <v>0</v>
      </c>
    </row>
    <row r="222" spans="2:20" x14ac:dyDescent="0.25">
      <c r="B222" s="23" t="s">
        <v>2483</v>
      </c>
      <c r="C222" s="28" t="s">
        <v>493</v>
      </c>
      <c r="H222" s="159">
        <f>SUMPRODUCT($H$205:$T$205,--($H$52:$T$52&lt;=H52),--($H$52:$T$52&gt;H52-Inputs!$E$480))/Inputs!$E$480</f>
        <v>0</v>
      </c>
      <c r="I222" s="159">
        <f>SUMPRODUCT($H$205:$T$205,--($H$52:$T$52&lt;=I52),--($H$52:$T$52&gt;I52-Inputs!$E$480))/Inputs!$E$480</f>
        <v>0</v>
      </c>
      <c r="J222" s="159">
        <f>SUMPRODUCT($H$205:$T$205,--($H$52:$T$52&lt;=J52),--($H$52:$T$52&gt;J52-Inputs!$E$480))/Inputs!$E$480</f>
        <v>0</v>
      </c>
      <c r="K222" s="159">
        <f>SUMPRODUCT($H$205:$T$205,--($H$52:$T$52&lt;=K52),--($H$52:$T$52&gt;K52-Inputs!$E$480))/Inputs!$E$480</f>
        <v>0</v>
      </c>
      <c r="L222" s="159">
        <f>SUMPRODUCT($H$205:$T$205,--($H$52:$T$52&lt;=L52),--($H$52:$T$52&gt;L52-Inputs!$E$480))/Inputs!$E$480</f>
        <v>0</v>
      </c>
      <c r="M222" s="159">
        <f>SUMPRODUCT($H$205:$T$205,--($H$52:$T$52&lt;=M52),--($H$52:$T$52&gt;M52-Inputs!$E$480))/Inputs!$E$480</f>
        <v>0</v>
      </c>
      <c r="N222" s="159">
        <f>SUMPRODUCT($H$205:$T$205,--($H$52:$T$52&lt;=N52),--($H$52:$T$52&gt;N52-Inputs!$E$480))/Inputs!$E$480</f>
        <v>0</v>
      </c>
      <c r="O222" s="159">
        <f>SUMPRODUCT($H$205:$T$205,--($H$52:$T$52&lt;=O52),--($H$52:$T$52&gt;O52-Inputs!$E$480))/Inputs!$E$480</f>
        <v>0</v>
      </c>
      <c r="P222" s="159">
        <f>SUMPRODUCT($H$205:$T$205,--($H$52:$T$52&lt;=P52),--($H$52:$T$52&gt;P52-Inputs!$E$480))/Inputs!$E$480</f>
        <v>0</v>
      </c>
      <c r="Q222" s="159">
        <f>SUMPRODUCT($H$205:$T$205,--($H$52:$T$52&lt;=Q52),--($H$52:$T$52&gt;Q52-Inputs!$E$480))/Inputs!$E$480</f>
        <v>0</v>
      </c>
      <c r="R222" s="159">
        <f>SUMPRODUCT($H$205:$T$205,--($H$52:$T$52&lt;=R52),--($H$52:$T$52&gt;R52-Inputs!$E$480))/Inputs!$E$480</f>
        <v>0</v>
      </c>
      <c r="S222" s="159">
        <f>SUMPRODUCT($H$205:$T$205,--($H$52:$T$52&lt;=S52),--($H$52:$T$52&gt;S52-Inputs!$E$480))/Inputs!$E$480</f>
        <v>0</v>
      </c>
      <c r="T222" s="159">
        <f>SUMPRODUCT($H$205:$T$205,--($H$52:$T$52&lt;=T52),--($H$52:$T$52&gt;T52-Inputs!$E$480))/Inputs!$E$480</f>
        <v>0</v>
      </c>
    </row>
    <row r="223" spans="2:20" x14ac:dyDescent="0.25">
      <c r="B223" s="23" t="s">
        <v>2484</v>
      </c>
      <c r="C223" s="28" t="s">
        <v>493</v>
      </c>
      <c r="H223" s="159">
        <f>SUMPRODUCT($H$206:$T$206,--($H$52:$T$52&lt;=H52),--($H$52:$T$52&gt;H52-Inputs!$E$480))/Inputs!$E$480</f>
        <v>0</v>
      </c>
      <c r="I223" s="159">
        <f>SUMPRODUCT($H$206:$T$206,--($H$52:$T$52&lt;=I52),--($H$52:$T$52&gt;I52-Inputs!$E$480))/Inputs!$E$480</f>
        <v>0</v>
      </c>
      <c r="J223" s="159">
        <f>SUMPRODUCT($H$206:$T$206,--($H$52:$T$52&lt;=J52),--($H$52:$T$52&gt;J52-Inputs!$E$480))/Inputs!$E$480</f>
        <v>0</v>
      </c>
      <c r="K223" s="159">
        <f>SUMPRODUCT($H$206:$T$206,--($H$52:$T$52&lt;=K52),--($H$52:$T$52&gt;K52-Inputs!$E$480))/Inputs!$E$480</f>
        <v>0</v>
      </c>
      <c r="L223" s="159">
        <f>SUMPRODUCT($H$206:$T$206,--($H$52:$T$52&lt;=L52),--($H$52:$T$52&gt;L52-Inputs!$E$480))/Inputs!$E$480</f>
        <v>0</v>
      </c>
      <c r="M223" s="159">
        <f>SUMPRODUCT($H$206:$T$206,--($H$52:$T$52&lt;=M52),--($H$52:$T$52&gt;M52-Inputs!$E$480))/Inputs!$E$480</f>
        <v>0</v>
      </c>
      <c r="N223" s="159">
        <f>SUMPRODUCT($H$206:$T$206,--($H$52:$T$52&lt;=N52),--($H$52:$T$52&gt;N52-Inputs!$E$480))/Inputs!$E$480</f>
        <v>0</v>
      </c>
      <c r="O223" s="159">
        <f>SUMPRODUCT($H$206:$T$206,--($H$52:$T$52&lt;=O52),--($H$52:$T$52&gt;O52-Inputs!$E$480))/Inputs!$E$480</f>
        <v>0</v>
      </c>
      <c r="P223" s="159">
        <f>SUMPRODUCT($H$206:$T$206,--($H$52:$T$52&lt;=P52),--($H$52:$T$52&gt;P52-Inputs!$E$480))/Inputs!$E$480</f>
        <v>0</v>
      </c>
      <c r="Q223" s="159">
        <f>SUMPRODUCT($H$206:$T$206,--($H$52:$T$52&lt;=Q52),--($H$52:$T$52&gt;Q52-Inputs!$E$480))/Inputs!$E$480</f>
        <v>0</v>
      </c>
      <c r="R223" s="159">
        <f>SUMPRODUCT($H$206:$T$206,--($H$52:$T$52&lt;=R52),--($H$52:$T$52&gt;R52-Inputs!$E$480))/Inputs!$E$480</f>
        <v>0</v>
      </c>
      <c r="S223" s="159">
        <f>SUMPRODUCT($H$206:$T$206,--($H$52:$T$52&lt;=S52),--($H$52:$T$52&gt;S52-Inputs!$E$480))/Inputs!$E$480</f>
        <v>0</v>
      </c>
      <c r="T223" s="159">
        <f>SUMPRODUCT($H$206:$T$206,--($H$52:$T$52&lt;=T52),--($H$52:$T$52&gt;T52-Inputs!$E$480))/Inputs!$E$480</f>
        <v>0</v>
      </c>
    </row>
    <row r="224" spans="2:20" x14ac:dyDescent="0.25">
      <c r="B224" s="23" t="s">
        <v>2485</v>
      </c>
      <c r="C224" s="28" t="s">
        <v>493</v>
      </c>
      <c r="H224" s="159">
        <f>SUMPRODUCT($H$207:$T$207,--($H$52:$T$52&lt;=H52),--($H$52:$T$52&gt;H52-Inputs!$E$480))/Inputs!$E$480</f>
        <v>0</v>
      </c>
      <c r="I224" s="159">
        <f>SUMPRODUCT($H$207:$T$207,--($H$52:$T$52&lt;=I52),--($H$52:$T$52&gt;I52-Inputs!$E$480))/Inputs!$E$480</f>
        <v>0</v>
      </c>
      <c r="J224" s="159">
        <f>SUMPRODUCT($H$207:$T$207,--($H$52:$T$52&lt;=J52),--($H$52:$T$52&gt;J52-Inputs!$E$480))/Inputs!$E$480</f>
        <v>0</v>
      </c>
      <c r="K224" s="159">
        <f>SUMPRODUCT($H$207:$T$207,--($H$52:$T$52&lt;=K52),--($H$52:$T$52&gt;K52-Inputs!$E$480))/Inputs!$E$480</f>
        <v>0</v>
      </c>
      <c r="L224" s="159">
        <f>SUMPRODUCT($H$207:$T$207,--($H$52:$T$52&lt;=L52),--($H$52:$T$52&gt;L52-Inputs!$E$480))/Inputs!$E$480</f>
        <v>0</v>
      </c>
      <c r="M224" s="159">
        <f>SUMPRODUCT($H$207:$T$207,--($H$52:$T$52&lt;=M52),--($H$52:$T$52&gt;M52-Inputs!$E$480))/Inputs!$E$480</f>
        <v>0</v>
      </c>
      <c r="N224" s="159">
        <f>SUMPRODUCT($H$207:$T$207,--($H$52:$T$52&lt;=N52),--($H$52:$T$52&gt;N52-Inputs!$E$480))/Inputs!$E$480</f>
        <v>0</v>
      </c>
      <c r="O224" s="159">
        <f>SUMPRODUCT($H$207:$T$207,--($H$52:$T$52&lt;=O52),--($H$52:$T$52&gt;O52-Inputs!$E$480))/Inputs!$E$480</f>
        <v>0</v>
      </c>
      <c r="P224" s="159">
        <f>SUMPRODUCT($H$207:$T$207,--($H$52:$T$52&lt;=P52),--($H$52:$T$52&gt;P52-Inputs!$E$480))/Inputs!$E$480</f>
        <v>0</v>
      </c>
      <c r="Q224" s="159">
        <f>SUMPRODUCT($H$207:$T$207,--($H$52:$T$52&lt;=Q52),--($H$52:$T$52&gt;Q52-Inputs!$E$480))/Inputs!$E$480</f>
        <v>0</v>
      </c>
      <c r="R224" s="159">
        <f>SUMPRODUCT($H$207:$T$207,--($H$52:$T$52&lt;=R52),--($H$52:$T$52&gt;R52-Inputs!$E$480))/Inputs!$E$480</f>
        <v>0</v>
      </c>
      <c r="S224" s="159">
        <f>SUMPRODUCT($H$207:$T$207,--($H$52:$T$52&lt;=S52),--($H$52:$T$52&gt;S52-Inputs!$E$480))/Inputs!$E$480</f>
        <v>0</v>
      </c>
      <c r="T224" s="159">
        <f>SUMPRODUCT($H$207:$T$207,--($H$52:$T$52&lt;=T52),--($H$52:$T$52&gt;T52-Inputs!$E$480))/Inputs!$E$480</f>
        <v>0</v>
      </c>
    </row>
    <row r="225" spans="2:20" x14ac:dyDescent="0.25">
      <c r="B225" s="23" t="s">
        <v>2486</v>
      </c>
      <c r="C225" s="28" t="s">
        <v>493</v>
      </c>
      <c r="H225" s="159">
        <f>SUMPRODUCT($H$208:$T$208,--($H$52:$T$52&lt;=H52),--($H$52:$T$52&gt;H52-Inputs!$E$480))/Inputs!$E$480</f>
        <v>0</v>
      </c>
      <c r="I225" s="159">
        <f>SUMPRODUCT($H$208:$T$208,--($H$52:$T$52&lt;=I52),--($H$52:$T$52&gt;I52-Inputs!$E$480))/Inputs!$E$480</f>
        <v>0</v>
      </c>
      <c r="J225" s="159">
        <f>SUMPRODUCT($H$208:$T$208,--($H$52:$T$52&lt;=J52),--($H$52:$T$52&gt;J52-Inputs!$E$480))/Inputs!$E$480</f>
        <v>0</v>
      </c>
      <c r="K225" s="159">
        <f>SUMPRODUCT($H$208:$T$208,--($H$52:$T$52&lt;=K52),--($H$52:$T$52&gt;K52-Inputs!$E$480))/Inputs!$E$480</f>
        <v>0</v>
      </c>
      <c r="L225" s="159">
        <f>SUMPRODUCT($H$208:$T$208,--($H$52:$T$52&lt;=L52),--($H$52:$T$52&gt;L52-Inputs!$E$480))/Inputs!$E$480</f>
        <v>0</v>
      </c>
      <c r="M225" s="159">
        <f>SUMPRODUCT($H$208:$T$208,--($H$52:$T$52&lt;=M52),--($H$52:$T$52&gt;M52-Inputs!$E$480))/Inputs!$E$480</f>
        <v>0</v>
      </c>
      <c r="N225" s="159">
        <f>SUMPRODUCT($H$208:$T$208,--($H$52:$T$52&lt;=N52),--($H$52:$T$52&gt;N52-Inputs!$E$480))/Inputs!$E$480</f>
        <v>0</v>
      </c>
      <c r="O225" s="159">
        <f>SUMPRODUCT($H$208:$T$208,--($H$52:$T$52&lt;=O52),--($H$52:$T$52&gt;O52-Inputs!$E$480))/Inputs!$E$480</f>
        <v>0</v>
      </c>
      <c r="P225" s="159">
        <f>SUMPRODUCT($H$208:$T$208,--($H$52:$T$52&lt;=P52),--($H$52:$T$52&gt;P52-Inputs!$E$480))/Inputs!$E$480</f>
        <v>0</v>
      </c>
      <c r="Q225" s="159">
        <f>SUMPRODUCT($H$208:$T$208,--($H$52:$T$52&lt;=Q52),--($H$52:$T$52&gt;Q52-Inputs!$E$480))/Inputs!$E$480</f>
        <v>0</v>
      </c>
      <c r="R225" s="159">
        <f>SUMPRODUCT($H$208:$T$208,--($H$52:$T$52&lt;=R52),--($H$52:$T$52&gt;R52-Inputs!$E$480))/Inputs!$E$480</f>
        <v>0</v>
      </c>
      <c r="S225" s="159">
        <f>SUMPRODUCT($H$208:$T$208,--($H$52:$T$52&lt;=S52),--($H$52:$T$52&gt;S52-Inputs!$E$480))/Inputs!$E$480</f>
        <v>0</v>
      </c>
      <c r="T225" s="159">
        <f>SUMPRODUCT($H$208:$T$208,--($H$52:$T$52&lt;=T52),--($H$52:$T$52&gt;T52-Inputs!$E$480))/Inputs!$E$480</f>
        <v>0</v>
      </c>
    </row>
    <row r="226" spans="2:20" x14ac:dyDescent="0.25">
      <c r="B226" s="23" t="s">
        <v>2487</v>
      </c>
      <c r="C226" s="28" t="s">
        <v>493</v>
      </c>
      <c r="H226" s="159">
        <f>SUMPRODUCT($H$209:$T$209,--($H$52:$T$52&lt;=H52),--($H$52:$T$52&gt;H52-Inputs!$E$480))/Inputs!$E$480</f>
        <v>0</v>
      </c>
      <c r="I226" s="159">
        <f>SUMPRODUCT($H$209:$T$209,--($H$52:$T$52&lt;=I52),--($H$52:$T$52&gt;I52-Inputs!$E$480))/Inputs!$E$480</f>
        <v>0</v>
      </c>
      <c r="J226" s="159">
        <f>SUMPRODUCT($H$209:$T$209,--($H$52:$T$52&lt;=J52),--($H$52:$T$52&gt;J52-Inputs!$E$480))/Inputs!$E$480</f>
        <v>0</v>
      </c>
      <c r="K226" s="159">
        <f>SUMPRODUCT($H$209:$T$209,--($H$52:$T$52&lt;=K52),--($H$52:$T$52&gt;K52-Inputs!$E$480))/Inputs!$E$480</f>
        <v>0</v>
      </c>
      <c r="L226" s="159">
        <f>SUMPRODUCT($H$209:$T$209,--($H$52:$T$52&lt;=L52),--($H$52:$T$52&gt;L52-Inputs!$E$480))/Inputs!$E$480</f>
        <v>0</v>
      </c>
      <c r="M226" s="159">
        <f>SUMPRODUCT($H$209:$T$209,--($H$52:$T$52&lt;=M52),--($H$52:$T$52&gt;M52-Inputs!$E$480))/Inputs!$E$480</f>
        <v>0</v>
      </c>
      <c r="N226" s="159">
        <f>SUMPRODUCT($H$209:$T$209,--($H$52:$T$52&lt;=N52),--($H$52:$T$52&gt;N52-Inputs!$E$480))/Inputs!$E$480</f>
        <v>0</v>
      </c>
      <c r="O226" s="159">
        <f>SUMPRODUCT($H$209:$T$209,--($H$52:$T$52&lt;=O52),--($H$52:$T$52&gt;O52-Inputs!$E$480))/Inputs!$E$480</f>
        <v>0</v>
      </c>
      <c r="P226" s="159">
        <f>SUMPRODUCT($H$209:$T$209,--($H$52:$T$52&lt;=P52),--($H$52:$T$52&gt;P52-Inputs!$E$480))/Inputs!$E$480</f>
        <v>0</v>
      </c>
      <c r="Q226" s="159">
        <f>SUMPRODUCT($H$209:$T$209,--($H$52:$T$52&lt;=Q52),--($H$52:$T$52&gt;Q52-Inputs!$E$480))/Inputs!$E$480</f>
        <v>0</v>
      </c>
      <c r="R226" s="159">
        <f>SUMPRODUCT($H$209:$T$209,--($H$52:$T$52&lt;=R52),--($H$52:$T$52&gt;R52-Inputs!$E$480))/Inputs!$E$480</f>
        <v>0</v>
      </c>
      <c r="S226" s="159">
        <f>SUMPRODUCT($H$209:$T$209,--($H$52:$T$52&lt;=S52),--($H$52:$T$52&gt;S52-Inputs!$E$480))/Inputs!$E$480</f>
        <v>0</v>
      </c>
      <c r="T226" s="159">
        <f>SUMPRODUCT($H$209:$T$209,--($H$52:$T$52&lt;=T52),--($H$52:$T$52&gt;T52-Inputs!$E$480))/Inputs!$E$480</f>
        <v>0</v>
      </c>
    </row>
    <row r="227" spans="2:20" x14ac:dyDescent="0.25">
      <c r="B227" s="21" t="s">
        <v>2488</v>
      </c>
      <c r="C227" s="28" t="s">
        <v>493</v>
      </c>
      <c r="G227" s="157"/>
      <c r="H227" s="158">
        <f t="shared" ref="H227:T227" si="30">SUM(H211:H226)</f>
        <v>0</v>
      </c>
      <c r="I227" s="158">
        <f t="shared" si="30"/>
        <v>0</v>
      </c>
      <c r="J227" s="158">
        <f t="shared" si="30"/>
        <v>0</v>
      </c>
      <c r="K227" s="158">
        <f t="shared" si="30"/>
        <v>0</v>
      </c>
      <c r="L227" s="158">
        <f t="shared" si="30"/>
        <v>0</v>
      </c>
      <c r="M227" s="158">
        <f t="shared" si="30"/>
        <v>0</v>
      </c>
      <c r="N227" s="158">
        <f t="shared" si="30"/>
        <v>0</v>
      </c>
      <c r="O227" s="158">
        <f t="shared" si="30"/>
        <v>0</v>
      </c>
      <c r="P227" s="158">
        <f t="shared" si="30"/>
        <v>0</v>
      </c>
      <c r="Q227" s="158">
        <f t="shared" si="30"/>
        <v>0</v>
      </c>
      <c r="R227" s="158">
        <f t="shared" si="30"/>
        <v>0</v>
      </c>
      <c r="S227" s="158">
        <f t="shared" si="30"/>
        <v>0</v>
      </c>
      <c r="T227" s="158">
        <f t="shared" si="30"/>
        <v>0</v>
      </c>
    </row>
    <row r="229" spans="2:20" x14ac:dyDescent="0.25">
      <c r="B229" s="58" t="s">
        <v>2489</v>
      </c>
      <c r="C229" s="19"/>
      <c r="D229" s="19"/>
      <c r="E229" s="19"/>
      <c r="F229" s="19"/>
      <c r="G229" s="19"/>
      <c r="H229" s="19"/>
      <c r="I229" s="19"/>
      <c r="J229" s="19"/>
      <c r="K229" s="19"/>
      <c r="L229" s="19"/>
      <c r="M229" s="19"/>
      <c r="N229" s="19"/>
      <c r="O229" s="19"/>
      <c r="P229" s="19"/>
      <c r="Q229" s="19"/>
      <c r="R229" s="19"/>
      <c r="S229" s="19"/>
      <c r="T229" s="19"/>
    </row>
    <row r="230" spans="2:20" x14ac:dyDescent="0.25">
      <c r="B230" s="154" t="s">
        <v>2490</v>
      </c>
    </row>
    <row r="231" spans="2:20" x14ac:dyDescent="0.25">
      <c r="B231" s="23" t="s">
        <v>2031</v>
      </c>
      <c r="C231" s="28" t="s">
        <v>493</v>
      </c>
      <c r="E231" s="44" t="s">
        <v>517</v>
      </c>
      <c r="H231" s="159">
        <f t="shared" ref="H231:T231" si="31">H178+H211</f>
        <v>41.740782175912301</v>
      </c>
      <c r="I231" s="159">
        <f t="shared" si="31"/>
        <v>41.746256305782097</v>
      </c>
      <c r="J231" s="159">
        <f t="shared" si="31"/>
        <v>42.751839918249296</v>
      </c>
      <c r="K231" s="159">
        <f t="shared" si="31"/>
        <v>42.757535202965833</v>
      </c>
      <c r="L231" s="159">
        <f t="shared" si="31"/>
        <v>42.763344393376705</v>
      </c>
      <c r="M231" s="159">
        <f t="shared" si="31"/>
        <v>43.769269767595794</v>
      </c>
      <c r="N231" s="159">
        <f t="shared" si="31"/>
        <v>43.775313649299264</v>
      </c>
      <c r="O231" s="159">
        <f t="shared" si="31"/>
        <v>43.781478408636801</v>
      </c>
      <c r="P231" s="159">
        <f t="shared" si="31"/>
        <v>44.787766463161091</v>
      </c>
      <c r="Q231" s="159">
        <f t="shared" si="31"/>
        <v>44.794180278775869</v>
      </c>
      <c r="R231" s="159">
        <f t="shared" si="31"/>
        <v>44.800722370702942</v>
      </c>
      <c r="S231" s="159">
        <f t="shared" si="31"/>
        <v>44.80739530446855</v>
      </c>
      <c r="T231" s="159">
        <f t="shared" si="31"/>
        <v>44.814201696909478</v>
      </c>
    </row>
    <row r="232" spans="2:20" x14ac:dyDescent="0.25">
      <c r="B232" s="23" t="s">
        <v>2032</v>
      </c>
      <c r="C232" s="28" t="s">
        <v>493</v>
      </c>
      <c r="E232" s="44" t="s">
        <v>526</v>
      </c>
      <c r="H232" s="159">
        <f t="shared" ref="H232:T232" si="32">H182+H212</f>
        <v>40.958825604243003</v>
      </c>
      <c r="I232" s="159">
        <f t="shared" si="32"/>
        <v>40.961418579151264</v>
      </c>
      <c r="J232" s="159">
        <f t="shared" si="32"/>
        <v>41.964063413557689</v>
      </c>
      <c r="K232" s="159">
        <f t="shared" si="32"/>
        <v>41.966761144652239</v>
      </c>
      <c r="L232" s="159">
        <f t="shared" si="32"/>
        <v>41.969512830368686</v>
      </c>
      <c r="M232" s="159">
        <f t="shared" si="32"/>
        <v>42.972319549799458</v>
      </c>
      <c r="N232" s="159">
        <f t="shared" si="32"/>
        <v>42.975182403618852</v>
      </c>
      <c r="O232" s="159">
        <f t="shared" si="32"/>
        <v>42.978102514514624</v>
      </c>
      <c r="P232" s="159">
        <f t="shared" si="32"/>
        <v>43.981081027628321</v>
      </c>
      <c r="Q232" s="159">
        <f t="shared" si="32"/>
        <v>43.984119111004283</v>
      </c>
      <c r="R232" s="159">
        <f t="shared" si="32"/>
        <v>43.987217956047772</v>
      </c>
      <c r="S232" s="159">
        <f t="shared" si="32"/>
        <v>43.990378777992127</v>
      </c>
      <c r="T232" s="159">
        <f t="shared" si="32"/>
        <v>43.993602816375372</v>
      </c>
    </row>
    <row r="233" spans="2:20" x14ac:dyDescent="0.25">
      <c r="B233" s="23" t="s">
        <v>2033</v>
      </c>
      <c r="C233" s="28" t="s">
        <v>493</v>
      </c>
      <c r="E233" s="44" t="s">
        <v>529</v>
      </c>
      <c r="H233" s="159">
        <f t="shared" ref="H233:T233" si="33">H186+H213</f>
        <v>5.2339742134299998</v>
      </c>
      <c r="I233" s="159">
        <f t="shared" si="33"/>
        <v>5.2339742134299998</v>
      </c>
      <c r="J233" s="159">
        <f t="shared" si="33"/>
        <v>2.6169871067149999</v>
      </c>
      <c r="K233" s="159">
        <f t="shared" si="33"/>
        <v>0</v>
      </c>
      <c r="L233" s="159">
        <f t="shared" si="33"/>
        <v>0</v>
      </c>
      <c r="M233" s="159">
        <f t="shared" si="33"/>
        <v>0</v>
      </c>
      <c r="N233" s="159">
        <f t="shared" si="33"/>
        <v>0</v>
      </c>
      <c r="O233" s="159">
        <f t="shared" si="33"/>
        <v>0</v>
      </c>
      <c r="P233" s="159">
        <f t="shared" si="33"/>
        <v>0</v>
      </c>
      <c r="Q233" s="159">
        <f t="shared" si="33"/>
        <v>0</v>
      </c>
      <c r="R233" s="159">
        <f t="shared" si="33"/>
        <v>0</v>
      </c>
      <c r="S233" s="159">
        <f t="shared" si="33"/>
        <v>0</v>
      </c>
      <c r="T233" s="159">
        <f t="shared" si="33"/>
        <v>0</v>
      </c>
    </row>
    <row r="234" spans="2:20" x14ac:dyDescent="0.25">
      <c r="B234" s="23" t="s">
        <v>2034</v>
      </c>
      <c r="C234" s="28" t="s">
        <v>493</v>
      </c>
      <c r="E234" s="44" t="s">
        <v>532</v>
      </c>
      <c r="H234" s="159">
        <f t="shared" ref="H234:T234" si="34">H190+H214</f>
        <v>0.43948041534999999</v>
      </c>
      <c r="I234" s="159">
        <f t="shared" si="34"/>
        <v>0.43948041534999999</v>
      </c>
      <c r="J234" s="159">
        <f t="shared" si="34"/>
        <v>0.43948041534999999</v>
      </c>
      <c r="K234" s="159">
        <f t="shared" si="34"/>
        <v>0.43948041534999999</v>
      </c>
      <c r="L234" s="159">
        <f t="shared" si="34"/>
        <v>0.43948041534999999</v>
      </c>
      <c r="M234" s="159">
        <f t="shared" si="34"/>
        <v>0.43948041534999999</v>
      </c>
      <c r="N234" s="159">
        <f t="shared" si="34"/>
        <v>0.43948041534999999</v>
      </c>
      <c r="O234" s="159">
        <f t="shared" si="34"/>
        <v>0.43948041534999999</v>
      </c>
      <c r="P234" s="159">
        <f t="shared" si="34"/>
        <v>0.43948041534999999</v>
      </c>
      <c r="Q234" s="159">
        <f t="shared" si="34"/>
        <v>0.43948041534999999</v>
      </c>
      <c r="R234" s="159">
        <f t="shared" si="34"/>
        <v>0.43948041534999999</v>
      </c>
      <c r="S234" s="159">
        <f t="shared" si="34"/>
        <v>0.43948041534999999</v>
      </c>
      <c r="T234" s="159">
        <f t="shared" si="34"/>
        <v>0.43948041534999999</v>
      </c>
    </row>
    <row r="235" spans="2:20" x14ac:dyDescent="0.25">
      <c r="B235" s="23" t="s">
        <v>2035</v>
      </c>
      <c r="C235" s="28" t="s">
        <v>493</v>
      </c>
      <c r="E235" s="44" t="s">
        <v>526</v>
      </c>
      <c r="H235" s="159">
        <f t="shared" ref="H235:T235" si="35">H91+H215</f>
        <v>0</v>
      </c>
      <c r="I235" s="159">
        <f t="shared" si="35"/>
        <v>17.79853586312198</v>
      </c>
      <c r="J235" s="159">
        <f t="shared" si="35"/>
        <v>17.79853586312198</v>
      </c>
      <c r="K235" s="159">
        <f t="shared" si="35"/>
        <v>17.79853586312198</v>
      </c>
      <c r="L235" s="159">
        <f t="shared" si="35"/>
        <v>17.79853586312198</v>
      </c>
      <c r="M235" s="159">
        <f t="shared" si="35"/>
        <v>17.79853586312198</v>
      </c>
      <c r="N235" s="159">
        <f t="shared" si="35"/>
        <v>17.79853586312198</v>
      </c>
      <c r="O235" s="159">
        <f t="shared" si="35"/>
        <v>17.79853586312198</v>
      </c>
      <c r="P235" s="159">
        <f t="shared" si="35"/>
        <v>17.79853586312198</v>
      </c>
      <c r="Q235" s="159">
        <f t="shared" si="35"/>
        <v>17.79853586312198</v>
      </c>
      <c r="R235" s="159">
        <f t="shared" si="35"/>
        <v>17.79853586312198</v>
      </c>
      <c r="S235" s="159">
        <f t="shared" si="35"/>
        <v>17.79853586312198</v>
      </c>
      <c r="T235" s="159">
        <f t="shared" si="35"/>
        <v>17.79853586312198</v>
      </c>
    </row>
    <row r="236" spans="2:20" x14ac:dyDescent="0.25">
      <c r="B236" s="23" t="s">
        <v>2036</v>
      </c>
      <c r="C236" s="28" t="s">
        <v>493</v>
      </c>
      <c r="E236" s="44" t="s">
        <v>526</v>
      </c>
      <c r="H236" s="159">
        <f t="shared" ref="H236:T236" si="36">H98+H216</f>
        <v>0</v>
      </c>
      <c r="I236" s="159">
        <f t="shared" si="36"/>
        <v>7.4200198051661976</v>
      </c>
      <c r="J236" s="159">
        <f t="shared" si="36"/>
        <v>7.4200198051661976</v>
      </c>
      <c r="K236" s="159">
        <f t="shared" si="36"/>
        <v>7.4200198051661976</v>
      </c>
      <c r="L236" s="159">
        <f t="shared" si="36"/>
        <v>7.4200198051661976</v>
      </c>
      <c r="M236" s="159">
        <f t="shared" si="36"/>
        <v>7.4200198051661976</v>
      </c>
      <c r="N236" s="159">
        <f t="shared" si="36"/>
        <v>7.4200198051661976</v>
      </c>
      <c r="O236" s="159">
        <f t="shared" si="36"/>
        <v>7.4200198051661976</v>
      </c>
      <c r="P236" s="159">
        <f t="shared" si="36"/>
        <v>7.4200198051661976</v>
      </c>
      <c r="Q236" s="159">
        <f t="shared" si="36"/>
        <v>7.4200198051661976</v>
      </c>
      <c r="R236" s="159">
        <f t="shared" si="36"/>
        <v>7.4200198051661976</v>
      </c>
      <c r="S236" s="159">
        <f t="shared" si="36"/>
        <v>7.4200198051661976</v>
      </c>
      <c r="T236" s="159">
        <f t="shared" si="36"/>
        <v>7.4200198051661976</v>
      </c>
    </row>
    <row r="237" spans="2:20" x14ac:dyDescent="0.25">
      <c r="B237" s="23" t="s">
        <v>2037</v>
      </c>
      <c r="C237" s="28" t="s">
        <v>493</v>
      </c>
      <c r="E237" s="44" t="s">
        <v>526</v>
      </c>
      <c r="H237" s="159">
        <f t="shared" ref="H237:T237" si="37">H105+H217</f>
        <v>0</v>
      </c>
      <c r="I237" s="159">
        <f t="shared" si="37"/>
        <v>0</v>
      </c>
      <c r="J237" s="159">
        <f t="shared" si="37"/>
        <v>0</v>
      </c>
      <c r="K237" s="159">
        <f t="shared" si="37"/>
        <v>0</v>
      </c>
      <c r="L237" s="159">
        <f t="shared" si="37"/>
        <v>0</v>
      </c>
      <c r="M237" s="159">
        <f t="shared" si="37"/>
        <v>0</v>
      </c>
      <c r="N237" s="159">
        <f t="shared" si="37"/>
        <v>0</v>
      </c>
      <c r="O237" s="159">
        <f t="shared" si="37"/>
        <v>0</v>
      </c>
      <c r="P237" s="159">
        <f t="shared" si="37"/>
        <v>0</v>
      </c>
      <c r="Q237" s="159">
        <f t="shared" si="37"/>
        <v>0</v>
      </c>
      <c r="R237" s="159">
        <f t="shared" si="37"/>
        <v>0</v>
      </c>
      <c r="S237" s="159">
        <f t="shared" si="37"/>
        <v>0</v>
      </c>
      <c r="T237" s="159">
        <f t="shared" si="37"/>
        <v>0</v>
      </c>
    </row>
    <row r="238" spans="2:20" x14ac:dyDescent="0.25">
      <c r="B238" s="23" t="s">
        <v>2038</v>
      </c>
      <c r="C238" s="28" t="s">
        <v>493</v>
      </c>
      <c r="E238" s="44" t="s">
        <v>517</v>
      </c>
      <c r="H238" s="159">
        <f t="shared" ref="H238:T238" si="38">H111+H218</f>
        <v>0</v>
      </c>
      <c r="I238" s="159">
        <f t="shared" si="38"/>
        <v>0</v>
      </c>
      <c r="J238" s="159">
        <f t="shared" si="38"/>
        <v>0</v>
      </c>
      <c r="K238" s="159">
        <f t="shared" si="38"/>
        <v>4.191771874999997</v>
      </c>
      <c r="L238" s="159">
        <f t="shared" si="38"/>
        <v>4.191771874999997</v>
      </c>
      <c r="M238" s="159">
        <f t="shared" si="38"/>
        <v>4.191771874999997</v>
      </c>
      <c r="N238" s="159">
        <f t="shared" si="38"/>
        <v>4.191771874999997</v>
      </c>
      <c r="O238" s="159">
        <f t="shared" si="38"/>
        <v>4.191771874999997</v>
      </c>
      <c r="P238" s="159">
        <f t="shared" si="38"/>
        <v>4.191771874999997</v>
      </c>
      <c r="Q238" s="159">
        <f t="shared" si="38"/>
        <v>4.191771874999997</v>
      </c>
      <c r="R238" s="159">
        <f t="shared" si="38"/>
        <v>4.191771874999997</v>
      </c>
      <c r="S238" s="159">
        <f t="shared" si="38"/>
        <v>4.191771874999997</v>
      </c>
      <c r="T238" s="159">
        <f t="shared" si="38"/>
        <v>4.191771874999997</v>
      </c>
    </row>
    <row r="239" spans="2:20" x14ac:dyDescent="0.25">
      <c r="B239" s="23" t="s">
        <v>2039</v>
      </c>
      <c r="C239" s="28" t="s">
        <v>493</v>
      </c>
      <c r="E239" s="44" t="s">
        <v>551</v>
      </c>
      <c r="H239" s="159">
        <f t="shared" ref="H239:T239" si="39">H117+H219</f>
        <v>0</v>
      </c>
      <c r="I239" s="159">
        <f t="shared" si="39"/>
        <v>0</v>
      </c>
      <c r="J239" s="159">
        <f t="shared" si="39"/>
        <v>8.8605523809523792</v>
      </c>
      <c r="K239" s="159">
        <f t="shared" si="39"/>
        <v>8.8605523809523792</v>
      </c>
      <c r="L239" s="159">
        <f t="shared" si="39"/>
        <v>8.8605523809523792</v>
      </c>
      <c r="M239" s="159">
        <f t="shared" si="39"/>
        <v>8.8605523809523792</v>
      </c>
      <c r="N239" s="159">
        <f t="shared" si="39"/>
        <v>8.8605523809523792</v>
      </c>
      <c r="O239" s="159">
        <f t="shared" si="39"/>
        <v>8.8605523809523792</v>
      </c>
      <c r="P239" s="159">
        <f t="shared" si="39"/>
        <v>8.8605523809523792</v>
      </c>
      <c r="Q239" s="159">
        <f t="shared" si="39"/>
        <v>8.8605523809523792</v>
      </c>
      <c r="R239" s="159">
        <f t="shared" si="39"/>
        <v>3.322707142857142</v>
      </c>
      <c r="S239" s="159">
        <f t="shared" si="39"/>
        <v>3.322707142857142</v>
      </c>
      <c r="T239" s="159">
        <f t="shared" si="39"/>
        <v>3.322707142857142</v>
      </c>
    </row>
    <row r="240" spans="2:20" x14ac:dyDescent="0.25">
      <c r="B240" s="23" t="s">
        <v>2040</v>
      </c>
      <c r="C240" s="28" t="s">
        <v>493</v>
      </c>
      <c r="E240" s="44" t="s">
        <v>556</v>
      </c>
      <c r="H240" s="159">
        <f t="shared" ref="H240:T240" si="40">H123+H220</f>
        <v>0</v>
      </c>
      <c r="I240" s="159">
        <f t="shared" si="40"/>
        <v>0</v>
      </c>
      <c r="J240" s="159">
        <f t="shared" si="40"/>
        <v>0</v>
      </c>
      <c r="K240" s="159">
        <f t="shared" si="40"/>
        <v>0</v>
      </c>
      <c r="L240" s="159">
        <f t="shared" si="40"/>
        <v>7.1509375000000039</v>
      </c>
      <c r="M240" s="159">
        <f t="shared" si="40"/>
        <v>7.1509375000000039</v>
      </c>
      <c r="N240" s="159">
        <f t="shared" si="40"/>
        <v>7.1509375000000039</v>
      </c>
      <c r="O240" s="159">
        <f t="shared" si="40"/>
        <v>7.1509375000000039</v>
      </c>
      <c r="P240" s="159">
        <f t="shared" si="40"/>
        <v>7.1509375000000039</v>
      </c>
      <c r="Q240" s="159">
        <f t="shared" si="40"/>
        <v>7.1509375000000039</v>
      </c>
      <c r="R240" s="159">
        <f t="shared" si="40"/>
        <v>7.1509375000000039</v>
      </c>
      <c r="S240" s="159">
        <f t="shared" si="40"/>
        <v>7.1509375000000039</v>
      </c>
      <c r="T240" s="159">
        <f t="shared" si="40"/>
        <v>7.1509375000000039</v>
      </c>
    </row>
    <row r="241" spans="2:20" x14ac:dyDescent="0.25">
      <c r="B241" s="23" t="s">
        <v>2041</v>
      </c>
      <c r="C241" s="28" t="s">
        <v>493</v>
      </c>
      <c r="E241" s="44" t="s">
        <v>529</v>
      </c>
      <c r="H241" s="159">
        <f t="shared" ref="H241:T241" si="41">H129+H221</f>
        <v>0</v>
      </c>
      <c r="I241" s="159">
        <f t="shared" si="41"/>
        <v>0</v>
      </c>
      <c r="J241" s="159">
        <f t="shared" si="41"/>
        <v>13.116324999999991</v>
      </c>
      <c r="K241" s="159">
        <f t="shared" si="41"/>
        <v>13.116324999999991</v>
      </c>
      <c r="L241" s="159">
        <f t="shared" si="41"/>
        <v>13.116324999999991</v>
      </c>
      <c r="M241" s="159">
        <f t="shared" si="41"/>
        <v>13.116324999999991</v>
      </c>
      <c r="N241" s="159">
        <f t="shared" si="41"/>
        <v>13.116324999999991</v>
      </c>
      <c r="O241" s="159">
        <f t="shared" si="41"/>
        <v>13.116324999999991</v>
      </c>
      <c r="P241" s="159">
        <f t="shared" si="41"/>
        <v>13.116324999999991</v>
      </c>
      <c r="Q241" s="159">
        <f t="shared" si="41"/>
        <v>13.116324999999991</v>
      </c>
      <c r="R241" s="159">
        <f t="shared" si="41"/>
        <v>13.116324999999991</v>
      </c>
      <c r="S241" s="159">
        <f t="shared" si="41"/>
        <v>13.116324999999991</v>
      </c>
      <c r="T241" s="159">
        <f t="shared" si="41"/>
        <v>13.116324999999991</v>
      </c>
    </row>
    <row r="242" spans="2:20" x14ac:dyDescent="0.25">
      <c r="B242" s="23" t="s">
        <v>2042</v>
      </c>
      <c r="C242" s="28" t="s">
        <v>493</v>
      </c>
      <c r="E242" s="44" t="s">
        <v>517</v>
      </c>
      <c r="H242" s="159">
        <f t="shared" ref="H242:T242" si="42">H139</f>
        <v>0</v>
      </c>
      <c r="I242" s="159">
        <f t="shared" si="42"/>
        <v>0</v>
      </c>
      <c r="J242" s="159">
        <f t="shared" si="42"/>
        <v>0</v>
      </c>
      <c r="K242" s="159">
        <f t="shared" si="42"/>
        <v>0.13012000000000001</v>
      </c>
      <c r="L242" s="159">
        <f t="shared" si="42"/>
        <v>0.13012000000000001</v>
      </c>
      <c r="M242" s="159">
        <f t="shared" si="42"/>
        <v>0.13012000000000001</v>
      </c>
      <c r="N242" s="159">
        <f t="shared" si="42"/>
        <v>0.13012000000000001</v>
      </c>
      <c r="O242" s="159">
        <f t="shared" si="42"/>
        <v>0.13012000000000001</v>
      </c>
      <c r="P242" s="159">
        <f t="shared" si="42"/>
        <v>0.13012000000000001</v>
      </c>
      <c r="Q242" s="159">
        <f t="shared" si="42"/>
        <v>0.13012000000000001</v>
      </c>
      <c r="R242" s="159">
        <f t="shared" si="42"/>
        <v>0.13012000000000001</v>
      </c>
      <c r="S242" s="159">
        <f t="shared" si="42"/>
        <v>0.13012000000000001</v>
      </c>
      <c r="T242" s="159">
        <f t="shared" si="42"/>
        <v>0.13012000000000001</v>
      </c>
    </row>
    <row r="243" spans="2:20" x14ac:dyDescent="0.25">
      <c r="B243" s="23" t="s">
        <v>2043</v>
      </c>
      <c r="C243" s="28" t="s">
        <v>493</v>
      </c>
      <c r="E243" s="44" t="s">
        <v>526</v>
      </c>
      <c r="H243" s="159">
        <f t="shared" ref="H243:T243" si="43">H142</f>
        <v>0</v>
      </c>
      <c r="I243" s="159">
        <f t="shared" si="43"/>
        <v>0</v>
      </c>
      <c r="J243" s="159">
        <f t="shared" si="43"/>
        <v>0</v>
      </c>
      <c r="K243" s="159">
        <f t="shared" si="43"/>
        <v>0.13012000000000001</v>
      </c>
      <c r="L243" s="159">
        <f t="shared" si="43"/>
        <v>0.13012000000000001</v>
      </c>
      <c r="M243" s="159">
        <f t="shared" si="43"/>
        <v>0.13012000000000001</v>
      </c>
      <c r="N243" s="159">
        <f t="shared" si="43"/>
        <v>0.13012000000000001</v>
      </c>
      <c r="O243" s="159">
        <f t="shared" si="43"/>
        <v>0.13012000000000001</v>
      </c>
      <c r="P243" s="159">
        <f t="shared" si="43"/>
        <v>0.13012000000000001</v>
      </c>
      <c r="Q243" s="159">
        <f t="shared" si="43"/>
        <v>0.13012000000000001</v>
      </c>
      <c r="R243" s="159">
        <f t="shared" si="43"/>
        <v>0.13012000000000001</v>
      </c>
      <c r="S243" s="159">
        <f t="shared" si="43"/>
        <v>0.13012000000000001</v>
      </c>
      <c r="T243" s="159">
        <f t="shared" si="43"/>
        <v>0.13012000000000001</v>
      </c>
    </row>
    <row r="244" spans="2:20" x14ac:dyDescent="0.25">
      <c r="B244" s="23" t="s">
        <v>2044</v>
      </c>
      <c r="C244" s="28" t="s">
        <v>493</v>
      </c>
      <c r="E244" s="44" t="s">
        <v>556</v>
      </c>
      <c r="H244" s="159">
        <f t="shared" ref="H244:T244" si="44">H145</f>
        <v>0</v>
      </c>
      <c r="I244" s="159">
        <f t="shared" si="44"/>
        <v>0</v>
      </c>
      <c r="J244" s="159">
        <f t="shared" si="44"/>
        <v>0</v>
      </c>
      <c r="K244" s="159">
        <f t="shared" si="44"/>
        <v>0</v>
      </c>
      <c r="L244" s="159">
        <f t="shared" si="44"/>
        <v>9.7589999999999996E-2</v>
      </c>
      <c r="M244" s="159">
        <f t="shared" si="44"/>
        <v>9.7589999999999996E-2</v>
      </c>
      <c r="N244" s="159">
        <f t="shared" si="44"/>
        <v>9.7589999999999996E-2</v>
      </c>
      <c r="O244" s="159">
        <f t="shared" si="44"/>
        <v>9.7589999999999996E-2</v>
      </c>
      <c r="P244" s="159">
        <f t="shared" si="44"/>
        <v>9.7589999999999996E-2</v>
      </c>
      <c r="Q244" s="159">
        <f t="shared" si="44"/>
        <v>9.7589999999999996E-2</v>
      </c>
      <c r="R244" s="159">
        <f t="shared" si="44"/>
        <v>9.7589999999999996E-2</v>
      </c>
      <c r="S244" s="159">
        <f t="shared" si="44"/>
        <v>9.7589999999999996E-2</v>
      </c>
      <c r="T244" s="159">
        <f t="shared" si="44"/>
        <v>9.7589999999999996E-2</v>
      </c>
    </row>
    <row r="245" spans="2:20" x14ac:dyDescent="0.25">
      <c r="B245" s="23" t="s">
        <v>2045</v>
      </c>
      <c r="C245" s="28" t="s">
        <v>493</v>
      </c>
      <c r="E245" s="44" t="s">
        <v>529</v>
      </c>
      <c r="H245" s="159">
        <f t="shared" ref="H245:T245" si="45">H148</f>
        <v>0</v>
      </c>
      <c r="I245" s="159">
        <f t="shared" si="45"/>
        <v>0</v>
      </c>
      <c r="J245" s="159">
        <f t="shared" si="45"/>
        <v>0</v>
      </c>
      <c r="K245" s="159">
        <f t="shared" si="45"/>
        <v>0.13012000000000001</v>
      </c>
      <c r="L245" s="159">
        <f t="shared" si="45"/>
        <v>0.13012000000000001</v>
      </c>
      <c r="M245" s="159">
        <f t="shared" si="45"/>
        <v>0.13012000000000001</v>
      </c>
      <c r="N245" s="159">
        <f t="shared" si="45"/>
        <v>0.13012000000000001</v>
      </c>
      <c r="O245" s="159">
        <f t="shared" si="45"/>
        <v>0.13012000000000001</v>
      </c>
      <c r="P245" s="159">
        <f t="shared" si="45"/>
        <v>0.13012000000000001</v>
      </c>
      <c r="Q245" s="159">
        <f t="shared" si="45"/>
        <v>0.13012000000000001</v>
      </c>
      <c r="R245" s="159">
        <f t="shared" si="45"/>
        <v>0.13012000000000001</v>
      </c>
      <c r="S245" s="159">
        <f t="shared" si="45"/>
        <v>0.13012000000000001</v>
      </c>
      <c r="T245" s="159">
        <f t="shared" si="45"/>
        <v>0.13012000000000001</v>
      </c>
    </row>
    <row r="246" spans="2:20" x14ac:dyDescent="0.25">
      <c r="B246" s="23" t="s">
        <v>2046</v>
      </c>
      <c r="C246" s="28" t="s">
        <v>493</v>
      </c>
      <c r="E246" s="44" t="s">
        <v>517</v>
      </c>
      <c r="H246" s="159">
        <f t="shared" ref="H246:T246" si="46">H152</f>
        <v>0</v>
      </c>
      <c r="I246" s="159">
        <f t="shared" si="46"/>
        <v>0</v>
      </c>
      <c r="J246" s="159">
        <f t="shared" si="46"/>
        <v>0</v>
      </c>
      <c r="K246" s="159">
        <f t="shared" si="46"/>
        <v>0</v>
      </c>
      <c r="L246" s="159">
        <f t="shared" si="46"/>
        <v>0</v>
      </c>
      <c r="M246" s="159">
        <f t="shared" si="46"/>
        <v>0</v>
      </c>
      <c r="N246" s="159">
        <f t="shared" si="46"/>
        <v>0</v>
      </c>
      <c r="O246" s="159">
        <f t="shared" si="46"/>
        <v>0</v>
      </c>
      <c r="P246" s="159">
        <f t="shared" si="46"/>
        <v>0</v>
      </c>
      <c r="Q246" s="159">
        <f t="shared" si="46"/>
        <v>0</v>
      </c>
      <c r="R246" s="159">
        <f t="shared" si="46"/>
        <v>0</v>
      </c>
      <c r="S246" s="159">
        <f t="shared" si="46"/>
        <v>0</v>
      </c>
      <c r="T246" s="159">
        <f t="shared" si="46"/>
        <v>0</v>
      </c>
    </row>
    <row r="247" spans="2:20" x14ac:dyDescent="0.25">
      <c r="B247" s="23" t="s">
        <v>2047</v>
      </c>
      <c r="C247" s="28" t="s">
        <v>493</v>
      </c>
      <c r="E247" s="44" t="s">
        <v>526</v>
      </c>
      <c r="H247" s="159">
        <f t="shared" ref="H247:T247" si="47">H153</f>
        <v>0</v>
      </c>
      <c r="I247" s="159">
        <f t="shared" si="47"/>
        <v>0</v>
      </c>
      <c r="J247" s="159">
        <f t="shared" si="47"/>
        <v>0</v>
      </c>
      <c r="K247" s="159">
        <f t="shared" si="47"/>
        <v>0</v>
      </c>
      <c r="L247" s="159">
        <f t="shared" si="47"/>
        <v>0</v>
      </c>
      <c r="M247" s="159">
        <f t="shared" si="47"/>
        <v>0</v>
      </c>
      <c r="N247" s="159">
        <f t="shared" si="47"/>
        <v>0</v>
      </c>
      <c r="O247" s="159">
        <f t="shared" si="47"/>
        <v>0</v>
      </c>
      <c r="P247" s="159">
        <f t="shared" si="47"/>
        <v>0</v>
      </c>
      <c r="Q247" s="159">
        <f t="shared" si="47"/>
        <v>0</v>
      </c>
      <c r="R247" s="159">
        <f t="shared" si="47"/>
        <v>0</v>
      </c>
      <c r="S247" s="159">
        <f t="shared" si="47"/>
        <v>0</v>
      </c>
      <c r="T247" s="159">
        <f t="shared" si="47"/>
        <v>0</v>
      </c>
    </row>
    <row r="248" spans="2:20" x14ac:dyDescent="0.25">
      <c r="B248" s="23" t="s">
        <v>2048</v>
      </c>
      <c r="C248" s="28" t="s">
        <v>493</v>
      </c>
      <c r="E248" s="44" t="s">
        <v>529</v>
      </c>
      <c r="H248" s="159">
        <f t="shared" ref="H248:T248" si="48">H154</f>
        <v>0</v>
      </c>
      <c r="I248" s="159">
        <f t="shared" si="48"/>
        <v>0</v>
      </c>
      <c r="J248" s="159">
        <f t="shared" si="48"/>
        <v>0</v>
      </c>
      <c r="K248" s="159">
        <f t="shared" si="48"/>
        <v>0</v>
      </c>
      <c r="L248" s="159">
        <f t="shared" si="48"/>
        <v>0</v>
      </c>
      <c r="M248" s="159">
        <f t="shared" si="48"/>
        <v>0</v>
      </c>
      <c r="N248" s="159">
        <f t="shared" si="48"/>
        <v>0</v>
      </c>
      <c r="O248" s="159">
        <f t="shared" si="48"/>
        <v>0</v>
      </c>
      <c r="P248" s="159">
        <f t="shared" si="48"/>
        <v>0</v>
      </c>
      <c r="Q248" s="159">
        <f t="shared" si="48"/>
        <v>0</v>
      </c>
      <c r="R248" s="159">
        <f t="shared" si="48"/>
        <v>0</v>
      </c>
      <c r="S248" s="159">
        <f t="shared" si="48"/>
        <v>0</v>
      </c>
      <c r="T248" s="159">
        <f t="shared" si="48"/>
        <v>0</v>
      </c>
    </row>
    <row r="249" spans="2:20" x14ac:dyDescent="0.25">
      <c r="B249" s="23" t="s">
        <v>2049</v>
      </c>
      <c r="C249" s="28" t="s">
        <v>493</v>
      </c>
      <c r="E249" s="44" t="s">
        <v>583</v>
      </c>
      <c r="H249" s="159">
        <f t="shared" ref="H249:T249" si="49">H135+H222</f>
        <v>0</v>
      </c>
      <c r="I249" s="159">
        <f t="shared" si="49"/>
        <v>0</v>
      </c>
      <c r="J249" s="159">
        <f t="shared" si="49"/>
        <v>0</v>
      </c>
      <c r="K249" s="159">
        <f t="shared" si="49"/>
        <v>0</v>
      </c>
      <c r="L249" s="159">
        <f t="shared" si="49"/>
        <v>0</v>
      </c>
      <c r="M249" s="159">
        <f t="shared" si="49"/>
        <v>0</v>
      </c>
      <c r="N249" s="159">
        <f t="shared" si="49"/>
        <v>0</v>
      </c>
      <c r="O249" s="159">
        <f t="shared" si="49"/>
        <v>0</v>
      </c>
      <c r="P249" s="159">
        <f t="shared" si="49"/>
        <v>0</v>
      </c>
      <c r="Q249" s="159">
        <f t="shared" si="49"/>
        <v>0</v>
      </c>
      <c r="R249" s="159">
        <f t="shared" si="49"/>
        <v>0</v>
      </c>
      <c r="S249" s="159">
        <f t="shared" si="49"/>
        <v>0</v>
      </c>
      <c r="T249" s="159">
        <f t="shared" si="49"/>
        <v>0</v>
      </c>
    </row>
    <row r="250" spans="2:20" x14ac:dyDescent="0.25">
      <c r="B250" s="23" t="str">
        <f>"P16  "&amp;Inputs!$E$605</f>
        <v>P16  Lampung</v>
      </c>
      <c r="C250" s="28" t="s">
        <v>493</v>
      </c>
      <c r="E250" s="44" t="s">
        <v>587</v>
      </c>
      <c r="H250" s="159">
        <f t="shared" ref="H250:T250" si="50">H158+H223</f>
        <v>0</v>
      </c>
      <c r="I250" s="159">
        <f t="shared" si="50"/>
        <v>0</v>
      </c>
      <c r="J250" s="159">
        <f t="shared" si="50"/>
        <v>0</v>
      </c>
      <c r="K250" s="159">
        <f t="shared" si="50"/>
        <v>0</v>
      </c>
      <c r="L250" s="159">
        <f t="shared" si="50"/>
        <v>0</v>
      </c>
      <c r="M250" s="159">
        <f t="shared" si="50"/>
        <v>0</v>
      </c>
      <c r="N250" s="159">
        <f t="shared" si="50"/>
        <v>0</v>
      </c>
      <c r="O250" s="159">
        <f t="shared" si="50"/>
        <v>0</v>
      </c>
      <c r="P250" s="159">
        <f t="shared" si="50"/>
        <v>0</v>
      </c>
      <c r="Q250" s="159">
        <f t="shared" si="50"/>
        <v>0</v>
      </c>
      <c r="R250" s="159">
        <f t="shared" si="50"/>
        <v>0</v>
      </c>
      <c r="S250" s="159">
        <f t="shared" si="50"/>
        <v>0</v>
      </c>
      <c r="T250" s="159">
        <f t="shared" si="50"/>
        <v>0</v>
      </c>
    </row>
    <row r="251" spans="2:20" x14ac:dyDescent="0.25">
      <c r="B251" s="23" t="str">
        <f>"P17  "&amp;Inputs!$E$639</f>
        <v>P17  Pipeline Project 2</v>
      </c>
      <c r="C251" s="28" t="s">
        <v>493</v>
      </c>
      <c r="E251" s="44" t="s">
        <v>590</v>
      </c>
      <c r="H251" s="159">
        <f t="shared" ref="H251:T251" si="51">H162+H224</f>
        <v>0</v>
      </c>
      <c r="I251" s="159">
        <f t="shared" si="51"/>
        <v>0</v>
      </c>
      <c r="J251" s="159">
        <f t="shared" si="51"/>
        <v>0</v>
      </c>
      <c r="K251" s="159">
        <f t="shared" si="51"/>
        <v>0</v>
      </c>
      <c r="L251" s="159">
        <f t="shared" si="51"/>
        <v>0</v>
      </c>
      <c r="M251" s="159">
        <f t="shared" si="51"/>
        <v>0</v>
      </c>
      <c r="N251" s="159">
        <f t="shared" si="51"/>
        <v>0</v>
      </c>
      <c r="O251" s="159">
        <f t="shared" si="51"/>
        <v>0</v>
      </c>
      <c r="P251" s="159">
        <f t="shared" si="51"/>
        <v>0</v>
      </c>
      <c r="Q251" s="159">
        <f t="shared" si="51"/>
        <v>0</v>
      </c>
      <c r="R251" s="159">
        <f t="shared" si="51"/>
        <v>0</v>
      </c>
      <c r="S251" s="159">
        <f t="shared" si="51"/>
        <v>0</v>
      </c>
      <c r="T251" s="159">
        <f t="shared" si="51"/>
        <v>0</v>
      </c>
    </row>
    <row r="252" spans="2:20" x14ac:dyDescent="0.25">
      <c r="B252" s="23" t="str">
        <f>"P18  "&amp;Inputs!$E$673</f>
        <v>P18  Pipeline Project 3</v>
      </c>
      <c r="C252" s="28" t="s">
        <v>493</v>
      </c>
      <c r="E252" s="44" t="s">
        <v>592</v>
      </c>
      <c r="H252" s="159">
        <f t="shared" ref="H252:T252" si="52">H166+H225</f>
        <v>0</v>
      </c>
      <c r="I252" s="159">
        <f t="shared" si="52"/>
        <v>0</v>
      </c>
      <c r="J252" s="159">
        <f t="shared" si="52"/>
        <v>0</v>
      </c>
      <c r="K252" s="159">
        <f t="shared" si="52"/>
        <v>0</v>
      </c>
      <c r="L252" s="159">
        <f t="shared" si="52"/>
        <v>0</v>
      </c>
      <c r="M252" s="159">
        <f t="shared" si="52"/>
        <v>0</v>
      </c>
      <c r="N252" s="159">
        <f t="shared" si="52"/>
        <v>0</v>
      </c>
      <c r="O252" s="159">
        <f t="shared" si="52"/>
        <v>0</v>
      </c>
      <c r="P252" s="159">
        <f t="shared" si="52"/>
        <v>0</v>
      </c>
      <c r="Q252" s="159">
        <f t="shared" si="52"/>
        <v>0</v>
      </c>
      <c r="R252" s="159">
        <f t="shared" si="52"/>
        <v>0</v>
      </c>
      <c r="S252" s="159">
        <f t="shared" si="52"/>
        <v>0</v>
      </c>
      <c r="T252" s="159">
        <f t="shared" si="52"/>
        <v>0</v>
      </c>
    </row>
    <row r="253" spans="2:20" x14ac:dyDescent="0.25">
      <c r="B253" s="23" t="s">
        <v>2050</v>
      </c>
      <c r="C253" s="28" t="s">
        <v>493</v>
      </c>
      <c r="E253" s="44" t="s">
        <v>596</v>
      </c>
      <c r="H253" s="159">
        <f t="shared" ref="H253:T253" si="53">H171+H226</f>
        <v>0</v>
      </c>
      <c r="I253" s="159">
        <f t="shared" si="53"/>
        <v>0</v>
      </c>
      <c r="J253" s="159">
        <f t="shared" si="53"/>
        <v>0</v>
      </c>
      <c r="K253" s="159">
        <f t="shared" si="53"/>
        <v>0</v>
      </c>
      <c r="L253" s="159">
        <f t="shared" si="53"/>
        <v>0</v>
      </c>
      <c r="M253" s="159">
        <f t="shared" si="53"/>
        <v>11.377707049965778</v>
      </c>
      <c r="N253" s="159">
        <f t="shared" si="53"/>
        <v>11.377707049965778</v>
      </c>
      <c r="O253" s="159">
        <f t="shared" si="53"/>
        <v>11.377707049965776</v>
      </c>
      <c r="P253" s="159">
        <f t="shared" si="53"/>
        <v>11.408878850102672</v>
      </c>
      <c r="Q253" s="159">
        <f t="shared" si="53"/>
        <v>11.37770704996578</v>
      </c>
      <c r="R253" s="159">
        <f t="shared" si="53"/>
        <v>11.377707049965771</v>
      </c>
      <c r="S253" s="159">
        <f t="shared" si="53"/>
        <v>11.37770704996578</v>
      </c>
      <c r="T253" s="159">
        <f t="shared" si="53"/>
        <v>11.408878850102672</v>
      </c>
    </row>
    <row r="254" spans="2:20" x14ac:dyDescent="0.25">
      <c r="B254" s="21" t="s">
        <v>2491</v>
      </c>
      <c r="C254" s="28" t="s">
        <v>493</v>
      </c>
      <c r="G254" s="157"/>
      <c r="H254" s="158">
        <f t="shared" ref="H254:T254" si="54">H231+H232+H233+H234+H235+H236+H237+H238+H239+H240+H241+H242+H243+H244+H245+H249+H250+H251+H252+H253</f>
        <v>88.373062408935311</v>
      </c>
      <c r="I254" s="158">
        <f t="shared" si="54"/>
        <v>113.59968518200155</v>
      </c>
      <c r="J254" s="158">
        <f t="shared" si="54"/>
        <v>134.96780390311255</v>
      </c>
      <c r="K254" s="158">
        <f t="shared" si="54"/>
        <v>136.94134168720865</v>
      </c>
      <c r="L254" s="158">
        <f t="shared" si="54"/>
        <v>144.19843006333596</v>
      </c>
      <c r="M254" s="158">
        <f t="shared" si="54"/>
        <v>157.58486920695159</v>
      </c>
      <c r="N254" s="158">
        <f t="shared" si="54"/>
        <v>157.59377594247448</v>
      </c>
      <c r="O254" s="158">
        <f t="shared" si="54"/>
        <v>157.60286081270777</v>
      </c>
      <c r="P254" s="158">
        <f t="shared" si="54"/>
        <v>159.64329918048264</v>
      </c>
      <c r="Q254" s="158">
        <f t="shared" si="54"/>
        <v>159.62157927933652</v>
      </c>
      <c r="R254" s="158">
        <f t="shared" si="54"/>
        <v>154.09337497821181</v>
      </c>
      <c r="S254" s="158">
        <f t="shared" si="54"/>
        <v>154.10320873392178</v>
      </c>
      <c r="T254" s="158">
        <f t="shared" si="54"/>
        <v>154.14441096488284</v>
      </c>
    </row>
    <row r="255" spans="2:20" x14ac:dyDescent="0.25">
      <c r="B255" s="21" t="s">
        <v>2492</v>
      </c>
      <c r="C255" s="28" t="s">
        <v>493</v>
      </c>
      <c r="H255" s="160">
        <f t="shared" ref="H255:T255" si="55">H246+H247+H248</f>
        <v>0</v>
      </c>
      <c r="I255" s="160">
        <f t="shared" si="55"/>
        <v>0</v>
      </c>
      <c r="J255" s="160">
        <f t="shared" si="55"/>
        <v>0</v>
      </c>
      <c r="K255" s="160">
        <f t="shared" si="55"/>
        <v>0</v>
      </c>
      <c r="L255" s="160">
        <f t="shared" si="55"/>
        <v>0</v>
      </c>
      <c r="M255" s="160">
        <f t="shared" si="55"/>
        <v>0</v>
      </c>
      <c r="N255" s="160">
        <f t="shared" si="55"/>
        <v>0</v>
      </c>
      <c r="O255" s="160">
        <f t="shared" si="55"/>
        <v>0</v>
      </c>
      <c r="P255" s="160">
        <f t="shared" si="55"/>
        <v>0</v>
      </c>
      <c r="Q255" s="160">
        <f t="shared" si="55"/>
        <v>0</v>
      </c>
      <c r="R255" s="160">
        <f t="shared" si="55"/>
        <v>0</v>
      </c>
      <c r="S255" s="160">
        <f t="shared" si="55"/>
        <v>0</v>
      </c>
      <c r="T255" s="160">
        <f t="shared" si="55"/>
        <v>0</v>
      </c>
    </row>
    <row r="256" spans="2:20" x14ac:dyDescent="0.25">
      <c r="B256" s="21" t="s">
        <v>2493</v>
      </c>
      <c r="C256" s="28" t="s">
        <v>493</v>
      </c>
      <c r="G256" s="157"/>
      <c r="H256" s="158">
        <f t="shared" ref="H256:T256" si="56">H254+H255</f>
        <v>88.373062408935311</v>
      </c>
      <c r="I256" s="158">
        <f t="shared" si="56"/>
        <v>113.59968518200155</v>
      </c>
      <c r="J256" s="158">
        <f t="shared" si="56"/>
        <v>134.96780390311255</v>
      </c>
      <c r="K256" s="158">
        <f t="shared" si="56"/>
        <v>136.94134168720865</v>
      </c>
      <c r="L256" s="158">
        <f t="shared" si="56"/>
        <v>144.19843006333596</v>
      </c>
      <c r="M256" s="158">
        <f t="shared" si="56"/>
        <v>157.58486920695159</v>
      </c>
      <c r="N256" s="158">
        <f t="shared" si="56"/>
        <v>157.59377594247448</v>
      </c>
      <c r="O256" s="158">
        <f t="shared" si="56"/>
        <v>157.60286081270777</v>
      </c>
      <c r="P256" s="158">
        <f t="shared" si="56"/>
        <v>159.64329918048264</v>
      </c>
      <c r="Q256" s="158">
        <f t="shared" si="56"/>
        <v>159.62157927933652</v>
      </c>
      <c r="R256" s="158">
        <f t="shared" si="56"/>
        <v>154.09337497821181</v>
      </c>
      <c r="S256" s="158">
        <f t="shared" si="56"/>
        <v>154.10320873392178</v>
      </c>
      <c r="T256" s="158">
        <f t="shared" si="56"/>
        <v>154.14441096488284</v>
      </c>
    </row>
    <row r="257" spans="2:20" x14ac:dyDescent="0.25">
      <c r="B257" s="154" t="s">
        <v>2494</v>
      </c>
    </row>
    <row r="258" spans="2:20" x14ac:dyDescent="0.25">
      <c r="B258" s="23" t="s">
        <v>2031</v>
      </c>
      <c r="C258" s="28" t="s">
        <v>493</v>
      </c>
      <c r="E258" s="44" t="s">
        <v>517</v>
      </c>
      <c r="H258" s="159">
        <f t="shared" ref="H258:T258" si="57">H194</f>
        <v>0</v>
      </c>
      <c r="I258" s="159">
        <f t="shared" si="57"/>
        <v>0</v>
      </c>
      <c r="J258" s="159">
        <f t="shared" si="57"/>
        <v>0</v>
      </c>
      <c r="K258" s="159">
        <f t="shared" si="57"/>
        <v>0</v>
      </c>
      <c r="L258" s="159">
        <f t="shared" si="57"/>
        <v>0</v>
      </c>
      <c r="M258" s="159">
        <f t="shared" si="57"/>
        <v>0</v>
      </c>
      <c r="N258" s="159">
        <f t="shared" si="57"/>
        <v>0</v>
      </c>
      <c r="O258" s="159">
        <f t="shared" si="57"/>
        <v>0</v>
      </c>
      <c r="P258" s="159">
        <f t="shared" si="57"/>
        <v>0</v>
      </c>
      <c r="Q258" s="159">
        <f t="shared" si="57"/>
        <v>0</v>
      </c>
      <c r="R258" s="159">
        <f t="shared" si="57"/>
        <v>0</v>
      </c>
      <c r="S258" s="159">
        <f t="shared" si="57"/>
        <v>0</v>
      </c>
      <c r="T258" s="159">
        <f t="shared" si="57"/>
        <v>0</v>
      </c>
    </row>
    <row r="259" spans="2:20" x14ac:dyDescent="0.25">
      <c r="B259" s="23" t="s">
        <v>2032</v>
      </c>
      <c r="C259" s="28" t="s">
        <v>493</v>
      </c>
      <c r="E259" s="44" t="s">
        <v>526</v>
      </c>
      <c r="H259" s="159">
        <f t="shared" ref="H259:T259" si="58">H195</f>
        <v>0</v>
      </c>
      <c r="I259" s="159">
        <f t="shared" si="58"/>
        <v>0</v>
      </c>
      <c r="J259" s="159">
        <f t="shared" si="58"/>
        <v>0</v>
      </c>
      <c r="K259" s="159">
        <f t="shared" si="58"/>
        <v>0</v>
      </c>
      <c r="L259" s="159">
        <f t="shared" si="58"/>
        <v>0</v>
      </c>
      <c r="M259" s="159">
        <f t="shared" si="58"/>
        <v>0</v>
      </c>
      <c r="N259" s="159">
        <f t="shared" si="58"/>
        <v>0</v>
      </c>
      <c r="O259" s="159">
        <f t="shared" si="58"/>
        <v>0</v>
      </c>
      <c r="P259" s="159">
        <f t="shared" si="58"/>
        <v>0</v>
      </c>
      <c r="Q259" s="159">
        <f t="shared" si="58"/>
        <v>0</v>
      </c>
      <c r="R259" s="159">
        <f t="shared" si="58"/>
        <v>0</v>
      </c>
      <c r="S259" s="159">
        <f t="shared" si="58"/>
        <v>0</v>
      </c>
      <c r="T259" s="159">
        <f t="shared" si="58"/>
        <v>0</v>
      </c>
    </row>
    <row r="260" spans="2:20" x14ac:dyDescent="0.25">
      <c r="B260" s="23" t="s">
        <v>2033</v>
      </c>
      <c r="C260" s="28" t="s">
        <v>493</v>
      </c>
      <c r="E260" s="44" t="s">
        <v>529</v>
      </c>
      <c r="H260" s="159">
        <f t="shared" ref="H260:T260" si="59">H196</f>
        <v>0</v>
      </c>
      <c r="I260" s="159">
        <f t="shared" si="59"/>
        <v>0</v>
      </c>
      <c r="J260" s="159">
        <f t="shared" si="59"/>
        <v>0</v>
      </c>
      <c r="K260" s="159">
        <f t="shared" si="59"/>
        <v>0</v>
      </c>
      <c r="L260" s="159">
        <f t="shared" si="59"/>
        <v>0</v>
      </c>
      <c r="M260" s="159">
        <f t="shared" si="59"/>
        <v>0</v>
      </c>
      <c r="N260" s="159">
        <f t="shared" si="59"/>
        <v>0</v>
      </c>
      <c r="O260" s="159">
        <f t="shared" si="59"/>
        <v>0</v>
      </c>
      <c r="P260" s="159">
        <f t="shared" si="59"/>
        <v>0</v>
      </c>
      <c r="Q260" s="159">
        <f t="shared" si="59"/>
        <v>0</v>
      </c>
      <c r="R260" s="159">
        <f t="shared" si="59"/>
        <v>0</v>
      </c>
      <c r="S260" s="159">
        <f t="shared" si="59"/>
        <v>0</v>
      </c>
      <c r="T260" s="159">
        <f t="shared" si="59"/>
        <v>0</v>
      </c>
    </row>
    <row r="261" spans="2:20" x14ac:dyDescent="0.25">
      <c r="B261" s="23" t="s">
        <v>2034</v>
      </c>
      <c r="C261" s="28" t="s">
        <v>493</v>
      </c>
      <c r="E261" s="44" t="s">
        <v>532</v>
      </c>
      <c r="H261" s="159">
        <f t="shared" ref="H261:T261" si="60">H197</f>
        <v>0</v>
      </c>
      <c r="I261" s="159">
        <f t="shared" si="60"/>
        <v>0</v>
      </c>
      <c r="J261" s="159">
        <f t="shared" si="60"/>
        <v>0</v>
      </c>
      <c r="K261" s="159">
        <f t="shared" si="60"/>
        <v>0</v>
      </c>
      <c r="L261" s="159">
        <f t="shared" si="60"/>
        <v>0</v>
      </c>
      <c r="M261" s="159">
        <f t="shared" si="60"/>
        <v>0</v>
      </c>
      <c r="N261" s="159">
        <f t="shared" si="60"/>
        <v>0</v>
      </c>
      <c r="O261" s="159">
        <f t="shared" si="60"/>
        <v>0</v>
      </c>
      <c r="P261" s="159">
        <f t="shared" si="60"/>
        <v>0</v>
      </c>
      <c r="Q261" s="159">
        <f t="shared" si="60"/>
        <v>0</v>
      </c>
      <c r="R261" s="159">
        <f t="shared" si="60"/>
        <v>0</v>
      </c>
      <c r="S261" s="159">
        <f t="shared" si="60"/>
        <v>0</v>
      </c>
      <c r="T261" s="159">
        <f t="shared" si="60"/>
        <v>0</v>
      </c>
    </row>
    <row r="262" spans="2:20" x14ac:dyDescent="0.25">
      <c r="B262" s="23" t="s">
        <v>2035</v>
      </c>
      <c r="C262" s="28" t="s">
        <v>493</v>
      </c>
      <c r="E262" s="44" t="s">
        <v>526</v>
      </c>
      <c r="H262" s="159">
        <f t="shared" ref="H262:T262" si="61">H56+H198</f>
        <v>37.409500000000008</v>
      </c>
      <c r="I262" s="159">
        <f t="shared" si="61"/>
        <v>8.1325000000000003</v>
      </c>
      <c r="J262" s="159">
        <f t="shared" si="61"/>
        <v>0</v>
      </c>
      <c r="K262" s="159">
        <f t="shared" si="61"/>
        <v>0</v>
      </c>
      <c r="L262" s="159">
        <f t="shared" si="61"/>
        <v>0</v>
      </c>
      <c r="M262" s="159">
        <f t="shared" si="61"/>
        <v>0</v>
      </c>
      <c r="N262" s="159">
        <f t="shared" si="61"/>
        <v>0</v>
      </c>
      <c r="O262" s="159">
        <f t="shared" si="61"/>
        <v>0</v>
      </c>
      <c r="P262" s="159">
        <f t="shared" si="61"/>
        <v>0</v>
      </c>
      <c r="Q262" s="159">
        <f t="shared" si="61"/>
        <v>0</v>
      </c>
      <c r="R262" s="159">
        <f t="shared" si="61"/>
        <v>0</v>
      </c>
      <c r="S262" s="159">
        <f t="shared" si="61"/>
        <v>0</v>
      </c>
      <c r="T262" s="159">
        <f t="shared" si="61"/>
        <v>0</v>
      </c>
    </row>
    <row r="263" spans="2:20" x14ac:dyDescent="0.25">
      <c r="B263" s="23" t="s">
        <v>2036</v>
      </c>
      <c r="C263" s="28" t="s">
        <v>493</v>
      </c>
      <c r="E263" s="44" t="s">
        <v>526</v>
      </c>
      <c r="H263" s="159">
        <f t="shared" ref="H263:T263" si="62">H57+H199</f>
        <v>87.831000000000003</v>
      </c>
      <c r="I263" s="159">
        <f t="shared" si="62"/>
        <v>6.5060000000000002</v>
      </c>
      <c r="J263" s="159">
        <f t="shared" si="62"/>
        <v>0</v>
      </c>
      <c r="K263" s="159">
        <f t="shared" si="62"/>
        <v>0</v>
      </c>
      <c r="L263" s="159">
        <f t="shared" si="62"/>
        <v>0</v>
      </c>
      <c r="M263" s="159">
        <f t="shared" si="62"/>
        <v>0</v>
      </c>
      <c r="N263" s="159">
        <f t="shared" si="62"/>
        <v>0</v>
      </c>
      <c r="O263" s="159">
        <f t="shared" si="62"/>
        <v>0</v>
      </c>
      <c r="P263" s="159">
        <f t="shared" si="62"/>
        <v>0</v>
      </c>
      <c r="Q263" s="159">
        <f t="shared" si="62"/>
        <v>0</v>
      </c>
      <c r="R263" s="159">
        <f t="shared" si="62"/>
        <v>0</v>
      </c>
      <c r="S263" s="159">
        <f t="shared" si="62"/>
        <v>0</v>
      </c>
      <c r="T263" s="159">
        <f t="shared" si="62"/>
        <v>0</v>
      </c>
    </row>
    <row r="264" spans="2:20" x14ac:dyDescent="0.25">
      <c r="B264" s="23" t="s">
        <v>2037</v>
      </c>
      <c r="C264" s="28" t="s">
        <v>493</v>
      </c>
      <c r="E264" s="44" t="s">
        <v>526</v>
      </c>
      <c r="H264" s="159">
        <f t="shared" ref="H264:T264" si="63">H58+H200</f>
        <v>0</v>
      </c>
      <c r="I264" s="159">
        <f t="shared" si="63"/>
        <v>0</v>
      </c>
      <c r="J264" s="159">
        <f t="shared" si="63"/>
        <v>97.990000000000052</v>
      </c>
      <c r="K264" s="159">
        <f t="shared" si="63"/>
        <v>0</v>
      </c>
      <c r="L264" s="159">
        <f t="shared" si="63"/>
        <v>0</v>
      </c>
      <c r="M264" s="159">
        <f t="shared" si="63"/>
        <v>0</v>
      </c>
      <c r="N264" s="159">
        <f t="shared" si="63"/>
        <v>0</v>
      </c>
      <c r="O264" s="159">
        <f t="shared" si="63"/>
        <v>0</v>
      </c>
      <c r="P264" s="159">
        <f t="shared" si="63"/>
        <v>0</v>
      </c>
      <c r="Q264" s="159">
        <f t="shared" si="63"/>
        <v>0</v>
      </c>
      <c r="R264" s="159">
        <f t="shared" si="63"/>
        <v>0</v>
      </c>
      <c r="S264" s="159">
        <f t="shared" si="63"/>
        <v>0</v>
      </c>
      <c r="T264" s="159">
        <f t="shared" si="63"/>
        <v>0</v>
      </c>
    </row>
    <row r="265" spans="2:20" x14ac:dyDescent="0.25">
      <c r="B265" s="23" t="s">
        <v>2038</v>
      </c>
      <c r="C265" s="28" t="s">
        <v>493</v>
      </c>
      <c r="E265" s="44" t="s">
        <v>517</v>
      </c>
      <c r="H265" s="159">
        <f t="shared" ref="H265:T265" si="64">H59+H201</f>
        <v>0</v>
      </c>
      <c r="I265" s="159">
        <f t="shared" si="64"/>
        <v>0</v>
      </c>
      <c r="J265" s="159">
        <f t="shared" si="64"/>
        <v>61.193749999999952</v>
      </c>
      <c r="K265" s="159">
        <f t="shared" si="64"/>
        <v>0</v>
      </c>
      <c r="L265" s="159">
        <f t="shared" si="64"/>
        <v>0</v>
      </c>
      <c r="M265" s="159">
        <f t="shared" si="64"/>
        <v>0</v>
      </c>
      <c r="N265" s="159">
        <f t="shared" si="64"/>
        <v>0</v>
      </c>
      <c r="O265" s="159">
        <f t="shared" si="64"/>
        <v>0</v>
      </c>
      <c r="P265" s="159">
        <f t="shared" si="64"/>
        <v>0</v>
      </c>
      <c r="Q265" s="159">
        <f t="shared" si="64"/>
        <v>0</v>
      </c>
      <c r="R265" s="159">
        <f t="shared" si="64"/>
        <v>0</v>
      </c>
      <c r="S265" s="159">
        <f t="shared" si="64"/>
        <v>0</v>
      </c>
      <c r="T265" s="159">
        <f t="shared" si="64"/>
        <v>0</v>
      </c>
    </row>
    <row r="266" spans="2:20" x14ac:dyDescent="0.25">
      <c r="B266" s="23" t="s">
        <v>2039</v>
      </c>
      <c r="C266" s="28" t="s">
        <v>493</v>
      </c>
      <c r="E266" s="44" t="s">
        <v>551</v>
      </c>
      <c r="H266" s="159">
        <f t="shared" ref="H266:T266" si="65">H60+H202</f>
        <v>0</v>
      </c>
      <c r="I266" s="159">
        <f t="shared" si="65"/>
        <v>0</v>
      </c>
      <c r="J266" s="159">
        <f t="shared" si="65"/>
        <v>105.47077976190474</v>
      </c>
      <c r="K266" s="159">
        <f t="shared" si="65"/>
        <v>5.2861249999999975</v>
      </c>
      <c r="L266" s="159">
        <f t="shared" si="65"/>
        <v>0</v>
      </c>
      <c r="M266" s="159">
        <f t="shared" si="65"/>
        <v>0</v>
      </c>
      <c r="N266" s="159">
        <f t="shared" si="65"/>
        <v>0</v>
      </c>
      <c r="O266" s="159">
        <f t="shared" si="65"/>
        <v>0</v>
      </c>
      <c r="P266" s="159">
        <f t="shared" si="65"/>
        <v>0</v>
      </c>
      <c r="Q266" s="159">
        <f t="shared" si="65"/>
        <v>0</v>
      </c>
      <c r="R266" s="159">
        <f t="shared" si="65"/>
        <v>0</v>
      </c>
      <c r="S266" s="159">
        <f t="shared" si="65"/>
        <v>0</v>
      </c>
      <c r="T266" s="159">
        <f t="shared" si="65"/>
        <v>0</v>
      </c>
    </row>
    <row r="267" spans="2:20" x14ac:dyDescent="0.25">
      <c r="B267" s="23" t="s">
        <v>2040</v>
      </c>
      <c r="C267" s="28" t="s">
        <v>493</v>
      </c>
      <c r="E267" s="44" t="s">
        <v>556</v>
      </c>
      <c r="H267" s="159">
        <f t="shared" ref="H267:T267" si="66">H61+H203</f>
        <v>0</v>
      </c>
      <c r="I267" s="159">
        <f t="shared" si="66"/>
        <v>0</v>
      </c>
      <c r="J267" s="159">
        <f t="shared" si="66"/>
        <v>40.862500000000026</v>
      </c>
      <c r="K267" s="159">
        <f t="shared" si="66"/>
        <v>40.862500000000026</v>
      </c>
      <c r="L267" s="159">
        <f t="shared" si="66"/>
        <v>0</v>
      </c>
      <c r="M267" s="159">
        <f t="shared" si="66"/>
        <v>0</v>
      </c>
      <c r="N267" s="159">
        <f t="shared" si="66"/>
        <v>0</v>
      </c>
      <c r="O267" s="159">
        <f t="shared" si="66"/>
        <v>0</v>
      </c>
      <c r="P267" s="159">
        <f t="shared" si="66"/>
        <v>0</v>
      </c>
      <c r="Q267" s="159">
        <f t="shared" si="66"/>
        <v>0</v>
      </c>
      <c r="R267" s="159">
        <f t="shared" si="66"/>
        <v>0</v>
      </c>
      <c r="S267" s="159">
        <f t="shared" si="66"/>
        <v>0</v>
      </c>
      <c r="T267" s="159">
        <f t="shared" si="66"/>
        <v>0</v>
      </c>
    </row>
    <row r="268" spans="2:20" x14ac:dyDescent="0.25">
      <c r="B268" s="23" t="s">
        <v>2041</v>
      </c>
      <c r="C268" s="28" t="s">
        <v>493</v>
      </c>
      <c r="E268" s="44" t="s">
        <v>529</v>
      </c>
      <c r="H268" s="159">
        <f t="shared" ref="H268:T268" si="67">H62+H204</f>
        <v>0</v>
      </c>
      <c r="I268" s="159">
        <f t="shared" si="67"/>
        <v>0</v>
      </c>
      <c r="J268" s="159">
        <f t="shared" si="67"/>
        <v>114.25499999999997</v>
      </c>
      <c r="K268" s="159">
        <f t="shared" si="67"/>
        <v>113.85499999999993</v>
      </c>
      <c r="L268" s="159">
        <f t="shared" si="67"/>
        <v>0</v>
      </c>
      <c r="M268" s="159">
        <f t="shared" si="67"/>
        <v>0</v>
      </c>
      <c r="N268" s="159">
        <f t="shared" si="67"/>
        <v>0</v>
      </c>
      <c r="O268" s="159">
        <f t="shared" si="67"/>
        <v>0</v>
      </c>
      <c r="P268" s="159">
        <f t="shared" si="67"/>
        <v>0</v>
      </c>
      <c r="Q268" s="159">
        <f t="shared" si="67"/>
        <v>0</v>
      </c>
      <c r="R268" s="159">
        <f t="shared" si="67"/>
        <v>0</v>
      </c>
      <c r="S268" s="159">
        <f t="shared" si="67"/>
        <v>0</v>
      </c>
      <c r="T268" s="159">
        <f t="shared" si="67"/>
        <v>0</v>
      </c>
    </row>
    <row r="269" spans="2:20" x14ac:dyDescent="0.25">
      <c r="B269" s="23" t="s">
        <v>2042</v>
      </c>
      <c r="C269" s="28" t="s">
        <v>493</v>
      </c>
      <c r="E269" s="44" t="s">
        <v>517</v>
      </c>
      <c r="H269" s="159">
        <f t="shared" ref="H269:T269" si="68">H68</f>
        <v>0</v>
      </c>
      <c r="I269" s="159">
        <f t="shared" si="68"/>
        <v>0</v>
      </c>
      <c r="J269" s="159">
        <f t="shared" si="68"/>
        <v>0</v>
      </c>
      <c r="K269" s="159">
        <f t="shared" si="68"/>
        <v>0</v>
      </c>
      <c r="L269" s="159">
        <f t="shared" si="68"/>
        <v>0</v>
      </c>
      <c r="M269" s="159">
        <f t="shared" si="68"/>
        <v>0</v>
      </c>
      <c r="N269" s="159">
        <f t="shared" si="68"/>
        <v>0</v>
      </c>
      <c r="O269" s="159">
        <f t="shared" si="68"/>
        <v>0</v>
      </c>
      <c r="P269" s="159">
        <f t="shared" si="68"/>
        <v>0</v>
      </c>
      <c r="Q269" s="159">
        <f t="shared" si="68"/>
        <v>0</v>
      </c>
      <c r="R269" s="159">
        <f t="shared" si="68"/>
        <v>0</v>
      </c>
      <c r="S269" s="159">
        <f t="shared" si="68"/>
        <v>0</v>
      </c>
      <c r="T269" s="159">
        <f t="shared" si="68"/>
        <v>0</v>
      </c>
    </row>
    <row r="270" spans="2:20" x14ac:dyDescent="0.25">
      <c r="B270" s="23" t="s">
        <v>2043</v>
      </c>
      <c r="C270" s="28" t="s">
        <v>493</v>
      </c>
      <c r="E270" s="44" t="s">
        <v>526</v>
      </c>
      <c r="H270" s="159">
        <f t="shared" ref="H270:T270" si="69">H69</f>
        <v>0</v>
      </c>
      <c r="I270" s="159">
        <f t="shared" si="69"/>
        <v>0</v>
      </c>
      <c r="J270" s="159">
        <f t="shared" si="69"/>
        <v>0</v>
      </c>
      <c r="K270" s="159">
        <f t="shared" si="69"/>
        <v>0</v>
      </c>
      <c r="L270" s="159">
        <f t="shared" si="69"/>
        <v>0</v>
      </c>
      <c r="M270" s="159">
        <f t="shared" si="69"/>
        <v>0</v>
      </c>
      <c r="N270" s="159">
        <f t="shared" si="69"/>
        <v>0</v>
      </c>
      <c r="O270" s="159">
        <f t="shared" si="69"/>
        <v>0</v>
      </c>
      <c r="P270" s="159">
        <f t="shared" si="69"/>
        <v>0</v>
      </c>
      <c r="Q270" s="159">
        <f t="shared" si="69"/>
        <v>0</v>
      </c>
      <c r="R270" s="159">
        <f t="shared" si="69"/>
        <v>0</v>
      </c>
      <c r="S270" s="159">
        <f t="shared" si="69"/>
        <v>0</v>
      </c>
      <c r="T270" s="159">
        <f t="shared" si="69"/>
        <v>0</v>
      </c>
    </row>
    <row r="271" spans="2:20" x14ac:dyDescent="0.25">
      <c r="B271" s="23" t="s">
        <v>2044</v>
      </c>
      <c r="C271" s="28" t="s">
        <v>493</v>
      </c>
      <c r="E271" s="44" t="s">
        <v>556</v>
      </c>
      <c r="H271" s="159">
        <f t="shared" ref="H271:T271" si="70">H70</f>
        <v>0</v>
      </c>
      <c r="I271" s="159">
        <f t="shared" si="70"/>
        <v>0</v>
      </c>
      <c r="J271" s="159">
        <f t="shared" si="70"/>
        <v>0</v>
      </c>
      <c r="K271" s="159">
        <f t="shared" si="70"/>
        <v>0</v>
      </c>
      <c r="L271" s="159">
        <f t="shared" si="70"/>
        <v>0</v>
      </c>
      <c r="M271" s="159">
        <f t="shared" si="70"/>
        <v>0</v>
      </c>
      <c r="N271" s="159">
        <f t="shared" si="70"/>
        <v>0</v>
      </c>
      <c r="O271" s="159">
        <f t="shared" si="70"/>
        <v>0</v>
      </c>
      <c r="P271" s="159">
        <f t="shared" si="70"/>
        <v>0</v>
      </c>
      <c r="Q271" s="159">
        <f t="shared" si="70"/>
        <v>0</v>
      </c>
      <c r="R271" s="159">
        <f t="shared" si="70"/>
        <v>0</v>
      </c>
      <c r="S271" s="159">
        <f t="shared" si="70"/>
        <v>0</v>
      </c>
      <c r="T271" s="159">
        <f t="shared" si="70"/>
        <v>0</v>
      </c>
    </row>
    <row r="272" spans="2:20" x14ac:dyDescent="0.25">
      <c r="B272" s="23" t="s">
        <v>2045</v>
      </c>
      <c r="C272" s="28" t="s">
        <v>493</v>
      </c>
      <c r="E272" s="44" t="s">
        <v>529</v>
      </c>
      <c r="H272" s="159">
        <f t="shared" ref="H272:T272" si="71">H71</f>
        <v>0</v>
      </c>
      <c r="I272" s="159">
        <f t="shared" si="71"/>
        <v>0</v>
      </c>
      <c r="J272" s="159">
        <f t="shared" si="71"/>
        <v>0</v>
      </c>
      <c r="K272" s="159">
        <f t="shared" si="71"/>
        <v>0</v>
      </c>
      <c r="L272" s="159">
        <f t="shared" si="71"/>
        <v>0</v>
      </c>
      <c r="M272" s="159">
        <f t="shared" si="71"/>
        <v>0</v>
      </c>
      <c r="N272" s="159">
        <f t="shared" si="71"/>
        <v>0</v>
      </c>
      <c r="O272" s="159">
        <f t="shared" si="71"/>
        <v>0</v>
      </c>
      <c r="P272" s="159">
        <f t="shared" si="71"/>
        <v>0</v>
      </c>
      <c r="Q272" s="159">
        <f t="shared" si="71"/>
        <v>0</v>
      </c>
      <c r="R272" s="159">
        <f t="shared" si="71"/>
        <v>0</v>
      </c>
      <c r="S272" s="159">
        <f t="shared" si="71"/>
        <v>0</v>
      </c>
      <c r="T272" s="159">
        <f t="shared" si="71"/>
        <v>0</v>
      </c>
    </row>
    <row r="273" spans="2:20" x14ac:dyDescent="0.25">
      <c r="B273" s="23" t="s">
        <v>2046</v>
      </c>
      <c r="C273" s="28" t="s">
        <v>493</v>
      </c>
      <c r="E273" s="44" t="s">
        <v>517</v>
      </c>
      <c r="H273" s="159">
        <f t="shared" ref="H273:T273" si="72">H77</f>
        <v>0</v>
      </c>
      <c r="I273" s="159">
        <f t="shared" si="72"/>
        <v>0</v>
      </c>
      <c r="J273" s="159">
        <f t="shared" si="72"/>
        <v>0</v>
      </c>
      <c r="K273" s="159">
        <f t="shared" si="72"/>
        <v>0</v>
      </c>
      <c r="L273" s="159">
        <f t="shared" si="72"/>
        <v>0</v>
      </c>
      <c r="M273" s="159">
        <f t="shared" si="72"/>
        <v>0</v>
      </c>
      <c r="N273" s="159">
        <f t="shared" si="72"/>
        <v>0</v>
      </c>
      <c r="O273" s="159">
        <f t="shared" si="72"/>
        <v>0</v>
      </c>
      <c r="P273" s="159">
        <f t="shared" si="72"/>
        <v>0</v>
      </c>
      <c r="Q273" s="159">
        <f t="shared" si="72"/>
        <v>0</v>
      </c>
      <c r="R273" s="159">
        <f t="shared" si="72"/>
        <v>0</v>
      </c>
      <c r="S273" s="159">
        <f t="shared" si="72"/>
        <v>0</v>
      </c>
      <c r="T273" s="159">
        <f t="shared" si="72"/>
        <v>0</v>
      </c>
    </row>
    <row r="274" spans="2:20" x14ac:dyDescent="0.25">
      <c r="B274" s="23" t="s">
        <v>2047</v>
      </c>
      <c r="C274" s="28" t="s">
        <v>493</v>
      </c>
      <c r="E274" s="44" t="s">
        <v>526</v>
      </c>
      <c r="H274" s="159">
        <f t="shared" ref="H274:T274" si="73">H78</f>
        <v>0</v>
      </c>
      <c r="I274" s="159">
        <f t="shared" si="73"/>
        <v>0</v>
      </c>
      <c r="J274" s="159">
        <f t="shared" si="73"/>
        <v>0</v>
      </c>
      <c r="K274" s="159">
        <f t="shared" si="73"/>
        <v>0</v>
      </c>
      <c r="L274" s="159">
        <f t="shared" si="73"/>
        <v>0</v>
      </c>
      <c r="M274" s="159">
        <f t="shared" si="73"/>
        <v>0</v>
      </c>
      <c r="N274" s="159">
        <f t="shared" si="73"/>
        <v>0</v>
      </c>
      <c r="O274" s="159">
        <f t="shared" si="73"/>
        <v>0</v>
      </c>
      <c r="P274" s="159">
        <f t="shared" si="73"/>
        <v>0</v>
      </c>
      <c r="Q274" s="159">
        <f t="shared" si="73"/>
        <v>0</v>
      </c>
      <c r="R274" s="159">
        <f t="shared" si="73"/>
        <v>0</v>
      </c>
      <c r="S274" s="159">
        <f t="shared" si="73"/>
        <v>0</v>
      </c>
      <c r="T274" s="159">
        <f t="shared" si="73"/>
        <v>0</v>
      </c>
    </row>
    <row r="275" spans="2:20" x14ac:dyDescent="0.25">
      <c r="B275" s="23" t="s">
        <v>2048</v>
      </c>
      <c r="C275" s="28" t="s">
        <v>493</v>
      </c>
      <c r="E275" s="44" t="s">
        <v>529</v>
      </c>
      <c r="H275" s="159">
        <f t="shared" ref="H275:T275" si="74">H79</f>
        <v>0</v>
      </c>
      <c r="I275" s="159">
        <f t="shared" si="74"/>
        <v>0</v>
      </c>
      <c r="J275" s="159">
        <f t="shared" si="74"/>
        <v>0</v>
      </c>
      <c r="K275" s="159">
        <f t="shared" si="74"/>
        <v>0</v>
      </c>
      <c r="L275" s="159">
        <f t="shared" si="74"/>
        <v>0</v>
      </c>
      <c r="M275" s="159">
        <f t="shared" si="74"/>
        <v>0</v>
      </c>
      <c r="N275" s="159">
        <f t="shared" si="74"/>
        <v>0</v>
      </c>
      <c r="O275" s="159">
        <f t="shared" si="74"/>
        <v>0</v>
      </c>
      <c r="P275" s="159">
        <f t="shared" si="74"/>
        <v>0</v>
      </c>
      <c r="Q275" s="159">
        <f t="shared" si="74"/>
        <v>0</v>
      </c>
      <c r="R275" s="159">
        <f t="shared" si="74"/>
        <v>0</v>
      </c>
      <c r="S275" s="159">
        <f t="shared" si="74"/>
        <v>0</v>
      </c>
      <c r="T275" s="159">
        <f t="shared" si="74"/>
        <v>0</v>
      </c>
    </row>
    <row r="276" spans="2:20" x14ac:dyDescent="0.25">
      <c r="B276" s="23" t="s">
        <v>2049</v>
      </c>
      <c r="C276" s="28" t="s">
        <v>493</v>
      </c>
      <c r="E276" s="44" t="s">
        <v>583</v>
      </c>
      <c r="H276" s="159">
        <f t="shared" ref="H276:T276" si="75">H63+H205</f>
        <v>0</v>
      </c>
      <c r="I276" s="159">
        <f t="shared" si="75"/>
        <v>0</v>
      </c>
      <c r="J276" s="159">
        <f t="shared" si="75"/>
        <v>0</v>
      </c>
      <c r="K276" s="159">
        <f t="shared" si="75"/>
        <v>0</v>
      </c>
      <c r="L276" s="159">
        <f t="shared" si="75"/>
        <v>0</v>
      </c>
      <c r="M276" s="159">
        <f t="shared" si="75"/>
        <v>0</v>
      </c>
      <c r="N276" s="159">
        <f t="shared" si="75"/>
        <v>0</v>
      </c>
      <c r="O276" s="159">
        <f t="shared" si="75"/>
        <v>0</v>
      </c>
      <c r="P276" s="159">
        <f t="shared" si="75"/>
        <v>0</v>
      </c>
      <c r="Q276" s="159">
        <f t="shared" si="75"/>
        <v>0</v>
      </c>
      <c r="R276" s="159">
        <f t="shared" si="75"/>
        <v>0</v>
      </c>
      <c r="S276" s="159">
        <f t="shared" si="75"/>
        <v>0</v>
      </c>
      <c r="T276" s="159">
        <f t="shared" si="75"/>
        <v>0</v>
      </c>
    </row>
    <row r="277" spans="2:20" x14ac:dyDescent="0.25">
      <c r="B277" s="23" t="str">
        <f>"P16  "&amp;Inputs!$E$605</f>
        <v>P16  Lampung</v>
      </c>
      <c r="C277" s="28" t="s">
        <v>493</v>
      </c>
      <c r="E277" s="44" t="s">
        <v>587</v>
      </c>
      <c r="H277" s="159">
        <f t="shared" ref="H277:T277" si="76">H72+H206</f>
        <v>0</v>
      </c>
      <c r="I277" s="159">
        <f t="shared" si="76"/>
        <v>0</v>
      </c>
      <c r="J277" s="159">
        <f t="shared" si="76"/>
        <v>0</v>
      </c>
      <c r="K277" s="159">
        <f t="shared" si="76"/>
        <v>0</v>
      </c>
      <c r="L277" s="159">
        <f t="shared" si="76"/>
        <v>0</v>
      </c>
      <c r="M277" s="159">
        <f t="shared" si="76"/>
        <v>0</v>
      </c>
      <c r="N277" s="159">
        <f t="shared" si="76"/>
        <v>0</v>
      </c>
      <c r="O277" s="159">
        <f t="shared" si="76"/>
        <v>0</v>
      </c>
      <c r="P277" s="159">
        <f t="shared" si="76"/>
        <v>0</v>
      </c>
      <c r="Q277" s="159">
        <f t="shared" si="76"/>
        <v>0</v>
      </c>
      <c r="R277" s="159">
        <f t="shared" si="76"/>
        <v>0</v>
      </c>
      <c r="S277" s="159">
        <f t="shared" si="76"/>
        <v>0</v>
      </c>
      <c r="T277" s="159">
        <f t="shared" si="76"/>
        <v>0</v>
      </c>
    </row>
    <row r="278" spans="2:20" x14ac:dyDescent="0.25">
      <c r="B278" s="23" t="str">
        <f>"P17  "&amp;Inputs!$E$639</f>
        <v>P17  Pipeline Project 2</v>
      </c>
      <c r="C278" s="28" t="s">
        <v>493</v>
      </c>
      <c r="E278" s="44" t="s">
        <v>590</v>
      </c>
      <c r="H278" s="159">
        <f t="shared" ref="H278:T278" si="77">H73+H207</f>
        <v>0</v>
      </c>
      <c r="I278" s="159">
        <f t="shared" si="77"/>
        <v>0</v>
      </c>
      <c r="J278" s="159">
        <f t="shared" si="77"/>
        <v>0</v>
      </c>
      <c r="K278" s="159">
        <f t="shared" si="77"/>
        <v>0</v>
      </c>
      <c r="L278" s="159">
        <f t="shared" si="77"/>
        <v>0</v>
      </c>
      <c r="M278" s="159">
        <f t="shared" si="77"/>
        <v>0</v>
      </c>
      <c r="N278" s="159">
        <f t="shared" si="77"/>
        <v>0</v>
      </c>
      <c r="O278" s="159">
        <f t="shared" si="77"/>
        <v>0</v>
      </c>
      <c r="P278" s="159">
        <f t="shared" si="77"/>
        <v>0</v>
      </c>
      <c r="Q278" s="159">
        <f t="shared" si="77"/>
        <v>0</v>
      </c>
      <c r="R278" s="159">
        <f t="shared" si="77"/>
        <v>0</v>
      </c>
      <c r="S278" s="159">
        <f t="shared" si="77"/>
        <v>0</v>
      </c>
      <c r="T278" s="159">
        <f t="shared" si="77"/>
        <v>0</v>
      </c>
    </row>
    <row r="279" spans="2:20" x14ac:dyDescent="0.25">
      <c r="B279" s="23" t="str">
        <f>"P18  "&amp;Inputs!$E$673</f>
        <v>P18  Pipeline Project 3</v>
      </c>
      <c r="C279" s="28" t="s">
        <v>493</v>
      </c>
      <c r="E279" s="44" t="s">
        <v>592</v>
      </c>
      <c r="H279" s="159">
        <f t="shared" ref="H279:T279" si="78">H74+H208</f>
        <v>0</v>
      </c>
      <c r="I279" s="159">
        <f t="shared" si="78"/>
        <v>0</v>
      </c>
      <c r="J279" s="159">
        <f t="shared" si="78"/>
        <v>0</v>
      </c>
      <c r="K279" s="159">
        <f t="shared" si="78"/>
        <v>0</v>
      </c>
      <c r="L279" s="159">
        <f t="shared" si="78"/>
        <v>0</v>
      </c>
      <c r="M279" s="159">
        <f t="shared" si="78"/>
        <v>0</v>
      </c>
      <c r="N279" s="159">
        <f t="shared" si="78"/>
        <v>0</v>
      </c>
      <c r="O279" s="159">
        <f t="shared" si="78"/>
        <v>0</v>
      </c>
      <c r="P279" s="159">
        <f t="shared" si="78"/>
        <v>0</v>
      </c>
      <c r="Q279" s="159">
        <f t="shared" si="78"/>
        <v>0</v>
      </c>
      <c r="R279" s="159">
        <f t="shared" si="78"/>
        <v>0</v>
      </c>
      <c r="S279" s="159">
        <f t="shared" si="78"/>
        <v>0</v>
      </c>
      <c r="T279" s="159">
        <f t="shared" si="78"/>
        <v>0</v>
      </c>
    </row>
    <row r="280" spans="2:20" x14ac:dyDescent="0.25">
      <c r="B280" s="23" t="s">
        <v>2050</v>
      </c>
      <c r="C280" s="28" t="s">
        <v>493</v>
      </c>
      <c r="E280" s="44" t="s">
        <v>596</v>
      </c>
      <c r="H280" s="159">
        <f t="shared" ref="H280:T280" si="79">H76+H209</f>
        <v>0</v>
      </c>
      <c r="I280" s="159">
        <f t="shared" si="79"/>
        <v>0</v>
      </c>
      <c r="J280" s="159">
        <f t="shared" si="79"/>
        <v>0</v>
      </c>
      <c r="K280" s="159">
        <f t="shared" si="79"/>
        <v>65.06</v>
      </c>
      <c r="L280" s="159">
        <f t="shared" si="79"/>
        <v>97.59</v>
      </c>
      <c r="M280" s="159">
        <f t="shared" si="79"/>
        <v>0</v>
      </c>
      <c r="N280" s="159">
        <f t="shared" si="79"/>
        <v>0</v>
      </c>
      <c r="O280" s="159">
        <f t="shared" si="79"/>
        <v>0</v>
      </c>
      <c r="P280" s="159">
        <f t="shared" si="79"/>
        <v>0</v>
      </c>
      <c r="Q280" s="159">
        <f t="shared" si="79"/>
        <v>0</v>
      </c>
      <c r="R280" s="159">
        <f t="shared" si="79"/>
        <v>0</v>
      </c>
      <c r="S280" s="159">
        <f t="shared" si="79"/>
        <v>0</v>
      </c>
      <c r="T280" s="159">
        <f t="shared" si="79"/>
        <v>0</v>
      </c>
    </row>
    <row r="281" spans="2:20" x14ac:dyDescent="0.25">
      <c r="B281" s="21" t="s">
        <v>2495</v>
      </c>
      <c r="C281" s="28" t="s">
        <v>493</v>
      </c>
      <c r="G281" s="157"/>
      <c r="H281" s="158">
        <f t="shared" ref="H281:T281" si="80">H258+H259+H260+H261+H262+H263+H264+H265+H266+H267+H268+H269+H270+H271+H272+H276+H277+H278+H279+H280</f>
        <v>125.24050000000001</v>
      </c>
      <c r="I281" s="158">
        <f t="shared" si="80"/>
        <v>14.638500000000001</v>
      </c>
      <c r="J281" s="158">
        <f t="shared" si="80"/>
        <v>419.77202976190472</v>
      </c>
      <c r="K281" s="158">
        <f t="shared" si="80"/>
        <v>225.06362499999994</v>
      </c>
      <c r="L281" s="158">
        <f t="shared" si="80"/>
        <v>97.59</v>
      </c>
      <c r="M281" s="158">
        <f t="shared" si="80"/>
        <v>0</v>
      </c>
      <c r="N281" s="158">
        <f t="shared" si="80"/>
        <v>0</v>
      </c>
      <c r="O281" s="158">
        <f t="shared" si="80"/>
        <v>0</v>
      </c>
      <c r="P281" s="158">
        <f t="shared" si="80"/>
        <v>0</v>
      </c>
      <c r="Q281" s="158">
        <f t="shared" si="80"/>
        <v>0</v>
      </c>
      <c r="R281" s="158">
        <f t="shared" si="80"/>
        <v>0</v>
      </c>
      <c r="S281" s="158">
        <f t="shared" si="80"/>
        <v>0</v>
      </c>
      <c r="T281" s="158">
        <f t="shared" si="80"/>
        <v>0</v>
      </c>
    </row>
    <row r="282" spans="2:20" x14ac:dyDescent="0.25">
      <c r="B282" s="21" t="s">
        <v>2496</v>
      </c>
      <c r="C282" s="28" t="s">
        <v>493</v>
      </c>
      <c r="H282" s="160">
        <f t="shared" ref="H282:T282" si="81">H273+H274+H275</f>
        <v>0</v>
      </c>
      <c r="I282" s="160">
        <f t="shared" si="81"/>
        <v>0</v>
      </c>
      <c r="J282" s="160">
        <f t="shared" si="81"/>
        <v>0</v>
      </c>
      <c r="K282" s="160">
        <f t="shared" si="81"/>
        <v>0</v>
      </c>
      <c r="L282" s="160">
        <f t="shared" si="81"/>
        <v>0</v>
      </c>
      <c r="M282" s="160">
        <f t="shared" si="81"/>
        <v>0</v>
      </c>
      <c r="N282" s="160">
        <f t="shared" si="81"/>
        <v>0</v>
      </c>
      <c r="O282" s="160">
        <f t="shared" si="81"/>
        <v>0</v>
      </c>
      <c r="P282" s="160">
        <f t="shared" si="81"/>
        <v>0</v>
      </c>
      <c r="Q282" s="160">
        <f t="shared" si="81"/>
        <v>0</v>
      </c>
      <c r="R282" s="160">
        <f t="shared" si="81"/>
        <v>0</v>
      </c>
      <c r="S282" s="160">
        <f t="shared" si="81"/>
        <v>0</v>
      </c>
      <c r="T282" s="160">
        <f t="shared" si="81"/>
        <v>0</v>
      </c>
    </row>
    <row r="283" spans="2:20" x14ac:dyDescent="0.25">
      <c r="B283" s="21" t="s">
        <v>2497</v>
      </c>
      <c r="C283" s="28" t="s">
        <v>493</v>
      </c>
      <c r="G283" s="157"/>
      <c r="H283" s="158">
        <f t="shared" ref="H283:T283" si="82">H281+H282</f>
        <v>125.24050000000001</v>
      </c>
      <c r="I283" s="158">
        <f t="shared" si="82"/>
        <v>14.638500000000001</v>
      </c>
      <c r="J283" s="158">
        <f t="shared" si="82"/>
        <v>419.77202976190472</v>
      </c>
      <c r="K283" s="158">
        <f t="shared" si="82"/>
        <v>225.06362499999994</v>
      </c>
      <c r="L283" s="158">
        <f t="shared" si="82"/>
        <v>97.59</v>
      </c>
      <c r="M283" s="158">
        <f t="shared" si="82"/>
        <v>0</v>
      </c>
      <c r="N283" s="158">
        <f t="shared" si="82"/>
        <v>0</v>
      </c>
      <c r="O283" s="158">
        <f t="shared" si="82"/>
        <v>0</v>
      </c>
      <c r="P283" s="158">
        <f t="shared" si="82"/>
        <v>0</v>
      </c>
      <c r="Q283" s="158">
        <f t="shared" si="82"/>
        <v>0</v>
      </c>
      <c r="R283" s="158">
        <f t="shared" si="82"/>
        <v>0</v>
      </c>
      <c r="S283" s="158">
        <f t="shared" si="82"/>
        <v>0</v>
      </c>
      <c r="T283" s="158">
        <f t="shared" si="82"/>
        <v>0</v>
      </c>
    </row>
    <row r="284" spans="2:20" x14ac:dyDescent="0.25">
      <c r="B284" s="154" t="s">
        <v>2498</v>
      </c>
    </row>
    <row r="285" spans="2:20" x14ac:dyDescent="0.25">
      <c r="B285" s="23" t="s">
        <v>2031</v>
      </c>
      <c r="C285" s="28" t="s">
        <v>493</v>
      </c>
      <c r="E285" s="44" t="s">
        <v>517</v>
      </c>
      <c r="G285" s="29">
        <f>'Source Data'!$E$814</f>
        <v>327.325840159427</v>
      </c>
      <c r="H285" s="159">
        <f t="shared" ref="H285:T285" si="83">G285+H258-H231</f>
        <v>285.58505798351473</v>
      </c>
      <c r="I285" s="159">
        <f t="shared" si="83"/>
        <v>243.83880167773265</v>
      </c>
      <c r="J285" s="159">
        <f t="shared" si="83"/>
        <v>201.08696175948336</v>
      </c>
      <c r="K285" s="159">
        <f t="shared" si="83"/>
        <v>158.32942655651752</v>
      </c>
      <c r="L285" s="159">
        <f t="shared" si="83"/>
        <v>115.56608216314081</v>
      </c>
      <c r="M285" s="159">
        <f t="shared" si="83"/>
        <v>71.796812395545004</v>
      </c>
      <c r="N285" s="159">
        <f t="shared" si="83"/>
        <v>28.02149874624574</v>
      </c>
      <c r="O285" s="159">
        <f t="shared" si="83"/>
        <v>-15.759979662391061</v>
      </c>
      <c r="P285" s="159">
        <f t="shared" si="83"/>
        <v>-60.547746125552152</v>
      </c>
      <c r="Q285" s="159">
        <f t="shared" si="83"/>
        <v>-105.34192640432802</v>
      </c>
      <c r="R285" s="159">
        <f t="shared" si="83"/>
        <v>-150.14264877503098</v>
      </c>
      <c r="S285" s="159">
        <f t="shared" si="83"/>
        <v>-194.95004407949952</v>
      </c>
      <c r="T285" s="159">
        <f t="shared" si="83"/>
        <v>-239.76424577640898</v>
      </c>
    </row>
    <row r="286" spans="2:20" x14ac:dyDescent="0.25">
      <c r="B286" s="23" t="s">
        <v>2032</v>
      </c>
      <c r="C286" s="28" t="s">
        <v>493</v>
      </c>
      <c r="E286" s="44" t="s">
        <v>526</v>
      </c>
      <c r="G286" s="29">
        <f>'Source Data'!$E$815</f>
        <v>494.44284118395001</v>
      </c>
      <c r="H286" s="159">
        <f t="shared" ref="H286:T286" si="84">G286+H259-H232</f>
        <v>453.48401557970703</v>
      </c>
      <c r="I286" s="159">
        <f t="shared" si="84"/>
        <v>412.52259700055578</v>
      </c>
      <c r="J286" s="159">
        <f t="shared" si="84"/>
        <v>370.55853358699807</v>
      </c>
      <c r="K286" s="159">
        <f t="shared" si="84"/>
        <v>328.59177244234581</v>
      </c>
      <c r="L286" s="159">
        <f t="shared" si="84"/>
        <v>286.62225961197714</v>
      </c>
      <c r="M286" s="159">
        <f t="shared" si="84"/>
        <v>243.64994006217768</v>
      </c>
      <c r="N286" s="159">
        <f t="shared" si="84"/>
        <v>200.67475765855883</v>
      </c>
      <c r="O286" s="159">
        <f t="shared" si="84"/>
        <v>157.6966551440442</v>
      </c>
      <c r="P286" s="159">
        <f t="shared" si="84"/>
        <v>113.71557411641588</v>
      </c>
      <c r="Q286" s="159">
        <f t="shared" si="84"/>
        <v>69.73145500541159</v>
      </c>
      <c r="R286" s="159">
        <f t="shared" si="84"/>
        <v>25.744237049363818</v>
      </c>
      <c r="S286" s="159">
        <f t="shared" si="84"/>
        <v>-18.246141728628309</v>
      </c>
      <c r="T286" s="159">
        <f t="shared" si="84"/>
        <v>-62.239744545003681</v>
      </c>
    </row>
    <row r="287" spans="2:20" x14ac:dyDescent="0.25">
      <c r="B287" s="23" t="s">
        <v>2033</v>
      </c>
      <c r="C287" s="28" t="s">
        <v>493</v>
      </c>
      <c r="E287" s="44" t="s">
        <v>529</v>
      </c>
      <c r="G287" s="29">
        <f>'Source Data'!$E$816</f>
        <v>3.04885373796</v>
      </c>
      <c r="H287" s="159">
        <f t="shared" ref="H287:T287" si="85">G287+H260-H233</f>
        <v>-2.1851204754699998</v>
      </c>
      <c r="I287" s="159">
        <f t="shared" si="85"/>
        <v>-7.4190946888999996</v>
      </c>
      <c r="J287" s="159">
        <f t="shared" si="85"/>
        <v>-10.036081795614999</v>
      </c>
      <c r="K287" s="159">
        <f t="shared" si="85"/>
        <v>-10.036081795614999</v>
      </c>
      <c r="L287" s="159">
        <f t="shared" si="85"/>
        <v>-10.036081795614999</v>
      </c>
      <c r="M287" s="159">
        <f t="shared" si="85"/>
        <v>-10.036081795614999</v>
      </c>
      <c r="N287" s="159">
        <f t="shared" si="85"/>
        <v>-10.036081795614999</v>
      </c>
      <c r="O287" s="159">
        <f t="shared" si="85"/>
        <v>-10.036081795614999</v>
      </c>
      <c r="P287" s="159">
        <f t="shared" si="85"/>
        <v>-10.036081795614999</v>
      </c>
      <c r="Q287" s="159">
        <f t="shared" si="85"/>
        <v>-10.036081795614999</v>
      </c>
      <c r="R287" s="159">
        <f t="shared" si="85"/>
        <v>-10.036081795614999</v>
      </c>
      <c r="S287" s="159">
        <f t="shared" si="85"/>
        <v>-10.036081795614999</v>
      </c>
      <c r="T287" s="159">
        <f t="shared" si="85"/>
        <v>-10.036081795614999</v>
      </c>
    </row>
    <row r="288" spans="2:20" x14ac:dyDescent="0.25">
      <c r="B288" s="23" t="s">
        <v>2034</v>
      </c>
      <c r="C288" s="28" t="s">
        <v>493</v>
      </c>
      <c r="E288" s="44" t="s">
        <v>532</v>
      </c>
      <c r="G288" s="29">
        <f>'Source Data'!$E$817</f>
        <v>1.20478385166</v>
      </c>
      <c r="H288" s="159">
        <f t="shared" ref="H288:T288" si="86">G288+H261-H234</f>
        <v>0.76530343630999997</v>
      </c>
      <c r="I288" s="159">
        <f t="shared" si="86"/>
        <v>0.32582302095999999</v>
      </c>
      <c r="J288" s="159">
        <f t="shared" si="86"/>
        <v>-0.11365739439</v>
      </c>
      <c r="K288" s="159">
        <f t="shared" si="86"/>
        <v>-0.55313780973999993</v>
      </c>
      <c r="L288" s="159">
        <f t="shared" si="86"/>
        <v>-0.99261822508999997</v>
      </c>
      <c r="M288" s="159">
        <f t="shared" si="86"/>
        <v>-1.43209864044</v>
      </c>
      <c r="N288" s="159">
        <f t="shared" si="86"/>
        <v>-1.8715790557900001</v>
      </c>
      <c r="O288" s="159">
        <f t="shared" si="86"/>
        <v>-2.3110594711400001</v>
      </c>
      <c r="P288" s="159">
        <f t="shared" si="86"/>
        <v>-2.7505398864899999</v>
      </c>
      <c r="Q288" s="159">
        <f t="shared" si="86"/>
        <v>-3.1900203018399997</v>
      </c>
      <c r="R288" s="159">
        <f t="shared" si="86"/>
        <v>-3.6295007171899996</v>
      </c>
      <c r="S288" s="159">
        <f t="shared" si="86"/>
        <v>-4.0689811325399994</v>
      </c>
      <c r="T288" s="159">
        <f t="shared" si="86"/>
        <v>-4.5084615478899996</v>
      </c>
    </row>
    <row r="289" spans="2:20" x14ac:dyDescent="0.25">
      <c r="B289" s="23" t="s">
        <v>2035</v>
      </c>
      <c r="C289" s="28" t="s">
        <v>493</v>
      </c>
      <c r="E289" s="44" t="s">
        <v>526</v>
      </c>
      <c r="G289" s="159">
        <f>Inputs!$E$744*$E$87</f>
        <v>0</v>
      </c>
      <c r="H289" s="159">
        <f>G289+H262-H235-Inputs!$E$744*$E$87*(1-Inputs!$H$64)</f>
        <v>37.409500000000008</v>
      </c>
      <c r="I289" s="159">
        <f t="shared" ref="I289:T289" si="87">H289+I262-I235</f>
        <v>27.743464136878028</v>
      </c>
      <c r="J289" s="159">
        <f t="shared" si="87"/>
        <v>9.944928273756048</v>
      </c>
      <c r="K289" s="159">
        <f t="shared" si="87"/>
        <v>-7.8536075893659323</v>
      </c>
      <c r="L289" s="159">
        <f t="shared" si="87"/>
        <v>-25.652143452487913</v>
      </c>
      <c r="M289" s="159">
        <f t="shared" si="87"/>
        <v>-43.450679315609889</v>
      </c>
      <c r="N289" s="159">
        <f t="shared" si="87"/>
        <v>-61.249215178731873</v>
      </c>
      <c r="O289" s="159">
        <f t="shared" si="87"/>
        <v>-79.047751041853857</v>
      </c>
      <c r="P289" s="159">
        <f t="shared" si="87"/>
        <v>-96.846286904975841</v>
      </c>
      <c r="Q289" s="159">
        <f t="shared" si="87"/>
        <v>-114.64482276809782</v>
      </c>
      <c r="R289" s="159">
        <f t="shared" si="87"/>
        <v>-132.44335863121981</v>
      </c>
      <c r="S289" s="159">
        <f t="shared" si="87"/>
        <v>-150.24189449434178</v>
      </c>
      <c r="T289" s="159">
        <f t="shared" si="87"/>
        <v>-168.04043035746375</v>
      </c>
    </row>
    <row r="290" spans="2:20" x14ac:dyDescent="0.25">
      <c r="B290" s="23" t="s">
        <v>2036</v>
      </c>
      <c r="C290" s="28" t="s">
        <v>493</v>
      </c>
      <c r="E290" s="44" t="s">
        <v>526</v>
      </c>
      <c r="G290" s="159">
        <f>Inputs!$E$744*$E$94</f>
        <v>0</v>
      </c>
      <c r="H290" s="159">
        <f>G290+H263-H236-Inputs!$E$744*$E$94*(1-Inputs!$H$65)</f>
        <v>87.831000000000003</v>
      </c>
      <c r="I290" s="159">
        <f t="shared" ref="I290:T290" si="88">H290+I263-I236</f>
        <v>86.916980194833812</v>
      </c>
      <c r="J290" s="159">
        <f t="shared" si="88"/>
        <v>79.49696038966762</v>
      </c>
      <c r="K290" s="159">
        <f t="shared" si="88"/>
        <v>72.076940584501429</v>
      </c>
      <c r="L290" s="159">
        <f t="shared" si="88"/>
        <v>64.656920779335238</v>
      </c>
      <c r="M290" s="159">
        <f t="shared" si="88"/>
        <v>57.236900974169039</v>
      </c>
      <c r="N290" s="159">
        <f t="shared" si="88"/>
        <v>49.816881169002841</v>
      </c>
      <c r="O290" s="159">
        <f t="shared" si="88"/>
        <v>42.396861363836642</v>
      </c>
      <c r="P290" s="159">
        <f t="shared" si="88"/>
        <v>34.976841558670444</v>
      </c>
      <c r="Q290" s="159">
        <f t="shared" si="88"/>
        <v>27.556821753504245</v>
      </c>
      <c r="R290" s="159">
        <f t="shared" si="88"/>
        <v>20.136801948338046</v>
      </c>
      <c r="S290" s="159">
        <f t="shared" si="88"/>
        <v>12.716782143171848</v>
      </c>
      <c r="T290" s="159">
        <f t="shared" si="88"/>
        <v>5.2967623380056503</v>
      </c>
    </row>
    <row r="291" spans="2:20" x14ac:dyDescent="0.25">
      <c r="B291" s="23" t="s">
        <v>2037</v>
      </c>
      <c r="C291" s="28" t="s">
        <v>493</v>
      </c>
      <c r="E291" s="44" t="s">
        <v>526</v>
      </c>
      <c r="G291" s="159">
        <v>0</v>
      </c>
      <c r="H291" s="159">
        <f t="shared" ref="H291:H307" si="89">G291+H264-H237</f>
        <v>0</v>
      </c>
      <c r="I291" s="159">
        <f t="shared" ref="I291:T291" si="90">H291+I264-I237</f>
        <v>0</v>
      </c>
      <c r="J291" s="159">
        <f t="shared" si="90"/>
        <v>97.990000000000052</v>
      </c>
      <c r="K291" s="159">
        <f t="shared" si="90"/>
        <v>97.990000000000052</v>
      </c>
      <c r="L291" s="159">
        <f t="shared" si="90"/>
        <v>97.990000000000052</v>
      </c>
      <c r="M291" s="159">
        <f t="shared" si="90"/>
        <v>97.990000000000052</v>
      </c>
      <c r="N291" s="159">
        <f t="shared" si="90"/>
        <v>97.990000000000052</v>
      </c>
      <c r="O291" s="159">
        <f t="shared" si="90"/>
        <v>97.990000000000052</v>
      </c>
      <c r="P291" s="159">
        <f t="shared" si="90"/>
        <v>97.990000000000052</v>
      </c>
      <c r="Q291" s="159">
        <f t="shared" si="90"/>
        <v>97.990000000000052</v>
      </c>
      <c r="R291" s="159">
        <f t="shared" si="90"/>
        <v>97.990000000000052</v>
      </c>
      <c r="S291" s="159">
        <f t="shared" si="90"/>
        <v>97.990000000000052</v>
      </c>
      <c r="T291" s="159">
        <f t="shared" si="90"/>
        <v>97.990000000000052</v>
      </c>
    </row>
    <row r="292" spans="2:20" x14ac:dyDescent="0.25">
      <c r="B292" s="23" t="s">
        <v>2038</v>
      </c>
      <c r="C292" s="28" t="s">
        <v>493</v>
      </c>
      <c r="E292" s="44" t="s">
        <v>517</v>
      </c>
      <c r="G292" s="159">
        <v>0</v>
      </c>
      <c r="H292" s="159">
        <f t="shared" si="89"/>
        <v>0</v>
      </c>
      <c r="I292" s="159">
        <f t="shared" ref="I292:T292" si="91">H292+I265-I238</f>
        <v>0</v>
      </c>
      <c r="J292" s="159">
        <f t="shared" si="91"/>
        <v>61.193749999999952</v>
      </c>
      <c r="K292" s="159">
        <f t="shared" si="91"/>
        <v>57.001978124999951</v>
      </c>
      <c r="L292" s="159">
        <f t="shared" si="91"/>
        <v>52.810206249999951</v>
      </c>
      <c r="M292" s="159">
        <f t="shared" si="91"/>
        <v>48.61843437499995</v>
      </c>
      <c r="N292" s="159">
        <f t="shared" si="91"/>
        <v>44.426662499999949</v>
      </c>
      <c r="O292" s="159">
        <f t="shared" si="91"/>
        <v>40.234890624999949</v>
      </c>
      <c r="P292" s="159">
        <f t="shared" si="91"/>
        <v>36.043118749999948</v>
      </c>
      <c r="Q292" s="159">
        <f t="shared" si="91"/>
        <v>31.851346874999951</v>
      </c>
      <c r="R292" s="159">
        <f t="shared" si="91"/>
        <v>27.659574999999954</v>
      </c>
      <c r="S292" s="159">
        <f t="shared" si="91"/>
        <v>23.467803124999957</v>
      </c>
      <c r="T292" s="159">
        <f t="shared" si="91"/>
        <v>19.27603124999996</v>
      </c>
    </row>
    <row r="293" spans="2:20" x14ac:dyDescent="0.25">
      <c r="B293" s="23" t="s">
        <v>2039</v>
      </c>
      <c r="C293" s="28" t="s">
        <v>493</v>
      </c>
      <c r="E293" s="44" t="s">
        <v>551</v>
      </c>
      <c r="G293" s="159">
        <v>0</v>
      </c>
      <c r="H293" s="159">
        <f t="shared" si="89"/>
        <v>0</v>
      </c>
      <c r="I293" s="159">
        <f t="shared" ref="I293:T293" si="92">H293+I266-I239</f>
        <v>0</v>
      </c>
      <c r="J293" s="159">
        <f t="shared" si="92"/>
        <v>96.610227380952352</v>
      </c>
      <c r="K293" s="159">
        <f t="shared" si="92"/>
        <v>93.035799999999966</v>
      </c>
      <c r="L293" s="159">
        <f t="shared" si="92"/>
        <v>84.175247619047582</v>
      </c>
      <c r="M293" s="159">
        <f t="shared" si="92"/>
        <v>75.314695238095197</v>
      </c>
      <c r="N293" s="159">
        <f t="shared" si="92"/>
        <v>66.454142857142813</v>
      </c>
      <c r="O293" s="159">
        <f t="shared" si="92"/>
        <v>57.593590476190435</v>
      </c>
      <c r="P293" s="159">
        <f t="shared" si="92"/>
        <v>48.733038095238058</v>
      </c>
      <c r="Q293" s="159">
        <f t="shared" si="92"/>
        <v>39.872485714285681</v>
      </c>
      <c r="R293" s="159">
        <f t="shared" si="92"/>
        <v>36.54977857142854</v>
      </c>
      <c r="S293" s="159">
        <f t="shared" si="92"/>
        <v>33.227071428571399</v>
      </c>
      <c r="T293" s="159">
        <f t="shared" si="92"/>
        <v>29.904364285714259</v>
      </c>
    </row>
    <row r="294" spans="2:20" x14ac:dyDescent="0.25">
      <c r="B294" s="23" t="s">
        <v>2040</v>
      </c>
      <c r="C294" s="28" t="s">
        <v>493</v>
      </c>
      <c r="E294" s="44" t="s">
        <v>556</v>
      </c>
      <c r="G294" s="159">
        <v>0</v>
      </c>
      <c r="H294" s="159">
        <f t="shared" si="89"/>
        <v>0</v>
      </c>
      <c r="I294" s="159">
        <f t="shared" ref="I294:T294" si="93">H294+I267-I240</f>
        <v>0</v>
      </c>
      <c r="J294" s="159">
        <f t="shared" si="93"/>
        <v>40.862500000000026</v>
      </c>
      <c r="K294" s="159">
        <f t="shared" si="93"/>
        <v>81.725000000000051</v>
      </c>
      <c r="L294" s="159">
        <f t="shared" si="93"/>
        <v>74.574062500000053</v>
      </c>
      <c r="M294" s="159">
        <f t="shared" si="93"/>
        <v>67.423125000000056</v>
      </c>
      <c r="N294" s="159">
        <f t="shared" si="93"/>
        <v>60.272187500000051</v>
      </c>
      <c r="O294" s="159">
        <f t="shared" si="93"/>
        <v>53.121250000000046</v>
      </c>
      <c r="P294" s="159">
        <f t="shared" si="93"/>
        <v>45.970312500000041</v>
      </c>
      <c r="Q294" s="159">
        <f t="shared" si="93"/>
        <v>38.819375000000036</v>
      </c>
      <c r="R294" s="159">
        <f t="shared" si="93"/>
        <v>31.668437500000032</v>
      </c>
      <c r="S294" s="159">
        <f t="shared" si="93"/>
        <v>24.517500000000027</v>
      </c>
      <c r="T294" s="159">
        <f t="shared" si="93"/>
        <v>17.366562500000022</v>
      </c>
    </row>
    <row r="295" spans="2:20" x14ac:dyDescent="0.25">
      <c r="B295" s="23" t="s">
        <v>2041</v>
      </c>
      <c r="C295" s="28" t="s">
        <v>493</v>
      </c>
      <c r="E295" s="44" t="s">
        <v>529</v>
      </c>
      <c r="G295" s="159">
        <v>0</v>
      </c>
      <c r="H295" s="159">
        <f t="shared" si="89"/>
        <v>0</v>
      </c>
      <c r="I295" s="159">
        <f t="shared" ref="I295:T295" si="94">H295+I268-I241</f>
        <v>0</v>
      </c>
      <c r="J295" s="159">
        <f t="shared" si="94"/>
        <v>101.13867499999998</v>
      </c>
      <c r="K295" s="159">
        <f t="shared" si="94"/>
        <v>201.87734999999992</v>
      </c>
      <c r="L295" s="159">
        <f t="shared" si="94"/>
        <v>188.76102499999993</v>
      </c>
      <c r="M295" s="159">
        <f t="shared" si="94"/>
        <v>175.64469999999994</v>
      </c>
      <c r="N295" s="159">
        <f t="shared" si="94"/>
        <v>162.52837499999995</v>
      </c>
      <c r="O295" s="159">
        <f t="shared" si="94"/>
        <v>149.41204999999997</v>
      </c>
      <c r="P295" s="159">
        <f t="shared" si="94"/>
        <v>136.29572499999998</v>
      </c>
      <c r="Q295" s="159">
        <f t="shared" si="94"/>
        <v>123.17939999999999</v>
      </c>
      <c r="R295" s="159">
        <f t="shared" si="94"/>
        <v>110.063075</v>
      </c>
      <c r="S295" s="159">
        <f t="shared" si="94"/>
        <v>96.946750000000009</v>
      </c>
      <c r="T295" s="159">
        <f t="shared" si="94"/>
        <v>83.83042500000002</v>
      </c>
    </row>
    <row r="296" spans="2:20" x14ac:dyDescent="0.25">
      <c r="B296" s="23" t="s">
        <v>2042</v>
      </c>
      <c r="C296" s="28" t="s">
        <v>493</v>
      </c>
      <c r="E296" s="44" t="s">
        <v>517</v>
      </c>
      <c r="G296" s="159">
        <v>0</v>
      </c>
      <c r="H296" s="159">
        <f t="shared" si="89"/>
        <v>0</v>
      </c>
      <c r="I296" s="159">
        <f t="shared" ref="I296:T296" si="95">H296+I269-I242</f>
        <v>0</v>
      </c>
      <c r="J296" s="159">
        <f t="shared" si="95"/>
        <v>0</v>
      </c>
      <c r="K296" s="159">
        <f t="shared" si="95"/>
        <v>-0.13012000000000001</v>
      </c>
      <c r="L296" s="159">
        <f t="shared" si="95"/>
        <v>-0.26024000000000003</v>
      </c>
      <c r="M296" s="159">
        <f t="shared" si="95"/>
        <v>-0.39036000000000004</v>
      </c>
      <c r="N296" s="159">
        <f t="shared" si="95"/>
        <v>-0.52048000000000005</v>
      </c>
      <c r="O296" s="159">
        <f t="shared" si="95"/>
        <v>-0.65060000000000007</v>
      </c>
      <c r="P296" s="159">
        <f t="shared" si="95"/>
        <v>-0.78072000000000008</v>
      </c>
      <c r="Q296" s="159">
        <f t="shared" si="95"/>
        <v>-0.91084000000000009</v>
      </c>
      <c r="R296" s="159">
        <f t="shared" si="95"/>
        <v>-1.0409600000000001</v>
      </c>
      <c r="S296" s="159">
        <f t="shared" si="95"/>
        <v>-1.1710800000000001</v>
      </c>
      <c r="T296" s="159">
        <f t="shared" si="95"/>
        <v>-1.3012000000000001</v>
      </c>
    </row>
    <row r="297" spans="2:20" x14ac:dyDescent="0.25">
      <c r="B297" s="23" t="s">
        <v>2043</v>
      </c>
      <c r="C297" s="28" t="s">
        <v>493</v>
      </c>
      <c r="E297" s="44" t="s">
        <v>526</v>
      </c>
      <c r="G297" s="159">
        <v>0</v>
      </c>
      <c r="H297" s="159">
        <f t="shared" si="89"/>
        <v>0</v>
      </c>
      <c r="I297" s="159">
        <f t="shared" ref="I297:T297" si="96">H297+I270-I243</f>
        <v>0</v>
      </c>
      <c r="J297" s="159">
        <f t="shared" si="96"/>
        <v>0</v>
      </c>
      <c r="K297" s="159">
        <f t="shared" si="96"/>
        <v>-0.13012000000000001</v>
      </c>
      <c r="L297" s="159">
        <f t="shared" si="96"/>
        <v>-0.26024000000000003</v>
      </c>
      <c r="M297" s="159">
        <f t="shared" si="96"/>
        <v>-0.39036000000000004</v>
      </c>
      <c r="N297" s="159">
        <f t="shared" si="96"/>
        <v>-0.52048000000000005</v>
      </c>
      <c r="O297" s="159">
        <f t="shared" si="96"/>
        <v>-0.65060000000000007</v>
      </c>
      <c r="P297" s="159">
        <f t="shared" si="96"/>
        <v>-0.78072000000000008</v>
      </c>
      <c r="Q297" s="159">
        <f t="shared" si="96"/>
        <v>-0.91084000000000009</v>
      </c>
      <c r="R297" s="159">
        <f t="shared" si="96"/>
        <v>-1.0409600000000001</v>
      </c>
      <c r="S297" s="159">
        <f t="shared" si="96"/>
        <v>-1.1710800000000001</v>
      </c>
      <c r="T297" s="159">
        <f t="shared" si="96"/>
        <v>-1.3012000000000001</v>
      </c>
    </row>
    <row r="298" spans="2:20" x14ac:dyDescent="0.25">
      <c r="B298" s="23" t="s">
        <v>2044</v>
      </c>
      <c r="C298" s="28" t="s">
        <v>493</v>
      </c>
      <c r="E298" s="44" t="s">
        <v>556</v>
      </c>
      <c r="G298" s="159">
        <v>0</v>
      </c>
      <c r="H298" s="159">
        <f t="shared" si="89"/>
        <v>0</v>
      </c>
      <c r="I298" s="159">
        <f t="shared" ref="I298:T298" si="97">H298+I271-I244</f>
        <v>0</v>
      </c>
      <c r="J298" s="159">
        <f t="shared" si="97"/>
        <v>0</v>
      </c>
      <c r="K298" s="159">
        <f t="shared" si="97"/>
        <v>0</v>
      </c>
      <c r="L298" s="159">
        <f t="shared" si="97"/>
        <v>-9.7589999999999996E-2</v>
      </c>
      <c r="M298" s="159">
        <f t="shared" si="97"/>
        <v>-0.19517999999999999</v>
      </c>
      <c r="N298" s="159">
        <f t="shared" si="97"/>
        <v>-0.29276999999999997</v>
      </c>
      <c r="O298" s="159">
        <f t="shared" si="97"/>
        <v>-0.39035999999999998</v>
      </c>
      <c r="P298" s="159">
        <f t="shared" si="97"/>
        <v>-0.48794999999999999</v>
      </c>
      <c r="Q298" s="159">
        <f t="shared" si="97"/>
        <v>-0.58553999999999995</v>
      </c>
      <c r="R298" s="159">
        <f t="shared" si="97"/>
        <v>-0.6831299999999999</v>
      </c>
      <c r="S298" s="159">
        <f t="shared" si="97"/>
        <v>-0.78071999999999986</v>
      </c>
      <c r="T298" s="159">
        <f t="shared" si="97"/>
        <v>-0.87830999999999981</v>
      </c>
    </row>
    <row r="299" spans="2:20" x14ac:dyDescent="0.25">
      <c r="B299" s="23" t="s">
        <v>2045</v>
      </c>
      <c r="C299" s="28" t="s">
        <v>493</v>
      </c>
      <c r="E299" s="44" t="s">
        <v>529</v>
      </c>
      <c r="G299" s="159">
        <v>0</v>
      </c>
      <c r="H299" s="159">
        <f t="shared" si="89"/>
        <v>0</v>
      </c>
      <c r="I299" s="159">
        <f t="shared" ref="I299:T299" si="98">H299+I272-I245</f>
        <v>0</v>
      </c>
      <c r="J299" s="159">
        <f t="shared" si="98"/>
        <v>0</v>
      </c>
      <c r="K299" s="159">
        <f t="shared" si="98"/>
        <v>-0.13012000000000001</v>
      </c>
      <c r="L299" s="159">
        <f t="shared" si="98"/>
        <v>-0.26024000000000003</v>
      </c>
      <c r="M299" s="159">
        <f t="shared" si="98"/>
        <v>-0.39036000000000004</v>
      </c>
      <c r="N299" s="159">
        <f t="shared" si="98"/>
        <v>-0.52048000000000005</v>
      </c>
      <c r="O299" s="159">
        <f t="shared" si="98"/>
        <v>-0.65060000000000007</v>
      </c>
      <c r="P299" s="159">
        <f t="shared" si="98"/>
        <v>-0.78072000000000008</v>
      </c>
      <c r="Q299" s="159">
        <f t="shared" si="98"/>
        <v>-0.91084000000000009</v>
      </c>
      <c r="R299" s="159">
        <f t="shared" si="98"/>
        <v>-1.0409600000000001</v>
      </c>
      <c r="S299" s="159">
        <f t="shared" si="98"/>
        <v>-1.1710800000000001</v>
      </c>
      <c r="T299" s="159">
        <f t="shared" si="98"/>
        <v>-1.3012000000000001</v>
      </c>
    </row>
    <row r="300" spans="2:20" x14ac:dyDescent="0.25">
      <c r="B300" s="23" t="s">
        <v>2046</v>
      </c>
      <c r="C300" s="28" t="s">
        <v>493</v>
      </c>
      <c r="E300" s="44" t="s">
        <v>517</v>
      </c>
      <c r="G300" s="159">
        <v>0</v>
      </c>
      <c r="H300" s="159">
        <f t="shared" si="89"/>
        <v>0</v>
      </c>
      <c r="I300" s="159">
        <f t="shared" ref="I300:T300" si="99">H300+I273-I246</f>
        <v>0</v>
      </c>
      <c r="J300" s="159">
        <f t="shared" si="99"/>
        <v>0</v>
      </c>
      <c r="K300" s="159">
        <f t="shared" si="99"/>
        <v>0</v>
      </c>
      <c r="L300" s="159">
        <f t="shared" si="99"/>
        <v>0</v>
      </c>
      <c r="M300" s="159">
        <f t="shared" si="99"/>
        <v>0</v>
      </c>
      <c r="N300" s="159">
        <f t="shared" si="99"/>
        <v>0</v>
      </c>
      <c r="O300" s="159">
        <f t="shared" si="99"/>
        <v>0</v>
      </c>
      <c r="P300" s="159">
        <f t="shared" si="99"/>
        <v>0</v>
      </c>
      <c r="Q300" s="159">
        <f t="shared" si="99"/>
        <v>0</v>
      </c>
      <c r="R300" s="159">
        <f t="shared" si="99"/>
        <v>0</v>
      </c>
      <c r="S300" s="159">
        <f t="shared" si="99"/>
        <v>0</v>
      </c>
      <c r="T300" s="159">
        <f t="shared" si="99"/>
        <v>0</v>
      </c>
    </row>
    <row r="301" spans="2:20" x14ac:dyDescent="0.25">
      <c r="B301" s="23" t="s">
        <v>2047</v>
      </c>
      <c r="C301" s="28" t="s">
        <v>493</v>
      </c>
      <c r="E301" s="44" t="s">
        <v>526</v>
      </c>
      <c r="G301" s="159">
        <v>0</v>
      </c>
      <c r="H301" s="159">
        <f t="shared" si="89"/>
        <v>0</v>
      </c>
      <c r="I301" s="159">
        <f t="shared" ref="I301:T301" si="100">H301+I274-I247</f>
        <v>0</v>
      </c>
      <c r="J301" s="159">
        <f t="shared" si="100"/>
        <v>0</v>
      </c>
      <c r="K301" s="159">
        <f t="shared" si="100"/>
        <v>0</v>
      </c>
      <c r="L301" s="159">
        <f t="shared" si="100"/>
        <v>0</v>
      </c>
      <c r="M301" s="159">
        <f t="shared" si="100"/>
        <v>0</v>
      </c>
      <c r="N301" s="159">
        <f t="shared" si="100"/>
        <v>0</v>
      </c>
      <c r="O301" s="159">
        <f t="shared" si="100"/>
        <v>0</v>
      </c>
      <c r="P301" s="159">
        <f t="shared" si="100"/>
        <v>0</v>
      </c>
      <c r="Q301" s="159">
        <f t="shared" si="100"/>
        <v>0</v>
      </c>
      <c r="R301" s="159">
        <f t="shared" si="100"/>
        <v>0</v>
      </c>
      <c r="S301" s="159">
        <f t="shared" si="100"/>
        <v>0</v>
      </c>
      <c r="T301" s="159">
        <f t="shared" si="100"/>
        <v>0</v>
      </c>
    </row>
    <row r="302" spans="2:20" x14ac:dyDescent="0.25">
      <c r="B302" s="23" t="s">
        <v>2048</v>
      </c>
      <c r="C302" s="28" t="s">
        <v>493</v>
      </c>
      <c r="E302" s="44" t="s">
        <v>529</v>
      </c>
      <c r="G302" s="159">
        <v>0</v>
      </c>
      <c r="H302" s="159">
        <f t="shared" si="89"/>
        <v>0</v>
      </c>
      <c r="I302" s="159">
        <f t="shared" ref="I302:T302" si="101">H302+I275-I248</f>
        <v>0</v>
      </c>
      <c r="J302" s="159">
        <f t="shared" si="101"/>
        <v>0</v>
      </c>
      <c r="K302" s="159">
        <f t="shared" si="101"/>
        <v>0</v>
      </c>
      <c r="L302" s="159">
        <f t="shared" si="101"/>
        <v>0</v>
      </c>
      <c r="M302" s="159">
        <f t="shared" si="101"/>
        <v>0</v>
      </c>
      <c r="N302" s="159">
        <f t="shared" si="101"/>
        <v>0</v>
      </c>
      <c r="O302" s="159">
        <f t="shared" si="101"/>
        <v>0</v>
      </c>
      <c r="P302" s="159">
        <f t="shared" si="101"/>
        <v>0</v>
      </c>
      <c r="Q302" s="159">
        <f t="shared" si="101"/>
        <v>0</v>
      </c>
      <c r="R302" s="159">
        <f t="shared" si="101"/>
        <v>0</v>
      </c>
      <c r="S302" s="159">
        <f t="shared" si="101"/>
        <v>0</v>
      </c>
      <c r="T302" s="159">
        <f t="shared" si="101"/>
        <v>0</v>
      </c>
    </row>
    <row r="303" spans="2:20" x14ac:dyDescent="0.25">
      <c r="B303" s="23" t="s">
        <v>2049</v>
      </c>
      <c r="C303" s="28" t="s">
        <v>493</v>
      </c>
      <c r="E303" s="44" t="s">
        <v>583</v>
      </c>
      <c r="G303" s="159">
        <v>0</v>
      </c>
      <c r="H303" s="159">
        <f t="shared" si="89"/>
        <v>0</v>
      </c>
      <c r="I303" s="159">
        <f t="shared" ref="I303:T303" si="102">H303+I276-I249</f>
        <v>0</v>
      </c>
      <c r="J303" s="159">
        <f t="shared" si="102"/>
        <v>0</v>
      </c>
      <c r="K303" s="159">
        <f t="shared" si="102"/>
        <v>0</v>
      </c>
      <c r="L303" s="159">
        <f t="shared" si="102"/>
        <v>0</v>
      </c>
      <c r="M303" s="159">
        <f t="shared" si="102"/>
        <v>0</v>
      </c>
      <c r="N303" s="159">
        <f t="shared" si="102"/>
        <v>0</v>
      </c>
      <c r="O303" s="159">
        <f t="shared" si="102"/>
        <v>0</v>
      </c>
      <c r="P303" s="159">
        <f t="shared" si="102"/>
        <v>0</v>
      </c>
      <c r="Q303" s="159">
        <f t="shared" si="102"/>
        <v>0</v>
      </c>
      <c r="R303" s="159">
        <f t="shared" si="102"/>
        <v>0</v>
      </c>
      <c r="S303" s="159">
        <f t="shared" si="102"/>
        <v>0</v>
      </c>
      <c r="T303" s="159">
        <f t="shared" si="102"/>
        <v>0</v>
      </c>
    </row>
    <row r="304" spans="2:20" x14ac:dyDescent="0.25">
      <c r="B304" s="23" t="str">
        <f>"P16  "&amp;Inputs!$E$605</f>
        <v>P16  Lampung</v>
      </c>
      <c r="C304" s="28" t="s">
        <v>493</v>
      </c>
      <c r="E304" s="44" t="s">
        <v>587</v>
      </c>
      <c r="G304" s="159">
        <v>0</v>
      </c>
      <c r="H304" s="159">
        <f t="shared" si="89"/>
        <v>0</v>
      </c>
      <c r="I304" s="159">
        <f t="shared" ref="I304:T304" si="103">H304+I277-I250</f>
        <v>0</v>
      </c>
      <c r="J304" s="159">
        <f t="shared" si="103"/>
        <v>0</v>
      </c>
      <c r="K304" s="159">
        <f t="shared" si="103"/>
        <v>0</v>
      </c>
      <c r="L304" s="159">
        <f t="shared" si="103"/>
        <v>0</v>
      </c>
      <c r="M304" s="159">
        <f t="shared" si="103"/>
        <v>0</v>
      </c>
      <c r="N304" s="159">
        <f t="shared" si="103"/>
        <v>0</v>
      </c>
      <c r="O304" s="159">
        <f t="shared" si="103"/>
        <v>0</v>
      </c>
      <c r="P304" s="159">
        <f t="shared" si="103"/>
        <v>0</v>
      </c>
      <c r="Q304" s="159">
        <f t="shared" si="103"/>
        <v>0</v>
      </c>
      <c r="R304" s="159">
        <f t="shared" si="103"/>
        <v>0</v>
      </c>
      <c r="S304" s="159">
        <f t="shared" si="103"/>
        <v>0</v>
      </c>
      <c r="T304" s="159">
        <f t="shared" si="103"/>
        <v>0</v>
      </c>
    </row>
    <row r="305" spans="2:20" x14ac:dyDescent="0.25">
      <c r="B305" s="23" t="str">
        <f>"P17  "&amp;Inputs!$E$639</f>
        <v>P17  Pipeline Project 2</v>
      </c>
      <c r="C305" s="28" t="s">
        <v>493</v>
      </c>
      <c r="E305" s="44" t="s">
        <v>590</v>
      </c>
      <c r="G305" s="159">
        <v>0</v>
      </c>
      <c r="H305" s="159">
        <f t="shared" si="89"/>
        <v>0</v>
      </c>
      <c r="I305" s="159">
        <f t="shared" ref="I305:T305" si="104">H305+I278-I251</f>
        <v>0</v>
      </c>
      <c r="J305" s="159">
        <f t="shared" si="104"/>
        <v>0</v>
      </c>
      <c r="K305" s="159">
        <f t="shared" si="104"/>
        <v>0</v>
      </c>
      <c r="L305" s="159">
        <f t="shared" si="104"/>
        <v>0</v>
      </c>
      <c r="M305" s="159">
        <f t="shared" si="104"/>
        <v>0</v>
      </c>
      <c r="N305" s="159">
        <f t="shared" si="104"/>
        <v>0</v>
      </c>
      <c r="O305" s="159">
        <f t="shared" si="104"/>
        <v>0</v>
      </c>
      <c r="P305" s="159">
        <f t="shared" si="104"/>
        <v>0</v>
      </c>
      <c r="Q305" s="159">
        <f t="shared" si="104"/>
        <v>0</v>
      </c>
      <c r="R305" s="159">
        <f t="shared" si="104"/>
        <v>0</v>
      </c>
      <c r="S305" s="159">
        <f t="shared" si="104"/>
        <v>0</v>
      </c>
      <c r="T305" s="159">
        <f t="shared" si="104"/>
        <v>0</v>
      </c>
    </row>
    <row r="306" spans="2:20" x14ac:dyDescent="0.25">
      <c r="B306" s="23" t="str">
        <f>"P18  "&amp;Inputs!$E$673</f>
        <v>P18  Pipeline Project 3</v>
      </c>
      <c r="C306" s="28" t="s">
        <v>493</v>
      </c>
      <c r="E306" s="44" t="s">
        <v>592</v>
      </c>
      <c r="G306" s="159">
        <v>0</v>
      </c>
      <c r="H306" s="159">
        <f t="shared" si="89"/>
        <v>0</v>
      </c>
      <c r="I306" s="159">
        <f t="shared" ref="I306:T306" si="105">H306+I279-I252</f>
        <v>0</v>
      </c>
      <c r="J306" s="159">
        <f t="shared" si="105"/>
        <v>0</v>
      </c>
      <c r="K306" s="159">
        <f t="shared" si="105"/>
        <v>0</v>
      </c>
      <c r="L306" s="159">
        <f t="shared" si="105"/>
        <v>0</v>
      </c>
      <c r="M306" s="159">
        <f t="shared" si="105"/>
        <v>0</v>
      </c>
      <c r="N306" s="159">
        <f t="shared" si="105"/>
        <v>0</v>
      </c>
      <c r="O306" s="159">
        <f t="shared" si="105"/>
        <v>0</v>
      </c>
      <c r="P306" s="159">
        <f t="shared" si="105"/>
        <v>0</v>
      </c>
      <c r="Q306" s="159">
        <f t="shared" si="105"/>
        <v>0</v>
      </c>
      <c r="R306" s="159">
        <f t="shared" si="105"/>
        <v>0</v>
      </c>
      <c r="S306" s="159">
        <f t="shared" si="105"/>
        <v>0</v>
      </c>
      <c r="T306" s="159">
        <f t="shared" si="105"/>
        <v>0</v>
      </c>
    </row>
    <row r="307" spans="2:20" x14ac:dyDescent="0.25">
      <c r="B307" s="23" t="s">
        <v>2050</v>
      </c>
      <c r="C307" s="28" t="s">
        <v>493</v>
      </c>
      <c r="E307" s="44" t="s">
        <v>596</v>
      </c>
      <c r="G307" s="159">
        <v>0</v>
      </c>
      <c r="H307" s="159">
        <f t="shared" si="89"/>
        <v>0</v>
      </c>
      <c r="I307" s="159">
        <f t="shared" ref="I307:T307" si="106">H307+I280-I253</f>
        <v>0</v>
      </c>
      <c r="J307" s="159">
        <f t="shared" si="106"/>
        <v>0</v>
      </c>
      <c r="K307" s="159">
        <f t="shared" si="106"/>
        <v>65.06</v>
      </c>
      <c r="L307" s="159">
        <f t="shared" si="106"/>
        <v>162.65</v>
      </c>
      <c r="M307" s="159">
        <f t="shared" si="106"/>
        <v>151.27229295003423</v>
      </c>
      <c r="N307" s="159">
        <f t="shared" si="106"/>
        <v>139.89458590006845</v>
      </c>
      <c r="O307" s="159">
        <f t="shared" si="106"/>
        <v>128.51687885010267</v>
      </c>
      <c r="P307" s="159">
        <f t="shared" si="106"/>
        <v>117.108</v>
      </c>
      <c r="Q307" s="159">
        <f t="shared" si="106"/>
        <v>105.73029295003423</v>
      </c>
      <c r="R307" s="159">
        <f t="shared" si="106"/>
        <v>94.352585900068448</v>
      </c>
      <c r="S307" s="159">
        <f t="shared" si="106"/>
        <v>82.97487885010267</v>
      </c>
      <c r="T307" s="159">
        <f t="shared" si="106"/>
        <v>71.566000000000003</v>
      </c>
    </row>
    <row r="308" spans="2:20" ht="26.25" customHeight="1" x14ac:dyDescent="0.25">
      <c r="B308" s="64" t="s">
        <v>2499</v>
      </c>
      <c r="C308" s="28" t="s">
        <v>493</v>
      </c>
      <c r="G308" s="159">
        <f>(1-Inputs!$E$744)*$E$87</f>
        <v>161.81183149156558</v>
      </c>
      <c r="H308" s="159">
        <f>(1-Inputs!$E$744)*$E$87</f>
        <v>161.81183149156558</v>
      </c>
      <c r="I308" s="159">
        <f>(1-Inputs!$E$744)*$E$87</f>
        <v>161.81183149156558</v>
      </c>
      <c r="J308" s="159">
        <f>(1-Inputs!$E$744)*$E$87</f>
        <v>161.81183149156558</v>
      </c>
      <c r="K308" s="159">
        <f>(1-Inputs!$E$744)*$E$87</f>
        <v>161.81183149156558</v>
      </c>
      <c r="L308" s="159">
        <f>(1-Inputs!$E$744)*$E$87</f>
        <v>161.81183149156558</v>
      </c>
      <c r="M308" s="159">
        <f>(1-Inputs!$E$744)*$E$87</f>
        <v>161.81183149156558</v>
      </c>
      <c r="N308" s="159">
        <f>(1-Inputs!$E$744)*$E$87</f>
        <v>161.81183149156558</v>
      </c>
      <c r="O308" s="159">
        <f>(1-Inputs!$E$744)*$E$87</f>
        <v>161.81183149156558</v>
      </c>
      <c r="P308" s="159">
        <f>(1-Inputs!$E$744)*$E$87</f>
        <v>161.81183149156558</v>
      </c>
      <c r="Q308" s="159">
        <f>(1-Inputs!$E$744)*$E$87</f>
        <v>161.81183149156558</v>
      </c>
      <c r="R308" s="159">
        <f>(1-Inputs!$E$744)*$E$87</f>
        <v>161.81183149156558</v>
      </c>
      <c r="S308" s="159">
        <f>(1-Inputs!$E$744)*$E$87</f>
        <v>161.81183149156558</v>
      </c>
      <c r="T308" s="159">
        <f>(1-Inputs!$E$744)*$E$87</f>
        <v>161.81183149156558</v>
      </c>
    </row>
    <row r="309" spans="2:20" ht="26.25" customHeight="1" x14ac:dyDescent="0.25">
      <c r="B309" s="64" t="s">
        <v>2500</v>
      </c>
      <c r="C309" s="28" t="s">
        <v>493</v>
      </c>
      <c r="G309" s="159">
        <f>(1-Inputs!$E$744)*$E$94</f>
        <v>35.59860292814443</v>
      </c>
      <c r="H309" s="159">
        <f>(1-Inputs!$E$744)*$E$94</f>
        <v>35.59860292814443</v>
      </c>
      <c r="I309" s="159">
        <f>(1-Inputs!$E$744)*$E$94</f>
        <v>35.59860292814443</v>
      </c>
      <c r="J309" s="159">
        <f>(1-Inputs!$E$744)*$E$94</f>
        <v>35.59860292814443</v>
      </c>
      <c r="K309" s="159">
        <f>(1-Inputs!$E$744)*$E$94</f>
        <v>35.59860292814443</v>
      </c>
      <c r="L309" s="159">
        <f>(1-Inputs!$E$744)*$E$94</f>
        <v>35.59860292814443</v>
      </c>
      <c r="M309" s="159">
        <f>(1-Inputs!$E$744)*$E$94</f>
        <v>35.59860292814443</v>
      </c>
      <c r="N309" s="159">
        <f>(1-Inputs!$E$744)*$E$94</f>
        <v>35.59860292814443</v>
      </c>
      <c r="O309" s="159">
        <f>(1-Inputs!$E$744)*$E$94</f>
        <v>35.59860292814443</v>
      </c>
      <c r="P309" s="159">
        <f>(1-Inputs!$E$744)*$E$94</f>
        <v>35.59860292814443</v>
      </c>
      <c r="Q309" s="159">
        <f>(1-Inputs!$E$744)*$E$94</f>
        <v>35.59860292814443</v>
      </c>
      <c r="R309" s="159">
        <f>(1-Inputs!$E$744)*$E$94</f>
        <v>35.59860292814443</v>
      </c>
      <c r="S309" s="159">
        <f>(1-Inputs!$E$744)*$E$94</f>
        <v>35.59860292814443</v>
      </c>
      <c r="T309" s="159">
        <f>(1-Inputs!$E$744)*$E$94</f>
        <v>35.59860292814443</v>
      </c>
    </row>
    <row r="310" spans="2:20" x14ac:dyDescent="0.25">
      <c r="B310" s="21" t="s">
        <v>2501</v>
      </c>
      <c r="C310" s="28" t="s">
        <v>493</v>
      </c>
      <c r="G310" s="160">
        <f t="shared" ref="G310:T310" si="107">G285+G286+G287+G288+G289+G290+G291+G292+G293+G294+G295+G296+G297+G298+G299+G303+G304+G305+G306+G307</f>
        <v>826.022318932997</v>
      </c>
      <c r="H310" s="160">
        <f t="shared" si="107"/>
        <v>862.8897565240618</v>
      </c>
      <c r="I310" s="160">
        <f t="shared" si="107"/>
        <v>763.92857134206031</v>
      </c>
      <c r="J310" s="160">
        <f t="shared" si="107"/>
        <v>1048.7327972008525</v>
      </c>
      <c r="K310" s="160">
        <f t="shared" si="107"/>
        <v>1136.8550805136435</v>
      </c>
      <c r="L310" s="160">
        <f t="shared" si="107"/>
        <v>1090.2466504503079</v>
      </c>
      <c r="M310" s="160">
        <f t="shared" si="107"/>
        <v>932.66178124335624</v>
      </c>
      <c r="N310" s="160">
        <f t="shared" si="107"/>
        <v>775.06800530088174</v>
      </c>
      <c r="O310" s="160">
        <f t="shared" si="107"/>
        <v>617.46514448817402</v>
      </c>
      <c r="P310" s="160">
        <f t="shared" si="107"/>
        <v>457.82184530769143</v>
      </c>
      <c r="Q310" s="160">
        <f t="shared" si="107"/>
        <v>298.20026602835492</v>
      </c>
      <c r="R310" s="160">
        <f t="shared" si="107"/>
        <v>144.10689105014308</v>
      </c>
      <c r="S310" s="160">
        <f t="shared" si="107"/>
        <v>-9.9963176837786278</v>
      </c>
      <c r="T310" s="160">
        <f t="shared" si="107"/>
        <v>-164.14072864866142</v>
      </c>
    </row>
    <row r="311" spans="2:20" ht="26.25" customHeight="1" x14ac:dyDescent="0.25">
      <c r="B311" s="64" t="s">
        <v>2502</v>
      </c>
      <c r="C311" s="28" t="s">
        <v>493</v>
      </c>
      <c r="G311" s="161">
        <f t="shared" ref="G311:T311" si="108">ROUND(G310-G334,6)</f>
        <v>0</v>
      </c>
      <c r="H311" s="161">
        <f t="shared" si="108"/>
        <v>0</v>
      </c>
      <c r="I311" s="161">
        <f t="shared" si="108"/>
        <v>0</v>
      </c>
      <c r="J311" s="161">
        <f t="shared" si="108"/>
        <v>0</v>
      </c>
      <c r="K311" s="161">
        <f t="shared" si="108"/>
        <v>0</v>
      </c>
      <c r="L311" s="161">
        <f t="shared" si="108"/>
        <v>0</v>
      </c>
      <c r="M311" s="161">
        <f t="shared" si="108"/>
        <v>0</v>
      </c>
      <c r="N311" s="161">
        <f t="shared" si="108"/>
        <v>0</v>
      </c>
      <c r="O311" s="161">
        <f t="shared" si="108"/>
        <v>0</v>
      </c>
      <c r="P311" s="161">
        <f t="shared" si="108"/>
        <v>0</v>
      </c>
      <c r="Q311" s="161">
        <f t="shared" si="108"/>
        <v>0</v>
      </c>
      <c r="R311" s="161">
        <f t="shared" si="108"/>
        <v>0</v>
      </c>
      <c r="S311" s="161">
        <f t="shared" si="108"/>
        <v>0</v>
      </c>
      <c r="T311" s="161">
        <f t="shared" si="108"/>
        <v>0</v>
      </c>
    </row>
    <row r="312" spans="2:20" x14ac:dyDescent="0.25">
      <c r="B312" s="21" t="s">
        <v>2503</v>
      </c>
      <c r="C312" s="28" t="s">
        <v>493</v>
      </c>
      <c r="G312" s="160">
        <f t="shared" ref="G312:T312" si="109">G285+G286+G287+G288+G289+G290+G291+G292+G293+G294+G295+G296+G297+G298+G299+G300+G301+G302+G303+G304+G305+G306+G307</f>
        <v>826.022318932997</v>
      </c>
      <c r="H312" s="160">
        <f t="shared" si="109"/>
        <v>862.8897565240618</v>
      </c>
      <c r="I312" s="160">
        <f t="shared" si="109"/>
        <v>763.92857134206031</v>
      </c>
      <c r="J312" s="160">
        <f t="shared" si="109"/>
        <v>1048.7327972008525</v>
      </c>
      <c r="K312" s="160">
        <f t="shared" si="109"/>
        <v>1136.8550805136435</v>
      </c>
      <c r="L312" s="160">
        <f t="shared" si="109"/>
        <v>1090.2466504503079</v>
      </c>
      <c r="M312" s="160">
        <f t="shared" si="109"/>
        <v>932.66178124335624</v>
      </c>
      <c r="N312" s="160">
        <f t="shared" si="109"/>
        <v>775.06800530088174</v>
      </c>
      <c r="O312" s="160">
        <f t="shared" si="109"/>
        <v>617.46514448817402</v>
      </c>
      <c r="P312" s="160">
        <f t="shared" si="109"/>
        <v>457.82184530769143</v>
      </c>
      <c r="Q312" s="160">
        <f t="shared" si="109"/>
        <v>298.20026602835492</v>
      </c>
      <c r="R312" s="160">
        <f t="shared" si="109"/>
        <v>144.10689105014308</v>
      </c>
      <c r="S312" s="160">
        <f t="shared" si="109"/>
        <v>-9.9963176837786278</v>
      </c>
      <c r="T312" s="160">
        <f t="shared" si="109"/>
        <v>-164.14072864866142</v>
      </c>
    </row>
    <row r="313" spans="2:20" ht="26.25" customHeight="1" x14ac:dyDescent="0.25">
      <c r="B313" s="64" t="s">
        <v>2504</v>
      </c>
      <c r="C313" s="28" t="s">
        <v>493</v>
      </c>
      <c r="G313" s="161">
        <f t="shared" ref="G313:T313" si="110">ROUND(G312-G326,6)</f>
        <v>0</v>
      </c>
      <c r="H313" s="161">
        <f t="shared" si="110"/>
        <v>0</v>
      </c>
      <c r="I313" s="161">
        <f t="shared" si="110"/>
        <v>0</v>
      </c>
      <c r="J313" s="161">
        <f t="shared" si="110"/>
        <v>0</v>
      </c>
      <c r="K313" s="161">
        <f t="shared" si="110"/>
        <v>0</v>
      </c>
      <c r="L313" s="161">
        <f t="shared" si="110"/>
        <v>0</v>
      </c>
      <c r="M313" s="161">
        <f t="shared" si="110"/>
        <v>0</v>
      </c>
      <c r="N313" s="161">
        <f t="shared" si="110"/>
        <v>0</v>
      </c>
      <c r="O313" s="161">
        <f t="shared" si="110"/>
        <v>0</v>
      </c>
      <c r="P313" s="161">
        <f t="shared" si="110"/>
        <v>0</v>
      </c>
      <c r="Q313" s="161">
        <f t="shared" si="110"/>
        <v>0</v>
      </c>
      <c r="R313" s="161">
        <f t="shared" si="110"/>
        <v>0</v>
      </c>
      <c r="S313" s="161">
        <f t="shared" si="110"/>
        <v>0</v>
      </c>
      <c r="T313" s="161">
        <f t="shared" si="110"/>
        <v>0</v>
      </c>
    </row>
    <row r="315" spans="2:20" x14ac:dyDescent="0.25">
      <c r="B315" s="58" t="s">
        <v>2505</v>
      </c>
      <c r="C315" s="19"/>
      <c r="D315" s="19"/>
      <c r="E315" s="19"/>
      <c r="F315" s="19"/>
      <c r="G315" s="19"/>
      <c r="H315" s="19"/>
      <c r="I315" s="19"/>
      <c r="J315" s="19"/>
      <c r="K315" s="19"/>
      <c r="L315" s="19"/>
      <c r="M315" s="19"/>
      <c r="N315" s="19"/>
      <c r="O315" s="19"/>
      <c r="P315" s="19"/>
      <c r="Q315" s="19"/>
      <c r="R315" s="19"/>
      <c r="S315" s="19"/>
      <c r="T315" s="19"/>
    </row>
    <row r="316" spans="2:20" x14ac:dyDescent="0.25">
      <c r="B316" s="23" t="s">
        <v>2506</v>
      </c>
      <c r="C316" s="28" t="s">
        <v>493</v>
      </c>
      <c r="H316" s="159">
        <f>IF('Revenue Calculation'!H7=2024,($E$87*(1-Inputs!$H$64)+$E$94*(1-Inputs!$H$65))*Inputs!$E$744,0)</f>
        <v>0</v>
      </c>
      <c r="I316" s="159">
        <f>IF('Revenue Calculation'!I7=2024,($E$87*(1-Inputs!$H$64)+$E$94*(1-Inputs!$H$65))*Inputs!$E$744,0)</f>
        <v>0</v>
      </c>
      <c r="J316" s="159">
        <f>IF('Revenue Calculation'!J7=2024,($E$87*(1-Inputs!$H$64)+$E$94*(1-Inputs!$H$65))*Inputs!$E$744,0)</f>
        <v>0</v>
      </c>
      <c r="K316" s="159">
        <f>IF('Revenue Calculation'!K7=2024,($E$87*(1-Inputs!$H$64)+$E$94*(1-Inputs!$H$65))*Inputs!$E$744,0)</f>
        <v>0</v>
      </c>
      <c r="L316" s="159">
        <f>IF('Revenue Calculation'!L7=2024,($E$87*(1-Inputs!$H$64)+$E$94*(1-Inputs!$H$65))*Inputs!$E$744,0)</f>
        <v>0</v>
      </c>
      <c r="M316" s="159">
        <f>IF('Revenue Calculation'!M7=2024,($E$87*(1-Inputs!$H$64)+$E$94*(1-Inputs!$H$65))*Inputs!$E$744,0)</f>
        <v>0</v>
      </c>
      <c r="N316" s="159">
        <f>IF('Revenue Calculation'!N7=2024,($E$87*(1-Inputs!$H$64)+$E$94*(1-Inputs!$H$65))*Inputs!$E$744,0)</f>
        <v>0</v>
      </c>
      <c r="O316" s="159">
        <f>IF('Revenue Calculation'!O7=2024,($E$87*(1-Inputs!$H$64)+$E$94*(1-Inputs!$H$65))*Inputs!$E$744,0)</f>
        <v>0</v>
      </c>
      <c r="P316" s="159">
        <f>IF('Revenue Calculation'!P7=2024,($E$87*(1-Inputs!$H$64)+$E$94*(1-Inputs!$H$65))*Inputs!$E$744,0)</f>
        <v>0</v>
      </c>
      <c r="Q316" s="159">
        <f>IF('Revenue Calculation'!Q7=2024,($E$87*(1-Inputs!$H$64)+$E$94*(1-Inputs!$H$65))*Inputs!$E$744,0)</f>
        <v>0</v>
      </c>
      <c r="R316" s="159">
        <f>IF('Revenue Calculation'!R7=2024,($E$87*(1-Inputs!$H$64)+$E$94*(1-Inputs!$H$65))*Inputs!$E$744,0)</f>
        <v>0</v>
      </c>
      <c r="S316" s="159">
        <f>IF('Revenue Calculation'!S7=2024,($E$87*(1-Inputs!$H$64)+$E$94*(1-Inputs!$H$65))*Inputs!$E$744,0)</f>
        <v>0</v>
      </c>
      <c r="T316" s="159">
        <f>IF('Revenue Calculation'!T7=2024,($E$87*(1-Inputs!$H$64)+$E$94*(1-Inputs!$H$65))*Inputs!$E$744,0)</f>
        <v>0</v>
      </c>
    </row>
    <row r="317" spans="2:20" x14ac:dyDescent="0.25">
      <c r="B317" s="145" t="s">
        <v>2507</v>
      </c>
    </row>
    <row r="319" spans="2:20" x14ac:dyDescent="0.25">
      <c r="B319" s="58" t="s">
        <v>2508</v>
      </c>
      <c r="C319" s="19"/>
      <c r="D319" s="19"/>
      <c r="E319" s="19"/>
      <c r="F319" s="19"/>
      <c r="G319" s="19"/>
      <c r="H319" s="19"/>
      <c r="I319" s="19"/>
      <c r="J319" s="19"/>
      <c r="K319" s="19"/>
      <c r="L319" s="19"/>
      <c r="M319" s="19"/>
      <c r="N319" s="19"/>
      <c r="O319" s="19"/>
      <c r="P319" s="19"/>
      <c r="Q319" s="19"/>
      <c r="R319" s="19"/>
      <c r="S319" s="19"/>
      <c r="T319" s="19"/>
    </row>
    <row r="320" spans="2:20" x14ac:dyDescent="0.25">
      <c r="B320" s="154" t="s">
        <v>2509</v>
      </c>
    </row>
    <row r="321" spans="2:20" x14ac:dyDescent="0.25">
      <c r="B321" s="23" t="s">
        <v>2510</v>
      </c>
      <c r="C321" s="28" t="s">
        <v>493</v>
      </c>
      <c r="H321" s="159">
        <f t="shared" ref="H321:T321" si="111">G326</f>
        <v>826.022318932997</v>
      </c>
      <c r="I321" s="159">
        <f t="shared" si="111"/>
        <v>862.88975652406168</v>
      </c>
      <c r="J321" s="159">
        <f t="shared" si="111"/>
        <v>763.9285713420602</v>
      </c>
      <c r="K321" s="159">
        <f t="shared" si="111"/>
        <v>1048.7327972008522</v>
      </c>
      <c r="L321" s="159">
        <f t="shared" si="111"/>
        <v>1136.8550805136435</v>
      </c>
      <c r="M321" s="159">
        <f t="shared" si="111"/>
        <v>1090.2466504503075</v>
      </c>
      <c r="N321" s="159">
        <f t="shared" si="111"/>
        <v>932.6617812433559</v>
      </c>
      <c r="O321" s="159">
        <f t="shared" si="111"/>
        <v>775.0680053008814</v>
      </c>
      <c r="P321" s="159">
        <f t="shared" si="111"/>
        <v>617.46514448817356</v>
      </c>
      <c r="Q321" s="159">
        <f t="shared" si="111"/>
        <v>457.82184530769092</v>
      </c>
      <c r="R321" s="159">
        <f t="shared" si="111"/>
        <v>298.20026602835441</v>
      </c>
      <c r="S321" s="159">
        <f t="shared" si="111"/>
        <v>144.10689105014259</v>
      </c>
      <c r="T321" s="159">
        <f t="shared" si="111"/>
        <v>-9.9963176837791821</v>
      </c>
    </row>
    <row r="322" spans="2:20" ht="26.25" customHeight="1" x14ac:dyDescent="0.25">
      <c r="B322" s="64" t="s">
        <v>2511</v>
      </c>
      <c r="C322" s="28" t="s">
        <v>493</v>
      </c>
      <c r="H322" s="159">
        <f t="shared" ref="H322:T322" si="112">H81</f>
        <v>125.24050000000001</v>
      </c>
      <c r="I322" s="159">
        <f t="shared" si="112"/>
        <v>14.638500000000001</v>
      </c>
      <c r="J322" s="159">
        <f t="shared" si="112"/>
        <v>419.77202976190472</v>
      </c>
      <c r="K322" s="159">
        <f t="shared" si="112"/>
        <v>225.06362499999994</v>
      </c>
      <c r="L322" s="159">
        <f t="shared" si="112"/>
        <v>97.59</v>
      </c>
      <c r="M322" s="159">
        <f t="shared" si="112"/>
        <v>0</v>
      </c>
      <c r="N322" s="159">
        <f t="shared" si="112"/>
        <v>0</v>
      </c>
      <c r="O322" s="159">
        <f t="shared" si="112"/>
        <v>0</v>
      </c>
      <c r="P322" s="159">
        <f t="shared" si="112"/>
        <v>0</v>
      </c>
      <c r="Q322" s="159">
        <f t="shared" si="112"/>
        <v>0</v>
      </c>
      <c r="R322" s="159">
        <f t="shared" si="112"/>
        <v>0</v>
      </c>
      <c r="S322" s="159">
        <f t="shared" si="112"/>
        <v>0</v>
      </c>
      <c r="T322" s="159">
        <f t="shared" si="112"/>
        <v>0</v>
      </c>
    </row>
    <row r="323" spans="2:20" x14ac:dyDescent="0.25">
      <c r="B323" s="23" t="s">
        <v>2512</v>
      </c>
      <c r="C323" s="28" t="s">
        <v>493</v>
      </c>
      <c r="H323" s="159">
        <f t="shared" ref="H323:T323" si="113">H210</f>
        <v>0</v>
      </c>
      <c r="I323" s="159">
        <f t="shared" si="113"/>
        <v>0</v>
      </c>
      <c r="J323" s="159">
        <f t="shared" si="113"/>
        <v>0</v>
      </c>
      <c r="K323" s="159">
        <f t="shared" si="113"/>
        <v>0</v>
      </c>
      <c r="L323" s="159">
        <f t="shared" si="113"/>
        <v>0</v>
      </c>
      <c r="M323" s="159">
        <f t="shared" si="113"/>
        <v>0</v>
      </c>
      <c r="N323" s="159">
        <f t="shared" si="113"/>
        <v>0</v>
      </c>
      <c r="O323" s="159">
        <f t="shared" si="113"/>
        <v>0</v>
      </c>
      <c r="P323" s="159">
        <f t="shared" si="113"/>
        <v>0</v>
      </c>
      <c r="Q323" s="159">
        <f t="shared" si="113"/>
        <v>0</v>
      </c>
      <c r="R323" s="159">
        <f t="shared" si="113"/>
        <v>0</v>
      </c>
      <c r="S323" s="159">
        <f t="shared" si="113"/>
        <v>0</v>
      </c>
      <c r="T323" s="159">
        <f t="shared" si="113"/>
        <v>0</v>
      </c>
    </row>
    <row r="324" spans="2:20" x14ac:dyDescent="0.25">
      <c r="B324" s="23" t="s">
        <v>2513</v>
      </c>
      <c r="C324" s="28" t="s">
        <v>493</v>
      </c>
      <c r="H324" s="159">
        <f t="shared" ref="H324:T324" si="114">-H256</f>
        <v>-88.373062408935311</v>
      </c>
      <c r="I324" s="159">
        <f t="shared" si="114"/>
        <v>-113.59968518200155</v>
      </c>
      <c r="J324" s="159">
        <f t="shared" si="114"/>
        <v>-134.96780390311255</v>
      </c>
      <c r="K324" s="159">
        <f t="shared" si="114"/>
        <v>-136.94134168720865</v>
      </c>
      <c r="L324" s="159">
        <f t="shared" si="114"/>
        <v>-144.19843006333596</v>
      </c>
      <c r="M324" s="159">
        <f t="shared" si="114"/>
        <v>-157.58486920695159</v>
      </c>
      <c r="N324" s="159">
        <f t="shared" si="114"/>
        <v>-157.59377594247448</v>
      </c>
      <c r="O324" s="159">
        <f t="shared" si="114"/>
        <v>-157.60286081270777</v>
      </c>
      <c r="P324" s="159">
        <f t="shared" si="114"/>
        <v>-159.64329918048264</v>
      </c>
      <c r="Q324" s="159">
        <f t="shared" si="114"/>
        <v>-159.62157927933652</v>
      </c>
      <c r="R324" s="159">
        <f t="shared" si="114"/>
        <v>-154.09337497821181</v>
      </c>
      <c r="S324" s="159">
        <f t="shared" si="114"/>
        <v>-154.10320873392178</v>
      </c>
      <c r="T324" s="159">
        <f t="shared" si="114"/>
        <v>-154.14441096488284</v>
      </c>
    </row>
    <row r="325" spans="2:20" x14ac:dyDescent="0.25">
      <c r="B325" s="23" t="s">
        <v>2514</v>
      </c>
      <c r="C325" s="28" t="s">
        <v>493</v>
      </c>
      <c r="H325" s="159">
        <f t="shared" ref="H325:T325" si="115">-H316</f>
        <v>0</v>
      </c>
      <c r="I325" s="159">
        <f t="shared" si="115"/>
        <v>0</v>
      </c>
      <c r="J325" s="159">
        <f t="shared" si="115"/>
        <v>0</v>
      </c>
      <c r="K325" s="159">
        <f t="shared" si="115"/>
        <v>0</v>
      </c>
      <c r="L325" s="159">
        <f t="shared" si="115"/>
        <v>0</v>
      </c>
      <c r="M325" s="159">
        <f t="shared" si="115"/>
        <v>0</v>
      </c>
      <c r="N325" s="159">
        <f t="shared" si="115"/>
        <v>0</v>
      </c>
      <c r="O325" s="159">
        <f t="shared" si="115"/>
        <v>0</v>
      </c>
      <c r="P325" s="159">
        <f t="shared" si="115"/>
        <v>0</v>
      </c>
      <c r="Q325" s="159">
        <f t="shared" si="115"/>
        <v>0</v>
      </c>
      <c r="R325" s="159">
        <f t="shared" si="115"/>
        <v>0</v>
      </c>
      <c r="S325" s="159">
        <f t="shared" si="115"/>
        <v>0</v>
      </c>
      <c r="T325" s="159">
        <f t="shared" si="115"/>
        <v>0</v>
      </c>
    </row>
    <row r="326" spans="2:20" x14ac:dyDescent="0.25">
      <c r="B326" s="21" t="s">
        <v>2515</v>
      </c>
      <c r="C326" s="28" t="s">
        <v>493</v>
      </c>
      <c r="G326" s="158">
        <f>'Source Data'!$E$802+Inputs!$E$744*'Source Data'!$E$803</f>
        <v>826.022318932997</v>
      </c>
      <c r="H326" s="158">
        <f t="shared" ref="H326:T326" si="116">H321+H322+H323+H324+H325</f>
        <v>862.88975652406168</v>
      </c>
      <c r="I326" s="158">
        <f t="shared" si="116"/>
        <v>763.9285713420602</v>
      </c>
      <c r="J326" s="158">
        <f t="shared" si="116"/>
        <v>1048.7327972008522</v>
      </c>
      <c r="K326" s="158">
        <f t="shared" si="116"/>
        <v>1136.8550805136435</v>
      </c>
      <c r="L326" s="158">
        <f t="shared" si="116"/>
        <v>1090.2466504503075</v>
      </c>
      <c r="M326" s="158">
        <f t="shared" si="116"/>
        <v>932.6617812433559</v>
      </c>
      <c r="N326" s="158">
        <f t="shared" si="116"/>
        <v>775.0680053008814</v>
      </c>
      <c r="O326" s="158">
        <f t="shared" si="116"/>
        <v>617.46514448817356</v>
      </c>
      <c r="P326" s="158">
        <f t="shared" si="116"/>
        <v>457.82184530769092</v>
      </c>
      <c r="Q326" s="158">
        <f t="shared" si="116"/>
        <v>298.20026602835441</v>
      </c>
      <c r="R326" s="158">
        <f t="shared" si="116"/>
        <v>144.10689105014259</v>
      </c>
      <c r="S326" s="158">
        <f t="shared" si="116"/>
        <v>-9.9963176837791821</v>
      </c>
      <c r="T326" s="158">
        <f t="shared" si="116"/>
        <v>-164.14072864866202</v>
      </c>
    </row>
    <row r="327" spans="2:20" x14ac:dyDescent="0.25">
      <c r="B327" s="23" t="s">
        <v>2516</v>
      </c>
      <c r="C327" s="28" t="s">
        <v>1889</v>
      </c>
      <c r="H327" s="153">
        <f t="shared" ref="H327:T327" si="117">IF(H326&lt;-0.001,1,0)</f>
        <v>0</v>
      </c>
      <c r="I327" s="153">
        <f t="shared" si="117"/>
        <v>0</v>
      </c>
      <c r="J327" s="153">
        <f t="shared" si="117"/>
        <v>0</v>
      </c>
      <c r="K327" s="153">
        <f t="shared" si="117"/>
        <v>0</v>
      </c>
      <c r="L327" s="153">
        <f t="shared" si="117"/>
        <v>0</v>
      </c>
      <c r="M327" s="153">
        <f t="shared" si="117"/>
        <v>0</v>
      </c>
      <c r="N327" s="153">
        <f t="shared" si="117"/>
        <v>0</v>
      </c>
      <c r="O327" s="153">
        <f t="shared" si="117"/>
        <v>0</v>
      </c>
      <c r="P327" s="153">
        <f t="shared" si="117"/>
        <v>0</v>
      </c>
      <c r="Q327" s="153">
        <f t="shared" si="117"/>
        <v>0</v>
      </c>
      <c r="R327" s="153">
        <f t="shared" si="117"/>
        <v>0</v>
      </c>
      <c r="S327" s="153">
        <f t="shared" si="117"/>
        <v>1</v>
      </c>
      <c r="T327" s="153">
        <f t="shared" si="117"/>
        <v>1</v>
      </c>
    </row>
    <row r="328" spans="2:20" x14ac:dyDescent="0.25">
      <c r="B328" s="154" t="s">
        <v>2517</v>
      </c>
    </row>
    <row r="329" spans="2:20" x14ac:dyDescent="0.25">
      <c r="B329" s="23" t="s">
        <v>2510</v>
      </c>
      <c r="C329" s="28" t="s">
        <v>493</v>
      </c>
      <c r="H329" s="159">
        <f t="shared" ref="H329:T329" si="118">G334</f>
        <v>826.022318932997</v>
      </c>
      <c r="I329" s="159">
        <f t="shared" si="118"/>
        <v>862.88975652406168</v>
      </c>
      <c r="J329" s="159">
        <f t="shared" si="118"/>
        <v>763.9285713420602</v>
      </c>
      <c r="K329" s="159">
        <f t="shared" si="118"/>
        <v>1048.7327972008522</v>
      </c>
      <c r="L329" s="159">
        <f t="shared" si="118"/>
        <v>1136.8550805136435</v>
      </c>
      <c r="M329" s="159">
        <f t="shared" si="118"/>
        <v>1090.2466504503075</v>
      </c>
      <c r="N329" s="159">
        <f t="shared" si="118"/>
        <v>932.6617812433559</v>
      </c>
      <c r="O329" s="159">
        <f t="shared" si="118"/>
        <v>775.0680053008814</v>
      </c>
      <c r="P329" s="159">
        <f t="shared" si="118"/>
        <v>617.46514448817356</v>
      </c>
      <c r="Q329" s="159">
        <f t="shared" si="118"/>
        <v>457.82184530769092</v>
      </c>
      <c r="R329" s="159">
        <f t="shared" si="118"/>
        <v>298.20026602835441</v>
      </c>
      <c r="S329" s="159">
        <f t="shared" si="118"/>
        <v>144.10689105014259</v>
      </c>
      <c r="T329" s="159">
        <f t="shared" si="118"/>
        <v>-9.9963176837791821</v>
      </c>
    </row>
    <row r="330" spans="2:20" ht="26.25" customHeight="1" x14ac:dyDescent="0.25">
      <c r="B330" s="64" t="s">
        <v>2511</v>
      </c>
      <c r="C330" s="28" t="s">
        <v>493</v>
      </c>
      <c r="H330" s="159">
        <f t="shared" ref="H330:T330" si="119">H80</f>
        <v>125.24050000000001</v>
      </c>
      <c r="I330" s="159">
        <f t="shared" si="119"/>
        <v>14.638500000000001</v>
      </c>
      <c r="J330" s="159">
        <f t="shared" si="119"/>
        <v>419.77202976190472</v>
      </c>
      <c r="K330" s="159">
        <f t="shared" si="119"/>
        <v>225.06362499999994</v>
      </c>
      <c r="L330" s="159">
        <f t="shared" si="119"/>
        <v>97.59</v>
      </c>
      <c r="M330" s="159">
        <f t="shared" si="119"/>
        <v>0</v>
      </c>
      <c r="N330" s="159">
        <f t="shared" si="119"/>
        <v>0</v>
      </c>
      <c r="O330" s="159">
        <f t="shared" si="119"/>
        <v>0</v>
      </c>
      <c r="P330" s="159">
        <f t="shared" si="119"/>
        <v>0</v>
      </c>
      <c r="Q330" s="159">
        <f t="shared" si="119"/>
        <v>0</v>
      </c>
      <c r="R330" s="159">
        <f t="shared" si="119"/>
        <v>0</v>
      </c>
      <c r="S330" s="159">
        <f t="shared" si="119"/>
        <v>0</v>
      </c>
      <c r="T330" s="159">
        <f t="shared" si="119"/>
        <v>0</v>
      </c>
    </row>
    <row r="331" spans="2:20" x14ac:dyDescent="0.25">
      <c r="B331" s="23" t="s">
        <v>2512</v>
      </c>
      <c r="C331" s="28" t="s">
        <v>493</v>
      </c>
      <c r="H331" s="159">
        <f t="shared" ref="H331:T331" si="120">H210</f>
        <v>0</v>
      </c>
      <c r="I331" s="159">
        <f t="shared" si="120"/>
        <v>0</v>
      </c>
      <c r="J331" s="159">
        <f t="shared" si="120"/>
        <v>0</v>
      </c>
      <c r="K331" s="159">
        <f t="shared" si="120"/>
        <v>0</v>
      </c>
      <c r="L331" s="159">
        <f t="shared" si="120"/>
        <v>0</v>
      </c>
      <c r="M331" s="159">
        <f t="shared" si="120"/>
        <v>0</v>
      </c>
      <c r="N331" s="159">
        <f t="shared" si="120"/>
        <v>0</v>
      </c>
      <c r="O331" s="159">
        <f t="shared" si="120"/>
        <v>0</v>
      </c>
      <c r="P331" s="159">
        <f t="shared" si="120"/>
        <v>0</v>
      </c>
      <c r="Q331" s="159">
        <f t="shared" si="120"/>
        <v>0</v>
      </c>
      <c r="R331" s="159">
        <f t="shared" si="120"/>
        <v>0</v>
      </c>
      <c r="S331" s="159">
        <f t="shared" si="120"/>
        <v>0</v>
      </c>
      <c r="T331" s="159">
        <f t="shared" si="120"/>
        <v>0</v>
      </c>
    </row>
    <row r="332" spans="2:20" x14ac:dyDescent="0.25">
      <c r="B332" s="23" t="s">
        <v>2513</v>
      </c>
      <c r="C332" s="28" t="s">
        <v>493</v>
      </c>
      <c r="H332" s="159">
        <f t="shared" ref="H332:T332" si="121">-H254</f>
        <v>-88.373062408935311</v>
      </c>
      <c r="I332" s="159">
        <f t="shared" si="121"/>
        <v>-113.59968518200155</v>
      </c>
      <c r="J332" s="159">
        <f t="shared" si="121"/>
        <v>-134.96780390311255</v>
      </c>
      <c r="K332" s="159">
        <f t="shared" si="121"/>
        <v>-136.94134168720865</v>
      </c>
      <c r="L332" s="159">
        <f t="shared" si="121"/>
        <v>-144.19843006333596</v>
      </c>
      <c r="M332" s="159">
        <f t="shared" si="121"/>
        <v>-157.58486920695159</v>
      </c>
      <c r="N332" s="159">
        <f t="shared" si="121"/>
        <v>-157.59377594247448</v>
      </c>
      <c r="O332" s="159">
        <f t="shared" si="121"/>
        <v>-157.60286081270777</v>
      </c>
      <c r="P332" s="159">
        <f t="shared" si="121"/>
        <v>-159.64329918048264</v>
      </c>
      <c r="Q332" s="159">
        <f t="shared" si="121"/>
        <v>-159.62157927933652</v>
      </c>
      <c r="R332" s="159">
        <f t="shared" si="121"/>
        <v>-154.09337497821181</v>
      </c>
      <c r="S332" s="159">
        <f t="shared" si="121"/>
        <v>-154.10320873392178</v>
      </c>
      <c r="T332" s="159">
        <f t="shared" si="121"/>
        <v>-154.14441096488284</v>
      </c>
    </row>
    <row r="333" spans="2:20" x14ac:dyDescent="0.25">
      <c r="B333" s="23" t="s">
        <v>2514</v>
      </c>
      <c r="C333" s="28" t="s">
        <v>493</v>
      </c>
      <c r="H333" s="159">
        <f t="shared" ref="H333:T333" si="122">-H316</f>
        <v>0</v>
      </c>
      <c r="I333" s="159">
        <f t="shared" si="122"/>
        <v>0</v>
      </c>
      <c r="J333" s="159">
        <f t="shared" si="122"/>
        <v>0</v>
      </c>
      <c r="K333" s="159">
        <f t="shared" si="122"/>
        <v>0</v>
      </c>
      <c r="L333" s="159">
        <f t="shared" si="122"/>
        <v>0</v>
      </c>
      <c r="M333" s="159">
        <f t="shared" si="122"/>
        <v>0</v>
      </c>
      <c r="N333" s="159">
        <f t="shared" si="122"/>
        <v>0</v>
      </c>
      <c r="O333" s="159">
        <f t="shared" si="122"/>
        <v>0</v>
      </c>
      <c r="P333" s="159">
        <f t="shared" si="122"/>
        <v>0</v>
      </c>
      <c r="Q333" s="159">
        <f t="shared" si="122"/>
        <v>0</v>
      </c>
      <c r="R333" s="159">
        <f t="shared" si="122"/>
        <v>0</v>
      </c>
      <c r="S333" s="159">
        <f t="shared" si="122"/>
        <v>0</v>
      </c>
      <c r="T333" s="159">
        <f t="shared" si="122"/>
        <v>0</v>
      </c>
    </row>
    <row r="334" spans="2:20" x14ac:dyDescent="0.25">
      <c r="B334" s="21" t="s">
        <v>2515</v>
      </c>
      <c r="C334" s="28" t="s">
        <v>493</v>
      </c>
      <c r="G334" s="158">
        <f>'Source Data'!$E$802+Inputs!$E$744*'Source Data'!$E$803</f>
        <v>826.022318932997</v>
      </c>
      <c r="H334" s="158">
        <f t="shared" ref="H334:T334" si="123">H329+H330+H331+H332+H333</f>
        <v>862.88975652406168</v>
      </c>
      <c r="I334" s="158">
        <f t="shared" si="123"/>
        <v>763.9285713420602</v>
      </c>
      <c r="J334" s="158">
        <f t="shared" si="123"/>
        <v>1048.7327972008522</v>
      </c>
      <c r="K334" s="158">
        <f t="shared" si="123"/>
        <v>1136.8550805136435</v>
      </c>
      <c r="L334" s="158">
        <f t="shared" si="123"/>
        <v>1090.2466504503075</v>
      </c>
      <c r="M334" s="158">
        <f t="shared" si="123"/>
        <v>932.6617812433559</v>
      </c>
      <c r="N334" s="158">
        <f t="shared" si="123"/>
        <v>775.0680053008814</v>
      </c>
      <c r="O334" s="158">
        <f t="shared" si="123"/>
        <v>617.46514448817356</v>
      </c>
      <c r="P334" s="158">
        <f t="shared" si="123"/>
        <v>457.82184530769092</v>
      </c>
      <c r="Q334" s="158">
        <f t="shared" si="123"/>
        <v>298.20026602835441</v>
      </c>
      <c r="R334" s="158">
        <f t="shared" si="123"/>
        <v>144.10689105014259</v>
      </c>
      <c r="S334" s="158">
        <f t="shared" si="123"/>
        <v>-9.9963176837791821</v>
      </c>
      <c r="T334" s="158">
        <f t="shared" si="123"/>
        <v>-164.14072864866202</v>
      </c>
    </row>
    <row r="335" spans="2:20" x14ac:dyDescent="0.25">
      <c r="B335" s="23" t="s">
        <v>2516</v>
      </c>
      <c r="C335" s="28" t="s">
        <v>1889</v>
      </c>
      <c r="H335" s="153">
        <f t="shared" ref="H335:T335" si="124">IF(H334&lt;-0.001,1,0)</f>
        <v>0</v>
      </c>
      <c r="I335" s="153">
        <f t="shared" si="124"/>
        <v>0</v>
      </c>
      <c r="J335" s="153">
        <f t="shared" si="124"/>
        <v>0</v>
      </c>
      <c r="K335" s="153">
        <f t="shared" si="124"/>
        <v>0</v>
      </c>
      <c r="L335" s="153">
        <f t="shared" si="124"/>
        <v>0</v>
      </c>
      <c r="M335" s="153">
        <f t="shared" si="124"/>
        <v>0</v>
      </c>
      <c r="N335" s="153">
        <f t="shared" si="124"/>
        <v>0</v>
      </c>
      <c r="O335" s="153">
        <f t="shared" si="124"/>
        <v>0</v>
      </c>
      <c r="P335" s="153">
        <f t="shared" si="124"/>
        <v>0</v>
      </c>
      <c r="Q335" s="153">
        <f t="shared" si="124"/>
        <v>0</v>
      </c>
      <c r="R335" s="153">
        <f t="shared" si="124"/>
        <v>0</v>
      </c>
      <c r="S335" s="153">
        <f t="shared" si="124"/>
        <v>1</v>
      </c>
      <c r="T335" s="153">
        <f t="shared" si="124"/>
        <v>1</v>
      </c>
    </row>
    <row r="336" spans="2:20" x14ac:dyDescent="0.25">
      <c r="B336" s="145" t="s">
        <v>2518</v>
      </c>
    </row>
    <row r="338" spans="2:20" x14ac:dyDescent="0.25">
      <c r="B338" s="58" t="s">
        <v>2519</v>
      </c>
      <c r="C338" s="19"/>
      <c r="D338" s="19"/>
      <c r="E338" s="19"/>
      <c r="F338" s="19"/>
      <c r="G338" s="19"/>
      <c r="H338" s="19"/>
      <c r="I338" s="19"/>
      <c r="J338" s="19"/>
      <c r="K338" s="19"/>
      <c r="L338" s="19"/>
      <c r="M338" s="19"/>
      <c r="N338" s="19"/>
      <c r="O338" s="19"/>
      <c r="P338" s="19"/>
      <c r="Q338" s="19"/>
      <c r="R338" s="19"/>
      <c r="S338" s="19"/>
      <c r="T338" s="19"/>
    </row>
    <row r="339" spans="2:20" ht="24" customHeight="1" x14ac:dyDescent="0.25">
      <c r="E339" s="166" t="s">
        <v>2520</v>
      </c>
    </row>
    <row r="340" spans="2:20" ht="26.25" customHeight="1" x14ac:dyDescent="0.25">
      <c r="B340" s="64" t="s">
        <v>2521</v>
      </c>
      <c r="C340" s="28" t="s">
        <v>806</v>
      </c>
      <c r="E340" s="167">
        <f>SUM($H$340:$T$340)</f>
        <v>0</v>
      </c>
      <c r="H340" s="165">
        <f>H27*(1-Inputs!$H$82)*Inputs!$E$568</f>
        <v>0</v>
      </c>
      <c r="I340" s="165">
        <f>I27*(1-Inputs!$H$82)*Inputs!$E$568</f>
        <v>0</v>
      </c>
      <c r="J340" s="165">
        <f>J27*(1-Inputs!$H$82)*Inputs!$E$568</f>
        <v>0</v>
      </c>
      <c r="K340" s="165">
        <f>K27*(1-Inputs!$H$82)*Inputs!$E$568</f>
        <v>0</v>
      </c>
      <c r="L340" s="165">
        <f>L27*(1-Inputs!$H$82)*Inputs!$E$568</f>
        <v>0</v>
      </c>
      <c r="M340" s="165">
        <f>M27*(1-Inputs!$H$82)*Inputs!$E$568</f>
        <v>0</v>
      </c>
      <c r="N340" s="165">
        <f>N27*(1-Inputs!$H$82)*Inputs!$E$568</f>
        <v>0</v>
      </c>
      <c r="O340" s="165">
        <f>O27*(1-Inputs!$H$82)*Inputs!$E$568</f>
        <v>0</v>
      </c>
      <c r="P340" s="165">
        <f>P27*(1-Inputs!$H$82)*Inputs!$E$568</f>
        <v>0</v>
      </c>
      <c r="Q340" s="165">
        <f>Q27*(1-Inputs!$H$82)*Inputs!$E$568</f>
        <v>0</v>
      </c>
      <c r="R340" s="165">
        <f>R27*(1-Inputs!$H$82)*Inputs!$E$568</f>
        <v>0</v>
      </c>
      <c r="S340" s="165">
        <f>S27*(1-Inputs!$H$82)*Inputs!$E$568</f>
        <v>0</v>
      </c>
      <c r="T340" s="165">
        <f>T27*(1-Inputs!$H$82)*Inputs!$E$568</f>
        <v>0</v>
      </c>
    </row>
    <row r="341" spans="2:20" x14ac:dyDescent="0.25">
      <c r="B341" s="23" t="str">
        <f>"F01  "&amp;IF(LEN(Inputs!$E$711&amp;"")=0,"funding-only project (blank)",Inputs!$E$711)</f>
        <v>F01  funding-only project (blank)</v>
      </c>
      <c r="C341" s="28" t="s">
        <v>806</v>
      </c>
      <c r="E341" s="167">
        <f>SUM($H$341:$T$341)</f>
        <v>0</v>
      </c>
      <c r="H341" s="165">
        <f>N(Inputs!$E$712)*N(Inputs!H713)*Inputs!$E$55*Inputs!$E$714</f>
        <v>0</v>
      </c>
      <c r="I341" s="165">
        <f>N(Inputs!$E$712)*N(Inputs!I713)*Inputs!$E$55*Inputs!$E$714</f>
        <v>0</v>
      </c>
      <c r="J341" s="165">
        <f>N(Inputs!$E$712)*N(Inputs!J713)*Inputs!$E$55*Inputs!$E$714</f>
        <v>0</v>
      </c>
      <c r="K341" s="165">
        <f>N(Inputs!$E$712)*N(Inputs!K713)*Inputs!$E$55*Inputs!$E$714</f>
        <v>0</v>
      </c>
      <c r="L341" s="165">
        <f>N(Inputs!$E$712)*N(Inputs!L713)*Inputs!$E$55*Inputs!$E$714</f>
        <v>0</v>
      </c>
      <c r="M341" s="165">
        <f>N(Inputs!$E$712)*N(Inputs!M713)*Inputs!$E$55*Inputs!$E$714</f>
        <v>0</v>
      </c>
      <c r="N341" s="165">
        <f>N(Inputs!$E$712)*N(Inputs!N713)*Inputs!$E$55*Inputs!$E$714</f>
        <v>0</v>
      </c>
      <c r="O341" s="165">
        <f>N(Inputs!$E$712)*N(Inputs!O713)*Inputs!$E$55*Inputs!$E$714</f>
        <v>0</v>
      </c>
      <c r="P341" s="165">
        <f>N(Inputs!$E$712)*N(Inputs!P713)*Inputs!$E$55*Inputs!$E$714</f>
        <v>0</v>
      </c>
      <c r="Q341" s="165">
        <f>N(Inputs!$E$712)*N(Inputs!Q713)*Inputs!$E$55*Inputs!$E$714</f>
        <v>0</v>
      </c>
      <c r="R341" s="165">
        <f>N(Inputs!$E$712)*N(Inputs!R713)*Inputs!$E$55*Inputs!$E$714</f>
        <v>0</v>
      </c>
      <c r="S341" s="165">
        <f>N(Inputs!$E$712)*N(Inputs!S713)*Inputs!$E$55*Inputs!$E$714</f>
        <v>0</v>
      </c>
      <c r="T341" s="165">
        <f>N(Inputs!$E$712)*N(Inputs!T713)*Inputs!$E$55*Inputs!$E$714</f>
        <v>0</v>
      </c>
    </row>
    <row r="342" spans="2:20" x14ac:dyDescent="0.25">
      <c r="B342" s="23" t="str">
        <f>"F02  "&amp;IF(LEN(Inputs!$E$716&amp;"")=0,"funding-only project (blank)",Inputs!$E$716)</f>
        <v>F02  funding-only project (blank)</v>
      </c>
      <c r="C342" s="28" t="s">
        <v>806</v>
      </c>
      <c r="E342" s="167">
        <f>SUM($H$342:$T$342)</f>
        <v>0</v>
      </c>
      <c r="H342" s="165">
        <f>N(Inputs!$E$717)*N(Inputs!H718)*Inputs!$E$55*Inputs!$E$719</f>
        <v>0</v>
      </c>
      <c r="I342" s="165">
        <f>N(Inputs!$E$717)*N(Inputs!I718)*Inputs!$E$55*Inputs!$E$719</f>
        <v>0</v>
      </c>
      <c r="J342" s="165">
        <f>N(Inputs!$E$717)*N(Inputs!J718)*Inputs!$E$55*Inputs!$E$719</f>
        <v>0</v>
      </c>
      <c r="K342" s="165">
        <f>N(Inputs!$E$717)*N(Inputs!K718)*Inputs!$E$55*Inputs!$E$719</f>
        <v>0</v>
      </c>
      <c r="L342" s="165">
        <f>N(Inputs!$E$717)*N(Inputs!L718)*Inputs!$E$55*Inputs!$E$719</f>
        <v>0</v>
      </c>
      <c r="M342" s="165">
        <f>N(Inputs!$E$717)*N(Inputs!M718)*Inputs!$E$55*Inputs!$E$719</f>
        <v>0</v>
      </c>
      <c r="N342" s="165">
        <f>N(Inputs!$E$717)*N(Inputs!N718)*Inputs!$E$55*Inputs!$E$719</f>
        <v>0</v>
      </c>
      <c r="O342" s="165">
        <f>N(Inputs!$E$717)*N(Inputs!O718)*Inputs!$E$55*Inputs!$E$719</f>
        <v>0</v>
      </c>
      <c r="P342" s="165">
        <f>N(Inputs!$E$717)*N(Inputs!P718)*Inputs!$E$55*Inputs!$E$719</f>
        <v>0</v>
      </c>
      <c r="Q342" s="165">
        <f>N(Inputs!$E$717)*N(Inputs!Q718)*Inputs!$E$55*Inputs!$E$719</f>
        <v>0</v>
      </c>
      <c r="R342" s="165">
        <f>N(Inputs!$E$717)*N(Inputs!R718)*Inputs!$E$55*Inputs!$E$719</f>
        <v>0</v>
      </c>
      <c r="S342" s="165">
        <f>N(Inputs!$E$717)*N(Inputs!S718)*Inputs!$E$55*Inputs!$E$719</f>
        <v>0</v>
      </c>
      <c r="T342" s="165">
        <f>N(Inputs!$E$717)*N(Inputs!T718)*Inputs!$E$55*Inputs!$E$719</f>
        <v>0</v>
      </c>
    </row>
    <row r="343" spans="2:20" x14ac:dyDescent="0.25">
      <c r="B343" s="23" t="str">
        <f>"F03  "&amp;IF(LEN(Inputs!$E$721&amp;"")=0,"funding-only project (blank)",Inputs!$E$721)</f>
        <v>F03  funding-only project (blank)</v>
      </c>
      <c r="C343" s="28" t="s">
        <v>806</v>
      </c>
      <c r="E343" s="167">
        <f>SUM($H$343:$T$343)</f>
        <v>0</v>
      </c>
      <c r="H343" s="165">
        <f>N(Inputs!$E$722)*N(Inputs!H723)*Inputs!$E$55*Inputs!$E$724</f>
        <v>0</v>
      </c>
      <c r="I343" s="165">
        <f>N(Inputs!$E$722)*N(Inputs!I723)*Inputs!$E$55*Inputs!$E$724</f>
        <v>0</v>
      </c>
      <c r="J343" s="165">
        <f>N(Inputs!$E$722)*N(Inputs!J723)*Inputs!$E$55*Inputs!$E$724</f>
        <v>0</v>
      </c>
      <c r="K343" s="165">
        <f>N(Inputs!$E$722)*N(Inputs!K723)*Inputs!$E$55*Inputs!$E$724</f>
        <v>0</v>
      </c>
      <c r="L343" s="165">
        <f>N(Inputs!$E$722)*N(Inputs!L723)*Inputs!$E$55*Inputs!$E$724</f>
        <v>0</v>
      </c>
      <c r="M343" s="165">
        <f>N(Inputs!$E$722)*N(Inputs!M723)*Inputs!$E$55*Inputs!$E$724</f>
        <v>0</v>
      </c>
      <c r="N343" s="165">
        <f>N(Inputs!$E$722)*N(Inputs!N723)*Inputs!$E$55*Inputs!$E$724</f>
        <v>0</v>
      </c>
      <c r="O343" s="165">
        <f>N(Inputs!$E$722)*N(Inputs!O723)*Inputs!$E$55*Inputs!$E$724</f>
        <v>0</v>
      </c>
      <c r="P343" s="165">
        <f>N(Inputs!$E$722)*N(Inputs!P723)*Inputs!$E$55*Inputs!$E$724</f>
        <v>0</v>
      </c>
      <c r="Q343" s="165">
        <f>N(Inputs!$E$722)*N(Inputs!Q723)*Inputs!$E$55*Inputs!$E$724</f>
        <v>0</v>
      </c>
      <c r="R343" s="165">
        <f>N(Inputs!$E$722)*N(Inputs!R723)*Inputs!$E$55*Inputs!$E$724</f>
        <v>0</v>
      </c>
      <c r="S343" s="165">
        <f>N(Inputs!$E$722)*N(Inputs!S723)*Inputs!$E$55*Inputs!$E$724</f>
        <v>0</v>
      </c>
      <c r="T343" s="165">
        <f>N(Inputs!$E$722)*N(Inputs!T723)*Inputs!$E$55*Inputs!$E$724</f>
        <v>0</v>
      </c>
    </row>
    <row r="344" spans="2:20" x14ac:dyDescent="0.25">
      <c r="B344" s="23" t="str">
        <f>"F04  "&amp;IF(LEN(Inputs!$E$726&amp;"")=0,"funding-only project (blank)",Inputs!$E$726)</f>
        <v>F04  funding-only project (blank)</v>
      </c>
      <c r="C344" s="28" t="s">
        <v>806</v>
      </c>
      <c r="E344" s="167">
        <f>SUM($H$344:$T$344)</f>
        <v>0</v>
      </c>
      <c r="H344" s="165">
        <f>N(Inputs!$E$727)*N(Inputs!H728)*Inputs!$E$55*Inputs!$E$729</f>
        <v>0</v>
      </c>
      <c r="I344" s="165">
        <f>N(Inputs!$E$727)*N(Inputs!I728)*Inputs!$E$55*Inputs!$E$729</f>
        <v>0</v>
      </c>
      <c r="J344" s="165">
        <f>N(Inputs!$E$727)*N(Inputs!J728)*Inputs!$E$55*Inputs!$E$729</f>
        <v>0</v>
      </c>
      <c r="K344" s="165">
        <f>N(Inputs!$E$727)*N(Inputs!K728)*Inputs!$E$55*Inputs!$E$729</f>
        <v>0</v>
      </c>
      <c r="L344" s="165">
        <f>N(Inputs!$E$727)*N(Inputs!L728)*Inputs!$E$55*Inputs!$E$729</f>
        <v>0</v>
      </c>
      <c r="M344" s="165">
        <f>N(Inputs!$E$727)*N(Inputs!M728)*Inputs!$E$55*Inputs!$E$729</f>
        <v>0</v>
      </c>
      <c r="N344" s="165">
        <f>N(Inputs!$E$727)*N(Inputs!N728)*Inputs!$E$55*Inputs!$E$729</f>
        <v>0</v>
      </c>
      <c r="O344" s="165">
        <f>N(Inputs!$E$727)*N(Inputs!O728)*Inputs!$E$55*Inputs!$E$729</f>
        <v>0</v>
      </c>
      <c r="P344" s="165">
        <f>N(Inputs!$E$727)*N(Inputs!P728)*Inputs!$E$55*Inputs!$E$729</f>
        <v>0</v>
      </c>
      <c r="Q344" s="165">
        <f>N(Inputs!$E$727)*N(Inputs!Q728)*Inputs!$E$55*Inputs!$E$729</f>
        <v>0</v>
      </c>
      <c r="R344" s="165">
        <f>N(Inputs!$E$727)*N(Inputs!R728)*Inputs!$E$55*Inputs!$E$729</f>
        <v>0</v>
      </c>
      <c r="S344" s="165">
        <f>N(Inputs!$E$727)*N(Inputs!S728)*Inputs!$E$55*Inputs!$E$729</f>
        <v>0</v>
      </c>
      <c r="T344" s="165">
        <f>N(Inputs!$E$727)*N(Inputs!T728)*Inputs!$E$55*Inputs!$E$729</f>
        <v>0</v>
      </c>
    </row>
    <row r="345" spans="2:20" x14ac:dyDescent="0.25">
      <c r="B345" s="23" t="str">
        <f>"F05  "&amp;IF(LEN(Inputs!$E$731&amp;"")=0,"funding-only project (blank)",Inputs!$E$731)</f>
        <v>F05  funding-only project (blank)</v>
      </c>
      <c r="C345" s="28" t="s">
        <v>806</v>
      </c>
      <c r="E345" s="167">
        <f>SUM($H$345:$T$345)</f>
        <v>0</v>
      </c>
      <c r="H345" s="165">
        <f>N(Inputs!$E$732)*N(Inputs!H733)*Inputs!$E$55*Inputs!$E$734</f>
        <v>0</v>
      </c>
      <c r="I345" s="165">
        <f>N(Inputs!$E$732)*N(Inputs!I733)*Inputs!$E$55*Inputs!$E$734</f>
        <v>0</v>
      </c>
      <c r="J345" s="165">
        <f>N(Inputs!$E$732)*N(Inputs!J733)*Inputs!$E$55*Inputs!$E$734</f>
        <v>0</v>
      </c>
      <c r="K345" s="165">
        <f>N(Inputs!$E$732)*N(Inputs!K733)*Inputs!$E$55*Inputs!$E$734</f>
        <v>0</v>
      </c>
      <c r="L345" s="165">
        <f>N(Inputs!$E$732)*N(Inputs!L733)*Inputs!$E$55*Inputs!$E$734</f>
        <v>0</v>
      </c>
      <c r="M345" s="165">
        <f>N(Inputs!$E$732)*N(Inputs!M733)*Inputs!$E$55*Inputs!$E$734</f>
        <v>0</v>
      </c>
      <c r="N345" s="165">
        <f>N(Inputs!$E$732)*N(Inputs!N733)*Inputs!$E$55*Inputs!$E$734</f>
        <v>0</v>
      </c>
      <c r="O345" s="165">
        <f>N(Inputs!$E$732)*N(Inputs!O733)*Inputs!$E$55*Inputs!$E$734</f>
        <v>0</v>
      </c>
      <c r="P345" s="165">
        <f>N(Inputs!$E$732)*N(Inputs!P733)*Inputs!$E$55*Inputs!$E$734</f>
        <v>0</v>
      </c>
      <c r="Q345" s="165">
        <f>N(Inputs!$E$732)*N(Inputs!Q733)*Inputs!$E$55*Inputs!$E$734</f>
        <v>0</v>
      </c>
      <c r="R345" s="165">
        <f>N(Inputs!$E$732)*N(Inputs!R733)*Inputs!$E$55*Inputs!$E$734</f>
        <v>0</v>
      </c>
      <c r="S345" s="165">
        <f>N(Inputs!$E$732)*N(Inputs!S733)*Inputs!$E$55*Inputs!$E$734</f>
        <v>0</v>
      </c>
      <c r="T345" s="165">
        <f>N(Inputs!$E$732)*N(Inputs!T733)*Inputs!$E$55*Inputs!$E$734</f>
        <v>0</v>
      </c>
    </row>
    <row r="346" spans="2:20" x14ac:dyDescent="0.25">
      <c r="B346" s="154" t="s">
        <v>2522</v>
      </c>
    </row>
    <row r="347" spans="2:20" x14ac:dyDescent="0.25">
      <c r="B347" s="23" t="s">
        <v>2523</v>
      </c>
      <c r="C347" s="28" t="s">
        <v>493</v>
      </c>
      <c r="H347" s="159">
        <f t="shared" ref="H347:T347" si="125">H340*H51/1000</f>
        <v>0</v>
      </c>
      <c r="I347" s="159">
        <f t="shared" si="125"/>
        <v>0</v>
      </c>
      <c r="J347" s="159">
        <f t="shared" si="125"/>
        <v>0</v>
      </c>
      <c r="K347" s="159">
        <f t="shared" si="125"/>
        <v>0</v>
      </c>
      <c r="L347" s="159">
        <f t="shared" si="125"/>
        <v>0</v>
      </c>
      <c r="M347" s="159">
        <f t="shared" si="125"/>
        <v>0</v>
      </c>
      <c r="N347" s="159">
        <f t="shared" si="125"/>
        <v>0</v>
      </c>
      <c r="O347" s="159">
        <f t="shared" si="125"/>
        <v>0</v>
      </c>
      <c r="P347" s="159">
        <f t="shared" si="125"/>
        <v>0</v>
      </c>
      <c r="Q347" s="159">
        <f t="shared" si="125"/>
        <v>0</v>
      </c>
      <c r="R347" s="159">
        <f t="shared" si="125"/>
        <v>0</v>
      </c>
      <c r="S347" s="159">
        <f t="shared" si="125"/>
        <v>0</v>
      </c>
      <c r="T347" s="159">
        <f t="shared" si="125"/>
        <v>0</v>
      </c>
    </row>
    <row r="348" spans="2:20" x14ac:dyDescent="0.25">
      <c r="B348" s="23" t="str">
        <f>"F01  "&amp;IF(LEN(Inputs!$E$711&amp;"")=0,"(blank)",Inputs!$E$711)&amp;" (IDR bn)"</f>
        <v>F01  (blank) (IDR bn)</v>
      </c>
      <c r="C348" s="28" t="s">
        <v>493</v>
      </c>
      <c r="H348" s="159">
        <f t="shared" ref="H348:T348" si="126">H341*H51/1000</f>
        <v>0</v>
      </c>
      <c r="I348" s="159">
        <f t="shared" si="126"/>
        <v>0</v>
      </c>
      <c r="J348" s="159">
        <f t="shared" si="126"/>
        <v>0</v>
      </c>
      <c r="K348" s="159">
        <f t="shared" si="126"/>
        <v>0</v>
      </c>
      <c r="L348" s="159">
        <f t="shared" si="126"/>
        <v>0</v>
      </c>
      <c r="M348" s="159">
        <f t="shared" si="126"/>
        <v>0</v>
      </c>
      <c r="N348" s="159">
        <f t="shared" si="126"/>
        <v>0</v>
      </c>
      <c r="O348" s="159">
        <f t="shared" si="126"/>
        <v>0</v>
      </c>
      <c r="P348" s="159">
        <f t="shared" si="126"/>
        <v>0</v>
      </c>
      <c r="Q348" s="159">
        <f t="shared" si="126"/>
        <v>0</v>
      </c>
      <c r="R348" s="159">
        <f t="shared" si="126"/>
        <v>0</v>
      </c>
      <c r="S348" s="159">
        <f t="shared" si="126"/>
        <v>0</v>
      </c>
      <c r="T348" s="159">
        <f t="shared" si="126"/>
        <v>0</v>
      </c>
    </row>
    <row r="349" spans="2:20" x14ac:dyDescent="0.25">
      <c r="B349" s="23" t="str">
        <f>"F02  "&amp;IF(LEN(Inputs!$E$716&amp;"")=0,"(blank)",Inputs!$E$716)&amp;" (IDR bn)"</f>
        <v>F02  (blank) (IDR bn)</v>
      </c>
      <c r="C349" s="28" t="s">
        <v>493</v>
      </c>
      <c r="H349" s="159">
        <f t="shared" ref="H349:T349" si="127">H342*H51/1000</f>
        <v>0</v>
      </c>
      <c r="I349" s="159">
        <f t="shared" si="127"/>
        <v>0</v>
      </c>
      <c r="J349" s="159">
        <f t="shared" si="127"/>
        <v>0</v>
      </c>
      <c r="K349" s="159">
        <f t="shared" si="127"/>
        <v>0</v>
      </c>
      <c r="L349" s="159">
        <f t="shared" si="127"/>
        <v>0</v>
      </c>
      <c r="M349" s="159">
        <f t="shared" si="127"/>
        <v>0</v>
      </c>
      <c r="N349" s="159">
        <f t="shared" si="127"/>
        <v>0</v>
      </c>
      <c r="O349" s="159">
        <f t="shared" si="127"/>
        <v>0</v>
      </c>
      <c r="P349" s="159">
        <f t="shared" si="127"/>
        <v>0</v>
      </c>
      <c r="Q349" s="159">
        <f t="shared" si="127"/>
        <v>0</v>
      </c>
      <c r="R349" s="159">
        <f t="shared" si="127"/>
        <v>0</v>
      </c>
      <c r="S349" s="159">
        <f t="shared" si="127"/>
        <v>0</v>
      </c>
      <c r="T349" s="159">
        <f t="shared" si="127"/>
        <v>0</v>
      </c>
    </row>
    <row r="350" spans="2:20" x14ac:dyDescent="0.25">
      <c r="B350" s="23" t="str">
        <f>"F03  "&amp;IF(LEN(Inputs!$E$721&amp;"")=0,"(blank)",Inputs!$E$721)&amp;" (IDR bn)"</f>
        <v>F03  (blank) (IDR bn)</v>
      </c>
      <c r="C350" s="28" t="s">
        <v>493</v>
      </c>
      <c r="H350" s="159">
        <f t="shared" ref="H350:T350" si="128">H343*H51/1000</f>
        <v>0</v>
      </c>
      <c r="I350" s="159">
        <f t="shared" si="128"/>
        <v>0</v>
      </c>
      <c r="J350" s="159">
        <f t="shared" si="128"/>
        <v>0</v>
      </c>
      <c r="K350" s="159">
        <f t="shared" si="128"/>
        <v>0</v>
      </c>
      <c r="L350" s="159">
        <f t="shared" si="128"/>
        <v>0</v>
      </c>
      <c r="M350" s="159">
        <f t="shared" si="128"/>
        <v>0</v>
      </c>
      <c r="N350" s="159">
        <f t="shared" si="128"/>
        <v>0</v>
      </c>
      <c r="O350" s="159">
        <f t="shared" si="128"/>
        <v>0</v>
      </c>
      <c r="P350" s="159">
        <f t="shared" si="128"/>
        <v>0</v>
      </c>
      <c r="Q350" s="159">
        <f t="shared" si="128"/>
        <v>0</v>
      </c>
      <c r="R350" s="159">
        <f t="shared" si="128"/>
        <v>0</v>
      </c>
      <c r="S350" s="159">
        <f t="shared" si="128"/>
        <v>0</v>
      </c>
      <c r="T350" s="159">
        <f t="shared" si="128"/>
        <v>0</v>
      </c>
    </row>
    <row r="351" spans="2:20" x14ac:dyDescent="0.25">
      <c r="B351" s="23" t="str">
        <f>"F04  "&amp;IF(LEN(Inputs!$E$726&amp;"")=0,"(blank)",Inputs!$E$726)&amp;" (IDR bn)"</f>
        <v>F04  (blank) (IDR bn)</v>
      </c>
      <c r="C351" s="28" t="s">
        <v>493</v>
      </c>
      <c r="H351" s="159">
        <f t="shared" ref="H351:T351" si="129">H344*H51/1000</f>
        <v>0</v>
      </c>
      <c r="I351" s="159">
        <f t="shared" si="129"/>
        <v>0</v>
      </c>
      <c r="J351" s="159">
        <f t="shared" si="129"/>
        <v>0</v>
      </c>
      <c r="K351" s="159">
        <f t="shared" si="129"/>
        <v>0</v>
      </c>
      <c r="L351" s="159">
        <f t="shared" si="129"/>
        <v>0</v>
      </c>
      <c r="M351" s="159">
        <f t="shared" si="129"/>
        <v>0</v>
      </c>
      <c r="N351" s="159">
        <f t="shared" si="129"/>
        <v>0</v>
      </c>
      <c r="O351" s="159">
        <f t="shared" si="129"/>
        <v>0</v>
      </c>
      <c r="P351" s="159">
        <f t="shared" si="129"/>
        <v>0</v>
      </c>
      <c r="Q351" s="159">
        <f t="shared" si="129"/>
        <v>0</v>
      </c>
      <c r="R351" s="159">
        <f t="shared" si="129"/>
        <v>0</v>
      </c>
      <c r="S351" s="159">
        <f t="shared" si="129"/>
        <v>0</v>
      </c>
      <c r="T351" s="159">
        <f t="shared" si="129"/>
        <v>0</v>
      </c>
    </row>
    <row r="352" spans="2:20" x14ac:dyDescent="0.25">
      <c r="B352" s="23" t="str">
        <f>"F05  "&amp;IF(LEN(Inputs!$E$731&amp;"")=0,"(blank)",Inputs!$E$731)&amp;" (IDR bn)"</f>
        <v>F05  (blank) (IDR bn)</v>
      </c>
      <c r="C352" s="28" t="s">
        <v>493</v>
      </c>
      <c r="H352" s="159">
        <f t="shared" ref="H352:T352" si="130">H345*H51/1000</f>
        <v>0</v>
      </c>
      <c r="I352" s="159">
        <f t="shared" si="130"/>
        <v>0</v>
      </c>
      <c r="J352" s="159">
        <f t="shared" si="130"/>
        <v>0</v>
      </c>
      <c r="K352" s="159">
        <f t="shared" si="130"/>
        <v>0</v>
      </c>
      <c r="L352" s="159">
        <f t="shared" si="130"/>
        <v>0</v>
      </c>
      <c r="M352" s="159">
        <f t="shared" si="130"/>
        <v>0</v>
      </c>
      <c r="N352" s="159">
        <f t="shared" si="130"/>
        <v>0</v>
      </c>
      <c r="O352" s="159">
        <f t="shared" si="130"/>
        <v>0</v>
      </c>
      <c r="P352" s="159">
        <f t="shared" si="130"/>
        <v>0</v>
      </c>
      <c r="Q352" s="159">
        <f t="shared" si="130"/>
        <v>0</v>
      </c>
      <c r="R352" s="159">
        <f t="shared" si="130"/>
        <v>0</v>
      </c>
      <c r="S352" s="159">
        <f t="shared" si="130"/>
        <v>0</v>
      </c>
      <c r="T352" s="159">
        <f t="shared" si="130"/>
        <v>0</v>
      </c>
    </row>
    <row r="353" spans="2:20" x14ac:dyDescent="0.25">
      <c r="B353" s="21" t="s">
        <v>2524</v>
      </c>
      <c r="C353" s="28" t="s">
        <v>493</v>
      </c>
      <c r="H353" s="160">
        <f t="shared" ref="H353:T353" si="131">H348+H349+H350+H351+H352</f>
        <v>0</v>
      </c>
      <c r="I353" s="160">
        <f t="shared" si="131"/>
        <v>0</v>
      </c>
      <c r="J353" s="160">
        <f t="shared" si="131"/>
        <v>0</v>
      </c>
      <c r="K353" s="160">
        <f t="shared" si="131"/>
        <v>0</v>
      </c>
      <c r="L353" s="160">
        <f t="shared" si="131"/>
        <v>0</v>
      </c>
      <c r="M353" s="160">
        <f t="shared" si="131"/>
        <v>0</v>
      </c>
      <c r="N353" s="160">
        <f t="shared" si="131"/>
        <v>0</v>
      </c>
      <c r="O353" s="160">
        <f t="shared" si="131"/>
        <v>0</v>
      </c>
      <c r="P353" s="160">
        <f t="shared" si="131"/>
        <v>0</v>
      </c>
      <c r="Q353" s="160">
        <f t="shared" si="131"/>
        <v>0</v>
      </c>
      <c r="R353" s="160">
        <f t="shared" si="131"/>
        <v>0</v>
      </c>
      <c r="S353" s="160">
        <f t="shared" si="131"/>
        <v>0</v>
      </c>
      <c r="T353" s="160">
        <f t="shared" si="131"/>
        <v>0</v>
      </c>
    </row>
    <row r="354" spans="2:20" x14ac:dyDescent="0.25">
      <c r="B354" s="21" t="s">
        <v>2525</v>
      </c>
      <c r="C354" s="28" t="s">
        <v>493</v>
      </c>
      <c r="G354" s="157"/>
      <c r="H354" s="158">
        <f t="shared" ref="H354:T354" si="132">H347+H353</f>
        <v>0</v>
      </c>
      <c r="I354" s="158">
        <f t="shared" si="132"/>
        <v>0</v>
      </c>
      <c r="J354" s="158">
        <f t="shared" si="132"/>
        <v>0</v>
      </c>
      <c r="K354" s="158">
        <f t="shared" si="132"/>
        <v>0</v>
      </c>
      <c r="L354" s="158">
        <f t="shared" si="132"/>
        <v>0</v>
      </c>
      <c r="M354" s="158">
        <f t="shared" si="132"/>
        <v>0</v>
      </c>
      <c r="N354" s="158">
        <f t="shared" si="132"/>
        <v>0</v>
      </c>
      <c r="O354" s="158">
        <f t="shared" si="132"/>
        <v>0</v>
      </c>
      <c r="P354" s="158">
        <f t="shared" si="132"/>
        <v>0</v>
      </c>
      <c r="Q354" s="158">
        <f t="shared" si="132"/>
        <v>0</v>
      </c>
      <c r="R354" s="158">
        <f t="shared" si="132"/>
        <v>0</v>
      </c>
      <c r="S354" s="158">
        <f t="shared" si="132"/>
        <v>0</v>
      </c>
      <c r="T354" s="158">
        <f t="shared" si="132"/>
        <v>0</v>
      </c>
    </row>
    <row r="355" spans="2:20" x14ac:dyDescent="0.25">
      <c r="B355" s="145" t="s">
        <v>2526</v>
      </c>
    </row>
    <row r="357" spans="2:20" x14ac:dyDescent="0.25">
      <c r="B357" s="58" t="s">
        <v>2527</v>
      </c>
      <c r="C357" s="19"/>
      <c r="D357" s="19"/>
      <c r="E357" s="19"/>
      <c r="F357" s="19"/>
      <c r="G357" s="19"/>
      <c r="H357" s="19"/>
      <c r="I357" s="19"/>
      <c r="J357" s="19"/>
      <c r="K357" s="19"/>
      <c r="L357" s="19"/>
      <c r="M357" s="19"/>
      <c r="N357" s="19"/>
      <c r="O357" s="19"/>
      <c r="P357" s="19"/>
      <c r="Q357" s="19"/>
      <c r="R357" s="19"/>
      <c r="S357" s="19"/>
      <c r="T357" s="19"/>
    </row>
    <row r="358" spans="2:20" x14ac:dyDescent="0.25">
      <c r="B358" s="145" t="s">
        <v>2528</v>
      </c>
    </row>
    <row r="359" spans="2:20" x14ac:dyDescent="0.25">
      <c r="B359" s="145" t="s">
        <v>2529</v>
      </c>
    </row>
    <row r="360" spans="2:20" ht="36" customHeight="1" x14ac:dyDescent="0.25">
      <c r="B360" s="25" t="s">
        <v>2530</v>
      </c>
      <c r="C360" s="25" t="s">
        <v>2531</v>
      </c>
      <c r="D360" s="25" t="s">
        <v>2532</v>
      </c>
      <c r="E360" s="25" t="s">
        <v>2533</v>
      </c>
      <c r="F360" s="25" t="s">
        <v>2534</v>
      </c>
      <c r="G360" s="25" t="s">
        <v>2535</v>
      </c>
      <c r="H360" s="25" t="s">
        <v>2536</v>
      </c>
      <c r="I360" s="25" t="s">
        <v>2537</v>
      </c>
      <c r="J360" s="25" t="s">
        <v>2538</v>
      </c>
      <c r="K360" s="25" t="s">
        <v>2539</v>
      </c>
      <c r="L360" s="25" t="s">
        <v>2540</v>
      </c>
      <c r="M360" s="9" t="s">
        <v>2541</v>
      </c>
      <c r="N360" s="9"/>
      <c r="O360" s="9"/>
      <c r="P360" s="9"/>
      <c r="Q360" s="9"/>
      <c r="R360" s="9"/>
      <c r="S360" s="9"/>
      <c r="T360" s="9"/>
    </row>
    <row r="361" spans="2:20" x14ac:dyDescent="0.25">
      <c r="B361" s="70" t="s">
        <v>537</v>
      </c>
      <c r="C361" s="70" t="s">
        <v>2542</v>
      </c>
      <c r="D361" s="175" t="s">
        <v>2543</v>
      </c>
      <c r="E361" s="176"/>
      <c r="F361" s="176"/>
      <c r="G361" s="176" t="s">
        <v>600</v>
      </c>
      <c r="H361" s="177">
        <v>12.8</v>
      </c>
      <c r="I361" s="177">
        <v>12.8</v>
      </c>
      <c r="J361" s="177">
        <v>12.8</v>
      </c>
      <c r="K361" s="172">
        <f>$E$8</f>
        <v>12.8</v>
      </c>
      <c r="L361" s="178">
        <f t="shared" ref="L361:L366" si="133">K361-I361</f>
        <v>0</v>
      </c>
      <c r="M361" s="8" t="s">
        <v>2544</v>
      </c>
      <c r="N361" s="8"/>
      <c r="O361" s="8"/>
      <c r="P361" s="8"/>
      <c r="Q361" s="8"/>
      <c r="R361" s="8"/>
      <c r="S361" s="8"/>
      <c r="T361" s="8"/>
    </row>
    <row r="362" spans="2:20" x14ac:dyDescent="0.25">
      <c r="B362" s="70" t="s">
        <v>540</v>
      </c>
      <c r="C362" s="70" t="s">
        <v>2545</v>
      </c>
      <c r="D362" s="175" t="s">
        <v>2543</v>
      </c>
      <c r="E362" s="177">
        <v>8</v>
      </c>
      <c r="F362" s="176"/>
      <c r="G362" s="177">
        <v>8</v>
      </c>
      <c r="H362" s="177">
        <v>8</v>
      </c>
      <c r="I362" s="177">
        <v>8</v>
      </c>
      <c r="J362" s="177">
        <v>8</v>
      </c>
      <c r="K362" s="172">
        <f>$E$9</f>
        <v>8</v>
      </c>
      <c r="L362" s="178">
        <f t="shared" si="133"/>
        <v>0</v>
      </c>
      <c r="M362" s="8" t="s">
        <v>2546</v>
      </c>
      <c r="N362" s="8"/>
      <c r="O362" s="8"/>
      <c r="P362" s="8"/>
      <c r="Q362" s="8"/>
      <c r="R362" s="8"/>
      <c r="S362" s="8"/>
      <c r="T362" s="8"/>
    </row>
    <row r="363" spans="2:20" x14ac:dyDescent="0.25">
      <c r="B363" s="70" t="s">
        <v>560</v>
      </c>
      <c r="C363" s="70" t="s">
        <v>2547</v>
      </c>
      <c r="D363" s="175" t="s">
        <v>2543</v>
      </c>
      <c r="E363" s="177">
        <v>14</v>
      </c>
      <c r="F363" s="176"/>
      <c r="G363" s="177">
        <v>14</v>
      </c>
      <c r="H363" s="177">
        <v>14</v>
      </c>
      <c r="I363" s="177">
        <v>14</v>
      </c>
      <c r="J363" s="177">
        <v>14</v>
      </c>
      <c r="K363" s="172">
        <f>$E$14</f>
        <v>14.0245926836766</v>
      </c>
      <c r="L363" s="178">
        <f t="shared" si="133"/>
        <v>2.4592683676599947E-2</v>
      </c>
      <c r="M363" s="8" t="s">
        <v>2548</v>
      </c>
      <c r="N363" s="8"/>
      <c r="O363" s="8"/>
      <c r="P363" s="8"/>
      <c r="Q363" s="8"/>
      <c r="R363" s="8"/>
      <c r="S363" s="8"/>
      <c r="T363" s="8"/>
    </row>
    <row r="364" spans="2:20" x14ac:dyDescent="0.25">
      <c r="B364" s="70" t="s">
        <v>2549</v>
      </c>
      <c r="C364" s="70" t="s">
        <v>2550</v>
      </c>
      <c r="D364" s="179" t="s">
        <v>2551</v>
      </c>
      <c r="E364" s="177">
        <v>17</v>
      </c>
      <c r="F364" s="176"/>
      <c r="G364" s="177">
        <v>17</v>
      </c>
      <c r="H364" s="177">
        <v>17</v>
      </c>
      <c r="I364" s="177">
        <v>11</v>
      </c>
      <c r="J364" s="177">
        <v>11</v>
      </c>
      <c r="K364" s="172">
        <f>$E$13+$E$10</f>
        <v>11.049185367353219</v>
      </c>
      <c r="L364" s="178">
        <f t="shared" si="133"/>
        <v>4.9185367353219434E-2</v>
      </c>
      <c r="M364" s="8" t="s">
        <v>2552</v>
      </c>
      <c r="N364" s="8"/>
      <c r="O364" s="8"/>
      <c r="P364" s="8"/>
      <c r="Q364" s="8"/>
      <c r="R364" s="8"/>
      <c r="S364" s="8"/>
      <c r="T364" s="8"/>
    </row>
    <row r="365" spans="2:20" x14ac:dyDescent="0.25">
      <c r="B365" s="70" t="s">
        <v>548</v>
      </c>
      <c r="C365" s="70" t="s">
        <v>2553</v>
      </c>
      <c r="D365" s="175" t="s">
        <v>2543</v>
      </c>
      <c r="E365" s="176"/>
      <c r="F365" s="176"/>
      <c r="G365" s="176" t="s">
        <v>600</v>
      </c>
      <c r="H365" s="176"/>
      <c r="I365" s="177">
        <v>3.8</v>
      </c>
      <c r="J365" s="177">
        <v>3.8</v>
      </c>
      <c r="K365" s="172">
        <f>$E$11</f>
        <v>3.7622963418383</v>
      </c>
      <c r="L365" s="178">
        <f t="shared" si="133"/>
        <v>-3.7703658161699849E-2</v>
      </c>
      <c r="M365" s="8" t="s">
        <v>2554</v>
      </c>
      <c r="N365" s="8"/>
      <c r="O365" s="8"/>
      <c r="P365" s="8"/>
      <c r="Q365" s="8"/>
      <c r="R365" s="8"/>
      <c r="S365" s="8"/>
      <c r="T365" s="8"/>
    </row>
    <row r="366" spans="2:20" x14ac:dyDescent="0.25">
      <c r="B366" s="70" t="s">
        <v>553</v>
      </c>
      <c r="C366" s="70" t="s">
        <v>2555</v>
      </c>
      <c r="D366" s="175" t="s">
        <v>2543</v>
      </c>
      <c r="E366" s="176"/>
      <c r="F366" s="177">
        <v>20</v>
      </c>
      <c r="G366" s="177">
        <v>20</v>
      </c>
      <c r="H366" s="176"/>
      <c r="I366" s="177">
        <v>6.8</v>
      </c>
      <c r="J366" s="177">
        <v>6.8</v>
      </c>
      <c r="K366" s="172">
        <f>$E$12</f>
        <v>6.8095238095238102</v>
      </c>
      <c r="L366" s="178">
        <f t="shared" si="133"/>
        <v>9.5238095238103782E-3</v>
      </c>
      <c r="M366" s="8" t="s">
        <v>2556</v>
      </c>
      <c r="N366" s="8"/>
      <c r="O366" s="8"/>
      <c r="P366" s="8"/>
      <c r="Q366" s="8"/>
      <c r="R366" s="8"/>
      <c r="S366" s="8"/>
      <c r="T366" s="8"/>
    </row>
    <row r="367" spans="2:20" x14ac:dyDescent="0.25">
      <c r="B367" s="70" t="s">
        <v>597</v>
      </c>
      <c r="C367" s="70" t="s">
        <v>2557</v>
      </c>
      <c r="D367" s="179" t="s">
        <v>2558</v>
      </c>
      <c r="E367" s="176"/>
      <c r="F367" s="177">
        <v>10</v>
      </c>
      <c r="G367" s="177">
        <v>10</v>
      </c>
      <c r="H367" s="176"/>
      <c r="I367" s="176"/>
      <c r="J367" s="176"/>
      <c r="K367" s="172">
        <f>$E$27</f>
        <v>10</v>
      </c>
      <c r="M367" s="8" t="s">
        <v>2559</v>
      </c>
      <c r="N367" s="8"/>
      <c r="O367" s="8"/>
      <c r="P367" s="8"/>
      <c r="Q367" s="8"/>
      <c r="R367" s="8"/>
      <c r="S367" s="8"/>
      <c r="T367" s="8"/>
    </row>
    <row r="368" spans="2:20" x14ac:dyDescent="0.25">
      <c r="B368" s="70" t="s">
        <v>2560</v>
      </c>
      <c r="C368" s="70" t="s">
        <v>600</v>
      </c>
      <c r="D368" s="180" t="s">
        <v>2561</v>
      </c>
      <c r="E368" s="176"/>
      <c r="F368" s="177">
        <v>60</v>
      </c>
      <c r="G368" s="177">
        <v>60</v>
      </c>
      <c r="H368" s="176"/>
      <c r="I368" s="176"/>
      <c r="J368" s="176"/>
      <c r="M368" s="8" t="s">
        <v>2562</v>
      </c>
      <c r="N368" s="8"/>
      <c r="O368" s="8"/>
      <c r="P368" s="8"/>
      <c r="Q368" s="8"/>
      <c r="R368" s="8"/>
      <c r="S368" s="8"/>
      <c r="T368" s="8"/>
    </row>
    <row r="369" spans="2:20" x14ac:dyDescent="0.25">
      <c r="B369" s="70" t="s">
        <v>2563</v>
      </c>
      <c r="C369" s="70" t="s">
        <v>600</v>
      </c>
      <c r="D369" s="180" t="s">
        <v>2561</v>
      </c>
      <c r="E369" s="176"/>
      <c r="F369" s="177">
        <v>15</v>
      </c>
      <c r="G369" s="177">
        <v>15</v>
      </c>
      <c r="H369" s="176"/>
      <c r="I369" s="176"/>
      <c r="J369" s="176" t="s">
        <v>600</v>
      </c>
      <c r="M369" s="8" t="s">
        <v>2564</v>
      </c>
      <c r="N369" s="8"/>
      <c r="O369" s="8"/>
      <c r="P369" s="8"/>
      <c r="Q369" s="8"/>
      <c r="R369" s="8"/>
      <c r="S369" s="8"/>
      <c r="T369" s="8"/>
    </row>
    <row r="370" spans="2:20" ht="47.25" customHeight="1" x14ac:dyDescent="0.25">
      <c r="B370" s="135" t="s">
        <v>2565</v>
      </c>
      <c r="C370" s="75" t="s">
        <v>2566</v>
      </c>
      <c r="D370" s="181" t="s">
        <v>2567</v>
      </c>
      <c r="E370" s="177">
        <v>39</v>
      </c>
      <c r="F370" s="177">
        <v>105</v>
      </c>
      <c r="G370" s="177">
        <v>144</v>
      </c>
      <c r="H370" s="177">
        <v>51.8</v>
      </c>
      <c r="I370" s="177">
        <v>56.4</v>
      </c>
      <c r="J370" s="177">
        <v>56.4</v>
      </c>
      <c r="K370" s="171">
        <f>$E$8+$E$9+$E$10+$E$11+$E$12+$E$13+$E$14</f>
        <v>56.445598202391928</v>
      </c>
      <c r="L370" s="178">
        <f>K370-I370</f>
        <v>4.5598202391929021E-2</v>
      </c>
      <c r="M370" s="8" t="s">
        <v>2568</v>
      </c>
      <c r="N370" s="8"/>
      <c r="O370" s="8"/>
      <c r="P370" s="8"/>
      <c r="Q370" s="8"/>
      <c r="R370" s="8"/>
      <c r="S370" s="8"/>
      <c r="T370" s="8"/>
    </row>
    <row r="371" spans="2:20" x14ac:dyDescent="0.25">
      <c r="B371" s="70" t="s">
        <v>2569</v>
      </c>
      <c r="C371" s="70" t="s">
        <v>600</v>
      </c>
      <c r="D371" s="181" t="s">
        <v>2570</v>
      </c>
      <c r="E371" s="177">
        <v>12</v>
      </c>
      <c r="F371" s="176"/>
      <c r="G371" s="177">
        <v>12</v>
      </c>
      <c r="H371" s="177">
        <v>12</v>
      </c>
      <c r="I371" s="177">
        <v>12</v>
      </c>
      <c r="J371" s="177">
        <v>12</v>
      </c>
      <c r="K371" s="182">
        <f>Inputs!$E$492</f>
        <v>12</v>
      </c>
      <c r="L371" s="178">
        <f>K371-I371</f>
        <v>0</v>
      </c>
      <c r="M371" s="8" t="s">
        <v>2571</v>
      </c>
      <c r="N371" s="8"/>
      <c r="O371" s="8"/>
      <c r="P371" s="8"/>
      <c r="Q371" s="8"/>
      <c r="R371" s="8"/>
      <c r="S371" s="8"/>
      <c r="T371" s="8"/>
    </row>
    <row r="372" spans="2:20" x14ac:dyDescent="0.25">
      <c r="B372" s="135" t="s">
        <v>2572</v>
      </c>
      <c r="C372" s="70" t="s">
        <v>600</v>
      </c>
      <c r="D372" s="181" t="s">
        <v>2567</v>
      </c>
      <c r="E372" s="177">
        <v>51</v>
      </c>
      <c r="F372" s="177">
        <v>105</v>
      </c>
      <c r="G372" s="177">
        <v>156</v>
      </c>
      <c r="H372" s="177">
        <v>63.8</v>
      </c>
      <c r="I372" s="177">
        <v>68.400000000000006</v>
      </c>
      <c r="J372" s="177">
        <v>68.400000000000006</v>
      </c>
      <c r="K372" s="171">
        <f>K370+K371</f>
        <v>68.44559820239192</v>
      </c>
      <c r="L372" s="178">
        <f>K372-I372</f>
        <v>4.5598202391914811E-2</v>
      </c>
      <c r="M372" s="8" t="s">
        <v>2573</v>
      </c>
      <c r="N372" s="8"/>
      <c r="O372" s="8"/>
      <c r="P372" s="8"/>
      <c r="Q372" s="8"/>
      <c r="R372" s="8"/>
      <c r="S372" s="8"/>
      <c r="T372" s="8"/>
    </row>
    <row r="373" spans="2:20" x14ac:dyDescent="0.25">
      <c r="B373" s="70" t="s">
        <v>585</v>
      </c>
      <c r="C373" s="70" t="s">
        <v>2574</v>
      </c>
      <c r="D373" s="181" t="s">
        <v>2575</v>
      </c>
      <c r="E373" s="176"/>
      <c r="F373" s="176"/>
      <c r="G373" s="177">
        <v>108</v>
      </c>
      <c r="H373" s="177">
        <v>108</v>
      </c>
      <c r="I373" s="176" t="s">
        <v>600</v>
      </c>
      <c r="J373" s="176"/>
      <c r="K373" s="172">
        <f>$E$15</f>
        <v>0</v>
      </c>
      <c r="M373" s="8" t="s">
        <v>2576</v>
      </c>
      <c r="N373" s="8"/>
      <c r="O373" s="8"/>
      <c r="P373" s="8"/>
      <c r="Q373" s="8"/>
      <c r="R373" s="8"/>
      <c r="S373" s="8"/>
      <c r="T373" s="8"/>
    </row>
    <row r="374" spans="2:20" x14ac:dyDescent="0.25">
      <c r="B374" s="23" t="s">
        <v>2577</v>
      </c>
      <c r="E374" s="45">
        <f>COUNTA(D361:D373)</f>
        <v>13</v>
      </c>
    </row>
    <row r="375" spans="2:20" x14ac:dyDescent="0.25">
      <c r="B375" s="23" t="s">
        <v>2578</v>
      </c>
      <c r="E375" s="161">
        <f>ROUND($E$8+$E$9+$E$10+$E$11+$E$12+$E$13+$E$14-56.446,3)</f>
        <v>0</v>
      </c>
    </row>
    <row r="376" spans="2:20" x14ac:dyDescent="0.25">
      <c r="B376" s="23" t="s">
        <v>2579</v>
      </c>
      <c r="E376" s="161">
        <f>MAX(MAX(L361:L373),-MIN(L361:L373))</f>
        <v>4.9185367353219434E-2</v>
      </c>
    </row>
    <row r="377" spans="2:20" x14ac:dyDescent="0.25">
      <c r="B377" s="145" t="s">
        <v>2580</v>
      </c>
    </row>
  </sheetData>
  <mergeCells count="84">
    <mergeCell ref="M370:T370"/>
    <mergeCell ref="M371:T371"/>
    <mergeCell ref="M372:T372"/>
    <mergeCell ref="M373:T373"/>
    <mergeCell ref="M365:T365"/>
    <mergeCell ref="M366:T366"/>
    <mergeCell ref="M367:T367"/>
    <mergeCell ref="M368:T368"/>
    <mergeCell ref="M369:T369"/>
    <mergeCell ref="M360:T360"/>
    <mergeCell ref="M361:T361"/>
    <mergeCell ref="M362:T362"/>
    <mergeCell ref="M363:T363"/>
    <mergeCell ref="M364:T364"/>
    <mergeCell ref="G45:I45"/>
    <mergeCell ref="J45:K45"/>
    <mergeCell ref="L45:M45"/>
    <mergeCell ref="N45:O45"/>
    <mergeCell ref="P45:T45"/>
    <mergeCell ref="G44:I44"/>
    <mergeCell ref="J44:K44"/>
    <mergeCell ref="L44:M44"/>
    <mergeCell ref="N44:O44"/>
    <mergeCell ref="P44:T44"/>
    <mergeCell ref="G43:I43"/>
    <mergeCell ref="J43:K43"/>
    <mergeCell ref="L43:M43"/>
    <mergeCell ref="N43:O43"/>
    <mergeCell ref="P43:T43"/>
    <mergeCell ref="G42:I42"/>
    <mergeCell ref="J42:K42"/>
    <mergeCell ref="L42:M42"/>
    <mergeCell ref="N42:O42"/>
    <mergeCell ref="P42:T42"/>
    <mergeCell ref="G41:I41"/>
    <mergeCell ref="J41:K41"/>
    <mergeCell ref="L41:M41"/>
    <mergeCell ref="N41:O41"/>
    <mergeCell ref="P41:T41"/>
    <mergeCell ref="G40:I40"/>
    <mergeCell ref="J40:K40"/>
    <mergeCell ref="L40:M40"/>
    <mergeCell ref="N40:O40"/>
    <mergeCell ref="P40:T40"/>
    <mergeCell ref="G39:I39"/>
    <mergeCell ref="J39:K39"/>
    <mergeCell ref="L39:M39"/>
    <mergeCell ref="N39:O39"/>
    <mergeCell ref="P39:T39"/>
    <mergeCell ref="G38:I38"/>
    <mergeCell ref="J38:K38"/>
    <mergeCell ref="L38:M38"/>
    <mergeCell ref="N38:O38"/>
    <mergeCell ref="P38:T38"/>
    <mergeCell ref="G37:I37"/>
    <mergeCell ref="J37:K37"/>
    <mergeCell ref="L37:M37"/>
    <mergeCell ref="N37:O37"/>
    <mergeCell ref="P37:T37"/>
    <mergeCell ref="G36:I36"/>
    <mergeCell ref="J36:K36"/>
    <mergeCell ref="L36:M36"/>
    <mergeCell ref="N36:O36"/>
    <mergeCell ref="P36:T36"/>
    <mergeCell ref="G35:I35"/>
    <mergeCell ref="J35:K35"/>
    <mergeCell ref="L35:M35"/>
    <mergeCell ref="N35:O35"/>
    <mergeCell ref="P35:T35"/>
    <mergeCell ref="G34:I34"/>
    <mergeCell ref="J34:K34"/>
    <mergeCell ref="L34:M34"/>
    <mergeCell ref="N34:O34"/>
    <mergeCell ref="P34:T34"/>
    <mergeCell ref="G33:I33"/>
    <mergeCell ref="J33:K33"/>
    <mergeCell ref="L33:M33"/>
    <mergeCell ref="N33:O33"/>
    <mergeCell ref="P33:T33"/>
    <mergeCell ref="G32:I32"/>
    <mergeCell ref="J32:K32"/>
    <mergeCell ref="L32:M32"/>
    <mergeCell ref="N32:O32"/>
    <mergeCell ref="P32:T32"/>
  </mergeCells>
  <hyperlinks>
    <hyperlink ref="C3" location="'Model Flow'!A1" display="Model Flow" xr:uid="{00000000-0004-0000-0600-000000000000}"/>
    <hyperlink ref="D3" location="Inputs!A1" display="Inputs" xr:uid="{00000000-0004-0000-0600-000001000000}"/>
    <hyperlink ref="E3" location="'FS Data Request'!A1" display="FS Request" xr:uid="{00000000-0004-0000-0600-000002000000}"/>
    <hyperlink ref="F3" location="'Revenue Calculation'!A1" display="Revenue" xr:uid="{00000000-0004-0000-0600-000003000000}"/>
    <hyperlink ref="G3" location="'Cost Calculation'!A1" display="Costs" xr:uid="{00000000-0004-0000-0600-000004000000}"/>
    <hyperlink ref="H3" location="'BUMN Synergy Calculation'!A1" display="BUMN Synergy" xr:uid="{00000000-0004-0000-0600-000005000000}"/>
    <hyperlink ref="J3" location="'Working Capital'!A1" display="Work. cap." xr:uid="{00000000-0004-0000-0600-000006000000}"/>
    <hyperlink ref="K3" location="Financing!A1" display="Financing" xr:uid="{00000000-0004-0000-0600-000007000000}"/>
    <hyperlink ref="L3" location="'Funding Requirement'!A1" display="Funding" xr:uid="{00000000-0004-0000-0600-000008000000}"/>
    <hyperlink ref="M3" location="'FSL Output - Without BUMN'!A1" display="Out: w/o BUMN" xr:uid="{00000000-0004-0000-0600-000009000000}"/>
    <hyperlink ref="N3" location="'FSL Output - With BUMN'!A1" display="Out: With BUMN" xr:uid="{00000000-0004-0000-0600-00000A000000}"/>
    <hyperlink ref="O3" location="'Valuation — Without BUMN'!A1" display="Val: w/o BUMN" xr:uid="{00000000-0004-0000-0600-00000B000000}"/>
    <hyperlink ref="P3" location="'Valuation — With BUMN'!A1" display="Val: With BUMN" xr:uid="{00000000-0004-0000-0600-00000C000000}"/>
    <hyperlink ref="Q3" location="'Project Cash Flows'!A1" display="Proj. CF" xr:uid="{00000000-0004-0000-0600-00000D000000}"/>
    <hyperlink ref="R3" location="'Project Summary'!A1" display="Proj. Summary" xr:uid="{00000000-0004-0000-0600-00000E000000}"/>
    <hyperlink ref="S3" location="'Checks &amp; Reconciliation'!A1" display="Checks" xr:uid="{00000000-0004-0000-0600-00000F000000}"/>
    <hyperlink ref="T3" location="'Source Data'!A1" display="Source Data" xr:uid="{00000000-0004-0000-0600-000010000000}"/>
  </hyperlinks>
  <pageMargins left="0.4" right="0.4" top="0.5" bottom="0.5" header="0.511811023622047" footer="0.5"/>
  <pageSetup paperSize="9" fitToHeight="0" orientation="landscape" horizontalDpi="300" verticalDpi="300"/>
  <headerFooter>
    <oddFooter>&amp;L&amp;A&amp;RPage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548235"/>
    <pageSetUpPr fitToPage="1"/>
  </sheetPr>
  <dimension ref="B1:U123"/>
  <sheetViews>
    <sheetView showGridLines="0" zoomScale="85" zoomScaleNormal="85" workbookViewId="0">
      <pane xSplit="6" ySplit="6" topLeftCell="G7" activePane="bottomRight" state="frozen"/>
      <selection pane="topRight" activeCell="G1" sqref="G1"/>
      <selection pane="bottomLeft" activeCell="A7" sqref="A7"/>
      <selection pane="bottomRight"/>
    </sheetView>
  </sheetViews>
  <sheetFormatPr defaultColWidth="8.7109375" defaultRowHeight="15" x14ac:dyDescent="0.25"/>
  <cols>
    <col min="1" max="1" width="1.5703125" customWidth="1"/>
    <col min="2" max="2" width="62" customWidth="1"/>
    <col min="3" max="3" width="10" customWidth="1"/>
    <col min="4" max="6" width="13" customWidth="1"/>
    <col min="7" max="20" width="10.5703125" customWidth="1"/>
    <col min="21" max="21" width="55" customWidth="1"/>
  </cols>
  <sheetData>
    <row r="1" spans="2:21" ht="18" x14ac:dyDescent="0.25">
      <c r="B1" s="13" t="s">
        <v>2581</v>
      </c>
    </row>
    <row r="2" spans="2:21" x14ac:dyDescent="0.25">
      <c r="B2" s="14" t="s">
        <v>2582</v>
      </c>
    </row>
    <row r="3" spans="2:21" x14ac:dyDescent="0.25">
      <c r="B3" s="15" t="s">
        <v>2</v>
      </c>
      <c r="C3" s="17" t="s">
        <v>422</v>
      </c>
      <c r="D3" s="17" t="s">
        <v>4</v>
      </c>
      <c r="E3" s="17" t="s">
        <v>5</v>
      </c>
      <c r="F3" s="17" t="s">
        <v>6</v>
      </c>
      <c r="G3" s="17" t="s">
        <v>7</v>
      </c>
      <c r="H3" s="17" t="s">
        <v>8</v>
      </c>
      <c r="I3" s="17" t="s">
        <v>9</v>
      </c>
      <c r="J3" s="16" t="s">
        <v>2583</v>
      </c>
      <c r="K3" s="17" t="s">
        <v>11</v>
      </c>
      <c r="L3" s="17" t="s">
        <v>12</v>
      </c>
      <c r="M3" s="17" t="s">
        <v>13</v>
      </c>
      <c r="N3" s="17" t="s">
        <v>14</v>
      </c>
      <c r="O3" s="17" t="s">
        <v>15</v>
      </c>
      <c r="P3" s="17" t="s">
        <v>16</v>
      </c>
      <c r="Q3" s="17" t="s">
        <v>17</v>
      </c>
      <c r="R3" s="17" t="s">
        <v>18</v>
      </c>
      <c r="S3" s="17" t="s">
        <v>19</v>
      </c>
      <c r="T3" s="17" t="s">
        <v>20</v>
      </c>
    </row>
    <row r="4" spans="2:21" x14ac:dyDescent="0.25">
      <c r="G4" s="77" t="s">
        <v>1878</v>
      </c>
      <c r="H4" s="77" t="s">
        <v>1879</v>
      </c>
      <c r="I4" s="77" t="s">
        <v>1879</v>
      </c>
      <c r="J4" s="77" t="s">
        <v>1879</v>
      </c>
      <c r="K4" s="77" t="s">
        <v>1879</v>
      </c>
      <c r="L4" s="77" t="s">
        <v>1879</v>
      </c>
      <c r="M4" s="77" t="s">
        <v>1879</v>
      </c>
      <c r="N4" s="77" t="s">
        <v>1879</v>
      </c>
      <c r="O4" s="77" t="s">
        <v>1879</v>
      </c>
      <c r="P4" s="77" t="s">
        <v>1879</v>
      </c>
      <c r="Q4" s="77" t="s">
        <v>1879</v>
      </c>
      <c r="R4" s="77" t="s">
        <v>1879</v>
      </c>
      <c r="S4" s="77" t="s">
        <v>1879</v>
      </c>
      <c r="T4" s="77" t="s">
        <v>1879</v>
      </c>
    </row>
    <row r="5" spans="2:21" x14ac:dyDescent="0.25">
      <c r="B5" s="150" t="s">
        <v>493</v>
      </c>
      <c r="C5" s="150" t="s">
        <v>466</v>
      </c>
      <c r="D5" s="59" t="s">
        <v>1881</v>
      </c>
      <c r="E5" s="59" t="s">
        <v>468</v>
      </c>
      <c r="F5" s="60"/>
      <c r="G5" s="151">
        <v>2023</v>
      </c>
      <c r="H5" s="152">
        <v>2024</v>
      </c>
      <c r="I5" s="152">
        <v>2025</v>
      </c>
      <c r="J5" s="152">
        <v>2026</v>
      </c>
      <c r="K5" s="152">
        <v>2027</v>
      </c>
      <c r="L5" s="152">
        <v>2028</v>
      </c>
      <c r="M5" s="152">
        <v>2029</v>
      </c>
      <c r="N5" s="152">
        <v>2030</v>
      </c>
      <c r="O5" s="152">
        <v>2031</v>
      </c>
      <c r="P5" s="152">
        <v>2032</v>
      </c>
      <c r="Q5" s="152">
        <v>2033</v>
      </c>
      <c r="R5" s="152">
        <v>2034</v>
      </c>
      <c r="S5" s="152">
        <v>2035</v>
      </c>
      <c r="T5" s="152">
        <v>2036</v>
      </c>
      <c r="U5" s="59" t="s">
        <v>1882</v>
      </c>
    </row>
    <row r="6" spans="2:21" x14ac:dyDescent="0.25">
      <c r="B6" s="58" t="s">
        <v>2584</v>
      </c>
      <c r="C6" s="19"/>
      <c r="D6" s="19"/>
      <c r="E6" s="19"/>
      <c r="F6" s="19"/>
      <c r="G6" s="19"/>
      <c r="H6" s="19"/>
      <c r="I6" s="19"/>
      <c r="J6" s="19"/>
      <c r="K6" s="19"/>
      <c r="L6" s="19"/>
      <c r="M6" s="19"/>
      <c r="N6" s="19"/>
      <c r="O6" s="19"/>
      <c r="P6" s="19"/>
      <c r="Q6" s="19"/>
      <c r="R6" s="19"/>
      <c r="S6" s="19"/>
      <c r="T6" s="19"/>
    </row>
    <row r="7" spans="2:21" x14ac:dyDescent="0.25">
      <c r="B7" s="23" t="s">
        <v>2585</v>
      </c>
      <c r="C7" s="28" t="s">
        <v>1340</v>
      </c>
      <c r="H7" s="29">
        <f>Inputs!H485</f>
        <v>45</v>
      </c>
      <c r="I7" s="29">
        <f>Inputs!I485</f>
        <v>45</v>
      </c>
      <c r="J7" s="29">
        <f>Inputs!J485</f>
        <v>45</v>
      </c>
      <c r="K7" s="29">
        <f>Inputs!K485</f>
        <v>45</v>
      </c>
      <c r="L7" s="29">
        <f>Inputs!L485</f>
        <v>45</v>
      </c>
      <c r="M7" s="29">
        <f>Inputs!M485</f>
        <v>45</v>
      </c>
      <c r="N7" s="29">
        <f>Inputs!N485</f>
        <v>45</v>
      </c>
      <c r="O7" s="29">
        <f>Inputs!O485</f>
        <v>45</v>
      </c>
      <c r="P7" s="29">
        <f>Inputs!P485</f>
        <v>45</v>
      </c>
      <c r="Q7" s="29">
        <f>Inputs!Q485</f>
        <v>45</v>
      </c>
      <c r="R7" s="29">
        <f>Inputs!R485</f>
        <v>45</v>
      </c>
      <c r="S7" s="29">
        <f>Inputs!S485</f>
        <v>45</v>
      </c>
      <c r="T7" s="29">
        <f>Inputs!T485</f>
        <v>45</v>
      </c>
    </row>
    <row r="8" spans="2:21" x14ac:dyDescent="0.25">
      <c r="B8" s="23" t="s">
        <v>2586</v>
      </c>
      <c r="C8" s="28" t="s">
        <v>1340</v>
      </c>
      <c r="H8" s="29">
        <f>Inputs!H486</f>
        <v>30</v>
      </c>
      <c r="I8" s="29">
        <f>Inputs!I486</f>
        <v>30</v>
      </c>
      <c r="J8" s="29">
        <f>Inputs!J486</f>
        <v>30</v>
      </c>
      <c r="K8" s="29">
        <f>Inputs!K486</f>
        <v>30</v>
      </c>
      <c r="L8" s="29">
        <f>Inputs!L486</f>
        <v>30</v>
      </c>
      <c r="M8" s="29">
        <f>Inputs!M486</f>
        <v>30</v>
      </c>
      <c r="N8" s="29">
        <f>Inputs!N486</f>
        <v>30</v>
      </c>
      <c r="O8" s="29">
        <f>Inputs!O486</f>
        <v>30</v>
      </c>
      <c r="P8" s="29">
        <f>Inputs!P486</f>
        <v>30</v>
      </c>
      <c r="Q8" s="29">
        <f>Inputs!Q486</f>
        <v>30</v>
      </c>
      <c r="R8" s="29">
        <f>Inputs!R486</f>
        <v>30</v>
      </c>
      <c r="S8" s="29">
        <f>Inputs!S486</f>
        <v>30</v>
      </c>
      <c r="T8" s="29">
        <f>Inputs!T486</f>
        <v>30</v>
      </c>
    </row>
    <row r="9" spans="2:21" ht="26.25" customHeight="1" x14ac:dyDescent="0.25">
      <c r="B9" s="64" t="s">
        <v>2587</v>
      </c>
      <c r="C9" s="28" t="s">
        <v>493</v>
      </c>
      <c r="H9" s="161">
        <f>Inputs!H487+Inputs!$E$749*'Source Data'!H962</f>
        <v>0.51981068748259995</v>
      </c>
      <c r="I9" s="161">
        <f>Inputs!I487+Inputs!$E$749*'Source Data'!I962</f>
        <v>0.51981068748259995</v>
      </c>
      <c r="J9" s="161">
        <f>Inputs!J487+Inputs!$E$749*'Source Data'!J962</f>
        <v>0.51981068748259995</v>
      </c>
      <c r="K9" s="161">
        <f>Inputs!K487+Inputs!$E$749*'Source Data'!K962</f>
        <v>0.51981068748259995</v>
      </c>
      <c r="L9" s="161">
        <f>Inputs!L487+Inputs!$E$749*'Source Data'!L962</f>
        <v>0.51981068748259995</v>
      </c>
      <c r="M9" s="161">
        <f>Inputs!M487+Inputs!$E$749*'Source Data'!M962</f>
        <v>0.51981068748259995</v>
      </c>
      <c r="N9" s="161">
        <f>Inputs!N487+Inputs!$E$749*'Source Data'!N962</f>
        <v>0.51981068748259995</v>
      </c>
      <c r="O9" s="161">
        <f>Inputs!O487+Inputs!$E$749*'Source Data'!O962</f>
        <v>0.51981068748259995</v>
      </c>
      <c r="P9" s="161">
        <f>Inputs!P487+Inputs!$E$749*'Source Data'!P962</f>
        <v>0.51981068748259995</v>
      </c>
      <c r="Q9" s="161">
        <f>Inputs!Q487+Inputs!$E$749*'Source Data'!Q962</f>
        <v>0.51981068748259995</v>
      </c>
      <c r="R9" s="161">
        <f>Inputs!R487+Inputs!$E$749*'Source Data'!R962</f>
        <v>0</v>
      </c>
      <c r="S9" s="161">
        <f>Inputs!S487+Inputs!$E$749*'Source Data'!S962</f>
        <v>0</v>
      </c>
      <c r="T9" s="161">
        <f>Inputs!T487+Inputs!$E$749*'Source Data'!T962</f>
        <v>0</v>
      </c>
    </row>
    <row r="11" spans="2:21" x14ac:dyDescent="0.25">
      <c r="B11" s="58" t="s">
        <v>2588</v>
      </c>
      <c r="C11" s="19"/>
      <c r="D11" s="19"/>
      <c r="E11" s="19"/>
      <c r="F11" s="19"/>
      <c r="G11" s="19"/>
      <c r="H11" s="19"/>
      <c r="I11" s="19"/>
      <c r="J11" s="19"/>
      <c r="K11" s="19"/>
      <c r="L11" s="19"/>
      <c r="M11" s="19"/>
      <c r="N11" s="19"/>
      <c r="O11" s="19"/>
      <c r="P11" s="19"/>
      <c r="Q11" s="19"/>
      <c r="R11" s="19"/>
      <c r="S11" s="19"/>
      <c r="T11" s="19"/>
    </row>
    <row r="12" spans="2:21" x14ac:dyDescent="0.25">
      <c r="B12" s="154" t="s">
        <v>515</v>
      </c>
    </row>
    <row r="13" spans="2:21" x14ac:dyDescent="0.25">
      <c r="B13" s="23" t="s">
        <v>2589</v>
      </c>
      <c r="C13" s="28" t="s">
        <v>493</v>
      </c>
      <c r="G13" s="159">
        <v>0</v>
      </c>
      <c r="H13" s="159">
        <f>'Revenue Calculation'!H41*Inputs!H485/'Revenue Calculation'!H8</f>
        <v>19.234242321462297</v>
      </c>
      <c r="I13" s="159">
        <f>'Revenue Calculation'!I41*Inputs!I485/'Revenue Calculation'!I8</f>
        <v>19.865547042040703</v>
      </c>
      <c r="J13" s="159">
        <f>'Revenue Calculation'!J41*Inputs!J485/'Revenue Calculation'!J8</f>
        <v>20.461513453301922</v>
      </c>
      <c r="K13" s="159">
        <f>'Revenue Calculation'!K41*Inputs!K485/'Revenue Calculation'!K8</f>
        <v>21.07535885690098</v>
      </c>
      <c r="L13" s="159">
        <f>'Revenue Calculation'!L41*Inputs!L485/'Revenue Calculation'!L8</f>
        <v>21.648309186480667</v>
      </c>
      <c r="M13" s="159">
        <f>'Revenue Calculation'!M41*Inputs!M485/'Revenue Calculation'!M8</f>
        <v>23.029613657624843</v>
      </c>
      <c r="N13" s="159">
        <f>'Revenue Calculation'!N41*Inputs!N485/'Revenue Calculation'!N8</f>
        <v>23.720502067353586</v>
      </c>
      <c r="O13" s="159">
        <f>'Revenue Calculation'!O41*Inputs!O485/'Revenue Calculation'!O8</f>
        <v>24.432117129374191</v>
      </c>
      <c r="P13" s="159">
        <f>'Revenue Calculation'!P41*Inputs!P485/'Revenue Calculation'!P8</f>
        <v>25.84921330008709</v>
      </c>
      <c r="Q13" s="159">
        <f>'Revenue Calculation'!Q41*Inputs!Q485/'Revenue Calculation'!Q8</f>
        <v>26.697634054429678</v>
      </c>
      <c r="R13" s="159">
        <f>'Revenue Calculation'!R41*Inputs!R485/'Revenue Calculation'!R8</f>
        <v>27.498563076062563</v>
      </c>
      <c r="S13" s="159">
        <f>'Revenue Calculation'!S41*Inputs!S485/'Revenue Calculation'!S8</f>
        <v>28.323519968344442</v>
      </c>
      <c r="T13" s="159">
        <f>'Revenue Calculation'!T41*Inputs!T485/'Revenue Calculation'!T8</f>
        <v>29.093517300817194</v>
      </c>
    </row>
    <row r="14" spans="2:21" x14ac:dyDescent="0.25">
      <c r="B14" s="23" t="s">
        <v>2590</v>
      </c>
      <c r="C14" s="28" t="s">
        <v>493</v>
      </c>
      <c r="G14" s="159">
        <v>0</v>
      </c>
      <c r="H14" s="159">
        <f>'Cost Calculation'!H33*Inputs!H486/'Revenue Calculation'!H8</f>
        <v>2.4535905968721639</v>
      </c>
      <c r="I14" s="159">
        <f>'Cost Calculation'!I33*Inputs!I486/'Revenue Calculation'!I8</f>
        <v>2.5736089402552729</v>
      </c>
      <c r="J14" s="159">
        <f>'Cost Calculation'!J33*Inputs!J486/'Revenue Calculation'!J8</f>
        <v>2.6944580424210249</v>
      </c>
      <c r="K14" s="159">
        <f>'Cost Calculation'!K33*Inputs!K486/'Revenue Calculation'!K8</f>
        <v>2.819674986917474</v>
      </c>
      <c r="L14" s="159">
        <f>'Cost Calculation'!L33*Inputs!L486/'Revenue Calculation'!L8</f>
        <v>2.9432816451087427</v>
      </c>
      <c r="M14" s="159">
        <f>'Cost Calculation'!M33*Inputs!M486/'Revenue Calculation'!M8</f>
        <v>3.0915742158020274</v>
      </c>
      <c r="N14" s="159">
        <f>'Cost Calculation'!N33*Inputs!N486/'Revenue Calculation'!N8</f>
        <v>3.2372338834157488</v>
      </c>
      <c r="O14" s="159">
        <f>'Cost Calculation'!O33*Inputs!O486/'Revenue Calculation'!O8</f>
        <v>3.3904711201509712</v>
      </c>
      <c r="P14" s="159">
        <f>'Cost Calculation'!P33*Inputs!P486/'Revenue Calculation'!P8</f>
        <v>3.5437465172841862</v>
      </c>
      <c r="Q14" s="159">
        <f>'Cost Calculation'!Q33*Inputs!Q486/'Revenue Calculation'!Q8</f>
        <v>3.7231277728928278</v>
      </c>
      <c r="R14" s="159">
        <f>'Cost Calculation'!R33*Inputs!R486/'Revenue Calculation'!R8</f>
        <v>3.9017074264830907</v>
      </c>
      <c r="S14" s="159">
        <f>'Cost Calculation'!S33*Inputs!S486/'Revenue Calculation'!S8</f>
        <v>4.089689828417634</v>
      </c>
      <c r="T14" s="159">
        <f>'Cost Calculation'!T33*Inputs!T486/'Revenue Calculation'!T8</f>
        <v>4.2758844027676775</v>
      </c>
    </row>
    <row r="15" spans="2:21" x14ac:dyDescent="0.25">
      <c r="B15" s="21" t="s">
        <v>2591</v>
      </c>
      <c r="C15" s="28" t="s">
        <v>493</v>
      </c>
      <c r="G15" s="160">
        <v>0</v>
      </c>
      <c r="H15" s="160">
        <f t="shared" ref="H15:T15" si="0">H13-H14</f>
        <v>16.780651724590133</v>
      </c>
      <c r="I15" s="160">
        <f t="shared" si="0"/>
        <v>17.29193810178543</v>
      </c>
      <c r="J15" s="160">
        <f t="shared" si="0"/>
        <v>17.767055410880896</v>
      </c>
      <c r="K15" s="160">
        <f t="shared" si="0"/>
        <v>18.255683869983507</v>
      </c>
      <c r="L15" s="160">
        <f t="shared" si="0"/>
        <v>18.705027541371923</v>
      </c>
      <c r="M15" s="160">
        <f t="shared" si="0"/>
        <v>19.938039441822816</v>
      </c>
      <c r="N15" s="160">
        <f t="shared" si="0"/>
        <v>20.483268183937838</v>
      </c>
      <c r="O15" s="160">
        <f t="shared" si="0"/>
        <v>21.041646009223221</v>
      </c>
      <c r="P15" s="160">
        <f t="shared" si="0"/>
        <v>22.305466782802903</v>
      </c>
      <c r="Q15" s="160">
        <f t="shared" si="0"/>
        <v>22.974506281536851</v>
      </c>
      <c r="R15" s="160">
        <f t="shared" si="0"/>
        <v>23.596855649579474</v>
      </c>
      <c r="S15" s="160">
        <f t="shared" si="0"/>
        <v>24.233830139926809</v>
      </c>
      <c r="T15" s="160">
        <f t="shared" si="0"/>
        <v>24.817632898049517</v>
      </c>
    </row>
    <row r="16" spans="2:21" x14ac:dyDescent="0.25">
      <c r="B16" s="154" t="s">
        <v>525</v>
      </c>
    </row>
    <row r="17" spans="2:20" x14ac:dyDescent="0.25">
      <c r="B17" s="23" t="s">
        <v>2589</v>
      </c>
      <c r="C17" s="28" t="s">
        <v>493</v>
      </c>
      <c r="G17" s="159">
        <v>0</v>
      </c>
      <c r="H17" s="159">
        <f>'Revenue Calculation'!H47*Inputs!H485/'Revenue Calculation'!H8</f>
        <v>4.7530278688524596</v>
      </c>
      <c r="I17" s="159">
        <f>'Revenue Calculation'!I47*Inputs!I485/'Revenue Calculation'!I8</f>
        <v>5.7192598356164384</v>
      </c>
      <c r="J17" s="159">
        <f>'Revenue Calculation'!J47*Inputs!J485/'Revenue Calculation'!J8</f>
        <v>5.8908376306849313</v>
      </c>
      <c r="K17" s="159">
        <f>'Revenue Calculation'!K47*Inputs!K485/'Revenue Calculation'!K8</f>
        <v>7.2810753115265756</v>
      </c>
      <c r="L17" s="159">
        <f>'Revenue Calculation'!L47*Inputs!L485/'Revenue Calculation'!L8</f>
        <v>7.4790171130284602</v>
      </c>
      <c r="M17" s="159">
        <f>'Revenue Calculation'!M47*Inputs!M485/'Revenue Calculation'!M8</f>
        <v>8.4969420777983977</v>
      </c>
      <c r="N17" s="159">
        <f>'Revenue Calculation'!N47*Inputs!N485/'Revenue Calculation'!N8</f>
        <v>8.75185034013235</v>
      </c>
      <c r="O17" s="159">
        <f>'Revenue Calculation'!O47*Inputs!O485/'Revenue Calculation'!O8</f>
        <v>9.5552702013564996</v>
      </c>
      <c r="P17" s="159">
        <f>'Revenue Calculation'!P47*Inputs!P485/'Revenue Calculation'!P8</f>
        <v>9.8150377928961134</v>
      </c>
      <c r="Q17" s="159">
        <f>'Revenue Calculation'!Q47*Inputs!Q485/'Revenue Calculation'!Q8</f>
        <v>10.745417326016259</v>
      </c>
      <c r="R17" s="159">
        <f>'Revenue Calculation'!R47*Inputs!R485/'Revenue Calculation'!R8</f>
        <v>11.067779845796746</v>
      </c>
      <c r="S17" s="159">
        <f>'Revenue Calculation'!S47*Inputs!S485/'Revenue Calculation'!S8</f>
        <v>11.39981324117065</v>
      </c>
      <c r="T17" s="159">
        <f>'Revenue Calculation'!T47*Inputs!T485/'Revenue Calculation'!T8</f>
        <v>11.709726196770781</v>
      </c>
    </row>
    <row r="18" spans="2:20" x14ac:dyDescent="0.25">
      <c r="B18" s="23" t="s">
        <v>2590</v>
      </c>
      <c r="C18" s="28" t="s">
        <v>493</v>
      </c>
      <c r="G18" s="159">
        <v>0</v>
      </c>
      <c r="H18" s="159">
        <f>'Cost Calculation'!H64*Inputs!H486/'Revenue Calculation'!H8</f>
        <v>1.1001397989537445</v>
      </c>
      <c r="I18" s="159">
        <f>'Cost Calculation'!I64*Inputs!I486/'Revenue Calculation'!I8</f>
        <v>1.1466201481576397</v>
      </c>
      <c r="J18" s="159">
        <f>'Cost Calculation'!J64*Inputs!J486/'Revenue Calculation'!J8</f>
        <v>1.1948641498558779</v>
      </c>
      <c r="K18" s="159">
        <f>'Cost Calculation'!K64*Inputs!K486/'Revenue Calculation'!K8</f>
        <v>1.2425376881159242</v>
      </c>
      <c r="L18" s="159">
        <f>'Cost Calculation'!L64*Inputs!L486/'Revenue Calculation'!L8</f>
        <v>1.2889451000686463</v>
      </c>
      <c r="M18" s="159">
        <f>'Cost Calculation'!M64*Inputs!M486/'Revenue Calculation'!M8</f>
        <v>1.3475220608371921</v>
      </c>
      <c r="N18" s="159">
        <f>'Cost Calculation'!N64*Inputs!N486/'Revenue Calculation'!N8</f>
        <v>1.4023440585404476</v>
      </c>
      <c r="O18" s="159">
        <f>'Cost Calculation'!O64*Inputs!O486/'Revenue Calculation'!O8</f>
        <v>1.4597968993830763</v>
      </c>
      <c r="P18" s="159">
        <f>'Cost Calculation'!P64*Inputs!P486/'Revenue Calculation'!P8</f>
        <v>1.5185815074749218</v>
      </c>
      <c r="Q18" s="159">
        <f>'Cost Calculation'!Q64*Inputs!Q486/'Revenue Calculation'!Q8</f>
        <v>1.5858698687104824</v>
      </c>
      <c r="R18" s="159">
        <f>'Cost Calculation'!R64*Inputs!R486/'Revenue Calculation'!R8</f>
        <v>1.6520570639719823</v>
      </c>
      <c r="S18" s="159">
        <f>'Cost Calculation'!S64*Inputs!S486/'Revenue Calculation'!S8</f>
        <v>1.7214622924201102</v>
      </c>
      <c r="T18" s="159">
        <f>'Cost Calculation'!T64*Inputs!T486/'Revenue Calculation'!T8</f>
        <v>1.7893506209255456</v>
      </c>
    </row>
    <row r="19" spans="2:20" x14ac:dyDescent="0.25">
      <c r="B19" s="21" t="s">
        <v>2591</v>
      </c>
      <c r="C19" s="28" t="s">
        <v>493</v>
      </c>
      <c r="G19" s="160">
        <v>0</v>
      </c>
      <c r="H19" s="160">
        <f t="shared" ref="H19:T19" si="1">H17-H18</f>
        <v>3.6528880698987152</v>
      </c>
      <c r="I19" s="160">
        <f t="shared" si="1"/>
        <v>4.5726396874587989</v>
      </c>
      <c r="J19" s="160">
        <f t="shared" si="1"/>
        <v>4.6959734808290534</v>
      </c>
      <c r="K19" s="160">
        <f t="shared" si="1"/>
        <v>6.0385376234106509</v>
      </c>
      <c r="L19" s="160">
        <f t="shared" si="1"/>
        <v>6.1900720129598135</v>
      </c>
      <c r="M19" s="160">
        <f t="shared" si="1"/>
        <v>7.1494200169612059</v>
      </c>
      <c r="N19" s="160">
        <f t="shared" si="1"/>
        <v>7.3495062815919026</v>
      </c>
      <c r="O19" s="160">
        <f t="shared" si="1"/>
        <v>8.0954733019734242</v>
      </c>
      <c r="P19" s="160">
        <f t="shared" si="1"/>
        <v>8.2964562854211916</v>
      </c>
      <c r="Q19" s="160">
        <f t="shared" si="1"/>
        <v>9.1595474573057771</v>
      </c>
      <c r="R19" s="160">
        <f t="shared" si="1"/>
        <v>9.4157227818247637</v>
      </c>
      <c r="S19" s="160">
        <f t="shared" si="1"/>
        <v>9.6783509487505395</v>
      </c>
      <c r="T19" s="160">
        <f t="shared" si="1"/>
        <v>9.9203755758452346</v>
      </c>
    </row>
    <row r="20" spans="2:20" x14ac:dyDescent="0.25">
      <c r="B20" s="154" t="s">
        <v>528</v>
      </c>
    </row>
    <row r="21" spans="2:20" x14ac:dyDescent="0.25">
      <c r="B21" s="23" t="s">
        <v>2589</v>
      </c>
      <c r="C21" s="28" t="s">
        <v>493</v>
      </c>
      <c r="G21" s="159">
        <v>0</v>
      </c>
      <c r="H21" s="159">
        <f>'Revenue Calculation'!H53*Inputs!H485/'Revenue Calculation'!H8</f>
        <v>2.7348565573770496</v>
      </c>
      <c r="I21" s="159">
        <f>'Revenue Calculation'!I53*Inputs!I485/'Revenue Calculation'!I8</f>
        <v>2.8246197945205482</v>
      </c>
      <c r="J21" s="159">
        <f>'Revenue Calculation'!J53*Inputs!J485/'Revenue Calculation'!J8</f>
        <v>4.3111142953767132</v>
      </c>
      <c r="K21" s="159">
        <f>'Revenue Calculation'!K53*Inputs!K485/'Revenue Calculation'!K8</f>
        <v>4.4404477242380134</v>
      </c>
      <c r="L21" s="159">
        <f>'Revenue Calculation'!L53*Inputs!L485/'Revenue Calculation'!L8</f>
        <v>4.6979997584292352</v>
      </c>
      <c r="M21" s="159">
        <f>'Revenue Calculation'!M53*Inputs!M485/'Revenue Calculation'!M8</f>
        <v>4.9977630339743353</v>
      </c>
      <c r="N21" s="159">
        <f>'Revenue Calculation'!N53*Inputs!N485/'Revenue Calculation'!N8</f>
        <v>5.3021268027433726</v>
      </c>
      <c r="O21" s="159">
        <f>'Revenue Calculation'!O53*Inputs!O485/'Revenue Calculation'!O8</f>
        <v>5.6250263250304444</v>
      </c>
      <c r="P21" s="159">
        <f>'Revenue Calculation'!P53*Inputs!P485/'Revenue Calculation'!P8</f>
        <v>5.9512855363444084</v>
      </c>
      <c r="Q21" s="159">
        <f>'Revenue Calculation'!Q53*Inputs!Q485/'Revenue Calculation'!Q8</f>
        <v>6.3310166853036858</v>
      </c>
      <c r="R21" s="159">
        <f>'Revenue Calculation'!R53*Inputs!R485/'Revenue Calculation'!R8</f>
        <v>6.7165756014386861</v>
      </c>
      <c r="S21" s="159">
        <f>'Revenue Calculation'!S53*Inputs!S485/'Revenue Calculation'!S8</f>
        <v>7.1256150555663051</v>
      </c>
      <c r="T21" s="159">
        <f>'Revenue Calculation'!T53*Inputs!T485/'Revenue Calculation'!T8</f>
        <v>7.5389104632359389</v>
      </c>
    </row>
    <row r="22" spans="2:20" x14ac:dyDescent="0.25">
      <c r="B22" s="23" t="s">
        <v>2590</v>
      </c>
      <c r="C22" s="28" t="s">
        <v>493</v>
      </c>
      <c r="G22" s="159">
        <v>0</v>
      </c>
      <c r="H22" s="159">
        <f>'Cost Calculation'!H92*Inputs!H486/'Revenue Calculation'!H8</f>
        <v>0.65788041661361285</v>
      </c>
      <c r="I22" s="159">
        <f>'Cost Calculation'!I92*Inputs!I486/'Revenue Calculation'!I8</f>
        <v>0.68677204040501083</v>
      </c>
      <c r="J22" s="159">
        <f>'Cost Calculation'!J92*Inputs!J486/'Revenue Calculation'!J8</f>
        <v>0.73608682715245999</v>
      </c>
      <c r="K22" s="159">
        <f>'Cost Calculation'!K92*Inputs!K486/'Revenue Calculation'!K8</f>
        <v>0.76401040728640912</v>
      </c>
      <c r="L22" s="159">
        <f>'Cost Calculation'!L92*Inputs!L486/'Revenue Calculation'!L8</f>
        <v>0.79574285854917015</v>
      </c>
      <c r="M22" s="159">
        <f>'Cost Calculation'!M92*Inputs!M486/'Revenue Calculation'!M8</f>
        <v>0.83346271455094878</v>
      </c>
      <c r="N22" s="159">
        <f>'Cost Calculation'!N92*Inputs!N486/'Revenue Calculation'!N8</f>
        <v>0.87071361137597614</v>
      </c>
      <c r="O22" s="159">
        <f>'Cost Calculation'!O92*Inputs!O486/'Revenue Calculation'!O8</f>
        <v>0.9097642559803103</v>
      </c>
      <c r="P22" s="159">
        <f>'Cost Calculation'!P92*Inputs!P486/'Revenue Calculation'!P8</f>
        <v>0.94811053919224808</v>
      </c>
      <c r="Q22" s="159">
        <f>'Cost Calculation'!Q92*Inputs!Q486/'Revenue Calculation'!Q8</f>
        <v>0.99364374746463557</v>
      </c>
      <c r="R22" s="159">
        <f>'Cost Calculation'!R92*Inputs!R486/'Revenue Calculation'!R8</f>
        <v>1.0386752268215844</v>
      </c>
      <c r="S22" s="159">
        <f>'Cost Calculation'!S92*Inputs!S486/'Revenue Calculation'!S8</f>
        <v>1.0859123266441335</v>
      </c>
      <c r="T22" s="159">
        <f>'Cost Calculation'!T92*Inputs!T486/'Revenue Calculation'!T8</f>
        <v>1.1323685355539208</v>
      </c>
    </row>
    <row r="23" spans="2:20" x14ac:dyDescent="0.25">
      <c r="B23" s="21" t="s">
        <v>2591</v>
      </c>
      <c r="C23" s="28" t="s">
        <v>493</v>
      </c>
      <c r="G23" s="160">
        <v>0</v>
      </c>
      <c r="H23" s="160">
        <f t="shared" ref="H23:T23" si="2">H21-H22</f>
        <v>2.0769761407634366</v>
      </c>
      <c r="I23" s="160">
        <f t="shared" si="2"/>
        <v>2.1378477541155374</v>
      </c>
      <c r="J23" s="160">
        <f t="shared" si="2"/>
        <v>3.5750274682242531</v>
      </c>
      <c r="K23" s="160">
        <f t="shared" si="2"/>
        <v>3.6764373169516045</v>
      </c>
      <c r="L23" s="160">
        <f t="shared" si="2"/>
        <v>3.9022568998800651</v>
      </c>
      <c r="M23" s="160">
        <f t="shared" si="2"/>
        <v>4.1643003194233863</v>
      </c>
      <c r="N23" s="160">
        <f t="shared" si="2"/>
        <v>4.4314131913673966</v>
      </c>
      <c r="O23" s="160">
        <f t="shared" si="2"/>
        <v>4.7152620690501337</v>
      </c>
      <c r="P23" s="160">
        <f t="shared" si="2"/>
        <v>5.0031749971521604</v>
      </c>
      <c r="Q23" s="160">
        <f t="shared" si="2"/>
        <v>5.3373729378390502</v>
      </c>
      <c r="R23" s="160">
        <f t="shared" si="2"/>
        <v>5.677900374617102</v>
      </c>
      <c r="S23" s="160">
        <f t="shared" si="2"/>
        <v>6.0397027289221716</v>
      </c>
      <c r="T23" s="160">
        <f t="shared" si="2"/>
        <v>6.4065419276820181</v>
      </c>
    </row>
    <row r="24" spans="2:20" x14ac:dyDescent="0.25">
      <c r="B24" s="154" t="s">
        <v>531</v>
      </c>
    </row>
    <row r="25" spans="2:20" x14ac:dyDescent="0.25">
      <c r="B25" s="23" t="s">
        <v>2589</v>
      </c>
      <c r="C25" s="28" t="s">
        <v>493</v>
      </c>
      <c r="G25" s="159">
        <v>0</v>
      </c>
      <c r="H25" s="159">
        <f>'Revenue Calculation'!H92*Inputs!H485/'Revenue Calculation'!H8</f>
        <v>10.813361355830398</v>
      </c>
      <c r="I25" s="159">
        <f>'Revenue Calculation'!I92*Inputs!I485/'Revenue Calculation'!I8</f>
        <v>8.0579146479198425</v>
      </c>
      <c r="J25" s="159">
        <f>'Revenue Calculation'!J92*Inputs!J485/'Revenue Calculation'!J8</f>
        <v>7.6425693072577525</v>
      </c>
      <c r="K25" s="159">
        <f>'Revenue Calculation'!K92*Inputs!K485/'Revenue Calculation'!K8</f>
        <v>8.2427308074444774</v>
      </c>
      <c r="L25" s="159">
        <f>'Revenue Calculation'!L92*Inputs!L485/'Revenue Calculation'!L8</f>
        <v>8.865898534562147</v>
      </c>
      <c r="M25" s="159">
        <f>'Revenue Calculation'!M92*Inputs!M485/'Revenue Calculation'!M8</f>
        <v>9.5886824245287912</v>
      </c>
      <c r="N25" s="159">
        <f>'Revenue Calculation'!N92*Inputs!N485/'Revenue Calculation'!N8</f>
        <v>10.342248191417244</v>
      </c>
      <c r="O25" s="159">
        <f>'Revenue Calculation'!O92*Inputs!O485/'Revenue Calculation'!O8</f>
        <v>11.155242244536502</v>
      </c>
      <c r="P25" s="159">
        <f>'Revenue Calculation'!P92*Inputs!P485/'Revenue Calculation'!P8</f>
        <v>11.999491173478418</v>
      </c>
      <c r="Q25" s="159">
        <f>'Revenue Calculation'!Q92*Inputs!Q485/'Revenue Calculation'!Q8</f>
        <v>12.978695971842061</v>
      </c>
      <c r="R25" s="159">
        <f>'Revenue Calculation'!R92*Inputs!R485/'Revenue Calculation'!R8</f>
        <v>11.488912021801587</v>
      </c>
      <c r="S25" s="159">
        <f>'Revenue Calculation'!S92*Inputs!S485/'Revenue Calculation'!S8</f>
        <v>12.047280049591679</v>
      </c>
      <c r="T25" s="159">
        <f>'Revenue Calculation'!T92*Inputs!T485/'Revenue Calculation'!T8</f>
        <v>12.598407191752283</v>
      </c>
    </row>
    <row r="26" spans="2:20" x14ac:dyDescent="0.25">
      <c r="B26" s="23" t="s">
        <v>2590</v>
      </c>
      <c r="C26" s="28" t="s">
        <v>493</v>
      </c>
      <c r="G26" s="159">
        <v>0</v>
      </c>
      <c r="H26" s="159">
        <f>'Cost Calculation'!H129*Inputs!H486/'Revenue Calculation'!H8</f>
        <v>5.8329021734587991</v>
      </c>
      <c r="I26" s="159">
        <f>'Cost Calculation'!I129*Inputs!I486/'Revenue Calculation'!I8</f>
        <v>4.0354670320630008</v>
      </c>
      <c r="J26" s="159">
        <f>'Cost Calculation'!J129*Inputs!J486/'Revenue Calculation'!J8</f>
        <v>3.5282148704100655</v>
      </c>
      <c r="K26" s="159">
        <f>'Cost Calculation'!K129*Inputs!K486/'Revenue Calculation'!K8</f>
        <v>3.7861970173773329</v>
      </c>
      <c r="L26" s="159">
        <f>'Cost Calculation'!L129*Inputs!L486/'Revenue Calculation'!L8</f>
        <v>4.0526093590521404</v>
      </c>
      <c r="M26" s="159">
        <f>'Cost Calculation'!M129*Inputs!M486/'Revenue Calculation'!M8</f>
        <v>4.3622679726536617</v>
      </c>
      <c r="N26" s="159">
        <f>'Cost Calculation'!N129*Inputs!N486/'Revenue Calculation'!N8</f>
        <v>4.6834882076525179</v>
      </c>
      <c r="O26" s="159">
        <f>'Cost Calculation'!O129*Inputs!O486/'Revenue Calculation'!O8</f>
        <v>5.0291243041022202</v>
      </c>
      <c r="P26" s="159">
        <f>'Cost Calculation'!P129*Inputs!P486/'Revenue Calculation'!P8</f>
        <v>5.3863071426822371</v>
      </c>
      <c r="Q26" s="159">
        <f>'Cost Calculation'!Q129*Inputs!Q486/'Revenue Calculation'!Q8</f>
        <v>5.801343051300619</v>
      </c>
      <c r="R26" s="159">
        <f>'Cost Calculation'!R129*Inputs!R486/'Revenue Calculation'!R8</f>
        <v>4.8865896817403058</v>
      </c>
      <c r="S26" s="159">
        <f>'Cost Calculation'!S129*Inputs!S486/'Revenue Calculation'!S8</f>
        <v>5.1147388756383956</v>
      </c>
      <c r="T26" s="159">
        <f>'Cost Calculation'!T129*Inputs!T486/'Revenue Calculation'!T8</f>
        <v>5.3390584426214138</v>
      </c>
    </row>
    <row r="27" spans="2:20" x14ac:dyDescent="0.25">
      <c r="B27" s="21" t="s">
        <v>2591</v>
      </c>
      <c r="C27" s="28" t="s">
        <v>493</v>
      </c>
      <c r="G27" s="160">
        <v>0</v>
      </c>
      <c r="H27" s="160">
        <f t="shared" ref="H27:T27" si="3">H25-H26</f>
        <v>4.9804591823715993</v>
      </c>
      <c r="I27" s="160">
        <f t="shared" si="3"/>
        <v>4.0224476158568416</v>
      </c>
      <c r="J27" s="160">
        <f t="shared" si="3"/>
        <v>4.1143544368476874</v>
      </c>
      <c r="K27" s="160">
        <f t="shared" si="3"/>
        <v>4.4565337900671445</v>
      </c>
      <c r="L27" s="160">
        <f t="shared" si="3"/>
        <v>4.8132891755100067</v>
      </c>
      <c r="M27" s="160">
        <f t="shared" si="3"/>
        <v>5.2264144518751294</v>
      </c>
      <c r="N27" s="160">
        <f t="shared" si="3"/>
        <v>5.6587599837647264</v>
      </c>
      <c r="O27" s="160">
        <f t="shared" si="3"/>
        <v>6.1261179404342823</v>
      </c>
      <c r="P27" s="160">
        <f t="shared" si="3"/>
        <v>6.6131840307961811</v>
      </c>
      <c r="Q27" s="160">
        <f t="shared" si="3"/>
        <v>7.1773529205414421</v>
      </c>
      <c r="R27" s="160">
        <f t="shared" si="3"/>
        <v>6.6023223400612814</v>
      </c>
      <c r="S27" s="160">
        <f t="shared" si="3"/>
        <v>6.9325411739532834</v>
      </c>
      <c r="T27" s="160">
        <f t="shared" si="3"/>
        <v>7.2593487491308695</v>
      </c>
    </row>
    <row r="28" spans="2:20" x14ac:dyDescent="0.25">
      <c r="B28" s="154" t="s">
        <v>534</v>
      </c>
    </row>
    <row r="29" spans="2:20" x14ac:dyDescent="0.25">
      <c r="B29" s="23" t="s">
        <v>2589</v>
      </c>
      <c r="C29" s="28" t="s">
        <v>493</v>
      </c>
      <c r="G29" s="159">
        <v>0</v>
      </c>
      <c r="H29" s="159">
        <f>'Revenue Calculation'!H99*Inputs!H485/'Revenue Calculation'!H8</f>
        <v>0</v>
      </c>
      <c r="I29" s="159">
        <f>'Revenue Calculation'!I99*Inputs!I485/'Revenue Calculation'!I8</f>
        <v>12.367258655694906</v>
      </c>
      <c r="J29" s="159">
        <f>'Revenue Calculation'!J99*Inputs!J485/'Revenue Calculation'!J8</f>
        <v>12.738276415365752</v>
      </c>
      <c r="K29" s="159">
        <f>'Revenue Calculation'!K99*Inputs!K485/'Revenue Calculation'!K8</f>
        <v>15.74450964939207</v>
      </c>
      <c r="L29" s="159">
        <f>'Revenue Calculation'!L99*Inputs!L485/'Revenue Calculation'!L8</f>
        <v>16.17253661936871</v>
      </c>
      <c r="M29" s="159">
        <f>'Revenue Calculation'!M99*Inputs!M485/'Revenue Calculation'!M8</f>
        <v>18.373685315744051</v>
      </c>
      <c r="N29" s="159">
        <f>'Revenue Calculation'!N99*Inputs!N485/'Revenue Calculation'!N8</f>
        <v>18.924895875216372</v>
      </c>
      <c r="O29" s="159">
        <f>'Revenue Calculation'!O99*Inputs!O485/'Revenue Calculation'!O8</f>
        <v>20.662201316561237</v>
      </c>
      <c r="P29" s="159">
        <f>'Revenue Calculation'!P99*Inputs!P485/'Revenue Calculation'!P8</f>
        <v>21.223919631041522</v>
      </c>
      <c r="Q29" s="159">
        <f>'Revenue Calculation'!Q99*Inputs!Q485/'Revenue Calculation'!Q8</f>
        <v>23.235761139344209</v>
      </c>
      <c r="R29" s="159">
        <f>'Revenue Calculation'!R99*Inputs!R485/'Revenue Calculation'!R8</f>
        <v>23.932833973524538</v>
      </c>
      <c r="S29" s="159">
        <f>'Revenue Calculation'!S99*Inputs!S485/'Revenue Calculation'!S8</f>
        <v>24.650818992730269</v>
      </c>
      <c r="T29" s="159">
        <f>'Revenue Calculation'!T99*Inputs!T485/'Revenue Calculation'!T8</f>
        <v>25.320971039117332</v>
      </c>
    </row>
    <row r="30" spans="2:20" x14ac:dyDescent="0.25">
      <c r="B30" s="23" t="s">
        <v>2590</v>
      </c>
      <c r="C30" s="28" t="s">
        <v>493</v>
      </c>
      <c r="G30" s="159">
        <v>0</v>
      </c>
      <c r="H30" s="159">
        <f>'Cost Calculation'!H135*Inputs!H486/'Revenue Calculation'!H8</f>
        <v>0</v>
      </c>
      <c r="I30" s="159">
        <f>'Cost Calculation'!I135*Inputs!I486/'Revenue Calculation'!I8</f>
        <v>0.78205008627786787</v>
      </c>
      <c r="J30" s="159">
        <f>'Cost Calculation'!J135*Inputs!J486/'Revenue Calculation'!J8</f>
        <v>0.82446643264177899</v>
      </c>
      <c r="K30" s="159">
        <f>'Cost Calculation'!K135*Inputs!K486/'Revenue Calculation'!K8</f>
        <v>0.86946593449925236</v>
      </c>
      <c r="L30" s="159">
        <f>'Cost Calculation'!L135*Inputs!L486/'Revenue Calculation'!L8</f>
        <v>0.91469987895421789</v>
      </c>
      <c r="M30" s="159">
        <f>'Cost Calculation'!M135*Inputs!M486/'Revenue Calculation'!M8</f>
        <v>0.96785324180604348</v>
      </c>
      <c r="N30" s="159">
        <f>'Cost Calculation'!N135*Inputs!N486/'Revenue Calculation'!N8</f>
        <v>1.0215850003416207</v>
      </c>
      <c r="O30" s="159">
        <f>'Cost Calculation'!O135*Inputs!O486/'Revenue Calculation'!O8</f>
        <v>1.0785890229720145</v>
      </c>
      <c r="P30" s="159">
        <f>'Cost Calculation'!P135*Inputs!P486/'Revenue Calculation'!P8</f>
        <v>1.1359523922456796</v>
      </c>
      <c r="Q30" s="159">
        <f>'Cost Calculation'!Q135*Inputs!Q486/'Revenue Calculation'!Q8</f>
        <v>1.2032231202565467</v>
      </c>
      <c r="R30" s="159">
        <f>'Cost Calculation'!R135*Inputs!R486/'Revenue Calculation'!R8</f>
        <v>1.2712889043897597</v>
      </c>
      <c r="S30" s="159">
        <f>'Cost Calculation'!S135*Inputs!S486/'Revenue Calculation'!S8</f>
        <v>1.3434998947766852</v>
      </c>
      <c r="T30" s="159">
        <f>'Cost Calculation'!T135*Inputs!T486/'Revenue Calculation'!T8</f>
        <v>1.4162284565151193</v>
      </c>
    </row>
    <row r="31" spans="2:20" x14ac:dyDescent="0.25">
      <c r="B31" s="21" t="s">
        <v>2591</v>
      </c>
      <c r="C31" s="28" t="s">
        <v>493</v>
      </c>
      <c r="G31" s="160">
        <v>0</v>
      </c>
      <c r="H31" s="160">
        <f t="shared" ref="H31:T31" si="4">H29-H30</f>
        <v>0</v>
      </c>
      <c r="I31" s="160">
        <f t="shared" si="4"/>
        <v>11.585208569417038</v>
      </c>
      <c r="J31" s="160">
        <f t="shared" si="4"/>
        <v>11.913809982723972</v>
      </c>
      <c r="K31" s="160">
        <f t="shared" si="4"/>
        <v>14.875043714892817</v>
      </c>
      <c r="L31" s="160">
        <f t="shared" si="4"/>
        <v>15.257836740414492</v>
      </c>
      <c r="M31" s="160">
        <f t="shared" si="4"/>
        <v>17.405832073938008</v>
      </c>
      <c r="N31" s="160">
        <f t="shared" si="4"/>
        <v>17.903310874874752</v>
      </c>
      <c r="O31" s="160">
        <f t="shared" si="4"/>
        <v>19.583612293589223</v>
      </c>
      <c r="P31" s="160">
        <f t="shared" si="4"/>
        <v>20.087967238795841</v>
      </c>
      <c r="Q31" s="160">
        <f t="shared" si="4"/>
        <v>22.032538019087664</v>
      </c>
      <c r="R31" s="160">
        <f t="shared" si="4"/>
        <v>22.661545069134778</v>
      </c>
      <c r="S31" s="160">
        <f t="shared" si="4"/>
        <v>23.307319097953584</v>
      </c>
      <c r="T31" s="160">
        <f t="shared" si="4"/>
        <v>23.904742582602211</v>
      </c>
    </row>
    <row r="32" spans="2:20" x14ac:dyDescent="0.25">
      <c r="B32" s="154" t="s">
        <v>539</v>
      </c>
    </row>
    <row r="33" spans="2:20" x14ac:dyDescent="0.25">
      <c r="B33" s="23" t="s">
        <v>2589</v>
      </c>
      <c r="C33" s="28" t="s">
        <v>493</v>
      </c>
      <c r="G33" s="159">
        <v>0</v>
      </c>
      <c r="H33" s="159">
        <f>'Revenue Calculation'!H104*Inputs!H485/'Revenue Calculation'!H8</f>
        <v>0</v>
      </c>
      <c r="I33" s="159">
        <f>'Revenue Calculation'!I104*Inputs!I485/'Revenue Calculation'!I8</f>
        <v>3.8835616438356166</v>
      </c>
      <c r="J33" s="159">
        <f>'Revenue Calculation'!J104*Inputs!J485/'Revenue Calculation'!J8</f>
        <v>4.0000684931506854</v>
      </c>
      <c r="K33" s="159">
        <f>'Revenue Calculation'!K104*Inputs!K485/'Revenue Calculation'!K8</f>
        <v>4.1200705479452049</v>
      </c>
      <c r="L33" s="159">
        <f>'Revenue Calculation'!L104*Inputs!L485/'Revenue Calculation'!L8</f>
        <v>4.2320779303278693</v>
      </c>
      <c r="M33" s="159">
        <f>'Revenue Calculation'!M104*Inputs!M485/'Revenue Calculation'!M8</f>
        <v>4.3709828443150682</v>
      </c>
      <c r="N33" s="159">
        <f>'Revenue Calculation'!N104*Inputs!N485/'Revenue Calculation'!N8</f>
        <v>4.5021123296445209</v>
      </c>
      <c r="O33" s="159">
        <f>'Revenue Calculation'!O104*Inputs!O485/'Revenue Calculation'!O8</f>
        <v>4.6371756995338558</v>
      </c>
      <c r="P33" s="159">
        <f>'Revenue Calculation'!P104*Inputs!P485/'Revenue Calculation'!P8</f>
        <v>4.7632409951905839</v>
      </c>
      <c r="Q33" s="159">
        <f>'Revenue Calculation'!Q104*Inputs!Q485/'Revenue Calculation'!Q8</f>
        <v>4.9195796996354693</v>
      </c>
      <c r="R33" s="159">
        <f>'Revenue Calculation'!R104*Inputs!R485/'Revenue Calculation'!R8</f>
        <v>5.0671670906245332</v>
      </c>
      <c r="S33" s="159">
        <f>'Revenue Calculation'!S104*Inputs!S485/'Revenue Calculation'!S8</f>
        <v>5.219182103343269</v>
      </c>
      <c r="T33" s="159">
        <f>'Revenue Calculation'!T104*Inputs!T485/'Revenue Calculation'!T8</f>
        <v>5.3610697042401698</v>
      </c>
    </row>
    <row r="34" spans="2:20" x14ac:dyDescent="0.25">
      <c r="B34" s="23" t="s">
        <v>2590</v>
      </c>
      <c r="C34" s="28" t="s">
        <v>493</v>
      </c>
      <c r="G34" s="159">
        <v>0</v>
      </c>
      <c r="H34" s="159">
        <f>'Cost Calculation'!H139*Inputs!H486/'Revenue Calculation'!H8</f>
        <v>0</v>
      </c>
      <c r="I34" s="159">
        <f>'Cost Calculation'!I139*Inputs!I486/'Revenue Calculation'!I8</f>
        <v>0.19948965621837167</v>
      </c>
      <c r="J34" s="159">
        <f>'Cost Calculation'!J139*Inputs!J486/'Revenue Calculation'!J8</f>
        <v>0.20838201135056358</v>
      </c>
      <c r="K34" s="159">
        <f>'Cost Calculation'!K139*Inputs!K486/'Revenue Calculation'!K8</f>
        <v>0.21781591091030608</v>
      </c>
      <c r="L34" s="159">
        <f>'Cost Calculation'!L139*Inputs!L486/'Revenue Calculation'!L8</f>
        <v>0.22720186409270893</v>
      </c>
      <c r="M34" s="159">
        <f>'Cost Calculation'!M139*Inputs!M486/'Revenue Calculation'!M8</f>
        <v>0.23844227202038218</v>
      </c>
      <c r="N34" s="159">
        <f>'Cost Calculation'!N139*Inputs!N486/'Revenue Calculation'!N8</f>
        <v>0.24970684145491659</v>
      </c>
      <c r="O34" s="159">
        <f>'Cost Calculation'!O139*Inputs!O486/'Revenue Calculation'!O8</f>
        <v>0.26165742316801421</v>
      </c>
      <c r="P34" s="159">
        <f>'Cost Calculation'!P139*Inputs!P486/'Revenue Calculation'!P8</f>
        <v>0.27358624395414038</v>
      </c>
      <c r="Q34" s="159">
        <f>'Cost Calculation'!Q139*Inputs!Q486/'Revenue Calculation'!Q8</f>
        <v>0.28778628031015563</v>
      </c>
      <c r="R34" s="159">
        <f>'Cost Calculation'!R139*Inputs!R486/'Revenue Calculation'!R8</f>
        <v>0.30205589984953729</v>
      </c>
      <c r="S34" s="159">
        <f>'Cost Calculation'!S139*Inputs!S486/'Revenue Calculation'!S8</f>
        <v>0.31719453921886726</v>
      </c>
      <c r="T34" s="159">
        <f>'Cost Calculation'!T139*Inputs!T486/'Revenue Calculation'!T8</f>
        <v>0.33234458860632005</v>
      </c>
    </row>
    <row r="35" spans="2:20" x14ac:dyDescent="0.25">
      <c r="B35" s="21" t="s">
        <v>2591</v>
      </c>
      <c r="C35" s="28" t="s">
        <v>493</v>
      </c>
      <c r="G35" s="160">
        <v>0</v>
      </c>
      <c r="H35" s="160">
        <f t="shared" ref="H35:T35" si="5">H33-H34</f>
        <v>0</v>
      </c>
      <c r="I35" s="160">
        <f t="shared" si="5"/>
        <v>3.6840719876172452</v>
      </c>
      <c r="J35" s="160">
        <f t="shared" si="5"/>
        <v>3.7916864818001219</v>
      </c>
      <c r="K35" s="160">
        <f t="shared" si="5"/>
        <v>3.9022546370348987</v>
      </c>
      <c r="L35" s="160">
        <f t="shared" si="5"/>
        <v>4.0048760662351608</v>
      </c>
      <c r="M35" s="160">
        <f t="shared" si="5"/>
        <v>4.132540572294686</v>
      </c>
      <c r="N35" s="160">
        <f t="shared" si="5"/>
        <v>4.2524054881896047</v>
      </c>
      <c r="O35" s="160">
        <f t="shared" si="5"/>
        <v>4.3755182763658418</v>
      </c>
      <c r="P35" s="160">
        <f t="shared" si="5"/>
        <v>4.4896547512364435</v>
      </c>
      <c r="Q35" s="160">
        <f t="shared" si="5"/>
        <v>4.6317934193253141</v>
      </c>
      <c r="R35" s="160">
        <f t="shared" si="5"/>
        <v>4.7651111907749959</v>
      </c>
      <c r="S35" s="160">
        <f t="shared" si="5"/>
        <v>4.9019875641244015</v>
      </c>
      <c r="T35" s="160">
        <f t="shared" si="5"/>
        <v>5.0287251156338497</v>
      </c>
    </row>
    <row r="36" spans="2:20" x14ac:dyDescent="0.25">
      <c r="B36" s="154" t="s">
        <v>542</v>
      </c>
    </row>
    <row r="37" spans="2:20" x14ac:dyDescent="0.25">
      <c r="B37" s="23" t="s">
        <v>2589</v>
      </c>
      <c r="C37" s="28" t="s">
        <v>493</v>
      </c>
      <c r="G37" s="159">
        <v>0</v>
      </c>
      <c r="H37" s="159">
        <f>'Revenue Calculation'!H111*Inputs!H485/'Revenue Calculation'!H8</f>
        <v>0</v>
      </c>
      <c r="I37" s="159">
        <f>'Revenue Calculation'!I111*Inputs!I485/'Revenue Calculation'!I8</f>
        <v>0</v>
      </c>
      <c r="J37" s="159">
        <f>'Revenue Calculation'!J111*Inputs!J485/'Revenue Calculation'!J8</f>
        <v>0</v>
      </c>
      <c r="K37" s="159">
        <f>'Revenue Calculation'!K111*Inputs!K485/'Revenue Calculation'!K8</f>
        <v>6.5371786027397256</v>
      </c>
      <c r="L37" s="159">
        <f>'Revenue Calculation'!L111*Inputs!L485/'Revenue Calculation'!L8</f>
        <v>6.7148969827868843</v>
      </c>
      <c r="M37" s="159">
        <f>'Revenue Calculation'!M111*Inputs!M485/'Revenue Calculation'!M8</f>
        <v>6.9352927796465762</v>
      </c>
      <c r="N37" s="159">
        <f>'Revenue Calculation'!N111*Inputs!N485/'Revenue Calculation'!N8</f>
        <v>7.1433515630359725</v>
      </c>
      <c r="O37" s="159">
        <f>'Revenue Calculation'!O111*Inputs!O485/'Revenue Calculation'!O8</f>
        <v>7.3576521099270531</v>
      </c>
      <c r="P37" s="159">
        <f>'Revenue Calculation'!P111*Inputs!P485/'Revenue Calculation'!P8</f>
        <v>7.5576757123690586</v>
      </c>
      <c r="Q37" s="159">
        <f>'Revenue Calculation'!Q111*Inputs!Q485/'Revenue Calculation'!Q8</f>
        <v>7.8057331234216116</v>
      </c>
      <c r="R37" s="159">
        <f>'Revenue Calculation'!R111*Inputs!R485/'Revenue Calculation'!R8</f>
        <v>8.0399051171242579</v>
      </c>
      <c r="S37" s="159">
        <f>'Revenue Calculation'!S111*Inputs!S485/'Revenue Calculation'!S8</f>
        <v>8.2811022706379891</v>
      </c>
      <c r="T37" s="159">
        <f>'Revenue Calculation'!T111*Inputs!T485/'Revenue Calculation'!T8</f>
        <v>8.506230597394401</v>
      </c>
    </row>
    <row r="38" spans="2:20" x14ac:dyDescent="0.25">
      <c r="B38" s="23" t="s">
        <v>2590</v>
      </c>
      <c r="C38" s="28" t="s">
        <v>493</v>
      </c>
      <c r="G38" s="159">
        <v>0</v>
      </c>
      <c r="H38" s="159">
        <f>'Cost Calculation'!H143*Inputs!H486/'Revenue Calculation'!H8</f>
        <v>0</v>
      </c>
      <c r="I38" s="159">
        <f>'Cost Calculation'!I143*Inputs!I486/'Revenue Calculation'!I8</f>
        <v>0</v>
      </c>
      <c r="J38" s="159">
        <f>'Cost Calculation'!J143*Inputs!J486/'Revenue Calculation'!J8</f>
        <v>0</v>
      </c>
      <c r="K38" s="159">
        <f>'Cost Calculation'!K143*Inputs!K486/'Revenue Calculation'!K8</f>
        <v>0.43581190684931509</v>
      </c>
      <c r="L38" s="159">
        <f>'Cost Calculation'!L143*Inputs!L486/'Revenue Calculation'!L8</f>
        <v>0.44765979885245905</v>
      </c>
      <c r="M38" s="159">
        <f>'Cost Calculation'!M143*Inputs!M486/'Revenue Calculation'!M8</f>
        <v>0.46235285197643844</v>
      </c>
      <c r="N38" s="159">
        <f>'Cost Calculation'!N143*Inputs!N486/'Revenue Calculation'!N8</f>
        <v>0.47622343753573154</v>
      </c>
      <c r="O38" s="159">
        <f>'Cost Calculation'!O143*Inputs!O486/'Revenue Calculation'!O8</f>
        <v>0.49051014066180354</v>
      </c>
      <c r="P38" s="159">
        <f>'Cost Calculation'!P143*Inputs!P486/'Revenue Calculation'!P8</f>
        <v>0.50384504749127057</v>
      </c>
      <c r="Q38" s="159">
        <f>'Cost Calculation'!Q143*Inputs!Q486/'Revenue Calculation'!Q8</f>
        <v>0.52038220822810743</v>
      </c>
      <c r="R38" s="159">
        <f>'Cost Calculation'!R143*Inputs!R486/'Revenue Calculation'!R8</f>
        <v>0.53599367447495061</v>
      </c>
      <c r="S38" s="159">
        <f>'Cost Calculation'!S143*Inputs!S486/'Revenue Calculation'!S8</f>
        <v>0.55207348470919926</v>
      </c>
      <c r="T38" s="159">
        <f>'Cost Calculation'!T143*Inputs!T486/'Revenue Calculation'!T8</f>
        <v>0.56708203982629346</v>
      </c>
    </row>
    <row r="39" spans="2:20" x14ac:dyDescent="0.25">
      <c r="B39" s="21" t="s">
        <v>2591</v>
      </c>
      <c r="C39" s="28" t="s">
        <v>493</v>
      </c>
      <c r="G39" s="160">
        <v>0</v>
      </c>
      <c r="H39" s="160">
        <f t="shared" ref="H39:T39" si="6">H37-H38</f>
        <v>0</v>
      </c>
      <c r="I39" s="160">
        <f t="shared" si="6"/>
        <v>0</v>
      </c>
      <c r="J39" s="160">
        <f t="shared" si="6"/>
        <v>0</v>
      </c>
      <c r="K39" s="160">
        <f t="shared" si="6"/>
        <v>6.1013666958904107</v>
      </c>
      <c r="L39" s="160">
        <f t="shared" si="6"/>
        <v>6.2672371839344256</v>
      </c>
      <c r="M39" s="160">
        <f t="shared" si="6"/>
        <v>6.4729399276701374</v>
      </c>
      <c r="N39" s="160">
        <f t="shared" si="6"/>
        <v>6.6671281255002413</v>
      </c>
      <c r="O39" s="160">
        <f t="shared" si="6"/>
        <v>6.8671419692652496</v>
      </c>
      <c r="P39" s="160">
        <f t="shared" si="6"/>
        <v>7.053830664877788</v>
      </c>
      <c r="Q39" s="160">
        <f t="shared" si="6"/>
        <v>7.2853509151935043</v>
      </c>
      <c r="R39" s="160">
        <f t="shared" si="6"/>
        <v>7.503911442649307</v>
      </c>
      <c r="S39" s="160">
        <f t="shared" si="6"/>
        <v>7.7290287859287901</v>
      </c>
      <c r="T39" s="160">
        <f t="shared" si="6"/>
        <v>7.9391485575681076</v>
      </c>
    </row>
    <row r="40" spans="2:20" x14ac:dyDescent="0.25">
      <c r="B40" s="154" t="s">
        <v>547</v>
      </c>
    </row>
    <row r="41" spans="2:20" x14ac:dyDescent="0.25">
      <c r="B41" s="23" t="s">
        <v>2589</v>
      </c>
      <c r="C41" s="28" t="s">
        <v>493</v>
      </c>
      <c r="G41" s="159">
        <v>0</v>
      </c>
      <c r="H41" s="159">
        <f>'Revenue Calculation'!H115*Inputs!H485/'Revenue Calculation'!H8</f>
        <v>0</v>
      </c>
      <c r="I41" s="159">
        <f>'Revenue Calculation'!I115*Inputs!I485/'Revenue Calculation'!I8</f>
        <v>0</v>
      </c>
      <c r="J41" s="159">
        <f>'Revenue Calculation'!J115*Inputs!J485/'Revenue Calculation'!J8</f>
        <v>0</v>
      </c>
      <c r="K41" s="159">
        <f>'Revenue Calculation'!K115*Inputs!K485/'Revenue Calculation'!K8</f>
        <v>1.6347945205479453</v>
      </c>
      <c r="L41" s="159">
        <f>'Revenue Calculation'!L115*Inputs!L485/'Revenue Calculation'!L8</f>
        <v>1.6303278688524592</v>
      </c>
      <c r="M41" s="159">
        <f>'Revenue Calculation'!M115*Inputs!M485/'Revenue Calculation'!M8</f>
        <v>1.6347945205479453</v>
      </c>
      <c r="N41" s="159">
        <f>'Revenue Calculation'!N115*Inputs!N485/'Revenue Calculation'!N8</f>
        <v>1.6347945205479453</v>
      </c>
      <c r="O41" s="159">
        <f>'Revenue Calculation'!O115*Inputs!O485/'Revenue Calculation'!O8</f>
        <v>1.6347945205479453</v>
      </c>
      <c r="P41" s="159">
        <f>'Revenue Calculation'!P115*Inputs!P485/'Revenue Calculation'!P8</f>
        <v>1.6303278688524592</v>
      </c>
      <c r="Q41" s="159">
        <f>'Revenue Calculation'!Q115*Inputs!Q485/'Revenue Calculation'!Q8</f>
        <v>1.6347945205479453</v>
      </c>
      <c r="R41" s="159">
        <f>'Revenue Calculation'!R115*Inputs!R485/'Revenue Calculation'!R8</f>
        <v>1.6347945205479453</v>
      </c>
      <c r="S41" s="159">
        <f>'Revenue Calculation'!S115*Inputs!S485/'Revenue Calculation'!S8</f>
        <v>1.6347945205479453</v>
      </c>
      <c r="T41" s="159">
        <f>'Revenue Calculation'!T115*Inputs!T485/'Revenue Calculation'!T8</f>
        <v>1.6303278688524592</v>
      </c>
    </row>
    <row r="42" spans="2:20" x14ac:dyDescent="0.25">
      <c r="B42" s="23" t="s">
        <v>2590</v>
      </c>
      <c r="C42" s="28" t="s">
        <v>493</v>
      </c>
      <c r="G42" s="159">
        <v>0</v>
      </c>
      <c r="H42" s="159">
        <f>'Cost Calculation'!H147*Inputs!H486/'Revenue Calculation'!H8</f>
        <v>0</v>
      </c>
      <c r="I42" s="159">
        <f>'Cost Calculation'!I147*Inputs!I486/'Revenue Calculation'!I8</f>
        <v>0</v>
      </c>
      <c r="J42" s="159">
        <f>'Cost Calculation'!J147*Inputs!J486/'Revenue Calculation'!J8</f>
        <v>0</v>
      </c>
      <c r="K42" s="159">
        <f>'Cost Calculation'!K147*Inputs!K486/'Revenue Calculation'!K8</f>
        <v>0</v>
      </c>
      <c r="L42" s="159">
        <f>'Cost Calculation'!L147*Inputs!L486/'Revenue Calculation'!L8</f>
        <v>0</v>
      </c>
      <c r="M42" s="159">
        <f>'Cost Calculation'!M147*Inputs!M486/'Revenue Calculation'!M8</f>
        <v>0</v>
      </c>
      <c r="N42" s="159">
        <f>'Cost Calculation'!N147*Inputs!N486/'Revenue Calculation'!N8</f>
        <v>0</v>
      </c>
      <c r="O42" s="159">
        <f>'Cost Calculation'!O147*Inputs!O486/'Revenue Calculation'!O8</f>
        <v>0</v>
      </c>
      <c r="P42" s="159">
        <f>'Cost Calculation'!P147*Inputs!P486/'Revenue Calculation'!P8</f>
        <v>0</v>
      </c>
      <c r="Q42" s="159">
        <f>'Cost Calculation'!Q147*Inputs!Q486/'Revenue Calculation'!Q8</f>
        <v>0</v>
      </c>
      <c r="R42" s="159">
        <f>'Cost Calculation'!R147*Inputs!R486/'Revenue Calculation'!R8</f>
        <v>0</v>
      </c>
      <c r="S42" s="159">
        <f>'Cost Calculation'!S147*Inputs!S486/'Revenue Calculation'!S8</f>
        <v>0</v>
      </c>
      <c r="T42" s="159">
        <f>'Cost Calculation'!T147*Inputs!T486/'Revenue Calculation'!T8</f>
        <v>0</v>
      </c>
    </row>
    <row r="43" spans="2:20" x14ac:dyDescent="0.25">
      <c r="B43" s="21" t="s">
        <v>2591</v>
      </c>
      <c r="C43" s="28" t="s">
        <v>493</v>
      </c>
      <c r="G43" s="160">
        <v>0</v>
      </c>
      <c r="H43" s="160">
        <f t="shared" ref="H43:T43" si="7">H41-H42</f>
        <v>0</v>
      </c>
      <c r="I43" s="160">
        <f t="shared" si="7"/>
        <v>0</v>
      </c>
      <c r="J43" s="160">
        <f t="shared" si="7"/>
        <v>0</v>
      </c>
      <c r="K43" s="160">
        <f t="shared" si="7"/>
        <v>1.6347945205479453</v>
      </c>
      <c r="L43" s="160">
        <f t="shared" si="7"/>
        <v>1.6303278688524592</v>
      </c>
      <c r="M43" s="160">
        <f t="shared" si="7"/>
        <v>1.6347945205479453</v>
      </c>
      <c r="N43" s="160">
        <f t="shared" si="7"/>
        <v>1.6347945205479453</v>
      </c>
      <c r="O43" s="160">
        <f t="shared" si="7"/>
        <v>1.6347945205479453</v>
      </c>
      <c r="P43" s="160">
        <f t="shared" si="7"/>
        <v>1.6303278688524592</v>
      </c>
      <c r="Q43" s="160">
        <f t="shared" si="7"/>
        <v>1.6347945205479453</v>
      </c>
      <c r="R43" s="160">
        <f t="shared" si="7"/>
        <v>1.6347945205479453</v>
      </c>
      <c r="S43" s="160">
        <f t="shared" si="7"/>
        <v>1.6347945205479453</v>
      </c>
      <c r="T43" s="160">
        <f t="shared" si="7"/>
        <v>1.6303278688524592</v>
      </c>
    </row>
    <row r="44" spans="2:20" x14ac:dyDescent="0.25">
      <c r="B44" s="154" t="s">
        <v>550</v>
      </c>
    </row>
    <row r="45" spans="2:20" x14ac:dyDescent="0.25">
      <c r="B45" s="23" t="s">
        <v>2589</v>
      </c>
      <c r="C45" s="28" t="s">
        <v>493</v>
      </c>
      <c r="G45" s="159">
        <v>0</v>
      </c>
      <c r="H45" s="159">
        <f>'Revenue Calculation'!H122*Inputs!H485/'Revenue Calculation'!H8</f>
        <v>0</v>
      </c>
      <c r="I45" s="159">
        <f>'Revenue Calculation'!I122*Inputs!I485/'Revenue Calculation'!I8</f>
        <v>0</v>
      </c>
      <c r="J45" s="159">
        <f>'Revenue Calculation'!J122*Inputs!J485/'Revenue Calculation'!J8</f>
        <v>5.9301369863013695</v>
      </c>
      <c r="K45" s="159">
        <f>'Revenue Calculation'!K122*Inputs!K485/'Revenue Calculation'!K8</f>
        <v>5.9301369863013695</v>
      </c>
      <c r="L45" s="159">
        <f>'Revenue Calculation'!L122*Inputs!L485/'Revenue Calculation'!L8</f>
        <v>5.9139344262295079</v>
      </c>
      <c r="M45" s="159">
        <f>'Revenue Calculation'!M122*Inputs!M485/'Revenue Calculation'!M8</f>
        <v>6.339156164383561</v>
      </c>
      <c r="N45" s="159">
        <f>'Revenue Calculation'!N122*Inputs!N485/'Revenue Calculation'!N8</f>
        <v>6.339156164383561</v>
      </c>
      <c r="O45" s="159">
        <f>'Revenue Calculation'!O122*Inputs!O485/'Revenue Calculation'!O8</f>
        <v>6.339156164383561</v>
      </c>
      <c r="P45" s="159">
        <f>'Revenue Calculation'!P122*Inputs!P485/'Revenue Calculation'!P8</f>
        <v>6.3218360655737706</v>
      </c>
      <c r="Q45" s="159">
        <f>'Revenue Calculation'!Q122*Inputs!Q485/'Revenue Calculation'!Q8</f>
        <v>6.7769013106849316</v>
      </c>
      <c r="R45" s="159">
        <f>'Revenue Calculation'!R122*Inputs!R485/'Revenue Calculation'!R8</f>
        <v>6.7769013106849316</v>
      </c>
      <c r="S45" s="159">
        <f>'Revenue Calculation'!S122*Inputs!S485/'Revenue Calculation'!S8</f>
        <v>6.7769013106849316</v>
      </c>
      <c r="T45" s="159">
        <f>'Revenue Calculation'!T122*Inputs!T485/'Revenue Calculation'!T8</f>
        <v>6.7583851868852465</v>
      </c>
    </row>
    <row r="46" spans="2:20" x14ac:dyDescent="0.25">
      <c r="B46" s="23" t="s">
        <v>2590</v>
      </c>
      <c r="C46" s="28" t="s">
        <v>493</v>
      </c>
      <c r="G46" s="159">
        <v>0</v>
      </c>
      <c r="H46" s="159">
        <f>'Cost Calculation'!H151*Inputs!H486/'Revenue Calculation'!H8</f>
        <v>0</v>
      </c>
      <c r="I46" s="159">
        <f>'Cost Calculation'!I151*Inputs!I486/'Revenue Calculation'!I8</f>
        <v>0</v>
      </c>
      <c r="J46" s="159">
        <f>'Cost Calculation'!J151*Inputs!J486/'Revenue Calculation'!J8</f>
        <v>0</v>
      </c>
      <c r="K46" s="159">
        <f>'Cost Calculation'!K151*Inputs!K486/'Revenue Calculation'!K8</f>
        <v>0</v>
      </c>
      <c r="L46" s="159">
        <f>'Cost Calculation'!L151*Inputs!L486/'Revenue Calculation'!L8</f>
        <v>0</v>
      </c>
      <c r="M46" s="159">
        <f>'Cost Calculation'!M151*Inputs!M486/'Revenue Calculation'!M8</f>
        <v>0</v>
      </c>
      <c r="N46" s="159">
        <f>'Cost Calculation'!N151*Inputs!N486/'Revenue Calculation'!N8</f>
        <v>0</v>
      </c>
      <c r="O46" s="159">
        <f>'Cost Calculation'!O151*Inputs!O486/'Revenue Calculation'!O8</f>
        <v>0</v>
      </c>
      <c r="P46" s="159">
        <f>'Cost Calculation'!P151*Inputs!P486/'Revenue Calculation'!P8</f>
        <v>0</v>
      </c>
      <c r="Q46" s="159">
        <f>'Cost Calculation'!Q151*Inputs!Q486/'Revenue Calculation'!Q8</f>
        <v>0</v>
      </c>
      <c r="R46" s="159">
        <f>'Cost Calculation'!R151*Inputs!R486/'Revenue Calculation'!R8</f>
        <v>0</v>
      </c>
      <c r="S46" s="159">
        <f>'Cost Calculation'!S151*Inputs!S486/'Revenue Calculation'!S8</f>
        <v>0</v>
      </c>
      <c r="T46" s="159">
        <f>'Cost Calculation'!T151*Inputs!T486/'Revenue Calculation'!T8</f>
        <v>0</v>
      </c>
    </row>
    <row r="47" spans="2:20" x14ac:dyDescent="0.25">
      <c r="B47" s="21" t="s">
        <v>2591</v>
      </c>
      <c r="C47" s="28" t="s">
        <v>493</v>
      </c>
      <c r="G47" s="160">
        <v>0</v>
      </c>
      <c r="H47" s="160">
        <f t="shared" ref="H47:T47" si="8">H45-H46</f>
        <v>0</v>
      </c>
      <c r="I47" s="160">
        <f t="shared" si="8"/>
        <v>0</v>
      </c>
      <c r="J47" s="160">
        <f t="shared" si="8"/>
        <v>5.9301369863013695</v>
      </c>
      <c r="K47" s="160">
        <f t="shared" si="8"/>
        <v>5.9301369863013695</v>
      </c>
      <c r="L47" s="160">
        <f t="shared" si="8"/>
        <v>5.9139344262295079</v>
      </c>
      <c r="M47" s="160">
        <f t="shared" si="8"/>
        <v>6.339156164383561</v>
      </c>
      <c r="N47" s="160">
        <f t="shared" si="8"/>
        <v>6.339156164383561</v>
      </c>
      <c r="O47" s="160">
        <f t="shared" si="8"/>
        <v>6.339156164383561</v>
      </c>
      <c r="P47" s="160">
        <f t="shared" si="8"/>
        <v>6.3218360655737706</v>
      </c>
      <c r="Q47" s="160">
        <f t="shared" si="8"/>
        <v>6.7769013106849316</v>
      </c>
      <c r="R47" s="160">
        <f t="shared" si="8"/>
        <v>6.7769013106849316</v>
      </c>
      <c r="S47" s="160">
        <f t="shared" si="8"/>
        <v>6.7769013106849316</v>
      </c>
      <c r="T47" s="160">
        <f t="shared" si="8"/>
        <v>6.7583851868852465</v>
      </c>
    </row>
    <row r="48" spans="2:20" x14ac:dyDescent="0.25">
      <c r="B48" s="154" t="s">
        <v>555</v>
      </c>
    </row>
    <row r="49" spans="2:20" x14ac:dyDescent="0.25">
      <c r="B49" s="23" t="s">
        <v>2589</v>
      </c>
      <c r="C49" s="28" t="s">
        <v>493</v>
      </c>
      <c r="G49" s="159">
        <v>0</v>
      </c>
      <c r="H49" s="159">
        <f>'Revenue Calculation'!H129*Inputs!H485/'Revenue Calculation'!H8</f>
        <v>0</v>
      </c>
      <c r="I49" s="159">
        <f>'Revenue Calculation'!I129*Inputs!I485/'Revenue Calculation'!I8</f>
        <v>0</v>
      </c>
      <c r="J49" s="159">
        <f>'Revenue Calculation'!J129*Inputs!J485/'Revenue Calculation'!J8</f>
        <v>0</v>
      </c>
      <c r="K49" s="159">
        <f>'Revenue Calculation'!K129*Inputs!K485/'Revenue Calculation'!K8</f>
        <v>0</v>
      </c>
      <c r="L49" s="159">
        <f>'Revenue Calculation'!L129*Inputs!L485/'Revenue Calculation'!L8</f>
        <v>7.1628491296517698</v>
      </c>
      <c r="M49" s="159">
        <f>'Revenue Calculation'!M129*Inputs!M485/'Revenue Calculation'!M8</f>
        <v>9.4808648534722533</v>
      </c>
      <c r="N49" s="159">
        <f>'Revenue Calculation'!N129*Inputs!N485/'Revenue Calculation'!N8</f>
        <v>10.428951338819475</v>
      </c>
      <c r="O49" s="159">
        <f>'Revenue Calculation'!O129*Inputs!O485/'Revenue Calculation'!O8</f>
        <v>12.619031119971543</v>
      </c>
      <c r="P49" s="159">
        <f>'Revenue Calculation'!P129*Inputs!P485/'Revenue Calculation'!P8</f>
        <v>13.339626066439866</v>
      </c>
      <c r="Q49" s="159">
        <f>'Revenue Calculation'!Q129*Inputs!Q485/'Revenue Calculation'!Q8</f>
        <v>15.029467968384029</v>
      </c>
      <c r="R49" s="159">
        <f>'Revenue Calculation'!R129*Inputs!R485/'Revenue Calculation'!R8</f>
        <v>15.931236046487074</v>
      </c>
      <c r="S49" s="159">
        <f>'Revenue Calculation'!S129*Inputs!S485/'Revenue Calculation'!S8</f>
        <v>17.900336821832887</v>
      </c>
      <c r="T49" s="159">
        <f>'Revenue Calculation'!T129*Inputs!T485/'Revenue Calculation'!T8</f>
        <v>18.922514525593289</v>
      </c>
    </row>
    <row r="50" spans="2:20" x14ac:dyDescent="0.25">
      <c r="B50" s="23" t="s">
        <v>2590</v>
      </c>
      <c r="C50" s="28" t="s">
        <v>493</v>
      </c>
      <c r="G50" s="159">
        <v>0</v>
      </c>
      <c r="H50" s="159">
        <f>'Cost Calculation'!H155*Inputs!H486/'Revenue Calculation'!H8</f>
        <v>0</v>
      </c>
      <c r="I50" s="159">
        <f>'Cost Calculation'!I155*Inputs!I486/'Revenue Calculation'!I8</f>
        <v>0</v>
      </c>
      <c r="J50" s="159">
        <f>'Cost Calculation'!J155*Inputs!J486/'Revenue Calculation'!J8</f>
        <v>0</v>
      </c>
      <c r="K50" s="159">
        <f>'Cost Calculation'!K155*Inputs!K486/'Revenue Calculation'!K8</f>
        <v>0</v>
      </c>
      <c r="L50" s="159">
        <f>'Cost Calculation'!L155*Inputs!L486/'Revenue Calculation'!L8</f>
        <v>1.2344562325058135</v>
      </c>
      <c r="M50" s="159">
        <f>'Cost Calculation'!M155*Inputs!M486/'Revenue Calculation'!M8</f>
        <v>1.5035614493891047</v>
      </c>
      <c r="N50" s="159">
        <f>'Cost Calculation'!N155*Inputs!N486/'Revenue Calculation'!N8</f>
        <v>1.6710726735964467</v>
      </c>
      <c r="O50" s="159">
        <f>'Cost Calculation'!O155*Inputs!O486/'Revenue Calculation'!O8</f>
        <v>1.9278599258802604</v>
      </c>
      <c r="P50" s="159">
        <f>'Cost Calculation'!P155*Inputs!P486/'Revenue Calculation'!P8</f>
        <v>2.0639053958394094</v>
      </c>
      <c r="Q50" s="159">
        <f>'Cost Calculation'!Q155*Inputs!Q486/'Revenue Calculation'!Q8</f>
        <v>2.2181344540339092</v>
      </c>
      <c r="R50" s="159">
        <f>'Cost Calculation'!R155*Inputs!R486/'Revenue Calculation'!R8</f>
        <v>2.3780117977680448</v>
      </c>
      <c r="S50" s="159">
        <f>'Cost Calculation'!S155*Inputs!S486/'Revenue Calculation'!S8</f>
        <v>2.7030929549895131</v>
      </c>
      <c r="T50" s="159">
        <f>'Cost Calculation'!T155*Inputs!T486/'Revenue Calculation'!T8</f>
        <v>2.8915290201388641</v>
      </c>
    </row>
    <row r="51" spans="2:20" x14ac:dyDescent="0.25">
      <c r="B51" s="21" t="s">
        <v>2591</v>
      </c>
      <c r="C51" s="28" t="s">
        <v>493</v>
      </c>
      <c r="G51" s="160">
        <v>0</v>
      </c>
      <c r="H51" s="160">
        <f t="shared" ref="H51:T51" si="9">H49-H50</f>
        <v>0</v>
      </c>
      <c r="I51" s="160">
        <f t="shared" si="9"/>
        <v>0</v>
      </c>
      <c r="J51" s="160">
        <f t="shared" si="9"/>
        <v>0</v>
      </c>
      <c r="K51" s="160">
        <f t="shared" si="9"/>
        <v>0</v>
      </c>
      <c r="L51" s="160">
        <f t="shared" si="9"/>
        <v>5.9283928971459563</v>
      </c>
      <c r="M51" s="160">
        <f t="shared" si="9"/>
        <v>7.9773034040831483</v>
      </c>
      <c r="N51" s="160">
        <f t="shared" si="9"/>
        <v>8.7578786652230285</v>
      </c>
      <c r="O51" s="160">
        <f t="shared" si="9"/>
        <v>10.691171194091282</v>
      </c>
      <c r="P51" s="160">
        <f t="shared" si="9"/>
        <v>11.275720670600457</v>
      </c>
      <c r="Q51" s="160">
        <f t="shared" si="9"/>
        <v>12.811333514350121</v>
      </c>
      <c r="R51" s="160">
        <f t="shared" si="9"/>
        <v>13.55322424871903</v>
      </c>
      <c r="S51" s="160">
        <f t="shared" si="9"/>
        <v>15.197243866843374</v>
      </c>
      <c r="T51" s="160">
        <f t="shared" si="9"/>
        <v>16.030985505454424</v>
      </c>
    </row>
    <row r="52" spans="2:20" x14ac:dyDescent="0.25">
      <c r="B52" s="154" t="s">
        <v>559</v>
      </c>
    </row>
    <row r="53" spans="2:20" x14ac:dyDescent="0.25">
      <c r="B53" s="23" t="s">
        <v>2589</v>
      </c>
      <c r="C53" s="28" t="s">
        <v>493</v>
      </c>
      <c r="G53" s="159">
        <v>0</v>
      </c>
      <c r="H53" s="159">
        <f>'Revenue Calculation'!H133*Inputs!H485/'Revenue Calculation'!H8</f>
        <v>0</v>
      </c>
      <c r="I53" s="159">
        <f>'Revenue Calculation'!I133*Inputs!I485/'Revenue Calculation'!I8</f>
        <v>0</v>
      </c>
      <c r="J53" s="159">
        <f>'Revenue Calculation'!J133*Inputs!J485/'Revenue Calculation'!J8</f>
        <v>0</v>
      </c>
      <c r="K53" s="159">
        <f>'Revenue Calculation'!K133*Inputs!K485/'Revenue Calculation'!K8</f>
        <v>1.08363698630137</v>
      </c>
      <c r="L53" s="159">
        <f>'Revenue Calculation'!L133*Inputs!L485/'Revenue Calculation'!L8</f>
        <v>1.3913706454918033</v>
      </c>
      <c r="M53" s="159">
        <f>'Revenue Calculation'!M133*Inputs!M485/'Revenue Calculation'!M8</f>
        <v>1.7244457181506851</v>
      </c>
      <c r="N53" s="159">
        <f>'Revenue Calculation'!N133*Inputs!N485/'Revenue Calculation'!N8</f>
        <v>2.0722089379777402</v>
      </c>
      <c r="O53" s="159">
        <f>'Revenue Calculation'!O133*Inputs!O485/'Revenue Calculation'!O8</f>
        <v>2.4392859498480823</v>
      </c>
      <c r="P53" s="159">
        <f>'Revenue Calculation'!P133*Inputs!P485/'Revenue Calculation'!P8</f>
        <v>2.8187998550575433</v>
      </c>
      <c r="Q53" s="159">
        <f>'Revenue Calculation'!Q133*Inputs!Q485/'Revenue Calculation'!Q8</f>
        <v>3.2347980802422871</v>
      </c>
      <c r="R53" s="159">
        <f>'Revenue Calculation'!R133*Inputs!R485/'Revenue Calculation'!R8</f>
        <v>3.6650262249145142</v>
      </c>
      <c r="S53" s="159">
        <f>'Revenue Calculation'!S133*Inputs!S485/'Revenue Calculation'!S8</f>
        <v>0</v>
      </c>
      <c r="T53" s="159">
        <f>'Revenue Calculation'!T133*Inputs!T485/'Revenue Calculation'!T8</f>
        <v>0</v>
      </c>
    </row>
    <row r="54" spans="2:20" x14ac:dyDescent="0.25">
      <c r="B54" s="23" t="s">
        <v>2590</v>
      </c>
      <c r="C54" s="28" t="s">
        <v>493</v>
      </c>
      <c r="G54" s="159">
        <v>0</v>
      </c>
      <c r="H54" s="159">
        <f>'Cost Calculation'!H159*Inputs!H486/'Revenue Calculation'!H8</f>
        <v>0</v>
      </c>
      <c r="I54" s="159">
        <f>'Cost Calculation'!I159*Inputs!I486/'Revenue Calculation'!I8</f>
        <v>0</v>
      </c>
      <c r="J54" s="159">
        <f>'Cost Calculation'!J159*Inputs!J486/'Revenue Calculation'!J8</f>
        <v>3.7497534246575322E-2</v>
      </c>
      <c r="K54" s="159">
        <f>'Cost Calculation'!K159*Inputs!K486/'Revenue Calculation'!K8</f>
        <v>0.1040315317890383</v>
      </c>
      <c r="L54" s="159">
        <f>'Cost Calculation'!L159*Inputs!L486/'Revenue Calculation'!L8</f>
        <v>0.12285630119510127</v>
      </c>
      <c r="M54" s="159">
        <f>'Cost Calculation'!M159*Inputs!M486/'Revenue Calculation'!M8</f>
        <v>0.14345778310251128</v>
      </c>
      <c r="N54" s="159">
        <f>'Cost Calculation'!N159*Inputs!N486/'Revenue Calculation'!N8</f>
        <v>0.16487568050763682</v>
      </c>
      <c r="O54" s="159">
        <f>'Cost Calculation'!O159*Inputs!O486/'Revenue Calculation'!O8</f>
        <v>0.18749806169885311</v>
      </c>
      <c r="P54" s="159">
        <f>'Cost Calculation'!P159*Inputs!P486/'Revenue Calculation'!P8</f>
        <v>0.21080093628748145</v>
      </c>
      <c r="Q54" s="159">
        <f>'Cost Calculation'!Q159*Inputs!Q486/'Revenue Calculation'!Q8</f>
        <v>0.23657261052870235</v>
      </c>
      <c r="R54" s="159">
        <f>'Cost Calculation'!R159*Inputs!R486/'Revenue Calculation'!R8</f>
        <v>0.26313840074336314</v>
      </c>
      <c r="S54" s="159">
        <f>'Cost Calculation'!S159*Inputs!S486/'Revenue Calculation'!S8</f>
        <v>3.7497534246575322E-2</v>
      </c>
      <c r="T54" s="159">
        <f>'Cost Calculation'!T159*Inputs!T486/'Revenue Calculation'!T8</f>
        <v>3.7395081967213098E-2</v>
      </c>
    </row>
    <row r="55" spans="2:20" x14ac:dyDescent="0.25">
      <c r="B55" s="21" t="s">
        <v>2591</v>
      </c>
      <c r="C55" s="28" t="s">
        <v>493</v>
      </c>
      <c r="G55" s="160">
        <v>0</v>
      </c>
      <c r="H55" s="160">
        <f t="shared" ref="H55:T55" si="10">H53-H54</f>
        <v>0</v>
      </c>
      <c r="I55" s="160">
        <f t="shared" si="10"/>
        <v>0</v>
      </c>
      <c r="J55" s="160">
        <f t="shared" si="10"/>
        <v>-3.7497534246575322E-2</v>
      </c>
      <c r="K55" s="160">
        <f t="shared" si="10"/>
        <v>0.97960545451233161</v>
      </c>
      <c r="L55" s="160">
        <f t="shared" si="10"/>
        <v>1.268514344296702</v>
      </c>
      <c r="M55" s="160">
        <f t="shared" si="10"/>
        <v>1.5809879350481739</v>
      </c>
      <c r="N55" s="160">
        <f t="shared" si="10"/>
        <v>1.9073332574701034</v>
      </c>
      <c r="O55" s="160">
        <f t="shared" si="10"/>
        <v>2.251787888149229</v>
      </c>
      <c r="P55" s="160">
        <f t="shared" si="10"/>
        <v>2.6079989187700616</v>
      </c>
      <c r="Q55" s="160">
        <f t="shared" si="10"/>
        <v>2.9982254697135846</v>
      </c>
      <c r="R55" s="160">
        <f t="shared" si="10"/>
        <v>3.4018878241711512</v>
      </c>
      <c r="S55" s="160">
        <f t="shared" si="10"/>
        <v>-3.7497534246575322E-2</v>
      </c>
      <c r="T55" s="160">
        <f t="shared" si="10"/>
        <v>-3.7395081967213098E-2</v>
      </c>
    </row>
    <row r="56" spans="2:20" x14ac:dyDescent="0.25">
      <c r="B56" s="154" t="s">
        <v>562</v>
      </c>
    </row>
    <row r="57" spans="2:20" x14ac:dyDescent="0.25">
      <c r="B57" s="23" t="s">
        <v>2589</v>
      </c>
      <c r="C57" s="28" t="s">
        <v>493</v>
      </c>
      <c r="G57" s="159">
        <v>0</v>
      </c>
      <c r="H57" s="159">
        <f>'Revenue Calculation'!H137*Inputs!H485/'Revenue Calculation'!H8</f>
        <v>0</v>
      </c>
      <c r="I57" s="159">
        <f>'Revenue Calculation'!I137*Inputs!I485/'Revenue Calculation'!I8</f>
        <v>0</v>
      </c>
      <c r="J57" s="159">
        <f>'Revenue Calculation'!J137*Inputs!J485/'Revenue Calculation'!J8</f>
        <v>0</v>
      </c>
      <c r="K57" s="159">
        <f>'Revenue Calculation'!K137*Inputs!K485/'Revenue Calculation'!K8</f>
        <v>9.1385342806873618E-2</v>
      </c>
      <c r="L57" s="159">
        <f>'Revenue Calculation'!L137*Inputs!L485/'Revenue Calculation'!L8</f>
        <v>9.4091037235639732E-2</v>
      </c>
      <c r="M57" s="159">
        <f>'Revenue Calculation'!M137*Inputs!M485/'Revenue Calculation'!M8</f>
        <v>9.7401203334497158E-2</v>
      </c>
      <c r="N57" s="159">
        <f>'Revenue Calculation'!N137*Inputs!N485/'Revenue Calculation'!N8</f>
        <v>0.10054515724275126</v>
      </c>
      <c r="O57" s="159">
        <f>'Revenue Calculation'!O137*Inputs!O485/'Revenue Calculation'!O8</f>
        <v>0.103783429768253</v>
      </c>
      <c r="P57" s="159">
        <f>'Revenue Calculation'!P137*Inputs!P485/'Revenue Calculation'!P8</f>
        <v>0.10682617601468498</v>
      </c>
      <c r="Q57" s="159">
        <f>'Revenue Calculation'!Q137*Inputs!Q485/'Revenue Calculation'!Q8</f>
        <v>0.11055433379182451</v>
      </c>
      <c r="R57" s="159">
        <f>'Revenue Calculation'!R137*Inputs!R485/'Revenue Calculation'!R8</f>
        <v>0.11409288161379844</v>
      </c>
      <c r="S57" s="159">
        <f>'Revenue Calculation'!S137*Inputs!S485/'Revenue Calculation'!S8</f>
        <v>0.11773758587043155</v>
      </c>
      <c r="T57" s="159">
        <f>'Revenue Calculation'!T137*Inputs!T485/'Revenue Calculation'!T8</f>
        <v>0.12115968690707307</v>
      </c>
    </row>
    <row r="58" spans="2:20" x14ac:dyDescent="0.25">
      <c r="B58" s="23" t="s">
        <v>2590</v>
      </c>
      <c r="C58" s="28" t="s">
        <v>493</v>
      </c>
      <c r="G58" s="159">
        <v>0</v>
      </c>
      <c r="H58" s="159">
        <f>'Cost Calculation'!H163*Inputs!H486/'Revenue Calculation'!H8</f>
        <v>0</v>
      </c>
      <c r="I58" s="159">
        <f>'Cost Calculation'!I163*Inputs!I486/'Revenue Calculation'!I8</f>
        <v>0</v>
      </c>
      <c r="J58" s="159">
        <f>'Cost Calculation'!J163*Inputs!J486/'Revenue Calculation'!J8</f>
        <v>0</v>
      </c>
      <c r="K58" s="159">
        <f>'Cost Calculation'!K163*Inputs!K486/'Revenue Calculation'!K8</f>
        <v>0</v>
      </c>
      <c r="L58" s="159">
        <f>'Cost Calculation'!L163*Inputs!L486/'Revenue Calculation'!L8</f>
        <v>0</v>
      </c>
      <c r="M58" s="159">
        <f>'Cost Calculation'!M163*Inputs!M486/'Revenue Calculation'!M8</f>
        <v>0</v>
      </c>
      <c r="N58" s="159">
        <f>'Cost Calculation'!N163*Inputs!N486/'Revenue Calculation'!N8</f>
        <v>0</v>
      </c>
      <c r="O58" s="159">
        <f>'Cost Calculation'!O163*Inputs!O486/'Revenue Calculation'!O8</f>
        <v>0</v>
      </c>
      <c r="P58" s="159">
        <f>'Cost Calculation'!P163*Inputs!P486/'Revenue Calculation'!P8</f>
        <v>0</v>
      </c>
      <c r="Q58" s="159">
        <f>'Cost Calculation'!Q163*Inputs!Q486/'Revenue Calculation'!Q8</f>
        <v>0</v>
      </c>
      <c r="R58" s="159">
        <f>'Cost Calculation'!R163*Inputs!R486/'Revenue Calculation'!R8</f>
        <v>0</v>
      </c>
      <c r="S58" s="159">
        <f>'Cost Calculation'!S163*Inputs!S486/'Revenue Calculation'!S8</f>
        <v>0</v>
      </c>
      <c r="T58" s="159">
        <f>'Cost Calculation'!T163*Inputs!T486/'Revenue Calculation'!T8</f>
        <v>0</v>
      </c>
    </row>
    <row r="59" spans="2:20" x14ac:dyDescent="0.25">
      <c r="B59" s="21" t="s">
        <v>2591</v>
      </c>
      <c r="C59" s="28" t="s">
        <v>493</v>
      </c>
      <c r="G59" s="160">
        <v>0</v>
      </c>
      <c r="H59" s="160">
        <f t="shared" ref="H59:T59" si="11">H57-H58</f>
        <v>0</v>
      </c>
      <c r="I59" s="160">
        <f t="shared" si="11"/>
        <v>0</v>
      </c>
      <c r="J59" s="160">
        <f t="shared" si="11"/>
        <v>0</v>
      </c>
      <c r="K59" s="160">
        <f t="shared" si="11"/>
        <v>9.1385342806873618E-2</v>
      </c>
      <c r="L59" s="160">
        <f t="shared" si="11"/>
        <v>9.4091037235639732E-2</v>
      </c>
      <c r="M59" s="160">
        <f t="shared" si="11"/>
        <v>9.7401203334497158E-2</v>
      </c>
      <c r="N59" s="160">
        <f t="shared" si="11"/>
        <v>0.10054515724275126</v>
      </c>
      <c r="O59" s="160">
        <f t="shared" si="11"/>
        <v>0.103783429768253</v>
      </c>
      <c r="P59" s="160">
        <f t="shared" si="11"/>
        <v>0.10682617601468498</v>
      </c>
      <c r="Q59" s="160">
        <f t="shared" si="11"/>
        <v>0.11055433379182451</v>
      </c>
      <c r="R59" s="160">
        <f t="shared" si="11"/>
        <v>0.11409288161379844</v>
      </c>
      <c r="S59" s="160">
        <f t="shared" si="11"/>
        <v>0.11773758587043155</v>
      </c>
      <c r="T59" s="160">
        <f t="shared" si="11"/>
        <v>0.12115968690707307</v>
      </c>
    </row>
    <row r="60" spans="2:20" x14ac:dyDescent="0.25">
      <c r="B60" s="154" t="s">
        <v>565</v>
      </c>
    </row>
    <row r="61" spans="2:20" x14ac:dyDescent="0.25">
      <c r="B61" s="23" t="s">
        <v>2589</v>
      </c>
      <c r="C61" s="28" t="s">
        <v>493</v>
      </c>
      <c r="G61" s="159">
        <v>0</v>
      </c>
      <c r="H61" s="159">
        <f>'Revenue Calculation'!H140*Inputs!H485/'Revenue Calculation'!H8</f>
        <v>0</v>
      </c>
      <c r="I61" s="159">
        <f>'Revenue Calculation'!I140*Inputs!I485/'Revenue Calculation'!I8</f>
        <v>0</v>
      </c>
      <c r="J61" s="159">
        <f>'Revenue Calculation'!J140*Inputs!J485/'Revenue Calculation'!J8</f>
        <v>0</v>
      </c>
      <c r="K61" s="159">
        <f>'Revenue Calculation'!K140*Inputs!K485/'Revenue Calculation'!K8</f>
        <v>0.19237982745205481</v>
      </c>
      <c r="L61" s="159">
        <f>'Revenue Calculation'!L140*Inputs!L485/'Revenue Calculation'!L8</f>
        <v>0.19760982549344266</v>
      </c>
      <c r="M61" s="159">
        <f>'Revenue Calculation'!M140*Inputs!M485/'Revenue Calculation'!M8</f>
        <v>0.20409575894388499</v>
      </c>
      <c r="N61" s="159">
        <f>'Revenue Calculation'!N140*Inputs!N485/'Revenue Calculation'!N8</f>
        <v>0.21021863171220148</v>
      </c>
      <c r="O61" s="159">
        <f>'Revenue Calculation'!O140*Inputs!O485/'Revenue Calculation'!O8</f>
        <v>0.2165251906635676</v>
      </c>
      <c r="P61" s="159">
        <f>'Revenue Calculation'!P140*Inputs!P485/'Revenue Calculation'!P8</f>
        <v>0.22241159953543232</v>
      </c>
      <c r="Q61" s="159">
        <f>'Revenue Calculation'!Q140*Inputs!Q485/'Revenue Calculation'!Q8</f>
        <v>0.22971157477497881</v>
      </c>
      <c r="R61" s="159">
        <f>'Revenue Calculation'!R140*Inputs!R485/'Revenue Calculation'!R8</f>
        <v>0.23660292201822819</v>
      </c>
      <c r="S61" s="159">
        <f>'Revenue Calculation'!S140*Inputs!S485/'Revenue Calculation'!S8</f>
        <v>0.24370100967877506</v>
      </c>
      <c r="T61" s="159">
        <f>'Revenue Calculation'!T140*Inputs!T485/'Revenue Calculation'!T8</f>
        <v>0.25032621472332095</v>
      </c>
    </row>
    <row r="62" spans="2:20" x14ac:dyDescent="0.25">
      <c r="B62" s="23" t="s">
        <v>2590</v>
      </c>
      <c r="C62" s="28" t="s">
        <v>493</v>
      </c>
      <c r="G62" s="159">
        <v>0</v>
      </c>
      <c r="H62" s="159">
        <f>'Cost Calculation'!H166*Inputs!H486/'Revenue Calculation'!H8</f>
        <v>0</v>
      </c>
      <c r="I62" s="159">
        <f>'Cost Calculation'!I166*Inputs!I486/'Revenue Calculation'!I8</f>
        <v>0</v>
      </c>
      <c r="J62" s="159">
        <f>'Cost Calculation'!J166*Inputs!J486/'Revenue Calculation'!J8</f>
        <v>0</v>
      </c>
      <c r="K62" s="159">
        <f>'Cost Calculation'!K166*Inputs!K486/'Revenue Calculation'!K8</f>
        <v>0</v>
      </c>
      <c r="L62" s="159">
        <f>'Cost Calculation'!L166*Inputs!L486/'Revenue Calculation'!L8</f>
        <v>0</v>
      </c>
      <c r="M62" s="159">
        <f>'Cost Calculation'!M166*Inputs!M486/'Revenue Calculation'!M8</f>
        <v>0</v>
      </c>
      <c r="N62" s="159">
        <f>'Cost Calculation'!N166*Inputs!N486/'Revenue Calculation'!N8</f>
        <v>0</v>
      </c>
      <c r="O62" s="159">
        <f>'Cost Calculation'!O166*Inputs!O486/'Revenue Calculation'!O8</f>
        <v>0</v>
      </c>
      <c r="P62" s="159">
        <f>'Cost Calculation'!P166*Inputs!P486/'Revenue Calculation'!P8</f>
        <v>0</v>
      </c>
      <c r="Q62" s="159">
        <f>'Cost Calculation'!Q166*Inputs!Q486/'Revenue Calculation'!Q8</f>
        <v>0</v>
      </c>
      <c r="R62" s="159">
        <f>'Cost Calculation'!R166*Inputs!R486/'Revenue Calculation'!R8</f>
        <v>0</v>
      </c>
      <c r="S62" s="159">
        <f>'Cost Calculation'!S166*Inputs!S486/'Revenue Calculation'!S8</f>
        <v>0</v>
      </c>
      <c r="T62" s="159">
        <f>'Cost Calculation'!T166*Inputs!T486/'Revenue Calculation'!T8</f>
        <v>0</v>
      </c>
    </row>
    <row r="63" spans="2:20" x14ac:dyDescent="0.25">
      <c r="B63" s="21" t="s">
        <v>2591</v>
      </c>
      <c r="C63" s="28" t="s">
        <v>493</v>
      </c>
      <c r="G63" s="160">
        <v>0</v>
      </c>
      <c r="H63" s="160">
        <f t="shared" ref="H63:T63" si="12">H61-H62</f>
        <v>0</v>
      </c>
      <c r="I63" s="160">
        <f t="shared" si="12"/>
        <v>0</v>
      </c>
      <c r="J63" s="160">
        <f t="shared" si="12"/>
        <v>0</v>
      </c>
      <c r="K63" s="160">
        <f t="shared" si="12"/>
        <v>0.19237982745205481</v>
      </c>
      <c r="L63" s="160">
        <f t="shared" si="12"/>
        <v>0.19760982549344266</v>
      </c>
      <c r="M63" s="160">
        <f t="shared" si="12"/>
        <v>0.20409575894388499</v>
      </c>
      <c r="N63" s="160">
        <f t="shared" si="12"/>
        <v>0.21021863171220148</v>
      </c>
      <c r="O63" s="160">
        <f t="shared" si="12"/>
        <v>0.2165251906635676</v>
      </c>
      <c r="P63" s="160">
        <f t="shared" si="12"/>
        <v>0.22241159953543232</v>
      </c>
      <c r="Q63" s="160">
        <f t="shared" si="12"/>
        <v>0.22971157477497881</v>
      </c>
      <c r="R63" s="160">
        <f t="shared" si="12"/>
        <v>0.23660292201822819</v>
      </c>
      <c r="S63" s="160">
        <f t="shared" si="12"/>
        <v>0.24370100967877506</v>
      </c>
      <c r="T63" s="160">
        <f t="shared" si="12"/>
        <v>0.25032621472332095</v>
      </c>
    </row>
    <row r="64" spans="2:20" x14ac:dyDescent="0.25">
      <c r="B64" s="154" t="s">
        <v>568</v>
      </c>
    </row>
    <row r="65" spans="2:20" x14ac:dyDescent="0.25">
      <c r="B65" s="23" t="s">
        <v>2589</v>
      </c>
      <c r="C65" s="28" t="s">
        <v>493</v>
      </c>
      <c r="G65" s="159">
        <v>0</v>
      </c>
      <c r="H65" s="159">
        <f>'Revenue Calculation'!H143*Inputs!H485/'Revenue Calculation'!H8</f>
        <v>0</v>
      </c>
      <c r="I65" s="159">
        <f>'Revenue Calculation'!I143*Inputs!I485/'Revenue Calculation'!I8</f>
        <v>0</v>
      </c>
      <c r="J65" s="159">
        <f>'Revenue Calculation'!J143*Inputs!J485/'Revenue Calculation'!J8</f>
        <v>0</v>
      </c>
      <c r="K65" s="159">
        <f>'Revenue Calculation'!K143*Inputs!K485/'Revenue Calculation'!K8</f>
        <v>0</v>
      </c>
      <c r="L65" s="159">
        <f>'Revenue Calculation'!L143*Inputs!L485/'Revenue Calculation'!L8</f>
        <v>5.7049180327868862E-2</v>
      </c>
      <c r="M65" s="159">
        <f>'Revenue Calculation'!M143*Inputs!M485/'Revenue Calculation'!M8</f>
        <v>6.292602739726029E-2</v>
      </c>
      <c r="N65" s="159">
        <f>'Revenue Calculation'!N143*Inputs!N485/'Revenue Calculation'!N8</f>
        <v>6.9218630136986328E-2</v>
      </c>
      <c r="O65" s="159">
        <f>'Revenue Calculation'!O143*Inputs!O485/'Revenue Calculation'!O8</f>
        <v>7.6140493150684954E-2</v>
      </c>
      <c r="P65" s="159">
        <f>'Revenue Calculation'!P143*Inputs!P485/'Revenue Calculation'!P8</f>
        <v>8.0488406557377087E-2</v>
      </c>
      <c r="Q65" s="159">
        <f>'Revenue Calculation'!Q143*Inputs!Q485/'Revenue Calculation'!Q8</f>
        <v>8.5551458104109634E-2</v>
      </c>
      <c r="R65" s="159">
        <f>'Revenue Calculation'!R143*Inputs!R485/'Revenue Calculation'!R8</f>
        <v>9.06845455903562E-2</v>
      </c>
      <c r="S65" s="159">
        <f>'Revenue Calculation'!S143*Inputs!S485/'Revenue Calculation'!S8</f>
        <v>9.6125618325777595E-2</v>
      </c>
      <c r="T65" s="159">
        <f>'Revenue Calculation'!T143*Inputs!T485/'Revenue Calculation'!T8</f>
        <v>0.10161475882580152</v>
      </c>
    </row>
    <row r="66" spans="2:20" x14ac:dyDescent="0.25">
      <c r="B66" s="23" t="s">
        <v>2590</v>
      </c>
      <c r="C66" s="28" t="s">
        <v>493</v>
      </c>
      <c r="G66" s="159">
        <v>0</v>
      </c>
      <c r="H66" s="159">
        <f>'Cost Calculation'!H169*Inputs!H486/'Revenue Calculation'!H8</f>
        <v>0</v>
      </c>
      <c r="I66" s="159">
        <f>'Cost Calculation'!I169*Inputs!I486/'Revenue Calculation'!I8</f>
        <v>0</v>
      </c>
      <c r="J66" s="159">
        <f>'Cost Calculation'!J169*Inputs!J486/'Revenue Calculation'!J8</f>
        <v>0</v>
      </c>
      <c r="K66" s="159">
        <f>'Cost Calculation'!K169*Inputs!K486/'Revenue Calculation'!K8</f>
        <v>0</v>
      </c>
      <c r="L66" s="159">
        <f>'Cost Calculation'!L169*Inputs!L486/'Revenue Calculation'!L8</f>
        <v>0</v>
      </c>
      <c r="M66" s="159">
        <f>'Cost Calculation'!M169*Inputs!M486/'Revenue Calculation'!M8</f>
        <v>0</v>
      </c>
      <c r="N66" s="159">
        <f>'Cost Calculation'!N169*Inputs!N486/'Revenue Calculation'!N8</f>
        <v>0</v>
      </c>
      <c r="O66" s="159">
        <f>'Cost Calculation'!O169*Inputs!O486/'Revenue Calculation'!O8</f>
        <v>0</v>
      </c>
      <c r="P66" s="159">
        <f>'Cost Calculation'!P169*Inputs!P486/'Revenue Calculation'!P8</f>
        <v>0</v>
      </c>
      <c r="Q66" s="159">
        <f>'Cost Calculation'!Q169*Inputs!Q486/'Revenue Calculation'!Q8</f>
        <v>0</v>
      </c>
      <c r="R66" s="159">
        <f>'Cost Calculation'!R169*Inputs!R486/'Revenue Calculation'!R8</f>
        <v>0</v>
      </c>
      <c r="S66" s="159">
        <f>'Cost Calculation'!S169*Inputs!S486/'Revenue Calculation'!S8</f>
        <v>0</v>
      </c>
      <c r="T66" s="159">
        <f>'Cost Calculation'!T169*Inputs!T486/'Revenue Calculation'!T8</f>
        <v>0</v>
      </c>
    </row>
    <row r="67" spans="2:20" x14ac:dyDescent="0.25">
      <c r="B67" s="21" t="s">
        <v>2591</v>
      </c>
      <c r="C67" s="28" t="s">
        <v>493</v>
      </c>
      <c r="G67" s="160">
        <v>0</v>
      </c>
      <c r="H67" s="160">
        <f t="shared" ref="H67:T67" si="13">H65-H66</f>
        <v>0</v>
      </c>
      <c r="I67" s="160">
        <f t="shared" si="13"/>
        <v>0</v>
      </c>
      <c r="J67" s="160">
        <f t="shared" si="13"/>
        <v>0</v>
      </c>
      <c r="K67" s="160">
        <f t="shared" si="13"/>
        <v>0</v>
      </c>
      <c r="L67" s="160">
        <f t="shared" si="13"/>
        <v>5.7049180327868862E-2</v>
      </c>
      <c r="M67" s="160">
        <f t="shared" si="13"/>
        <v>6.292602739726029E-2</v>
      </c>
      <c r="N67" s="160">
        <f t="shared" si="13"/>
        <v>6.9218630136986328E-2</v>
      </c>
      <c r="O67" s="160">
        <f t="shared" si="13"/>
        <v>7.6140493150684954E-2</v>
      </c>
      <c r="P67" s="160">
        <f t="shared" si="13"/>
        <v>8.0488406557377087E-2</v>
      </c>
      <c r="Q67" s="160">
        <f t="shared" si="13"/>
        <v>8.5551458104109634E-2</v>
      </c>
      <c r="R67" s="160">
        <f t="shared" si="13"/>
        <v>9.06845455903562E-2</v>
      </c>
      <c r="S67" s="160">
        <f t="shared" si="13"/>
        <v>9.6125618325777595E-2</v>
      </c>
      <c r="T67" s="160">
        <f t="shared" si="13"/>
        <v>0.10161475882580152</v>
      </c>
    </row>
    <row r="68" spans="2:20" x14ac:dyDescent="0.25">
      <c r="B68" s="154" t="s">
        <v>570</v>
      </c>
    </row>
    <row r="69" spans="2:20" x14ac:dyDescent="0.25">
      <c r="B69" s="23" t="s">
        <v>2589</v>
      </c>
      <c r="C69" s="28" t="s">
        <v>493</v>
      </c>
      <c r="G69" s="159">
        <v>0</v>
      </c>
      <c r="H69" s="159">
        <f>'Revenue Calculation'!H146*Inputs!H485/'Revenue Calculation'!H8</f>
        <v>0</v>
      </c>
      <c r="I69" s="159">
        <f>'Revenue Calculation'!I146*Inputs!I485/'Revenue Calculation'!I8</f>
        <v>0</v>
      </c>
      <c r="J69" s="159">
        <f>'Revenue Calculation'!J146*Inputs!J485/'Revenue Calculation'!J8</f>
        <v>0</v>
      </c>
      <c r="K69" s="159">
        <f>'Revenue Calculation'!K146*Inputs!K485/'Revenue Calculation'!K8</f>
        <v>5.5571903938356156E-2</v>
      </c>
      <c r="L69" s="159">
        <f>'Revenue Calculation'!L146*Inputs!L485/'Revenue Calculation'!L8</f>
        <v>5.708267017930329E-2</v>
      </c>
      <c r="M69" s="159">
        <f>'Revenue Calculation'!M146*Inputs!M485/'Revenue Calculation'!M8</f>
        <v>5.8956232888202065E-2</v>
      </c>
      <c r="N69" s="159">
        <f>'Revenue Calculation'!N146*Inputs!N485/'Revenue Calculation'!N8</f>
        <v>6.0724919874848127E-2</v>
      </c>
      <c r="O69" s="159">
        <f>'Revenue Calculation'!O146*Inputs!O485/'Revenue Calculation'!O8</f>
        <v>6.2546667471093581E-2</v>
      </c>
      <c r="P69" s="159">
        <f>'Revenue Calculation'!P146*Inputs!P485/'Revenue Calculation'!P8</f>
        <v>6.4247048185130134E-2</v>
      </c>
      <c r="Q69" s="159">
        <f>'Revenue Calculation'!Q146*Inputs!Q485/'Revenue Calculation'!Q8</f>
        <v>6.6355759520083157E-2</v>
      </c>
      <c r="R69" s="159">
        <f>'Revenue Calculation'!R146*Inputs!R485/'Revenue Calculation'!R8</f>
        <v>6.8346432305685656E-2</v>
      </c>
      <c r="S69" s="159">
        <f>'Revenue Calculation'!S146*Inputs!S485/'Revenue Calculation'!S8</f>
        <v>7.0396825274856245E-2</v>
      </c>
      <c r="T69" s="159">
        <f>'Revenue Calculation'!T146*Inputs!T485/'Revenue Calculation'!T8</f>
        <v>7.2310618748858496E-2</v>
      </c>
    </row>
    <row r="70" spans="2:20" x14ac:dyDescent="0.25">
      <c r="B70" s="23" t="s">
        <v>2590</v>
      </c>
      <c r="C70" s="28" t="s">
        <v>493</v>
      </c>
      <c r="G70" s="159">
        <v>0</v>
      </c>
      <c r="H70" s="159">
        <f>'Cost Calculation'!H172*Inputs!H486/'Revenue Calculation'!H8</f>
        <v>0</v>
      </c>
      <c r="I70" s="159">
        <f>'Cost Calculation'!I172*Inputs!I486/'Revenue Calculation'!I8</f>
        <v>0</v>
      </c>
      <c r="J70" s="159">
        <f>'Cost Calculation'!J172*Inputs!J486/'Revenue Calculation'!J8</f>
        <v>0</v>
      </c>
      <c r="K70" s="159">
        <f>'Cost Calculation'!K172*Inputs!K486/'Revenue Calculation'!K8</f>
        <v>0</v>
      </c>
      <c r="L70" s="159">
        <f>'Cost Calculation'!L172*Inputs!L486/'Revenue Calculation'!L8</f>
        <v>0</v>
      </c>
      <c r="M70" s="159">
        <f>'Cost Calculation'!M172*Inputs!M486/'Revenue Calculation'!M8</f>
        <v>0</v>
      </c>
      <c r="N70" s="159">
        <f>'Cost Calculation'!N172*Inputs!N486/'Revenue Calculation'!N8</f>
        <v>0</v>
      </c>
      <c r="O70" s="159">
        <f>'Cost Calculation'!O172*Inputs!O486/'Revenue Calculation'!O8</f>
        <v>0</v>
      </c>
      <c r="P70" s="159">
        <f>'Cost Calculation'!P172*Inputs!P486/'Revenue Calculation'!P8</f>
        <v>0</v>
      </c>
      <c r="Q70" s="159">
        <f>'Cost Calculation'!Q172*Inputs!Q486/'Revenue Calculation'!Q8</f>
        <v>0</v>
      </c>
      <c r="R70" s="159">
        <f>'Cost Calculation'!R172*Inputs!R486/'Revenue Calculation'!R8</f>
        <v>0</v>
      </c>
      <c r="S70" s="159">
        <f>'Cost Calculation'!S172*Inputs!S486/'Revenue Calculation'!S8</f>
        <v>0</v>
      </c>
      <c r="T70" s="159">
        <f>'Cost Calculation'!T172*Inputs!T486/'Revenue Calculation'!T8</f>
        <v>0</v>
      </c>
    </row>
    <row r="71" spans="2:20" x14ac:dyDescent="0.25">
      <c r="B71" s="21" t="s">
        <v>2591</v>
      </c>
      <c r="C71" s="28" t="s">
        <v>493</v>
      </c>
      <c r="G71" s="160">
        <v>0</v>
      </c>
      <c r="H71" s="160">
        <f t="shared" ref="H71:T71" si="14">H69-H70</f>
        <v>0</v>
      </c>
      <c r="I71" s="160">
        <f t="shared" si="14"/>
        <v>0</v>
      </c>
      <c r="J71" s="160">
        <f t="shared" si="14"/>
        <v>0</v>
      </c>
      <c r="K71" s="160">
        <f t="shared" si="14"/>
        <v>5.5571903938356156E-2</v>
      </c>
      <c r="L71" s="160">
        <f t="shared" si="14"/>
        <v>5.708267017930329E-2</v>
      </c>
      <c r="M71" s="160">
        <f t="shared" si="14"/>
        <v>5.8956232888202065E-2</v>
      </c>
      <c r="N71" s="160">
        <f t="shared" si="14"/>
        <v>6.0724919874848127E-2</v>
      </c>
      <c r="O71" s="160">
        <f t="shared" si="14"/>
        <v>6.2546667471093581E-2</v>
      </c>
      <c r="P71" s="160">
        <f t="shared" si="14"/>
        <v>6.4247048185130134E-2</v>
      </c>
      <c r="Q71" s="160">
        <f t="shared" si="14"/>
        <v>6.6355759520083157E-2</v>
      </c>
      <c r="R71" s="160">
        <f t="shared" si="14"/>
        <v>6.8346432305685656E-2</v>
      </c>
      <c r="S71" s="160">
        <f t="shared" si="14"/>
        <v>7.0396825274856245E-2</v>
      </c>
      <c r="T71" s="160">
        <f t="shared" si="14"/>
        <v>7.2310618748858496E-2</v>
      </c>
    </row>
    <row r="72" spans="2:20" x14ac:dyDescent="0.25">
      <c r="B72" s="154" t="s">
        <v>572</v>
      </c>
    </row>
    <row r="73" spans="2:20" x14ac:dyDescent="0.25">
      <c r="B73" s="23" t="s">
        <v>2589</v>
      </c>
      <c r="C73" s="28" t="s">
        <v>493</v>
      </c>
      <c r="G73" s="159">
        <v>0</v>
      </c>
      <c r="H73" s="159">
        <f>'BUMN Synergy Calculation'!H34*Inputs!H485/'Revenue Calculation'!H8</f>
        <v>0</v>
      </c>
      <c r="I73" s="159">
        <f>'BUMN Synergy Calculation'!I34*Inputs!I485/'Revenue Calculation'!I8</f>
        <v>0</v>
      </c>
      <c r="J73" s="159">
        <f>'BUMN Synergy Calculation'!J34*Inputs!J485/'Revenue Calculation'!J8</f>
        <v>7.1832244318499523</v>
      </c>
      <c r="K73" s="159">
        <f>'BUMN Synergy Calculation'!K34*Inputs!K485/'Revenue Calculation'!K8</f>
        <v>7.3987211648054521</v>
      </c>
      <c r="L73" s="159">
        <f>'BUMN Synergy Calculation'!L34*Inputs!L485/'Revenue Calculation'!L8</f>
        <v>7.5998612620453825</v>
      </c>
      <c r="M73" s="159">
        <f>'BUMN Synergy Calculation'!M34*Inputs!M485/'Revenue Calculation'!M8</f>
        <v>7.8493032837421044</v>
      </c>
      <c r="N73" s="159">
        <f>'BUMN Synergy Calculation'!N34*Inputs!N485/'Revenue Calculation'!N8</f>
        <v>8.0847823822543674</v>
      </c>
      <c r="O73" s="159">
        <f>'BUMN Synergy Calculation'!O34*Inputs!O485/'Revenue Calculation'!O8</f>
        <v>8.3273258537219981</v>
      </c>
      <c r="P73" s="159">
        <f>'BUMN Synergy Calculation'!P34*Inputs!P485/'Revenue Calculation'!P8</f>
        <v>8.5537108052097945</v>
      </c>
      <c r="Q73" s="159">
        <f>'BUMN Synergy Calculation'!Q34*Inputs!Q485/'Revenue Calculation'!Q8</f>
        <v>8.8344599982136689</v>
      </c>
      <c r="R73" s="159">
        <f>'BUMN Synergy Calculation'!R34*Inputs!R485/'Revenue Calculation'!R8</f>
        <v>9.0994937981600792</v>
      </c>
      <c r="S73" s="159">
        <f>'BUMN Synergy Calculation'!S34*Inputs!S485/'Revenue Calculation'!S8</f>
        <v>9.3724786121048815</v>
      </c>
      <c r="T73" s="159">
        <f>'BUMN Synergy Calculation'!T34*Inputs!T485/'Revenue Calculation'!T8</f>
        <v>9.6272768694558195</v>
      </c>
    </row>
    <row r="74" spans="2:20" x14ac:dyDescent="0.25">
      <c r="B74" s="23" t="s">
        <v>2590</v>
      </c>
      <c r="C74" s="28" t="s">
        <v>493</v>
      </c>
      <c r="G74" s="159">
        <v>0</v>
      </c>
      <c r="H74" s="159">
        <f>'BUMN Synergy Calculation'!H35*Inputs!H486/'Revenue Calculation'!H8</f>
        <v>0</v>
      </c>
      <c r="I74" s="159">
        <f>'BUMN Synergy Calculation'!I35*Inputs!I486/'Revenue Calculation'!I8</f>
        <v>0</v>
      </c>
      <c r="J74" s="159">
        <f>'BUMN Synergy Calculation'!J35*Inputs!J486/'Revenue Calculation'!J8</f>
        <v>0</v>
      </c>
      <c r="K74" s="159">
        <f>'BUMN Synergy Calculation'!K35*Inputs!K486/'Revenue Calculation'!K8</f>
        <v>0</v>
      </c>
      <c r="L74" s="159">
        <f>'BUMN Synergy Calculation'!L35*Inputs!L486/'Revenue Calculation'!L8</f>
        <v>0</v>
      </c>
      <c r="M74" s="159">
        <f>'BUMN Synergy Calculation'!M35*Inputs!M486/'Revenue Calculation'!M8</f>
        <v>0</v>
      </c>
      <c r="N74" s="159">
        <f>'BUMN Synergy Calculation'!N35*Inputs!N486/'Revenue Calculation'!N8</f>
        <v>0</v>
      </c>
      <c r="O74" s="159">
        <f>'BUMN Synergy Calculation'!O35*Inputs!O486/'Revenue Calculation'!O8</f>
        <v>0</v>
      </c>
      <c r="P74" s="159">
        <f>'BUMN Synergy Calculation'!P35*Inputs!P486/'Revenue Calculation'!P8</f>
        <v>0</v>
      </c>
      <c r="Q74" s="159">
        <f>'BUMN Synergy Calculation'!Q35*Inputs!Q486/'Revenue Calculation'!Q8</f>
        <v>0</v>
      </c>
      <c r="R74" s="159">
        <f>'BUMN Synergy Calculation'!R35*Inputs!R486/'Revenue Calculation'!R8</f>
        <v>0</v>
      </c>
      <c r="S74" s="159">
        <f>'BUMN Synergy Calculation'!S35*Inputs!S486/'Revenue Calculation'!S8</f>
        <v>0</v>
      </c>
      <c r="T74" s="159">
        <f>'BUMN Synergy Calculation'!T35*Inputs!T486/'Revenue Calculation'!T8</f>
        <v>0</v>
      </c>
    </row>
    <row r="75" spans="2:20" x14ac:dyDescent="0.25">
      <c r="B75" s="21" t="s">
        <v>2591</v>
      </c>
      <c r="C75" s="28" t="s">
        <v>493</v>
      </c>
      <c r="G75" s="160">
        <v>0</v>
      </c>
      <c r="H75" s="160">
        <f t="shared" ref="H75:T75" si="15">H73-H74</f>
        <v>0</v>
      </c>
      <c r="I75" s="160">
        <f t="shared" si="15"/>
        <v>0</v>
      </c>
      <c r="J75" s="160">
        <f t="shared" si="15"/>
        <v>7.1832244318499523</v>
      </c>
      <c r="K75" s="160">
        <f t="shared" si="15"/>
        <v>7.3987211648054521</v>
      </c>
      <c r="L75" s="160">
        <f t="shared" si="15"/>
        <v>7.5998612620453825</v>
      </c>
      <c r="M75" s="160">
        <f t="shared" si="15"/>
        <v>7.8493032837421044</v>
      </c>
      <c r="N75" s="160">
        <f t="shared" si="15"/>
        <v>8.0847823822543674</v>
      </c>
      <c r="O75" s="160">
        <f t="shared" si="15"/>
        <v>8.3273258537219981</v>
      </c>
      <c r="P75" s="160">
        <f t="shared" si="15"/>
        <v>8.5537108052097945</v>
      </c>
      <c r="Q75" s="160">
        <f t="shared" si="15"/>
        <v>8.8344599982136689</v>
      </c>
      <c r="R75" s="160">
        <f t="shared" si="15"/>
        <v>9.0994937981600792</v>
      </c>
      <c r="S75" s="160">
        <f t="shared" si="15"/>
        <v>9.3724786121048815</v>
      </c>
      <c r="T75" s="160">
        <f t="shared" si="15"/>
        <v>9.6272768694558195</v>
      </c>
    </row>
    <row r="76" spans="2:20" x14ac:dyDescent="0.25">
      <c r="B76" s="154" t="s">
        <v>576</v>
      </c>
    </row>
    <row r="77" spans="2:20" x14ac:dyDescent="0.25">
      <c r="B77" s="23" t="s">
        <v>2589</v>
      </c>
      <c r="C77" s="28" t="s">
        <v>493</v>
      </c>
      <c r="G77" s="159">
        <v>0</v>
      </c>
      <c r="H77" s="159">
        <f>'BUMN Synergy Calculation'!H59*Inputs!H485/'Revenue Calculation'!H8</f>
        <v>0</v>
      </c>
      <c r="I77" s="159">
        <f>'BUMN Synergy Calculation'!I59*Inputs!I485/'Revenue Calculation'!I8</f>
        <v>0</v>
      </c>
      <c r="J77" s="159">
        <f>'BUMN Synergy Calculation'!J59*Inputs!J485/'Revenue Calculation'!J8</f>
        <v>6.9568829300448209</v>
      </c>
      <c r="K77" s="159">
        <f>'BUMN Synergy Calculation'!K59*Inputs!K485/'Revenue Calculation'!K8</f>
        <v>7.1655894179461654</v>
      </c>
      <c r="L77" s="159">
        <f>'BUMN Synergy Calculation'!L59*Inputs!L485/'Revenue Calculation'!L8</f>
        <v>7.3603916439258503</v>
      </c>
      <c r="M77" s="159">
        <f>'BUMN Synergy Calculation'!M59*Inputs!M485/'Revenue Calculation'!M8</f>
        <v>7.6019738134990877</v>
      </c>
      <c r="N77" s="159">
        <f>'BUMN Synergy Calculation'!N59*Inputs!N485/'Revenue Calculation'!N8</f>
        <v>7.8300330279040589</v>
      </c>
      <c r="O77" s="159">
        <f>'BUMN Synergy Calculation'!O59*Inputs!O485/'Revenue Calculation'!O8</f>
        <v>8.064934018741182</v>
      </c>
      <c r="P77" s="159">
        <f>'BUMN Synergy Calculation'!P59*Inputs!P485/'Revenue Calculation'!P8</f>
        <v>8.2841856402889267</v>
      </c>
      <c r="Q77" s="159">
        <f>'BUMN Synergy Calculation'!Q59*Inputs!Q485/'Revenue Calculation'!Q8</f>
        <v>8.556088500482522</v>
      </c>
      <c r="R77" s="159">
        <f>'BUMN Synergy Calculation'!R59*Inputs!R485/'Revenue Calculation'!R8</f>
        <v>8.8127711554969963</v>
      </c>
      <c r="S77" s="159">
        <f>'BUMN Synergy Calculation'!S59*Inputs!S485/'Revenue Calculation'!S8</f>
        <v>9.0771542901619053</v>
      </c>
      <c r="T77" s="159">
        <f>'BUMN Synergy Calculation'!T59*Inputs!T485/'Revenue Calculation'!T8</f>
        <v>9.3239239218206809</v>
      </c>
    </row>
    <row r="78" spans="2:20" x14ac:dyDescent="0.25">
      <c r="B78" s="23" t="s">
        <v>2590</v>
      </c>
      <c r="C78" s="28" t="s">
        <v>493</v>
      </c>
      <c r="G78" s="159">
        <v>0</v>
      </c>
      <c r="H78" s="159">
        <f>'BUMN Synergy Calculation'!H60*Inputs!H486/'Revenue Calculation'!H8</f>
        <v>0</v>
      </c>
      <c r="I78" s="159">
        <f>'BUMN Synergy Calculation'!I60*Inputs!I486/'Revenue Calculation'!I8</f>
        <v>0</v>
      </c>
      <c r="J78" s="159">
        <f>'BUMN Synergy Calculation'!J60*Inputs!J486/'Revenue Calculation'!J8</f>
        <v>0</v>
      </c>
      <c r="K78" s="159">
        <f>'BUMN Synergy Calculation'!K60*Inputs!K486/'Revenue Calculation'!K8</f>
        <v>0</v>
      </c>
      <c r="L78" s="159">
        <f>'BUMN Synergy Calculation'!L60*Inputs!L486/'Revenue Calculation'!L8</f>
        <v>0</v>
      </c>
      <c r="M78" s="159">
        <f>'BUMN Synergy Calculation'!M60*Inputs!M486/'Revenue Calculation'!M8</f>
        <v>0</v>
      </c>
      <c r="N78" s="159">
        <f>'BUMN Synergy Calculation'!N60*Inputs!N486/'Revenue Calculation'!N8</f>
        <v>0</v>
      </c>
      <c r="O78" s="159">
        <f>'BUMN Synergy Calculation'!O60*Inputs!O486/'Revenue Calculation'!O8</f>
        <v>0</v>
      </c>
      <c r="P78" s="159">
        <f>'BUMN Synergy Calculation'!P60*Inputs!P486/'Revenue Calculation'!P8</f>
        <v>0</v>
      </c>
      <c r="Q78" s="159">
        <f>'BUMN Synergy Calculation'!Q60*Inputs!Q486/'Revenue Calculation'!Q8</f>
        <v>0</v>
      </c>
      <c r="R78" s="159">
        <f>'BUMN Synergy Calculation'!R60*Inputs!R486/'Revenue Calculation'!R8</f>
        <v>0</v>
      </c>
      <c r="S78" s="159">
        <f>'BUMN Synergy Calculation'!S60*Inputs!S486/'Revenue Calculation'!S8</f>
        <v>0</v>
      </c>
      <c r="T78" s="159">
        <f>'BUMN Synergy Calculation'!T60*Inputs!T486/'Revenue Calculation'!T8</f>
        <v>0</v>
      </c>
    </row>
    <row r="79" spans="2:20" x14ac:dyDescent="0.25">
      <c r="B79" s="21" t="s">
        <v>2591</v>
      </c>
      <c r="C79" s="28" t="s">
        <v>493</v>
      </c>
      <c r="G79" s="160">
        <v>0</v>
      </c>
      <c r="H79" s="160">
        <f t="shared" ref="H79:T79" si="16">H77-H78</f>
        <v>0</v>
      </c>
      <c r="I79" s="160">
        <f t="shared" si="16"/>
        <v>0</v>
      </c>
      <c r="J79" s="160">
        <f t="shared" si="16"/>
        <v>6.9568829300448209</v>
      </c>
      <c r="K79" s="160">
        <f t="shared" si="16"/>
        <v>7.1655894179461654</v>
      </c>
      <c r="L79" s="160">
        <f t="shared" si="16"/>
        <v>7.3603916439258503</v>
      </c>
      <c r="M79" s="160">
        <f t="shared" si="16"/>
        <v>7.6019738134990877</v>
      </c>
      <c r="N79" s="160">
        <f t="shared" si="16"/>
        <v>7.8300330279040589</v>
      </c>
      <c r="O79" s="160">
        <f t="shared" si="16"/>
        <v>8.064934018741182</v>
      </c>
      <c r="P79" s="160">
        <f t="shared" si="16"/>
        <v>8.2841856402889267</v>
      </c>
      <c r="Q79" s="160">
        <f t="shared" si="16"/>
        <v>8.556088500482522</v>
      </c>
      <c r="R79" s="160">
        <f t="shared" si="16"/>
        <v>8.8127711554969963</v>
      </c>
      <c r="S79" s="160">
        <f t="shared" si="16"/>
        <v>9.0771542901619053</v>
      </c>
      <c r="T79" s="160">
        <f t="shared" si="16"/>
        <v>9.3239239218206809</v>
      </c>
    </row>
    <row r="80" spans="2:20" x14ac:dyDescent="0.25">
      <c r="B80" s="154" t="s">
        <v>579</v>
      </c>
    </row>
    <row r="81" spans="2:20" x14ac:dyDescent="0.25">
      <c r="B81" s="23" t="s">
        <v>2589</v>
      </c>
      <c r="C81" s="28" t="s">
        <v>493</v>
      </c>
      <c r="G81" s="159">
        <v>0</v>
      </c>
      <c r="H81" s="159">
        <f>'BUMN Synergy Calculation'!H81*Inputs!H485/'Revenue Calculation'!H8</f>
        <v>0</v>
      </c>
      <c r="I81" s="159">
        <f>'BUMN Synergy Calculation'!I81*Inputs!I485/'Revenue Calculation'!I8</f>
        <v>0</v>
      </c>
      <c r="J81" s="159">
        <f>'BUMN Synergy Calculation'!J81*Inputs!J485/'Revenue Calculation'!J8</f>
        <v>1.5783072426765077</v>
      </c>
      <c r="K81" s="159">
        <f>'BUMN Synergy Calculation'!K81*Inputs!K485/'Revenue Calculation'!K8</f>
        <v>2.0223780467042833</v>
      </c>
      <c r="L81" s="159">
        <f>'BUMN Synergy Calculation'!L81*Inputs!L485/'Revenue Calculation'!L8</f>
        <v>2.1643982788915253</v>
      </c>
      <c r="M81" s="159">
        <f>'BUMN Synergy Calculation'!M81*Inputs!M485/'Revenue Calculation'!M8</f>
        <v>2.3197413184893931</v>
      </c>
      <c r="N81" s="159">
        <f>'BUMN Synergy Calculation'!N81*Inputs!N485/'Revenue Calculation'!N8</f>
        <v>2.4706614833273082</v>
      </c>
      <c r="O81" s="159">
        <f>'BUMN Synergy Calculation'!O81*Inputs!O485/'Revenue Calculation'!O8</f>
        <v>2.6231338412097553</v>
      </c>
      <c r="P81" s="159">
        <f>'BUMN Synergy Calculation'!P81*Inputs!P485/'Revenue Calculation'!P8</f>
        <v>2.7696169662397412</v>
      </c>
      <c r="Q81" s="159">
        <f>'BUMN Synergy Calculation'!Q81*Inputs!Q485/'Revenue Calculation'!Q8</f>
        <v>2.9329227962473268</v>
      </c>
      <c r="R81" s="159">
        <f>'BUMN Synergy Calculation'!R81*Inputs!R485/'Revenue Calculation'!R8</f>
        <v>3.0903367578155554</v>
      </c>
      <c r="S81" s="159">
        <f>'BUMN Synergy Calculation'!S81*Inputs!S485/'Revenue Calculation'!S8</f>
        <v>2.0593329660877835</v>
      </c>
      <c r="T81" s="159">
        <f>'BUMN Synergy Calculation'!T81*Inputs!T485/'Revenue Calculation'!T8</f>
        <v>2.1153175644827931</v>
      </c>
    </row>
    <row r="82" spans="2:20" x14ac:dyDescent="0.25">
      <c r="B82" s="23" t="s">
        <v>2590</v>
      </c>
      <c r="C82" s="28" t="s">
        <v>493</v>
      </c>
      <c r="G82" s="159">
        <v>0</v>
      </c>
      <c r="H82" s="159">
        <f>'BUMN Synergy Calculation'!H82*Inputs!H486/'Revenue Calculation'!H8</f>
        <v>0</v>
      </c>
      <c r="I82" s="159">
        <f>'BUMN Synergy Calculation'!I82*Inputs!I486/'Revenue Calculation'!I8</f>
        <v>0</v>
      </c>
      <c r="J82" s="159">
        <f>'BUMN Synergy Calculation'!J82*Inputs!J486/'Revenue Calculation'!J8</f>
        <v>0</v>
      </c>
      <c r="K82" s="159">
        <f>'BUMN Synergy Calculation'!K82*Inputs!K486/'Revenue Calculation'!K8</f>
        <v>0</v>
      </c>
      <c r="L82" s="159">
        <f>'BUMN Synergy Calculation'!L82*Inputs!L486/'Revenue Calculation'!L8</f>
        <v>0</v>
      </c>
      <c r="M82" s="159">
        <f>'BUMN Synergy Calculation'!M82*Inputs!M486/'Revenue Calculation'!M8</f>
        <v>0</v>
      </c>
      <c r="N82" s="159">
        <f>'BUMN Synergy Calculation'!N82*Inputs!N486/'Revenue Calculation'!N8</f>
        <v>0</v>
      </c>
      <c r="O82" s="159">
        <f>'BUMN Synergy Calculation'!O82*Inputs!O486/'Revenue Calculation'!O8</f>
        <v>0</v>
      </c>
      <c r="P82" s="159">
        <f>'BUMN Synergy Calculation'!P82*Inputs!P486/'Revenue Calculation'!P8</f>
        <v>0</v>
      </c>
      <c r="Q82" s="159">
        <f>'BUMN Synergy Calculation'!Q82*Inputs!Q486/'Revenue Calculation'!Q8</f>
        <v>0</v>
      </c>
      <c r="R82" s="159">
        <f>'BUMN Synergy Calculation'!R82*Inputs!R486/'Revenue Calculation'!R8</f>
        <v>0</v>
      </c>
      <c r="S82" s="159">
        <f>'BUMN Synergy Calculation'!S82*Inputs!S486/'Revenue Calculation'!S8</f>
        <v>0</v>
      </c>
      <c r="T82" s="159">
        <f>'BUMN Synergy Calculation'!T82*Inputs!T486/'Revenue Calculation'!T8</f>
        <v>0</v>
      </c>
    </row>
    <row r="83" spans="2:20" x14ac:dyDescent="0.25">
      <c r="B83" s="21" t="s">
        <v>2591</v>
      </c>
      <c r="C83" s="28" t="s">
        <v>493</v>
      </c>
      <c r="G83" s="160">
        <v>0</v>
      </c>
      <c r="H83" s="160">
        <f t="shared" ref="H83:T83" si="17">H81-H82</f>
        <v>0</v>
      </c>
      <c r="I83" s="160">
        <f t="shared" si="17"/>
        <v>0</v>
      </c>
      <c r="J83" s="160">
        <f t="shared" si="17"/>
        <v>1.5783072426765077</v>
      </c>
      <c r="K83" s="160">
        <f t="shared" si="17"/>
        <v>2.0223780467042833</v>
      </c>
      <c r="L83" s="160">
        <f t="shared" si="17"/>
        <v>2.1643982788915253</v>
      </c>
      <c r="M83" s="160">
        <f t="shared" si="17"/>
        <v>2.3197413184893931</v>
      </c>
      <c r="N83" s="160">
        <f t="shared" si="17"/>
        <v>2.4706614833273082</v>
      </c>
      <c r="O83" s="160">
        <f t="shared" si="17"/>
        <v>2.6231338412097553</v>
      </c>
      <c r="P83" s="160">
        <f t="shared" si="17"/>
        <v>2.7696169662397412</v>
      </c>
      <c r="Q83" s="160">
        <f t="shared" si="17"/>
        <v>2.9329227962473268</v>
      </c>
      <c r="R83" s="160">
        <f t="shared" si="17"/>
        <v>3.0903367578155554</v>
      </c>
      <c r="S83" s="160">
        <f t="shared" si="17"/>
        <v>2.0593329660877835</v>
      </c>
      <c r="T83" s="160">
        <f t="shared" si="17"/>
        <v>2.1153175644827931</v>
      </c>
    </row>
    <row r="84" spans="2:20" x14ac:dyDescent="0.25">
      <c r="B84" s="154" t="s">
        <v>581</v>
      </c>
    </row>
    <row r="85" spans="2:20" x14ac:dyDescent="0.25">
      <c r="B85" s="23" t="s">
        <v>2589</v>
      </c>
      <c r="C85" s="28" t="s">
        <v>493</v>
      </c>
      <c r="G85" s="159">
        <v>0</v>
      </c>
      <c r="H85" s="159">
        <f>'Revenue Calculation'!H157*Inputs!H485/'Revenue Calculation'!H8</f>
        <v>0</v>
      </c>
      <c r="I85" s="159">
        <f>'Revenue Calculation'!I157*Inputs!I485/'Revenue Calculation'!I8</f>
        <v>0</v>
      </c>
      <c r="J85" s="159">
        <f>'Revenue Calculation'!J157*Inputs!J485/'Revenue Calculation'!J8</f>
        <v>0</v>
      </c>
      <c r="K85" s="159">
        <f>'Revenue Calculation'!K157*Inputs!K485/'Revenue Calculation'!K8</f>
        <v>0</v>
      </c>
      <c r="L85" s="159">
        <f>'Revenue Calculation'!L157*Inputs!L485/'Revenue Calculation'!L8</f>
        <v>0</v>
      </c>
      <c r="M85" s="159">
        <f>'Revenue Calculation'!M157*Inputs!M485/'Revenue Calculation'!M8</f>
        <v>0</v>
      </c>
      <c r="N85" s="159">
        <f>'Revenue Calculation'!N157*Inputs!N485/'Revenue Calculation'!N8</f>
        <v>0</v>
      </c>
      <c r="O85" s="159">
        <f>'Revenue Calculation'!O157*Inputs!O485/'Revenue Calculation'!O8</f>
        <v>0</v>
      </c>
      <c r="P85" s="159">
        <f>'Revenue Calculation'!P157*Inputs!P485/'Revenue Calculation'!P8</f>
        <v>0</v>
      </c>
      <c r="Q85" s="159">
        <f>'Revenue Calculation'!Q157*Inputs!Q485/'Revenue Calculation'!Q8</f>
        <v>0</v>
      </c>
      <c r="R85" s="159">
        <f>'Revenue Calculation'!R157*Inputs!R485/'Revenue Calculation'!R8</f>
        <v>0</v>
      </c>
      <c r="S85" s="159">
        <f>'Revenue Calculation'!S157*Inputs!S485/'Revenue Calculation'!S8</f>
        <v>0</v>
      </c>
      <c r="T85" s="159">
        <f>'Revenue Calculation'!T157*Inputs!T485/'Revenue Calculation'!T8</f>
        <v>0</v>
      </c>
    </row>
    <row r="86" spans="2:20" x14ac:dyDescent="0.25">
      <c r="B86" s="23" t="s">
        <v>2590</v>
      </c>
      <c r="C86" s="28" t="s">
        <v>493</v>
      </c>
      <c r="G86" s="159">
        <v>0</v>
      </c>
      <c r="H86" s="159">
        <f>'Cost Calculation'!H176*Inputs!H486/'Revenue Calculation'!H8</f>
        <v>0</v>
      </c>
      <c r="I86" s="159">
        <f>'Cost Calculation'!I176*Inputs!I486/'Revenue Calculation'!I8</f>
        <v>0</v>
      </c>
      <c r="J86" s="159">
        <f>'Cost Calculation'!J176*Inputs!J486/'Revenue Calculation'!J8</f>
        <v>0</v>
      </c>
      <c r="K86" s="159">
        <f>'Cost Calculation'!K176*Inputs!K486/'Revenue Calculation'!K8</f>
        <v>0</v>
      </c>
      <c r="L86" s="159">
        <f>'Cost Calculation'!L176*Inputs!L486/'Revenue Calculation'!L8</f>
        <v>0</v>
      </c>
      <c r="M86" s="159">
        <f>'Cost Calculation'!M176*Inputs!M486/'Revenue Calculation'!M8</f>
        <v>0</v>
      </c>
      <c r="N86" s="159">
        <f>'Cost Calculation'!N176*Inputs!N486/'Revenue Calculation'!N8</f>
        <v>0</v>
      </c>
      <c r="O86" s="159">
        <f>'Cost Calculation'!O176*Inputs!O486/'Revenue Calculation'!O8</f>
        <v>0</v>
      </c>
      <c r="P86" s="159">
        <f>'Cost Calculation'!P176*Inputs!P486/'Revenue Calculation'!P8</f>
        <v>0</v>
      </c>
      <c r="Q86" s="159">
        <f>'Cost Calculation'!Q176*Inputs!Q486/'Revenue Calculation'!Q8</f>
        <v>0</v>
      </c>
      <c r="R86" s="159">
        <f>'Cost Calculation'!R176*Inputs!R486/'Revenue Calculation'!R8</f>
        <v>0</v>
      </c>
      <c r="S86" s="159">
        <f>'Cost Calculation'!S176*Inputs!S486/'Revenue Calculation'!S8</f>
        <v>0</v>
      </c>
      <c r="T86" s="159">
        <f>'Cost Calculation'!T176*Inputs!T486/'Revenue Calculation'!T8</f>
        <v>0</v>
      </c>
    </row>
    <row r="87" spans="2:20" x14ac:dyDescent="0.25">
      <c r="B87" s="21" t="s">
        <v>2591</v>
      </c>
      <c r="C87" s="28" t="s">
        <v>493</v>
      </c>
      <c r="G87" s="160">
        <v>0</v>
      </c>
      <c r="H87" s="160">
        <f t="shared" ref="H87:T87" si="18">H85-H86</f>
        <v>0</v>
      </c>
      <c r="I87" s="160">
        <f t="shared" si="18"/>
        <v>0</v>
      </c>
      <c r="J87" s="160">
        <f t="shared" si="18"/>
        <v>0</v>
      </c>
      <c r="K87" s="160">
        <f t="shared" si="18"/>
        <v>0</v>
      </c>
      <c r="L87" s="160">
        <f t="shared" si="18"/>
        <v>0</v>
      </c>
      <c r="M87" s="160">
        <f t="shared" si="18"/>
        <v>0</v>
      </c>
      <c r="N87" s="160">
        <f t="shared" si="18"/>
        <v>0</v>
      </c>
      <c r="O87" s="160">
        <f t="shared" si="18"/>
        <v>0</v>
      </c>
      <c r="P87" s="160">
        <f t="shared" si="18"/>
        <v>0</v>
      </c>
      <c r="Q87" s="160">
        <f t="shared" si="18"/>
        <v>0</v>
      </c>
      <c r="R87" s="160">
        <f t="shared" si="18"/>
        <v>0</v>
      </c>
      <c r="S87" s="160">
        <f t="shared" si="18"/>
        <v>0</v>
      </c>
      <c r="T87" s="160">
        <f t="shared" si="18"/>
        <v>0</v>
      </c>
    </row>
    <row r="88" spans="2:20" x14ac:dyDescent="0.25">
      <c r="B88" s="154" t="str">
        <f>"P16  "&amp;Inputs!$E$605</f>
        <v>P16  Lampung</v>
      </c>
    </row>
    <row r="89" spans="2:20" x14ac:dyDescent="0.25">
      <c r="B89" s="23" t="s">
        <v>2589</v>
      </c>
      <c r="C89" s="28" t="s">
        <v>493</v>
      </c>
      <c r="G89" s="159">
        <v>0</v>
      </c>
      <c r="H89" s="159">
        <f>'Revenue Calculation'!H163*IF(ISNUMBER(Inputs!$E$613),Inputs!$E$613,Inputs!H485)/'Revenue Calculation'!H8</f>
        <v>0</v>
      </c>
      <c r="I89" s="159">
        <f>'Revenue Calculation'!I163*IF(ISNUMBER(Inputs!$E$613),Inputs!$E$613,Inputs!I485)/'Revenue Calculation'!I8</f>
        <v>0</v>
      </c>
      <c r="J89" s="159">
        <f>'Revenue Calculation'!J163*IF(ISNUMBER(Inputs!$E$613),Inputs!$E$613,Inputs!J485)/'Revenue Calculation'!J8</f>
        <v>0</v>
      </c>
      <c r="K89" s="159">
        <f>'Revenue Calculation'!K163*IF(ISNUMBER(Inputs!$E$613),Inputs!$E$613,Inputs!K485)/'Revenue Calculation'!K8</f>
        <v>0</v>
      </c>
      <c r="L89" s="159">
        <f>'Revenue Calculation'!L163*IF(ISNUMBER(Inputs!$E$613),Inputs!$E$613,Inputs!L485)/'Revenue Calculation'!L8</f>
        <v>0</v>
      </c>
      <c r="M89" s="159">
        <f>'Revenue Calculation'!M163*IF(ISNUMBER(Inputs!$E$613),Inputs!$E$613,Inputs!M485)/'Revenue Calculation'!M8</f>
        <v>0</v>
      </c>
      <c r="N89" s="159">
        <f>'Revenue Calculation'!N163*IF(ISNUMBER(Inputs!$E$613),Inputs!$E$613,Inputs!N485)/'Revenue Calculation'!N8</f>
        <v>0</v>
      </c>
      <c r="O89" s="159">
        <f>'Revenue Calculation'!O163*IF(ISNUMBER(Inputs!$E$613),Inputs!$E$613,Inputs!O485)/'Revenue Calculation'!O8</f>
        <v>0</v>
      </c>
      <c r="P89" s="159">
        <f>'Revenue Calculation'!P163*IF(ISNUMBER(Inputs!$E$613),Inputs!$E$613,Inputs!P485)/'Revenue Calculation'!P8</f>
        <v>0</v>
      </c>
      <c r="Q89" s="159">
        <f>'Revenue Calculation'!Q163*IF(ISNUMBER(Inputs!$E$613),Inputs!$E$613,Inputs!Q485)/'Revenue Calculation'!Q8</f>
        <v>0</v>
      </c>
      <c r="R89" s="159">
        <f>'Revenue Calculation'!R163*IF(ISNUMBER(Inputs!$E$613),Inputs!$E$613,Inputs!R485)/'Revenue Calculation'!R8</f>
        <v>0</v>
      </c>
      <c r="S89" s="159">
        <f>'Revenue Calculation'!S163*IF(ISNUMBER(Inputs!$E$613),Inputs!$E$613,Inputs!S485)/'Revenue Calculation'!S8</f>
        <v>0</v>
      </c>
      <c r="T89" s="159">
        <f>'Revenue Calculation'!T163*IF(ISNUMBER(Inputs!$E$613),Inputs!$E$613,Inputs!T485)/'Revenue Calculation'!T8</f>
        <v>0</v>
      </c>
    </row>
    <row r="90" spans="2:20" x14ac:dyDescent="0.25">
      <c r="B90" s="23" t="s">
        <v>2590</v>
      </c>
      <c r="C90" s="28" t="s">
        <v>493</v>
      </c>
      <c r="G90" s="159">
        <v>0</v>
      </c>
      <c r="H90" s="159">
        <f>'Cost Calculation'!H184*IF(ISNUMBER(Inputs!$E$614),Inputs!$E$614,Inputs!H486)/'Revenue Calculation'!H8</f>
        <v>0</v>
      </c>
      <c r="I90" s="159">
        <f>'Cost Calculation'!I184*IF(ISNUMBER(Inputs!$E$614),Inputs!$E$614,Inputs!I486)/'Revenue Calculation'!I8</f>
        <v>0</v>
      </c>
      <c r="J90" s="159">
        <f>'Cost Calculation'!J184*IF(ISNUMBER(Inputs!$E$614),Inputs!$E$614,Inputs!J486)/'Revenue Calculation'!J8</f>
        <v>0</v>
      </c>
      <c r="K90" s="159">
        <f>'Cost Calculation'!K184*IF(ISNUMBER(Inputs!$E$614),Inputs!$E$614,Inputs!K486)/'Revenue Calculation'!K8</f>
        <v>0</v>
      </c>
      <c r="L90" s="159">
        <f>'Cost Calculation'!L184*IF(ISNUMBER(Inputs!$E$614),Inputs!$E$614,Inputs!L486)/'Revenue Calculation'!L8</f>
        <v>0</v>
      </c>
      <c r="M90" s="159">
        <f>'Cost Calculation'!M184*IF(ISNUMBER(Inputs!$E$614),Inputs!$E$614,Inputs!M486)/'Revenue Calculation'!M8</f>
        <v>0</v>
      </c>
      <c r="N90" s="159">
        <f>'Cost Calculation'!N184*IF(ISNUMBER(Inputs!$E$614),Inputs!$E$614,Inputs!N486)/'Revenue Calculation'!N8</f>
        <v>0</v>
      </c>
      <c r="O90" s="159">
        <f>'Cost Calculation'!O184*IF(ISNUMBER(Inputs!$E$614),Inputs!$E$614,Inputs!O486)/'Revenue Calculation'!O8</f>
        <v>0</v>
      </c>
      <c r="P90" s="159">
        <f>'Cost Calculation'!P184*IF(ISNUMBER(Inputs!$E$614),Inputs!$E$614,Inputs!P486)/'Revenue Calculation'!P8</f>
        <v>0</v>
      </c>
      <c r="Q90" s="159">
        <f>'Cost Calculation'!Q184*IF(ISNUMBER(Inputs!$E$614),Inputs!$E$614,Inputs!Q486)/'Revenue Calculation'!Q8</f>
        <v>0</v>
      </c>
      <c r="R90" s="159">
        <f>'Cost Calculation'!R184*IF(ISNUMBER(Inputs!$E$614),Inputs!$E$614,Inputs!R486)/'Revenue Calculation'!R8</f>
        <v>0</v>
      </c>
      <c r="S90" s="159">
        <f>'Cost Calculation'!S184*IF(ISNUMBER(Inputs!$E$614),Inputs!$E$614,Inputs!S486)/'Revenue Calculation'!S8</f>
        <v>0</v>
      </c>
      <c r="T90" s="159">
        <f>'Cost Calculation'!T184*IF(ISNUMBER(Inputs!$E$614),Inputs!$E$614,Inputs!T486)/'Revenue Calculation'!T8</f>
        <v>0</v>
      </c>
    </row>
    <row r="91" spans="2:20" x14ac:dyDescent="0.25">
      <c r="B91" s="21" t="s">
        <v>2591</v>
      </c>
      <c r="C91" s="28" t="s">
        <v>493</v>
      </c>
      <c r="G91" s="160">
        <v>0</v>
      </c>
      <c r="H91" s="160">
        <f t="shared" ref="H91:T91" si="19">H89-H90</f>
        <v>0</v>
      </c>
      <c r="I91" s="160">
        <f t="shared" si="19"/>
        <v>0</v>
      </c>
      <c r="J91" s="160">
        <f t="shared" si="19"/>
        <v>0</v>
      </c>
      <c r="K91" s="160">
        <f t="shared" si="19"/>
        <v>0</v>
      </c>
      <c r="L91" s="160">
        <f t="shared" si="19"/>
        <v>0</v>
      </c>
      <c r="M91" s="160">
        <f t="shared" si="19"/>
        <v>0</v>
      </c>
      <c r="N91" s="160">
        <f t="shared" si="19"/>
        <v>0</v>
      </c>
      <c r="O91" s="160">
        <f t="shared" si="19"/>
        <v>0</v>
      </c>
      <c r="P91" s="160">
        <f t="shared" si="19"/>
        <v>0</v>
      </c>
      <c r="Q91" s="160">
        <f t="shared" si="19"/>
        <v>0</v>
      </c>
      <c r="R91" s="160">
        <f t="shared" si="19"/>
        <v>0</v>
      </c>
      <c r="S91" s="160">
        <f t="shared" si="19"/>
        <v>0</v>
      </c>
      <c r="T91" s="160">
        <f t="shared" si="19"/>
        <v>0</v>
      </c>
    </row>
    <row r="92" spans="2:20" x14ac:dyDescent="0.25">
      <c r="B92" s="154" t="str">
        <f>"P17  "&amp;Inputs!$E$639</f>
        <v>P17  Pipeline Project 2</v>
      </c>
    </row>
    <row r="93" spans="2:20" x14ac:dyDescent="0.25">
      <c r="B93" s="23" t="s">
        <v>2589</v>
      </c>
      <c r="C93" s="28" t="s">
        <v>493</v>
      </c>
      <c r="G93" s="159">
        <v>0</v>
      </c>
      <c r="H93" s="159">
        <f>'Revenue Calculation'!H167*IF(ISNUMBER(Inputs!$E$647),Inputs!$E$647,Inputs!H485)/'Revenue Calculation'!H8</f>
        <v>0</v>
      </c>
      <c r="I93" s="159">
        <f>'Revenue Calculation'!I167*IF(ISNUMBER(Inputs!$E$647),Inputs!$E$647,Inputs!I485)/'Revenue Calculation'!I8</f>
        <v>0</v>
      </c>
      <c r="J93" s="159">
        <f>'Revenue Calculation'!J167*IF(ISNUMBER(Inputs!$E$647),Inputs!$E$647,Inputs!J485)/'Revenue Calculation'!J8</f>
        <v>0</v>
      </c>
      <c r="K93" s="159">
        <f>'Revenue Calculation'!K167*IF(ISNUMBER(Inputs!$E$647),Inputs!$E$647,Inputs!K485)/'Revenue Calculation'!K8</f>
        <v>0</v>
      </c>
      <c r="L93" s="159">
        <f>'Revenue Calculation'!L167*IF(ISNUMBER(Inputs!$E$647),Inputs!$E$647,Inputs!L485)/'Revenue Calculation'!L8</f>
        <v>0</v>
      </c>
      <c r="M93" s="159">
        <f>'Revenue Calculation'!M167*IF(ISNUMBER(Inputs!$E$647),Inputs!$E$647,Inputs!M485)/'Revenue Calculation'!M8</f>
        <v>0</v>
      </c>
      <c r="N93" s="159">
        <f>'Revenue Calculation'!N167*IF(ISNUMBER(Inputs!$E$647),Inputs!$E$647,Inputs!N485)/'Revenue Calculation'!N8</f>
        <v>0</v>
      </c>
      <c r="O93" s="159">
        <f>'Revenue Calculation'!O167*IF(ISNUMBER(Inputs!$E$647),Inputs!$E$647,Inputs!O485)/'Revenue Calculation'!O8</f>
        <v>0</v>
      </c>
      <c r="P93" s="159">
        <f>'Revenue Calculation'!P167*IF(ISNUMBER(Inputs!$E$647),Inputs!$E$647,Inputs!P485)/'Revenue Calculation'!P8</f>
        <v>0</v>
      </c>
      <c r="Q93" s="159">
        <f>'Revenue Calculation'!Q167*IF(ISNUMBER(Inputs!$E$647),Inputs!$E$647,Inputs!Q485)/'Revenue Calculation'!Q8</f>
        <v>0</v>
      </c>
      <c r="R93" s="159">
        <f>'Revenue Calculation'!R167*IF(ISNUMBER(Inputs!$E$647),Inputs!$E$647,Inputs!R485)/'Revenue Calculation'!R8</f>
        <v>0</v>
      </c>
      <c r="S93" s="159">
        <f>'Revenue Calculation'!S167*IF(ISNUMBER(Inputs!$E$647),Inputs!$E$647,Inputs!S485)/'Revenue Calculation'!S8</f>
        <v>0</v>
      </c>
      <c r="T93" s="159">
        <f>'Revenue Calculation'!T167*IF(ISNUMBER(Inputs!$E$647),Inputs!$E$647,Inputs!T485)/'Revenue Calculation'!T8</f>
        <v>0</v>
      </c>
    </row>
    <row r="94" spans="2:20" x14ac:dyDescent="0.25">
      <c r="B94" s="23" t="s">
        <v>2590</v>
      </c>
      <c r="C94" s="28" t="s">
        <v>493</v>
      </c>
      <c r="G94" s="159">
        <v>0</v>
      </c>
      <c r="H94" s="159">
        <f>'Cost Calculation'!H190*IF(ISNUMBER(Inputs!$E$648),Inputs!$E$648,Inputs!H486)/'Revenue Calculation'!H8</f>
        <v>0</v>
      </c>
      <c r="I94" s="159">
        <f>'Cost Calculation'!I190*IF(ISNUMBER(Inputs!$E$648),Inputs!$E$648,Inputs!I486)/'Revenue Calculation'!I8</f>
        <v>0</v>
      </c>
      <c r="J94" s="159">
        <f>'Cost Calculation'!J190*IF(ISNUMBER(Inputs!$E$648),Inputs!$E$648,Inputs!J486)/'Revenue Calculation'!J8</f>
        <v>0</v>
      </c>
      <c r="K94" s="159">
        <f>'Cost Calculation'!K190*IF(ISNUMBER(Inputs!$E$648),Inputs!$E$648,Inputs!K486)/'Revenue Calculation'!K8</f>
        <v>0</v>
      </c>
      <c r="L94" s="159">
        <f>'Cost Calculation'!L190*IF(ISNUMBER(Inputs!$E$648),Inputs!$E$648,Inputs!L486)/'Revenue Calculation'!L8</f>
        <v>0</v>
      </c>
      <c r="M94" s="159">
        <f>'Cost Calculation'!M190*IF(ISNUMBER(Inputs!$E$648),Inputs!$E$648,Inputs!M486)/'Revenue Calculation'!M8</f>
        <v>0</v>
      </c>
      <c r="N94" s="159">
        <f>'Cost Calculation'!N190*IF(ISNUMBER(Inputs!$E$648),Inputs!$E$648,Inputs!N486)/'Revenue Calculation'!N8</f>
        <v>0</v>
      </c>
      <c r="O94" s="159">
        <f>'Cost Calculation'!O190*IF(ISNUMBER(Inputs!$E$648),Inputs!$E$648,Inputs!O486)/'Revenue Calculation'!O8</f>
        <v>0</v>
      </c>
      <c r="P94" s="159">
        <f>'Cost Calculation'!P190*IF(ISNUMBER(Inputs!$E$648),Inputs!$E$648,Inputs!P486)/'Revenue Calculation'!P8</f>
        <v>0</v>
      </c>
      <c r="Q94" s="159">
        <f>'Cost Calculation'!Q190*IF(ISNUMBER(Inputs!$E$648),Inputs!$E$648,Inputs!Q486)/'Revenue Calculation'!Q8</f>
        <v>0</v>
      </c>
      <c r="R94" s="159">
        <f>'Cost Calculation'!R190*IF(ISNUMBER(Inputs!$E$648),Inputs!$E$648,Inputs!R486)/'Revenue Calculation'!R8</f>
        <v>0</v>
      </c>
      <c r="S94" s="159">
        <f>'Cost Calculation'!S190*IF(ISNUMBER(Inputs!$E$648),Inputs!$E$648,Inputs!S486)/'Revenue Calculation'!S8</f>
        <v>0</v>
      </c>
      <c r="T94" s="159">
        <f>'Cost Calculation'!T190*IF(ISNUMBER(Inputs!$E$648),Inputs!$E$648,Inputs!T486)/'Revenue Calculation'!T8</f>
        <v>0</v>
      </c>
    </row>
    <row r="95" spans="2:20" x14ac:dyDescent="0.25">
      <c r="B95" s="21" t="s">
        <v>2591</v>
      </c>
      <c r="C95" s="28" t="s">
        <v>493</v>
      </c>
      <c r="G95" s="160">
        <v>0</v>
      </c>
      <c r="H95" s="160">
        <f t="shared" ref="H95:T95" si="20">H93-H94</f>
        <v>0</v>
      </c>
      <c r="I95" s="160">
        <f t="shared" si="20"/>
        <v>0</v>
      </c>
      <c r="J95" s="160">
        <f t="shared" si="20"/>
        <v>0</v>
      </c>
      <c r="K95" s="160">
        <f t="shared" si="20"/>
        <v>0</v>
      </c>
      <c r="L95" s="160">
        <f t="shared" si="20"/>
        <v>0</v>
      </c>
      <c r="M95" s="160">
        <f t="shared" si="20"/>
        <v>0</v>
      </c>
      <c r="N95" s="160">
        <f t="shared" si="20"/>
        <v>0</v>
      </c>
      <c r="O95" s="160">
        <f t="shared" si="20"/>
        <v>0</v>
      </c>
      <c r="P95" s="160">
        <f t="shared" si="20"/>
        <v>0</v>
      </c>
      <c r="Q95" s="160">
        <f t="shared" si="20"/>
        <v>0</v>
      </c>
      <c r="R95" s="160">
        <f t="shared" si="20"/>
        <v>0</v>
      </c>
      <c r="S95" s="160">
        <f t="shared" si="20"/>
        <v>0</v>
      </c>
      <c r="T95" s="160">
        <f t="shared" si="20"/>
        <v>0</v>
      </c>
    </row>
    <row r="96" spans="2:20" x14ac:dyDescent="0.25">
      <c r="B96" s="154" t="str">
        <f>"P18  "&amp;Inputs!$E$673</f>
        <v>P18  Pipeline Project 3</v>
      </c>
    </row>
    <row r="97" spans="2:20" x14ac:dyDescent="0.25">
      <c r="B97" s="23" t="s">
        <v>2589</v>
      </c>
      <c r="C97" s="28" t="s">
        <v>493</v>
      </c>
      <c r="G97" s="159">
        <v>0</v>
      </c>
      <c r="H97" s="159">
        <f>'Revenue Calculation'!H171*IF(ISNUMBER(Inputs!$E$681),Inputs!$E$681,Inputs!H485)/'Revenue Calculation'!H8</f>
        <v>0</v>
      </c>
      <c r="I97" s="159">
        <f>'Revenue Calculation'!I171*IF(ISNUMBER(Inputs!$E$681),Inputs!$E$681,Inputs!I485)/'Revenue Calculation'!I8</f>
        <v>0</v>
      </c>
      <c r="J97" s="159">
        <f>'Revenue Calculation'!J171*IF(ISNUMBER(Inputs!$E$681),Inputs!$E$681,Inputs!J485)/'Revenue Calculation'!J8</f>
        <v>0</v>
      </c>
      <c r="K97" s="159">
        <f>'Revenue Calculation'!K171*IF(ISNUMBER(Inputs!$E$681),Inputs!$E$681,Inputs!K485)/'Revenue Calculation'!K8</f>
        <v>0</v>
      </c>
      <c r="L97" s="159">
        <f>'Revenue Calculation'!L171*IF(ISNUMBER(Inputs!$E$681),Inputs!$E$681,Inputs!L485)/'Revenue Calculation'!L8</f>
        <v>0</v>
      </c>
      <c r="M97" s="159">
        <f>'Revenue Calculation'!M171*IF(ISNUMBER(Inputs!$E$681),Inputs!$E$681,Inputs!M485)/'Revenue Calculation'!M8</f>
        <v>0</v>
      </c>
      <c r="N97" s="159">
        <f>'Revenue Calculation'!N171*IF(ISNUMBER(Inputs!$E$681),Inputs!$E$681,Inputs!N485)/'Revenue Calculation'!N8</f>
        <v>0</v>
      </c>
      <c r="O97" s="159">
        <f>'Revenue Calculation'!O171*IF(ISNUMBER(Inputs!$E$681),Inputs!$E$681,Inputs!O485)/'Revenue Calculation'!O8</f>
        <v>0</v>
      </c>
      <c r="P97" s="159">
        <f>'Revenue Calculation'!P171*IF(ISNUMBER(Inputs!$E$681),Inputs!$E$681,Inputs!P485)/'Revenue Calculation'!P8</f>
        <v>0</v>
      </c>
      <c r="Q97" s="159">
        <f>'Revenue Calculation'!Q171*IF(ISNUMBER(Inputs!$E$681),Inputs!$E$681,Inputs!Q485)/'Revenue Calculation'!Q8</f>
        <v>0</v>
      </c>
      <c r="R97" s="159">
        <f>'Revenue Calculation'!R171*IF(ISNUMBER(Inputs!$E$681),Inputs!$E$681,Inputs!R485)/'Revenue Calculation'!R8</f>
        <v>0</v>
      </c>
      <c r="S97" s="159">
        <f>'Revenue Calculation'!S171*IF(ISNUMBER(Inputs!$E$681),Inputs!$E$681,Inputs!S485)/'Revenue Calculation'!S8</f>
        <v>0</v>
      </c>
      <c r="T97" s="159">
        <f>'Revenue Calculation'!T171*IF(ISNUMBER(Inputs!$E$681),Inputs!$E$681,Inputs!T485)/'Revenue Calculation'!T8</f>
        <v>0</v>
      </c>
    </row>
    <row r="98" spans="2:20" x14ac:dyDescent="0.25">
      <c r="B98" s="23" t="s">
        <v>2590</v>
      </c>
      <c r="C98" s="28" t="s">
        <v>493</v>
      </c>
      <c r="G98" s="159">
        <v>0</v>
      </c>
      <c r="H98" s="159">
        <f>'Cost Calculation'!H196*IF(ISNUMBER(Inputs!$E$682),Inputs!$E$682,Inputs!H486)/'Revenue Calculation'!H8</f>
        <v>0</v>
      </c>
      <c r="I98" s="159">
        <f>'Cost Calculation'!I196*IF(ISNUMBER(Inputs!$E$682),Inputs!$E$682,Inputs!I486)/'Revenue Calculation'!I8</f>
        <v>0</v>
      </c>
      <c r="J98" s="159">
        <f>'Cost Calculation'!J196*IF(ISNUMBER(Inputs!$E$682),Inputs!$E$682,Inputs!J486)/'Revenue Calculation'!J8</f>
        <v>0</v>
      </c>
      <c r="K98" s="159">
        <f>'Cost Calculation'!K196*IF(ISNUMBER(Inputs!$E$682),Inputs!$E$682,Inputs!K486)/'Revenue Calculation'!K8</f>
        <v>0</v>
      </c>
      <c r="L98" s="159">
        <f>'Cost Calculation'!L196*IF(ISNUMBER(Inputs!$E$682),Inputs!$E$682,Inputs!L486)/'Revenue Calculation'!L8</f>
        <v>0</v>
      </c>
      <c r="M98" s="159">
        <f>'Cost Calculation'!M196*IF(ISNUMBER(Inputs!$E$682),Inputs!$E$682,Inputs!M486)/'Revenue Calculation'!M8</f>
        <v>0</v>
      </c>
      <c r="N98" s="159">
        <f>'Cost Calculation'!N196*IF(ISNUMBER(Inputs!$E$682),Inputs!$E$682,Inputs!N486)/'Revenue Calculation'!N8</f>
        <v>0</v>
      </c>
      <c r="O98" s="159">
        <f>'Cost Calculation'!O196*IF(ISNUMBER(Inputs!$E$682),Inputs!$E$682,Inputs!O486)/'Revenue Calculation'!O8</f>
        <v>0</v>
      </c>
      <c r="P98" s="159">
        <f>'Cost Calculation'!P196*IF(ISNUMBER(Inputs!$E$682),Inputs!$E$682,Inputs!P486)/'Revenue Calculation'!P8</f>
        <v>0</v>
      </c>
      <c r="Q98" s="159">
        <f>'Cost Calculation'!Q196*IF(ISNUMBER(Inputs!$E$682),Inputs!$E$682,Inputs!Q486)/'Revenue Calculation'!Q8</f>
        <v>0</v>
      </c>
      <c r="R98" s="159">
        <f>'Cost Calculation'!R196*IF(ISNUMBER(Inputs!$E$682),Inputs!$E$682,Inputs!R486)/'Revenue Calculation'!R8</f>
        <v>0</v>
      </c>
      <c r="S98" s="159">
        <f>'Cost Calculation'!S196*IF(ISNUMBER(Inputs!$E$682),Inputs!$E$682,Inputs!S486)/'Revenue Calculation'!S8</f>
        <v>0</v>
      </c>
      <c r="T98" s="159">
        <f>'Cost Calculation'!T196*IF(ISNUMBER(Inputs!$E$682),Inputs!$E$682,Inputs!T486)/'Revenue Calculation'!T8</f>
        <v>0</v>
      </c>
    </row>
    <row r="99" spans="2:20" x14ac:dyDescent="0.25">
      <c r="B99" s="21" t="s">
        <v>2591</v>
      </c>
      <c r="C99" s="28" t="s">
        <v>493</v>
      </c>
      <c r="G99" s="160">
        <v>0</v>
      </c>
      <c r="H99" s="160">
        <f t="shared" ref="H99:T99" si="21">H97-H98</f>
        <v>0</v>
      </c>
      <c r="I99" s="160">
        <f t="shared" si="21"/>
        <v>0</v>
      </c>
      <c r="J99" s="160">
        <f t="shared" si="21"/>
        <v>0</v>
      </c>
      <c r="K99" s="160">
        <f t="shared" si="21"/>
        <v>0</v>
      </c>
      <c r="L99" s="160">
        <f t="shared" si="21"/>
        <v>0</v>
      </c>
      <c r="M99" s="160">
        <f t="shared" si="21"/>
        <v>0</v>
      </c>
      <c r="N99" s="160">
        <f t="shared" si="21"/>
        <v>0</v>
      </c>
      <c r="O99" s="160">
        <f t="shared" si="21"/>
        <v>0</v>
      </c>
      <c r="P99" s="160">
        <f t="shared" si="21"/>
        <v>0</v>
      </c>
      <c r="Q99" s="160">
        <f t="shared" si="21"/>
        <v>0</v>
      </c>
      <c r="R99" s="160">
        <f t="shared" si="21"/>
        <v>0</v>
      </c>
      <c r="S99" s="160">
        <f t="shared" si="21"/>
        <v>0</v>
      </c>
      <c r="T99" s="160">
        <f t="shared" si="21"/>
        <v>0</v>
      </c>
    </row>
    <row r="100" spans="2:20" x14ac:dyDescent="0.25">
      <c r="B100" s="154" t="s">
        <v>594</v>
      </c>
    </row>
    <row r="101" spans="2:20" x14ac:dyDescent="0.25">
      <c r="B101" s="23" t="s">
        <v>2589</v>
      </c>
      <c r="C101" s="28" t="s">
        <v>493</v>
      </c>
      <c r="G101" s="159">
        <v>0</v>
      </c>
      <c r="H101" s="159">
        <f>H106*Inputs!$H$82</f>
        <v>0</v>
      </c>
      <c r="I101" s="159">
        <f>I106*Inputs!$H$82</f>
        <v>0</v>
      </c>
      <c r="J101" s="159">
        <f>J106*Inputs!$H$82</f>
        <v>0</v>
      </c>
      <c r="K101" s="159">
        <f>K106*Inputs!$H$82</f>
        <v>0</v>
      </c>
      <c r="L101" s="159">
        <f>L106*Inputs!$H$82</f>
        <v>0</v>
      </c>
      <c r="M101" s="159">
        <f>M106*Inputs!$H$82</f>
        <v>3.8447260273972605</v>
      </c>
      <c r="N101" s="159">
        <f>N106*Inputs!$H$82</f>
        <v>4.8932876712328763</v>
      </c>
      <c r="O101" s="159">
        <f>O106*Inputs!$H$82</f>
        <v>5.5923287671232877</v>
      </c>
      <c r="P101" s="159">
        <f>P106*Inputs!$H$82</f>
        <v>5.925614754098361</v>
      </c>
      <c r="Q101" s="159">
        <f>Q106*Inputs!$H$82</f>
        <v>5.9418493150684935</v>
      </c>
      <c r="R101" s="159">
        <f>R106*Inputs!$H$82</f>
        <v>5.9418493150684935</v>
      </c>
      <c r="S101" s="159">
        <f>S106*Inputs!$H$82</f>
        <v>5.9418493150684935</v>
      </c>
      <c r="T101" s="159">
        <f>T106*Inputs!$H$82</f>
        <v>5.925614754098361</v>
      </c>
    </row>
    <row r="102" spans="2:20" x14ac:dyDescent="0.25">
      <c r="B102" s="23" t="s">
        <v>2590</v>
      </c>
      <c r="C102" s="28" t="s">
        <v>493</v>
      </c>
      <c r="G102" s="159">
        <v>0</v>
      </c>
      <c r="H102" s="159">
        <f>H107*Inputs!$H$82</f>
        <v>0</v>
      </c>
      <c r="I102" s="159">
        <f>I107*Inputs!$H$82</f>
        <v>0</v>
      </c>
      <c r="J102" s="159">
        <f>J107*Inputs!$H$82</f>
        <v>0</v>
      </c>
      <c r="K102" s="159">
        <f>K107*Inputs!$H$82</f>
        <v>0</v>
      </c>
      <c r="L102" s="159">
        <f>L107*Inputs!$H$82</f>
        <v>0</v>
      </c>
      <c r="M102" s="159">
        <f>M107*Inputs!$H$82</f>
        <v>1.2729246575342468</v>
      </c>
      <c r="N102" s="159">
        <f>N107*Inputs!$H$82</f>
        <v>1.4126712328767124</v>
      </c>
      <c r="O102" s="159">
        <f>O107*Inputs!$H$82</f>
        <v>1.5058356164383562</v>
      </c>
      <c r="P102" s="159">
        <f>P107*Inputs!$H$82</f>
        <v>1.5481762295081969</v>
      </c>
      <c r="Q102" s="159">
        <f>Q107*Inputs!$H$82</f>
        <v>1.5524178082191782</v>
      </c>
      <c r="R102" s="159">
        <f>R107*Inputs!$H$82</f>
        <v>1.5524178082191782</v>
      </c>
      <c r="S102" s="159">
        <f>S107*Inputs!$H$82</f>
        <v>1.5524178082191782</v>
      </c>
      <c r="T102" s="159">
        <f>T107*Inputs!$H$82</f>
        <v>1.5481762295081969</v>
      </c>
    </row>
    <row r="103" spans="2:20" x14ac:dyDescent="0.25">
      <c r="B103" s="21" t="s">
        <v>2591</v>
      </c>
      <c r="C103" s="28" t="s">
        <v>493</v>
      </c>
      <c r="G103" s="160">
        <v>0</v>
      </c>
      <c r="H103" s="160">
        <f t="shared" ref="H103:T103" si="22">H101-H102</f>
        <v>0</v>
      </c>
      <c r="I103" s="160">
        <f t="shared" si="22"/>
        <v>0</v>
      </c>
      <c r="J103" s="160">
        <f t="shared" si="22"/>
        <v>0</v>
      </c>
      <c r="K103" s="160">
        <f t="shared" si="22"/>
        <v>0</v>
      </c>
      <c r="L103" s="160">
        <f t="shared" si="22"/>
        <v>0</v>
      </c>
      <c r="M103" s="160">
        <f t="shared" si="22"/>
        <v>2.5718013698630138</v>
      </c>
      <c r="N103" s="160">
        <f t="shared" si="22"/>
        <v>3.4806164383561642</v>
      </c>
      <c r="O103" s="160">
        <f t="shared" si="22"/>
        <v>4.086493150684932</v>
      </c>
      <c r="P103" s="160">
        <f t="shared" si="22"/>
        <v>4.3774385245901639</v>
      </c>
      <c r="Q103" s="160">
        <f t="shared" si="22"/>
        <v>4.3894315068493155</v>
      </c>
      <c r="R103" s="160">
        <f t="shared" si="22"/>
        <v>4.3894315068493155</v>
      </c>
      <c r="S103" s="160">
        <f t="shared" si="22"/>
        <v>4.3894315068493155</v>
      </c>
      <c r="T103" s="160">
        <f t="shared" si="22"/>
        <v>4.3774385245901639</v>
      </c>
    </row>
    <row r="105" spans="2:20" x14ac:dyDescent="0.25">
      <c r="B105" s="154" t="s">
        <v>2592</v>
      </c>
    </row>
    <row r="106" spans="2:20" x14ac:dyDescent="0.25">
      <c r="B106" s="23" t="s">
        <v>2593</v>
      </c>
      <c r="C106" s="28" t="s">
        <v>493</v>
      </c>
      <c r="G106" s="159">
        <v>0</v>
      </c>
      <c r="H106" s="159">
        <f>'Revenue Calculation'!H185*Inputs!$E$582/'Revenue Calculation'!H8</f>
        <v>0</v>
      </c>
      <c r="I106" s="159">
        <f>'Revenue Calculation'!I185*Inputs!$E$582/'Revenue Calculation'!I8</f>
        <v>0</v>
      </c>
      <c r="J106" s="159">
        <f>'Revenue Calculation'!J185*Inputs!$E$582/'Revenue Calculation'!J8</f>
        <v>0</v>
      </c>
      <c r="K106" s="159">
        <f>'Revenue Calculation'!K185*Inputs!$E$582/'Revenue Calculation'!K8</f>
        <v>0</v>
      </c>
      <c r="L106" s="159">
        <f>'Revenue Calculation'!L185*Inputs!$E$582/'Revenue Calculation'!L8</f>
        <v>0</v>
      </c>
      <c r="M106" s="159">
        <f>'Revenue Calculation'!M185*Inputs!$E$582/'Revenue Calculation'!M8</f>
        <v>3.8447260273972605</v>
      </c>
      <c r="N106" s="159">
        <f>'Revenue Calculation'!N185*Inputs!$E$582/'Revenue Calculation'!N8</f>
        <v>4.8932876712328763</v>
      </c>
      <c r="O106" s="159">
        <f>'Revenue Calculation'!O185*Inputs!$E$582/'Revenue Calculation'!O8</f>
        <v>5.5923287671232877</v>
      </c>
      <c r="P106" s="159">
        <f>'Revenue Calculation'!P185*Inputs!$E$582/'Revenue Calculation'!P8</f>
        <v>5.925614754098361</v>
      </c>
      <c r="Q106" s="159">
        <f>'Revenue Calculation'!Q185*Inputs!$E$582/'Revenue Calculation'!Q8</f>
        <v>5.9418493150684935</v>
      </c>
      <c r="R106" s="159">
        <f>'Revenue Calculation'!R185*Inputs!$E$582/'Revenue Calculation'!R8</f>
        <v>5.9418493150684935</v>
      </c>
      <c r="S106" s="159">
        <f>'Revenue Calculation'!S185*Inputs!$E$582/'Revenue Calculation'!S8</f>
        <v>5.9418493150684935</v>
      </c>
      <c r="T106" s="159">
        <f>'Revenue Calculation'!T185*Inputs!$E$582/'Revenue Calculation'!T8</f>
        <v>5.925614754098361</v>
      </c>
    </row>
    <row r="107" spans="2:20" x14ac:dyDescent="0.25">
      <c r="B107" s="23" t="s">
        <v>2594</v>
      </c>
      <c r="C107" s="28" t="s">
        <v>493</v>
      </c>
      <c r="G107" s="159">
        <v>0</v>
      </c>
      <c r="H107" s="159">
        <f>'Cost Calculation'!H206*Inputs!$E$583/'Revenue Calculation'!H8</f>
        <v>0</v>
      </c>
      <c r="I107" s="159">
        <f>'Cost Calculation'!I206*Inputs!$E$583/'Revenue Calculation'!I8</f>
        <v>0</v>
      </c>
      <c r="J107" s="159">
        <f>'Cost Calculation'!J206*Inputs!$E$583/'Revenue Calculation'!J8</f>
        <v>0</v>
      </c>
      <c r="K107" s="159">
        <f>'Cost Calculation'!K206*Inputs!$E$583/'Revenue Calculation'!K8</f>
        <v>0</v>
      </c>
      <c r="L107" s="159">
        <f>'Cost Calculation'!L206*Inputs!$E$583/'Revenue Calculation'!L8</f>
        <v>0</v>
      </c>
      <c r="M107" s="159">
        <f>'Cost Calculation'!M206*Inputs!$E$583/'Revenue Calculation'!M8</f>
        <v>1.2729246575342468</v>
      </c>
      <c r="N107" s="159">
        <f>'Cost Calculation'!N206*Inputs!$E$583/'Revenue Calculation'!N8</f>
        <v>1.4126712328767124</v>
      </c>
      <c r="O107" s="159">
        <f>'Cost Calculation'!O206*Inputs!$E$583/'Revenue Calculation'!O8</f>
        <v>1.5058356164383562</v>
      </c>
      <c r="P107" s="159">
        <f>'Cost Calculation'!P206*Inputs!$E$583/'Revenue Calculation'!P8</f>
        <v>1.5481762295081969</v>
      </c>
      <c r="Q107" s="159">
        <f>'Cost Calculation'!Q206*Inputs!$E$583/'Revenue Calculation'!Q8</f>
        <v>1.5524178082191782</v>
      </c>
      <c r="R107" s="159">
        <f>'Cost Calculation'!R206*Inputs!$E$583/'Revenue Calculation'!R8</f>
        <v>1.5524178082191782</v>
      </c>
      <c r="S107" s="159">
        <f>'Cost Calculation'!S206*Inputs!$E$583/'Revenue Calculation'!S8</f>
        <v>1.5524178082191782</v>
      </c>
      <c r="T107" s="159">
        <f>'Cost Calculation'!T206*Inputs!$E$583/'Revenue Calculation'!T8</f>
        <v>1.5481762295081969</v>
      </c>
    </row>
    <row r="108" spans="2:20" x14ac:dyDescent="0.25">
      <c r="B108" s="21" t="s">
        <v>2595</v>
      </c>
      <c r="C108" s="28" t="s">
        <v>493</v>
      </c>
      <c r="G108" s="160">
        <v>0</v>
      </c>
      <c r="H108" s="160">
        <f t="shared" ref="H108:T108" si="23">H106-H107</f>
        <v>0</v>
      </c>
      <c r="I108" s="160">
        <f t="shared" si="23"/>
        <v>0</v>
      </c>
      <c r="J108" s="160">
        <f t="shared" si="23"/>
        <v>0</v>
      </c>
      <c r="K108" s="160">
        <f t="shared" si="23"/>
        <v>0</v>
      </c>
      <c r="L108" s="160">
        <f t="shared" si="23"/>
        <v>0</v>
      </c>
      <c r="M108" s="160">
        <f t="shared" si="23"/>
        <v>2.5718013698630138</v>
      </c>
      <c r="N108" s="160">
        <f t="shared" si="23"/>
        <v>3.4806164383561642</v>
      </c>
      <c r="O108" s="160">
        <f t="shared" si="23"/>
        <v>4.086493150684932</v>
      </c>
      <c r="P108" s="160">
        <f t="shared" si="23"/>
        <v>4.3774385245901639</v>
      </c>
      <c r="Q108" s="160">
        <f t="shared" si="23"/>
        <v>4.3894315068493155</v>
      </c>
      <c r="R108" s="160">
        <f t="shared" si="23"/>
        <v>4.3894315068493155</v>
      </c>
      <c r="S108" s="160">
        <f t="shared" si="23"/>
        <v>4.3894315068493155</v>
      </c>
      <c r="T108" s="160">
        <f t="shared" si="23"/>
        <v>4.3774385245901639</v>
      </c>
    </row>
    <row r="110" spans="2:20" x14ac:dyDescent="0.25">
      <c r="B110" s="58" t="s">
        <v>2596</v>
      </c>
      <c r="C110" s="19"/>
      <c r="D110" s="19"/>
      <c r="E110" s="19"/>
      <c r="F110" s="19"/>
      <c r="G110" s="19"/>
      <c r="H110" s="19"/>
      <c r="I110" s="19"/>
      <c r="J110" s="19"/>
      <c r="K110" s="19"/>
      <c r="L110" s="19"/>
      <c r="M110" s="19"/>
      <c r="N110" s="19"/>
      <c r="O110" s="19"/>
      <c r="P110" s="19"/>
      <c r="Q110" s="19"/>
      <c r="R110" s="19"/>
      <c r="S110" s="19"/>
      <c r="T110" s="19"/>
    </row>
    <row r="111" spans="2:20" x14ac:dyDescent="0.25">
      <c r="B111" s="154" t="s">
        <v>2509</v>
      </c>
    </row>
    <row r="112" spans="2:20" x14ac:dyDescent="0.25">
      <c r="B112" s="23" t="s">
        <v>2597</v>
      </c>
      <c r="C112" s="28" t="s">
        <v>493</v>
      </c>
      <c r="G112" s="29">
        <f>'Source Data'!$E$801</f>
        <v>45</v>
      </c>
      <c r="H112" s="159">
        <f t="shared" ref="H112:T112" si="24">H13+H17+H21+H25+H29+H33+H37+H41+H45+H49+H53+H57+H61+H65+H69+H73+H77+H81+H85+H89+H93+H97+H101</f>
        <v>37.535488103522205</v>
      </c>
      <c r="I112" s="159">
        <f t="shared" si="24"/>
        <v>52.718161619628056</v>
      </c>
      <c r="J112" s="159">
        <f t="shared" si="24"/>
        <v>76.692931186010412</v>
      </c>
      <c r="K112" s="159">
        <f t="shared" si="24"/>
        <v>93.015965696990918</v>
      </c>
      <c r="L112" s="159">
        <f t="shared" si="24"/>
        <v>103.43970209330853</v>
      </c>
      <c r="M112" s="159">
        <f t="shared" si="24"/>
        <v>117.01134705587819</v>
      </c>
      <c r="N112" s="159">
        <f t="shared" si="24"/>
        <v>122.88167003495755</v>
      </c>
      <c r="O112" s="159">
        <f t="shared" si="24"/>
        <v>131.52367104292077</v>
      </c>
      <c r="P112" s="159">
        <f t="shared" si="24"/>
        <v>137.27755539346026</v>
      </c>
      <c r="Q112" s="159">
        <f t="shared" si="24"/>
        <v>146.14729361605518</v>
      </c>
      <c r="R112" s="159">
        <f t="shared" si="24"/>
        <v>149.27387263707655</v>
      </c>
      <c r="S112" s="159">
        <f t="shared" si="24"/>
        <v>150.33814055702325</v>
      </c>
      <c r="T112" s="159">
        <f t="shared" si="24"/>
        <v>154.9776044637218</v>
      </c>
    </row>
    <row r="113" spans="2:20" x14ac:dyDescent="0.25">
      <c r="B113" s="23" t="s">
        <v>2598</v>
      </c>
      <c r="C113" s="28" t="s">
        <v>493</v>
      </c>
      <c r="G113" s="29">
        <f>'Source Data'!$E$800</f>
        <v>0.51981068748259995</v>
      </c>
      <c r="H113" s="159">
        <f t="shared" ref="H113:T113" si="25">H9</f>
        <v>0.51981068748259995</v>
      </c>
      <c r="I113" s="159">
        <f t="shared" si="25"/>
        <v>0.51981068748259995</v>
      </c>
      <c r="J113" s="159">
        <f t="shared" si="25"/>
        <v>0.51981068748259995</v>
      </c>
      <c r="K113" s="159">
        <f t="shared" si="25"/>
        <v>0.51981068748259995</v>
      </c>
      <c r="L113" s="159">
        <f t="shared" si="25"/>
        <v>0.51981068748259995</v>
      </c>
      <c r="M113" s="159">
        <f t="shared" si="25"/>
        <v>0.51981068748259995</v>
      </c>
      <c r="N113" s="159">
        <f t="shared" si="25"/>
        <v>0.51981068748259995</v>
      </c>
      <c r="O113" s="159">
        <f t="shared" si="25"/>
        <v>0.51981068748259995</v>
      </c>
      <c r="P113" s="159">
        <f t="shared" si="25"/>
        <v>0.51981068748259995</v>
      </c>
      <c r="Q113" s="159">
        <f t="shared" si="25"/>
        <v>0.51981068748259995</v>
      </c>
      <c r="R113" s="159">
        <f t="shared" si="25"/>
        <v>0</v>
      </c>
      <c r="S113" s="159">
        <f t="shared" si="25"/>
        <v>0</v>
      </c>
      <c r="T113" s="159">
        <f t="shared" si="25"/>
        <v>0</v>
      </c>
    </row>
    <row r="114" spans="2:20" x14ac:dyDescent="0.25">
      <c r="B114" s="23" t="s">
        <v>2599</v>
      </c>
      <c r="C114" s="28" t="s">
        <v>493</v>
      </c>
      <c r="G114" s="29">
        <f>'Source Data'!$E$806</f>
        <v>14.6719859829049</v>
      </c>
      <c r="H114" s="159">
        <f t="shared" ref="H114:T114" si="26">H14+H18+H22+H26+H30+H34+H38+H42+H46+H50+H54+H58+H62+H66+H70+H74+H78+H82+H86+H90+H94+H98+H102</f>
        <v>10.04451298589832</v>
      </c>
      <c r="I114" s="159">
        <f t="shared" si="26"/>
        <v>9.4240079033771647</v>
      </c>
      <c r="J114" s="159">
        <f t="shared" si="26"/>
        <v>9.2239698680783473</v>
      </c>
      <c r="K114" s="159">
        <f t="shared" si="26"/>
        <v>10.239545383745051</v>
      </c>
      <c r="L114" s="159">
        <f t="shared" si="26"/>
        <v>12.027453038379001</v>
      </c>
      <c r="M114" s="159">
        <f t="shared" si="26"/>
        <v>14.223419219672557</v>
      </c>
      <c r="N114" s="159">
        <f t="shared" si="26"/>
        <v>15.189914627297753</v>
      </c>
      <c r="O114" s="159">
        <f t="shared" si="26"/>
        <v>16.241106770435881</v>
      </c>
      <c r="P114" s="159">
        <f t="shared" si="26"/>
        <v>17.133011951959769</v>
      </c>
      <c r="Q114" s="159">
        <f t="shared" si="26"/>
        <v>18.122500921945168</v>
      </c>
      <c r="R114" s="159">
        <f t="shared" si="26"/>
        <v>17.781935884461795</v>
      </c>
      <c r="S114" s="159">
        <f t="shared" si="26"/>
        <v>18.517579539280291</v>
      </c>
      <c r="T114" s="159">
        <f t="shared" si="26"/>
        <v>19.329417418430562</v>
      </c>
    </row>
    <row r="115" spans="2:20" x14ac:dyDescent="0.25">
      <c r="B115" s="21" t="s">
        <v>2600</v>
      </c>
      <c r="C115" s="28" t="s">
        <v>493</v>
      </c>
      <c r="G115" s="158">
        <f t="shared" ref="G115:T115" si="27">G112+G113-G114</f>
        <v>30.847824704577697</v>
      </c>
      <c r="H115" s="158">
        <f t="shared" si="27"/>
        <v>28.01078580510648</v>
      </c>
      <c r="I115" s="158">
        <f t="shared" si="27"/>
        <v>43.813964403733486</v>
      </c>
      <c r="J115" s="158">
        <f t="shared" si="27"/>
        <v>67.988772005414674</v>
      </c>
      <c r="K115" s="158">
        <f t="shared" si="27"/>
        <v>83.296231000728469</v>
      </c>
      <c r="L115" s="158">
        <f t="shared" si="27"/>
        <v>91.932059742412122</v>
      </c>
      <c r="M115" s="158">
        <f t="shared" si="27"/>
        <v>103.30773852368824</v>
      </c>
      <c r="N115" s="158">
        <f t="shared" si="27"/>
        <v>108.2115660951424</v>
      </c>
      <c r="O115" s="158">
        <f t="shared" si="27"/>
        <v>115.80237495996748</v>
      </c>
      <c r="P115" s="158">
        <f t="shared" si="27"/>
        <v>120.66435412898308</v>
      </c>
      <c r="Q115" s="158">
        <f t="shared" si="27"/>
        <v>128.54460338159259</v>
      </c>
      <c r="R115" s="158">
        <f t="shared" si="27"/>
        <v>131.49193675261475</v>
      </c>
      <c r="S115" s="158">
        <f t="shared" si="27"/>
        <v>131.82056101774296</v>
      </c>
      <c r="T115" s="158">
        <f t="shared" si="27"/>
        <v>135.64818704529125</v>
      </c>
    </row>
    <row r="116" spans="2:20" ht="26.25" customHeight="1" x14ac:dyDescent="0.25">
      <c r="B116" s="133" t="s">
        <v>2601</v>
      </c>
      <c r="C116" s="28" t="s">
        <v>493</v>
      </c>
      <c r="H116" s="160">
        <f t="shared" ref="H116:T116" si="28">H115-G115</f>
        <v>-2.8370388994712172</v>
      </c>
      <c r="I116" s="160">
        <f t="shared" si="28"/>
        <v>15.803178598627007</v>
      </c>
      <c r="J116" s="160">
        <f t="shared" si="28"/>
        <v>24.174807601681188</v>
      </c>
      <c r="K116" s="160">
        <f t="shared" si="28"/>
        <v>15.307458995313795</v>
      </c>
      <c r="L116" s="160">
        <f t="shared" si="28"/>
        <v>8.6358287416836532</v>
      </c>
      <c r="M116" s="160">
        <f t="shared" si="28"/>
        <v>11.375678781276122</v>
      </c>
      <c r="N116" s="160">
        <f t="shared" si="28"/>
        <v>4.9038275714541584</v>
      </c>
      <c r="O116" s="160">
        <f t="shared" si="28"/>
        <v>7.5908088648250782</v>
      </c>
      <c r="P116" s="160">
        <f t="shared" si="28"/>
        <v>4.8619791690155978</v>
      </c>
      <c r="Q116" s="160">
        <f t="shared" si="28"/>
        <v>7.8802492526095165</v>
      </c>
      <c r="R116" s="160">
        <f t="shared" si="28"/>
        <v>2.9473333710221539</v>
      </c>
      <c r="S116" s="160">
        <f t="shared" si="28"/>
        <v>0.3286242651282123</v>
      </c>
      <c r="T116" s="160">
        <f t="shared" si="28"/>
        <v>3.8276260275482912</v>
      </c>
    </row>
    <row r="117" spans="2:20" x14ac:dyDescent="0.25">
      <c r="B117" s="154" t="s">
        <v>2517</v>
      </c>
    </row>
    <row r="118" spans="2:20" x14ac:dyDescent="0.25">
      <c r="B118" s="23" t="s">
        <v>2597</v>
      </c>
      <c r="C118" s="28" t="s">
        <v>493</v>
      </c>
      <c r="G118" s="29">
        <f>'Source Data'!$E$801</f>
        <v>45</v>
      </c>
      <c r="H118" s="159">
        <f t="shared" ref="H118:T118" si="29">H13+H17+H21+H25+H29+H33+H37+H41+H45+H49+H53+H57+H61+H65+H69+H85+H89+H93+H97+H101</f>
        <v>37.535488103522205</v>
      </c>
      <c r="I118" s="159">
        <f t="shared" si="29"/>
        <v>52.718161619628056</v>
      </c>
      <c r="J118" s="159">
        <f t="shared" si="29"/>
        <v>60.974516581439126</v>
      </c>
      <c r="K118" s="159">
        <f t="shared" si="29"/>
        <v>76.429277067535011</v>
      </c>
      <c r="L118" s="159">
        <f t="shared" si="29"/>
        <v>86.31505090844577</v>
      </c>
      <c r="M118" s="159">
        <f t="shared" si="29"/>
        <v>99.240328640147609</v>
      </c>
      <c r="N118" s="159">
        <f t="shared" si="29"/>
        <v>104.49619314147179</v>
      </c>
      <c r="O118" s="159">
        <f t="shared" si="29"/>
        <v>112.50827732924783</v>
      </c>
      <c r="P118" s="159">
        <f t="shared" si="29"/>
        <v>117.67004198172182</v>
      </c>
      <c r="Q118" s="159">
        <f t="shared" si="29"/>
        <v>125.82382232111165</v>
      </c>
      <c r="R118" s="159">
        <f t="shared" si="29"/>
        <v>128.27127092560394</v>
      </c>
      <c r="S118" s="159">
        <f t="shared" si="29"/>
        <v>129.82917468866867</v>
      </c>
      <c r="T118" s="159">
        <f t="shared" si="29"/>
        <v>133.91108610796252</v>
      </c>
    </row>
    <row r="119" spans="2:20" x14ac:dyDescent="0.25">
      <c r="B119" s="23" t="s">
        <v>2598</v>
      </c>
      <c r="C119" s="28" t="s">
        <v>493</v>
      </c>
      <c r="G119" s="29">
        <f>'Source Data'!$E$800</f>
        <v>0.51981068748259995</v>
      </c>
      <c r="H119" s="159">
        <f t="shared" ref="H119:T119" si="30">H9</f>
        <v>0.51981068748259995</v>
      </c>
      <c r="I119" s="159">
        <f t="shared" si="30"/>
        <v>0.51981068748259995</v>
      </c>
      <c r="J119" s="159">
        <f t="shared" si="30"/>
        <v>0.51981068748259995</v>
      </c>
      <c r="K119" s="159">
        <f t="shared" si="30"/>
        <v>0.51981068748259995</v>
      </c>
      <c r="L119" s="159">
        <f t="shared" si="30"/>
        <v>0.51981068748259995</v>
      </c>
      <c r="M119" s="159">
        <f t="shared" si="30"/>
        <v>0.51981068748259995</v>
      </c>
      <c r="N119" s="159">
        <f t="shared" si="30"/>
        <v>0.51981068748259995</v>
      </c>
      <c r="O119" s="159">
        <f t="shared" si="30"/>
        <v>0.51981068748259995</v>
      </c>
      <c r="P119" s="159">
        <f t="shared" si="30"/>
        <v>0.51981068748259995</v>
      </c>
      <c r="Q119" s="159">
        <f t="shared" si="30"/>
        <v>0.51981068748259995</v>
      </c>
      <c r="R119" s="159">
        <f t="shared" si="30"/>
        <v>0</v>
      </c>
      <c r="S119" s="159">
        <f t="shared" si="30"/>
        <v>0</v>
      </c>
      <c r="T119" s="159">
        <f t="shared" si="30"/>
        <v>0</v>
      </c>
    </row>
    <row r="120" spans="2:20" x14ac:dyDescent="0.25">
      <c r="B120" s="23" t="s">
        <v>2599</v>
      </c>
      <c r="C120" s="28" t="s">
        <v>493</v>
      </c>
      <c r="G120" s="29">
        <f>'Source Data'!$E$806</f>
        <v>14.6719859829049</v>
      </c>
      <c r="H120" s="159">
        <f t="shared" ref="H120:T120" si="31">H14+H18+H22+H26+H30+H34+H38+H42+H46+H50+H54+H58+H62+H66+H70+H86+H90+H94+H98+H102</f>
        <v>10.04451298589832</v>
      </c>
      <c r="I120" s="159">
        <f t="shared" si="31"/>
        <v>9.4240079033771647</v>
      </c>
      <c r="J120" s="159">
        <f t="shared" si="31"/>
        <v>9.2239698680783473</v>
      </c>
      <c r="K120" s="159">
        <f t="shared" si="31"/>
        <v>10.239545383745051</v>
      </c>
      <c r="L120" s="159">
        <f t="shared" si="31"/>
        <v>12.027453038379001</v>
      </c>
      <c r="M120" s="159">
        <f t="shared" si="31"/>
        <v>14.223419219672557</v>
      </c>
      <c r="N120" s="159">
        <f t="shared" si="31"/>
        <v>15.189914627297753</v>
      </c>
      <c r="O120" s="159">
        <f t="shared" si="31"/>
        <v>16.241106770435881</v>
      </c>
      <c r="P120" s="159">
        <f t="shared" si="31"/>
        <v>17.133011951959769</v>
      </c>
      <c r="Q120" s="159">
        <f t="shared" si="31"/>
        <v>18.122500921945168</v>
      </c>
      <c r="R120" s="159">
        <f t="shared" si="31"/>
        <v>17.781935884461795</v>
      </c>
      <c r="S120" s="159">
        <f t="shared" si="31"/>
        <v>18.517579539280291</v>
      </c>
      <c r="T120" s="159">
        <f t="shared" si="31"/>
        <v>19.329417418430562</v>
      </c>
    </row>
    <row r="121" spans="2:20" x14ac:dyDescent="0.25">
      <c r="B121" s="21" t="s">
        <v>2600</v>
      </c>
      <c r="C121" s="28" t="s">
        <v>493</v>
      </c>
      <c r="G121" s="158">
        <f t="shared" ref="G121:T121" si="32">G118+G119-G120</f>
        <v>30.847824704577697</v>
      </c>
      <c r="H121" s="158">
        <f t="shared" si="32"/>
        <v>28.01078580510648</v>
      </c>
      <c r="I121" s="158">
        <f t="shared" si="32"/>
        <v>43.813964403733486</v>
      </c>
      <c r="J121" s="158">
        <f t="shared" si="32"/>
        <v>52.270357400843373</v>
      </c>
      <c r="K121" s="158">
        <f t="shared" si="32"/>
        <v>66.709542371272562</v>
      </c>
      <c r="L121" s="158">
        <f t="shared" si="32"/>
        <v>74.807408557549365</v>
      </c>
      <c r="M121" s="158">
        <f t="shared" si="32"/>
        <v>85.536720107957649</v>
      </c>
      <c r="N121" s="158">
        <f t="shared" si="32"/>
        <v>89.826089201656643</v>
      </c>
      <c r="O121" s="158">
        <f t="shared" si="32"/>
        <v>96.786981246294559</v>
      </c>
      <c r="P121" s="158">
        <f t="shared" si="32"/>
        <v>101.05684071724465</v>
      </c>
      <c r="Q121" s="158">
        <f t="shared" si="32"/>
        <v>108.22113208664908</v>
      </c>
      <c r="R121" s="158">
        <f t="shared" si="32"/>
        <v>110.48933504114214</v>
      </c>
      <c r="S121" s="158">
        <f t="shared" si="32"/>
        <v>111.31159514938838</v>
      </c>
      <c r="T121" s="158">
        <f t="shared" si="32"/>
        <v>114.58166868953195</v>
      </c>
    </row>
    <row r="122" spans="2:20" ht="26.25" customHeight="1" x14ac:dyDescent="0.25">
      <c r="B122" s="133" t="s">
        <v>2601</v>
      </c>
      <c r="C122" s="28" t="s">
        <v>493</v>
      </c>
      <c r="H122" s="160">
        <f t="shared" ref="H122:T122" si="33">H121-G121</f>
        <v>-2.8370388994712172</v>
      </c>
      <c r="I122" s="160">
        <f t="shared" si="33"/>
        <v>15.803178598627007</v>
      </c>
      <c r="J122" s="160">
        <f t="shared" si="33"/>
        <v>8.4563929971098872</v>
      </c>
      <c r="K122" s="160">
        <f t="shared" si="33"/>
        <v>14.439184970429189</v>
      </c>
      <c r="L122" s="160">
        <f t="shared" si="33"/>
        <v>8.0978661862768035</v>
      </c>
      <c r="M122" s="160">
        <f t="shared" si="33"/>
        <v>10.729311550408283</v>
      </c>
      <c r="N122" s="160">
        <f t="shared" si="33"/>
        <v>4.2893690936989941</v>
      </c>
      <c r="O122" s="160">
        <f t="shared" si="33"/>
        <v>6.9608920446379159</v>
      </c>
      <c r="P122" s="160">
        <f t="shared" si="33"/>
        <v>4.2698594709500952</v>
      </c>
      <c r="Q122" s="160">
        <f t="shared" si="33"/>
        <v>7.1642913694044239</v>
      </c>
      <c r="R122" s="160">
        <f t="shared" si="33"/>
        <v>2.2682029544930629</v>
      </c>
      <c r="S122" s="160">
        <f t="shared" si="33"/>
        <v>0.82226010824624041</v>
      </c>
      <c r="T122" s="160">
        <f t="shared" si="33"/>
        <v>3.2700735401435708</v>
      </c>
    </row>
    <row r="123" spans="2:20" x14ac:dyDescent="0.25">
      <c r="B123" s="145" t="s">
        <v>2602</v>
      </c>
    </row>
  </sheetData>
  <hyperlinks>
    <hyperlink ref="C3" location="'Model Flow'!A1" display="Model Flow" xr:uid="{00000000-0004-0000-0700-000000000000}"/>
    <hyperlink ref="D3" location="Inputs!A1" display="Inputs" xr:uid="{00000000-0004-0000-0700-000001000000}"/>
    <hyperlink ref="E3" location="'FS Data Request'!A1" display="FS Request" xr:uid="{00000000-0004-0000-0700-000002000000}"/>
    <hyperlink ref="F3" location="'Revenue Calculation'!A1" display="Revenue" xr:uid="{00000000-0004-0000-0700-000003000000}"/>
    <hyperlink ref="G3" location="'Cost Calculation'!A1" display="Costs" xr:uid="{00000000-0004-0000-0700-000004000000}"/>
    <hyperlink ref="H3" location="'BUMN Synergy Calculation'!A1" display="BUMN Synergy" xr:uid="{00000000-0004-0000-0700-000005000000}"/>
    <hyperlink ref="I3" location="'Capex &amp; Depreciation'!A1" display="Capex" xr:uid="{00000000-0004-0000-0700-000006000000}"/>
    <hyperlink ref="K3" location="Financing!A1" display="Financing" xr:uid="{00000000-0004-0000-0700-000007000000}"/>
    <hyperlink ref="L3" location="'Funding Requirement'!A1" display="Funding" xr:uid="{00000000-0004-0000-0700-000008000000}"/>
    <hyperlink ref="M3" location="'FSL Output - Without BUMN'!A1" display="Out: w/o BUMN" xr:uid="{00000000-0004-0000-0700-000009000000}"/>
    <hyperlink ref="N3" location="'FSL Output - With BUMN'!A1" display="Out: With BUMN" xr:uid="{00000000-0004-0000-0700-00000A000000}"/>
    <hyperlink ref="O3" location="'Valuation — Without BUMN'!A1" display="Val: w/o BUMN" xr:uid="{00000000-0004-0000-0700-00000B000000}"/>
    <hyperlink ref="P3" location="'Valuation — With BUMN'!A1" display="Val: With BUMN" xr:uid="{00000000-0004-0000-0700-00000C000000}"/>
    <hyperlink ref="Q3" location="'Project Cash Flows'!A1" display="Proj. CF" xr:uid="{00000000-0004-0000-0700-00000D000000}"/>
    <hyperlink ref="R3" location="'Project Summary'!A1" display="Proj. Summary" xr:uid="{00000000-0004-0000-0700-00000E000000}"/>
    <hyperlink ref="S3" location="'Checks &amp; Reconciliation'!A1" display="Checks" xr:uid="{00000000-0004-0000-0700-00000F000000}"/>
    <hyperlink ref="T3" location="'Source Data'!A1" display="Source Data" xr:uid="{00000000-0004-0000-0700-000010000000}"/>
  </hyperlinks>
  <pageMargins left="0.4" right="0.4" top="0.5" bottom="0.5" header="0.511811023622047" footer="0.5"/>
  <pageSetup paperSize="9" fitToHeight="0" orientation="landscape" horizontalDpi="300" verticalDpi="300"/>
  <headerFooter>
    <oddFooter>&amp;L&amp;A&amp;RPage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48235"/>
    <pageSetUpPr fitToPage="1"/>
  </sheetPr>
  <dimension ref="B1:U115"/>
  <sheetViews>
    <sheetView showGridLines="0" zoomScale="85" zoomScaleNormal="85" workbookViewId="0">
      <pane xSplit="6" ySplit="6" topLeftCell="G7" activePane="bottomRight" state="frozen"/>
      <selection pane="topRight" activeCell="G1" sqref="G1"/>
      <selection pane="bottomLeft" activeCell="A7" sqref="A7"/>
      <selection pane="bottomRight"/>
    </sheetView>
  </sheetViews>
  <sheetFormatPr defaultColWidth="8.7109375" defaultRowHeight="15" x14ac:dyDescent="0.25"/>
  <cols>
    <col min="1" max="1" width="1.5703125" customWidth="1"/>
    <col min="2" max="2" width="62" customWidth="1"/>
    <col min="3" max="3" width="10" customWidth="1"/>
    <col min="4" max="6" width="13" customWidth="1"/>
    <col min="7" max="20" width="10.5703125" customWidth="1"/>
    <col min="21" max="21" width="55" customWidth="1"/>
  </cols>
  <sheetData>
    <row r="1" spans="2:21" ht="18" x14ac:dyDescent="0.25">
      <c r="B1" s="13" t="s">
        <v>2603</v>
      </c>
    </row>
    <row r="2" spans="2:21" x14ac:dyDescent="0.25">
      <c r="B2" s="14" t="s">
        <v>2604</v>
      </c>
    </row>
    <row r="3" spans="2:21" x14ac:dyDescent="0.25">
      <c r="B3" s="15" t="s">
        <v>2</v>
      </c>
      <c r="C3" s="17" t="s">
        <v>422</v>
      </c>
      <c r="D3" s="17" t="s">
        <v>4</v>
      </c>
      <c r="E3" s="17" t="s">
        <v>5</v>
      </c>
      <c r="F3" s="17" t="s">
        <v>6</v>
      </c>
      <c r="G3" s="17" t="s">
        <v>7</v>
      </c>
      <c r="H3" s="17" t="s">
        <v>8</v>
      </c>
      <c r="I3" s="17" t="s">
        <v>9</v>
      </c>
      <c r="J3" s="17" t="s">
        <v>10</v>
      </c>
      <c r="K3" s="16" t="s">
        <v>2605</v>
      </c>
      <c r="L3" s="17" t="s">
        <v>12</v>
      </c>
      <c r="M3" s="17" t="s">
        <v>13</v>
      </c>
      <c r="N3" s="17" t="s">
        <v>14</v>
      </c>
      <c r="O3" s="17" t="s">
        <v>15</v>
      </c>
      <c r="P3" s="17" t="s">
        <v>16</v>
      </c>
      <c r="Q3" s="17" t="s">
        <v>17</v>
      </c>
      <c r="R3" s="17" t="s">
        <v>18</v>
      </c>
      <c r="S3" s="17" t="s">
        <v>19</v>
      </c>
      <c r="T3" s="17" t="s">
        <v>20</v>
      </c>
    </row>
    <row r="4" spans="2:21" x14ac:dyDescent="0.25">
      <c r="G4" s="77" t="s">
        <v>1878</v>
      </c>
      <c r="H4" s="77" t="s">
        <v>1879</v>
      </c>
      <c r="I4" s="77" t="s">
        <v>1879</v>
      </c>
      <c r="J4" s="77" t="s">
        <v>1879</v>
      </c>
      <c r="K4" s="77" t="s">
        <v>1879</v>
      </c>
      <c r="L4" s="77" t="s">
        <v>1879</v>
      </c>
      <c r="M4" s="77" t="s">
        <v>1879</v>
      </c>
      <c r="N4" s="77" t="s">
        <v>1879</v>
      </c>
      <c r="O4" s="77" t="s">
        <v>1879</v>
      </c>
      <c r="P4" s="77" t="s">
        <v>1879</v>
      </c>
      <c r="Q4" s="77" t="s">
        <v>1879</v>
      </c>
      <c r="R4" s="77" t="s">
        <v>1879</v>
      </c>
      <c r="S4" s="77" t="s">
        <v>1879</v>
      </c>
      <c r="T4" s="77" t="s">
        <v>1879</v>
      </c>
    </row>
    <row r="5" spans="2:21" x14ac:dyDescent="0.25">
      <c r="B5" s="150" t="s">
        <v>493</v>
      </c>
      <c r="C5" s="150" t="s">
        <v>466</v>
      </c>
      <c r="D5" s="59" t="s">
        <v>1881</v>
      </c>
      <c r="E5" s="59" t="s">
        <v>468</v>
      </c>
      <c r="F5" s="60"/>
      <c r="G5" s="151">
        <v>2023</v>
      </c>
      <c r="H5" s="152">
        <v>2024</v>
      </c>
      <c r="I5" s="152">
        <v>2025</v>
      </c>
      <c r="J5" s="152">
        <v>2026</v>
      </c>
      <c r="K5" s="152">
        <v>2027</v>
      </c>
      <c r="L5" s="152">
        <v>2028</v>
      </c>
      <c r="M5" s="152">
        <v>2029</v>
      </c>
      <c r="N5" s="152">
        <v>2030</v>
      </c>
      <c r="O5" s="152">
        <v>2031</v>
      </c>
      <c r="P5" s="152">
        <v>2032</v>
      </c>
      <c r="Q5" s="152">
        <v>2033</v>
      </c>
      <c r="R5" s="152">
        <v>2034</v>
      </c>
      <c r="S5" s="152">
        <v>2035</v>
      </c>
      <c r="T5" s="152">
        <v>2036</v>
      </c>
      <c r="U5" s="59" t="s">
        <v>1882</v>
      </c>
    </row>
    <row r="6" spans="2:21" x14ac:dyDescent="0.25">
      <c r="B6" s="58" t="s">
        <v>2606</v>
      </c>
      <c r="C6" s="19"/>
      <c r="D6" s="19"/>
      <c r="E6" s="19"/>
      <c r="F6" s="19"/>
      <c r="G6" s="19"/>
      <c r="H6" s="19"/>
      <c r="I6" s="19"/>
      <c r="J6" s="19"/>
      <c r="K6" s="19"/>
      <c r="L6" s="19"/>
      <c r="M6" s="19"/>
      <c r="N6" s="19"/>
      <c r="O6" s="19"/>
      <c r="P6" s="19"/>
      <c r="Q6" s="19"/>
      <c r="R6" s="19"/>
      <c r="S6" s="19"/>
      <c r="T6" s="19"/>
    </row>
    <row r="7" spans="2:21" x14ac:dyDescent="0.25">
      <c r="B7" s="154" t="s">
        <v>2607</v>
      </c>
    </row>
    <row r="8" spans="2:21" x14ac:dyDescent="0.25">
      <c r="B8" s="23" t="s">
        <v>2608</v>
      </c>
      <c r="C8" s="28" t="s">
        <v>493</v>
      </c>
      <c r="H8" s="159">
        <f t="shared" ref="H8:T8" si="0">G10</f>
        <v>29.338465248760002</v>
      </c>
      <c r="I8" s="159">
        <f t="shared" si="0"/>
        <v>0</v>
      </c>
      <c r="J8" s="159">
        <f t="shared" si="0"/>
        <v>0</v>
      </c>
      <c r="K8" s="159">
        <f t="shared" si="0"/>
        <v>0</v>
      </c>
      <c r="L8" s="159">
        <f t="shared" si="0"/>
        <v>0</v>
      </c>
      <c r="M8" s="159">
        <f t="shared" si="0"/>
        <v>0</v>
      </c>
      <c r="N8" s="159">
        <f t="shared" si="0"/>
        <v>0</v>
      </c>
      <c r="O8" s="159">
        <f t="shared" si="0"/>
        <v>0</v>
      </c>
      <c r="P8" s="159">
        <f t="shared" si="0"/>
        <v>0</v>
      </c>
      <c r="Q8" s="159">
        <f t="shared" si="0"/>
        <v>0</v>
      </c>
      <c r="R8" s="159">
        <f t="shared" si="0"/>
        <v>0</v>
      </c>
      <c r="S8" s="159">
        <f t="shared" si="0"/>
        <v>0</v>
      </c>
      <c r="T8" s="159">
        <f t="shared" si="0"/>
        <v>0</v>
      </c>
    </row>
    <row r="9" spans="2:21" x14ac:dyDescent="0.25">
      <c r="B9" s="23" t="s">
        <v>2609</v>
      </c>
      <c r="C9" s="28" t="s">
        <v>493</v>
      </c>
      <c r="H9" s="159">
        <f>MIN(H8,Inputs!H497)</f>
        <v>29.338465248760002</v>
      </c>
      <c r="I9" s="159">
        <f>MIN(I8,Inputs!I497)</f>
        <v>0</v>
      </c>
      <c r="J9" s="159">
        <f>MIN(J8,Inputs!J497)</f>
        <v>0</v>
      </c>
      <c r="K9" s="159">
        <f>MIN(K8,Inputs!K497)</f>
        <v>0</v>
      </c>
      <c r="L9" s="159">
        <f>MIN(L8,Inputs!L497)</f>
        <v>0</v>
      </c>
      <c r="M9" s="159">
        <f>MIN(M8,Inputs!M497)</f>
        <v>0</v>
      </c>
      <c r="N9" s="159">
        <f>MIN(N8,Inputs!N497)</f>
        <v>0</v>
      </c>
      <c r="O9" s="159">
        <f>MIN(O8,Inputs!O497)</f>
        <v>0</v>
      </c>
      <c r="P9" s="159">
        <f>MIN(P8,Inputs!P497)</f>
        <v>0</v>
      </c>
      <c r="Q9" s="159">
        <f>MIN(Q8,Inputs!Q497)</f>
        <v>0</v>
      </c>
      <c r="R9" s="159">
        <f>MIN(R8,Inputs!R497)</f>
        <v>0</v>
      </c>
      <c r="S9" s="159">
        <f>MIN(S8,Inputs!S497)</f>
        <v>0</v>
      </c>
      <c r="T9" s="159">
        <f>MIN(T8,Inputs!T497)</f>
        <v>0</v>
      </c>
    </row>
    <row r="10" spans="2:21" x14ac:dyDescent="0.25">
      <c r="B10" s="21" t="s">
        <v>2610</v>
      </c>
      <c r="C10" s="28" t="s">
        <v>493</v>
      </c>
      <c r="G10" s="160">
        <f>'Source Data'!$E$807-Inputs!$E$493</f>
        <v>29.338465248760002</v>
      </c>
      <c r="H10" s="160">
        <f t="shared" ref="H10:T10" si="1">H8-H9</f>
        <v>0</v>
      </c>
      <c r="I10" s="160">
        <f t="shared" si="1"/>
        <v>0</v>
      </c>
      <c r="J10" s="160">
        <f t="shared" si="1"/>
        <v>0</v>
      </c>
      <c r="K10" s="160">
        <f t="shared" si="1"/>
        <v>0</v>
      </c>
      <c r="L10" s="160">
        <f t="shared" si="1"/>
        <v>0</v>
      </c>
      <c r="M10" s="160">
        <f t="shared" si="1"/>
        <v>0</v>
      </c>
      <c r="N10" s="160">
        <f t="shared" si="1"/>
        <v>0</v>
      </c>
      <c r="O10" s="160">
        <f t="shared" si="1"/>
        <v>0</v>
      </c>
      <c r="P10" s="160">
        <f t="shared" si="1"/>
        <v>0</v>
      </c>
      <c r="Q10" s="160">
        <f t="shared" si="1"/>
        <v>0</v>
      </c>
      <c r="R10" s="160">
        <f t="shared" si="1"/>
        <v>0</v>
      </c>
      <c r="S10" s="160">
        <f t="shared" si="1"/>
        <v>0</v>
      </c>
      <c r="T10" s="160">
        <f t="shared" si="1"/>
        <v>0</v>
      </c>
    </row>
    <row r="11" spans="2:21" x14ac:dyDescent="0.25">
      <c r="B11" s="154" t="s">
        <v>2611</v>
      </c>
    </row>
    <row r="12" spans="2:21" x14ac:dyDescent="0.25">
      <c r="B12" s="23" t="s">
        <v>2608</v>
      </c>
      <c r="C12" s="28" t="s">
        <v>493</v>
      </c>
      <c r="H12" s="159">
        <f t="shared" ref="H12:T12" si="2">G14</f>
        <v>195.18</v>
      </c>
      <c r="I12" s="159">
        <f t="shared" si="2"/>
        <v>195.18</v>
      </c>
      <c r="J12" s="159">
        <f t="shared" si="2"/>
        <v>195.18</v>
      </c>
      <c r="K12" s="159">
        <f t="shared" si="2"/>
        <v>195.18</v>
      </c>
      <c r="L12" s="159">
        <f t="shared" si="2"/>
        <v>0</v>
      </c>
      <c r="M12" s="159">
        <f t="shared" si="2"/>
        <v>0</v>
      </c>
      <c r="N12" s="159">
        <f t="shared" si="2"/>
        <v>0</v>
      </c>
      <c r="O12" s="159">
        <f t="shared" si="2"/>
        <v>0</v>
      </c>
      <c r="P12" s="159">
        <f t="shared" si="2"/>
        <v>0</v>
      </c>
      <c r="Q12" s="159">
        <f t="shared" si="2"/>
        <v>0</v>
      </c>
      <c r="R12" s="159">
        <f t="shared" si="2"/>
        <v>0</v>
      </c>
      <c r="S12" s="159">
        <f t="shared" si="2"/>
        <v>0</v>
      </c>
      <c r="T12" s="159">
        <f t="shared" si="2"/>
        <v>0</v>
      </c>
    </row>
    <row r="13" spans="2:21" x14ac:dyDescent="0.25">
      <c r="B13" s="23" t="s">
        <v>2612</v>
      </c>
      <c r="C13" s="28" t="s">
        <v>493</v>
      </c>
      <c r="H13" s="159">
        <f>IF('Revenue Calculation'!H7=YEAR(Inputs!$E$494),H12,0)</f>
        <v>0</v>
      </c>
      <c r="I13" s="159">
        <f>IF('Revenue Calculation'!I7=YEAR(Inputs!$E$494),I12,0)</f>
        <v>0</v>
      </c>
      <c r="J13" s="159">
        <f>IF('Revenue Calculation'!J7=YEAR(Inputs!$E$494),J12,0)</f>
        <v>0</v>
      </c>
      <c r="K13" s="159">
        <f>IF('Revenue Calculation'!K7=YEAR(Inputs!$E$494),K12,0)</f>
        <v>195.18</v>
      </c>
      <c r="L13" s="159">
        <f>IF('Revenue Calculation'!L7=YEAR(Inputs!$E$494),L12,0)</f>
        <v>0</v>
      </c>
      <c r="M13" s="159">
        <f>IF('Revenue Calculation'!M7=YEAR(Inputs!$E$494),M12,0)</f>
        <v>0</v>
      </c>
      <c r="N13" s="159">
        <f>IF('Revenue Calculation'!N7=YEAR(Inputs!$E$494),N12,0)</f>
        <v>0</v>
      </c>
      <c r="O13" s="159">
        <f>IF('Revenue Calculation'!O7=YEAR(Inputs!$E$494),O12,0)</f>
        <v>0</v>
      </c>
      <c r="P13" s="159">
        <f>IF('Revenue Calculation'!P7=YEAR(Inputs!$E$494),P12,0)</f>
        <v>0</v>
      </c>
      <c r="Q13" s="159">
        <f>IF('Revenue Calculation'!Q7=YEAR(Inputs!$E$494),Q12,0)</f>
        <v>0</v>
      </c>
      <c r="R13" s="159">
        <f>IF('Revenue Calculation'!R7=YEAR(Inputs!$E$494),R12,0)</f>
        <v>0</v>
      </c>
      <c r="S13" s="159">
        <f>IF('Revenue Calculation'!S7=YEAR(Inputs!$E$494),S12,0)</f>
        <v>0</v>
      </c>
      <c r="T13" s="159">
        <f>IF('Revenue Calculation'!T7=YEAR(Inputs!$E$494),T12,0)</f>
        <v>0</v>
      </c>
    </row>
    <row r="14" spans="2:21" x14ac:dyDescent="0.25">
      <c r="B14" s="21" t="s">
        <v>2613</v>
      </c>
      <c r="C14" s="28" t="s">
        <v>493</v>
      </c>
      <c r="G14" s="26">
        <f>Inputs!$E$493</f>
        <v>195.18</v>
      </c>
      <c r="H14" s="160">
        <f t="shared" ref="H14:T14" si="3">H12-H13</f>
        <v>195.18</v>
      </c>
      <c r="I14" s="160">
        <f t="shared" si="3"/>
        <v>195.18</v>
      </c>
      <c r="J14" s="160">
        <f t="shared" si="3"/>
        <v>195.18</v>
      </c>
      <c r="K14" s="160">
        <f t="shared" si="3"/>
        <v>0</v>
      </c>
      <c r="L14" s="160">
        <f t="shared" si="3"/>
        <v>0</v>
      </c>
      <c r="M14" s="160">
        <f t="shared" si="3"/>
        <v>0</v>
      </c>
      <c r="N14" s="160">
        <f t="shared" si="3"/>
        <v>0</v>
      </c>
      <c r="O14" s="160">
        <f t="shared" si="3"/>
        <v>0</v>
      </c>
      <c r="P14" s="160">
        <f t="shared" si="3"/>
        <v>0</v>
      </c>
      <c r="Q14" s="160">
        <f t="shared" si="3"/>
        <v>0</v>
      </c>
      <c r="R14" s="160">
        <f t="shared" si="3"/>
        <v>0</v>
      </c>
      <c r="S14" s="160">
        <f t="shared" si="3"/>
        <v>0</v>
      </c>
      <c r="T14" s="160">
        <f t="shared" si="3"/>
        <v>0</v>
      </c>
    </row>
    <row r="15" spans="2:21" ht="26.25" customHeight="1" x14ac:dyDescent="0.25">
      <c r="B15" s="64" t="s">
        <v>2614</v>
      </c>
      <c r="C15" s="28" t="s">
        <v>1890</v>
      </c>
      <c r="H15" s="105">
        <f>0</f>
        <v>0</v>
      </c>
      <c r="I15" s="105">
        <f>0</f>
        <v>0</v>
      </c>
      <c r="J15" s="105">
        <f>MAX(0,MIN(Inputs!$E$494,DATE('Revenue Calculation'!J7,12,31))-DATE('Revenue Calculation'!J7-1,12,31))/'Revenue Calculation'!J8</f>
        <v>1</v>
      </c>
      <c r="K15" s="105">
        <f>MAX(0,MIN(Inputs!$E$494,DATE('Revenue Calculation'!K7,12,31))-DATE('Revenue Calculation'!K7-1,12,31))/'Revenue Calculation'!K8</f>
        <v>0.49589041095890413</v>
      </c>
      <c r="L15" s="105">
        <f>MAX(0,MIN(Inputs!$E$494,DATE('Revenue Calculation'!L7,12,31))-DATE('Revenue Calculation'!L7-1,12,31))/'Revenue Calculation'!L8</f>
        <v>0</v>
      </c>
      <c r="M15" s="105">
        <f>MAX(0,MIN(Inputs!$E$494,DATE('Revenue Calculation'!M7,12,31))-DATE('Revenue Calculation'!M7-1,12,31))/'Revenue Calculation'!M8</f>
        <v>0</v>
      </c>
      <c r="N15" s="105">
        <f>MAX(0,MIN(Inputs!$E$494,DATE('Revenue Calculation'!N7,12,31))-DATE('Revenue Calculation'!N7-1,12,31))/'Revenue Calculation'!N8</f>
        <v>0</v>
      </c>
      <c r="O15" s="105">
        <f>MAX(0,MIN(Inputs!$E$494,DATE('Revenue Calculation'!O7,12,31))-DATE('Revenue Calculation'!O7-1,12,31))/'Revenue Calculation'!O8</f>
        <v>0</v>
      </c>
      <c r="P15" s="105">
        <f>MAX(0,MIN(Inputs!$E$494,DATE('Revenue Calculation'!P7,12,31))-DATE('Revenue Calculation'!P7-1,12,31))/'Revenue Calculation'!P8</f>
        <v>0</v>
      </c>
      <c r="Q15" s="105">
        <f>MAX(0,MIN(Inputs!$E$494,DATE('Revenue Calculation'!Q7,12,31))-DATE('Revenue Calculation'!Q7-1,12,31))/'Revenue Calculation'!Q8</f>
        <v>0</v>
      </c>
      <c r="R15" s="105">
        <f>MAX(0,MIN(Inputs!$E$494,DATE('Revenue Calculation'!R7,12,31))-DATE('Revenue Calculation'!R7-1,12,31))/'Revenue Calculation'!R8</f>
        <v>0</v>
      </c>
      <c r="S15" s="105">
        <f>MAX(0,MIN(Inputs!$E$494,DATE('Revenue Calculation'!S7,12,31))-DATE('Revenue Calculation'!S7-1,12,31))/'Revenue Calculation'!S8</f>
        <v>0</v>
      </c>
      <c r="T15" s="105">
        <f>MAX(0,MIN(Inputs!$E$494,DATE('Revenue Calculation'!T7,12,31))-DATE('Revenue Calculation'!T7-1,12,31))/'Revenue Calculation'!T8</f>
        <v>0</v>
      </c>
    </row>
    <row r="16" spans="2:21" ht="26.25" customHeight="1" x14ac:dyDescent="0.25">
      <c r="B16" s="64" t="s">
        <v>2615</v>
      </c>
      <c r="C16" s="28" t="s">
        <v>493</v>
      </c>
      <c r="H16" s="159">
        <f>Inputs!$E$495*Inputs!$E$493*H15</f>
        <v>0</v>
      </c>
      <c r="I16" s="159">
        <f>Inputs!$E$495*Inputs!$E$493*I15</f>
        <v>0</v>
      </c>
      <c r="J16" s="159">
        <f>Inputs!$E$495*Inputs!$E$493*J15</f>
        <v>15.273450177769659</v>
      </c>
      <c r="K16" s="159">
        <f>Inputs!$E$495*Inputs!$E$493*K15</f>
        <v>7.5739574854145433</v>
      </c>
      <c r="L16" s="159">
        <f>Inputs!$E$495*Inputs!$E$493*L15</f>
        <v>0</v>
      </c>
      <c r="M16" s="159">
        <f>Inputs!$E$495*Inputs!$E$493*M15</f>
        <v>0</v>
      </c>
      <c r="N16" s="159">
        <f>Inputs!$E$495*Inputs!$E$493*N15</f>
        <v>0</v>
      </c>
      <c r="O16" s="159">
        <f>Inputs!$E$495*Inputs!$E$493*O15</f>
        <v>0</v>
      </c>
      <c r="P16" s="159">
        <f>Inputs!$E$495*Inputs!$E$493*P15</f>
        <v>0</v>
      </c>
      <c r="Q16" s="159">
        <f>Inputs!$E$495*Inputs!$E$493*Q15</f>
        <v>0</v>
      </c>
      <c r="R16" s="159">
        <f>Inputs!$E$495*Inputs!$E$493*R15</f>
        <v>0</v>
      </c>
      <c r="S16" s="159">
        <f>Inputs!$E$495*Inputs!$E$493*S15</f>
        <v>0</v>
      </c>
      <c r="T16" s="159">
        <f>Inputs!$E$495*Inputs!$E$493*T15</f>
        <v>0</v>
      </c>
    </row>
    <row r="17" spans="2:20" x14ac:dyDescent="0.25">
      <c r="B17" s="154" t="s">
        <v>2616</v>
      </c>
    </row>
    <row r="18" spans="2:20" x14ac:dyDescent="0.25">
      <c r="B18" s="23" t="s">
        <v>2608</v>
      </c>
      <c r="C18" s="28" t="s">
        <v>493</v>
      </c>
      <c r="H18" s="159">
        <f t="shared" ref="H18:T18" si="4">G20</f>
        <v>224.51846524876001</v>
      </c>
      <c r="I18" s="159">
        <f t="shared" si="4"/>
        <v>195.18</v>
      </c>
      <c r="J18" s="159">
        <f t="shared" si="4"/>
        <v>195.18</v>
      </c>
      <c r="K18" s="159">
        <f t="shared" si="4"/>
        <v>195.18</v>
      </c>
      <c r="L18" s="159">
        <f t="shared" si="4"/>
        <v>0</v>
      </c>
      <c r="M18" s="159">
        <f t="shared" si="4"/>
        <v>0</v>
      </c>
      <c r="N18" s="159">
        <f t="shared" si="4"/>
        <v>0</v>
      </c>
      <c r="O18" s="159">
        <f t="shared" si="4"/>
        <v>0</v>
      </c>
      <c r="P18" s="159">
        <f t="shared" si="4"/>
        <v>0</v>
      </c>
      <c r="Q18" s="159">
        <f t="shared" si="4"/>
        <v>0</v>
      </c>
      <c r="R18" s="159">
        <f t="shared" si="4"/>
        <v>0</v>
      </c>
      <c r="S18" s="159">
        <f t="shared" si="4"/>
        <v>0</v>
      </c>
      <c r="T18" s="159">
        <f t="shared" si="4"/>
        <v>0</v>
      </c>
    </row>
    <row r="19" spans="2:20" x14ac:dyDescent="0.25">
      <c r="B19" s="23" t="s">
        <v>2617</v>
      </c>
      <c r="C19" s="28" t="s">
        <v>493</v>
      </c>
      <c r="H19" s="159">
        <f t="shared" ref="H19:T19" si="5">H9+H13</f>
        <v>29.338465248760002</v>
      </c>
      <c r="I19" s="159">
        <f t="shared" si="5"/>
        <v>0</v>
      </c>
      <c r="J19" s="159">
        <f t="shared" si="5"/>
        <v>0</v>
      </c>
      <c r="K19" s="159">
        <f t="shared" si="5"/>
        <v>195.18</v>
      </c>
      <c r="L19" s="159">
        <f t="shared" si="5"/>
        <v>0</v>
      </c>
      <c r="M19" s="159">
        <f t="shared" si="5"/>
        <v>0</v>
      </c>
      <c r="N19" s="159">
        <f t="shared" si="5"/>
        <v>0</v>
      </c>
      <c r="O19" s="159">
        <f t="shared" si="5"/>
        <v>0</v>
      </c>
      <c r="P19" s="159">
        <f t="shared" si="5"/>
        <v>0</v>
      </c>
      <c r="Q19" s="159">
        <f t="shared" si="5"/>
        <v>0</v>
      </c>
      <c r="R19" s="159">
        <f t="shared" si="5"/>
        <v>0</v>
      </c>
      <c r="S19" s="159">
        <f t="shared" si="5"/>
        <v>0</v>
      </c>
      <c r="T19" s="159">
        <f t="shared" si="5"/>
        <v>0</v>
      </c>
    </row>
    <row r="20" spans="2:20" x14ac:dyDescent="0.25">
      <c r="B20" s="21" t="s">
        <v>2610</v>
      </c>
      <c r="C20" s="28" t="s">
        <v>493</v>
      </c>
      <c r="G20" s="158">
        <f>G10+G14</f>
        <v>224.51846524876001</v>
      </c>
      <c r="H20" s="158">
        <f t="shared" ref="H20:T20" si="6">H10+H14</f>
        <v>195.18</v>
      </c>
      <c r="I20" s="158">
        <f t="shared" si="6"/>
        <v>195.18</v>
      </c>
      <c r="J20" s="158">
        <f t="shared" si="6"/>
        <v>195.18</v>
      </c>
      <c r="K20" s="158">
        <f t="shared" si="6"/>
        <v>0</v>
      </c>
      <c r="L20" s="158">
        <f t="shared" si="6"/>
        <v>0</v>
      </c>
      <c r="M20" s="158">
        <f t="shared" si="6"/>
        <v>0</v>
      </c>
      <c r="N20" s="158">
        <f t="shared" si="6"/>
        <v>0</v>
      </c>
      <c r="O20" s="158">
        <f t="shared" si="6"/>
        <v>0</v>
      </c>
      <c r="P20" s="158">
        <f t="shared" si="6"/>
        <v>0</v>
      </c>
      <c r="Q20" s="158">
        <f t="shared" si="6"/>
        <v>0</v>
      </c>
      <c r="R20" s="158">
        <f t="shared" si="6"/>
        <v>0</v>
      </c>
      <c r="S20" s="158">
        <f t="shared" si="6"/>
        <v>0</v>
      </c>
      <c r="T20" s="158">
        <f t="shared" si="6"/>
        <v>0</v>
      </c>
    </row>
    <row r="21" spans="2:20" x14ac:dyDescent="0.25">
      <c r="B21" s="23" t="s">
        <v>2618</v>
      </c>
      <c r="C21" s="28" t="s">
        <v>493</v>
      </c>
      <c r="H21" s="161">
        <f t="shared" ref="H21:T21" si="7">ROUND(H18-H19-H20,6)</f>
        <v>0</v>
      </c>
      <c r="I21" s="161">
        <f t="shared" si="7"/>
        <v>0</v>
      </c>
      <c r="J21" s="161">
        <f t="shared" si="7"/>
        <v>0</v>
      </c>
      <c r="K21" s="161">
        <f t="shared" si="7"/>
        <v>0</v>
      </c>
      <c r="L21" s="161">
        <f t="shared" si="7"/>
        <v>0</v>
      </c>
      <c r="M21" s="161">
        <f t="shared" si="7"/>
        <v>0</v>
      </c>
      <c r="N21" s="161">
        <f t="shared" si="7"/>
        <v>0</v>
      </c>
      <c r="O21" s="161">
        <f t="shared" si="7"/>
        <v>0</v>
      </c>
      <c r="P21" s="161">
        <f t="shared" si="7"/>
        <v>0</v>
      </c>
      <c r="Q21" s="161">
        <f t="shared" si="7"/>
        <v>0</v>
      </c>
      <c r="R21" s="161">
        <f t="shared" si="7"/>
        <v>0</v>
      </c>
      <c r="S21" s="161">
        <f t="shared" si="7"/>
        <v>0</v>
      </c>
      <c r="T21" s="161">
        <f t="shared" si="7"/>
        <v>0</v>
      </c>
    </row>
    <row r="22" spans="2:20" ht="26.25" customHeight="1" x14ac:dyDescent="0.25">
      <c r="B22" s="64" t="s">
        <v>2619</v>
      </c>
      <c r="C22" s="28" t="s">
        <v>493</v>
      </c>
      <c r="H22" s="159">
        <f>Inputs!H498+Inputs!$E$496*H16</f>
        <v>5.4709055176610004</v>
      </c>
      <c r="I22" s="159">
        <f>Inputs!I498+Inputs!$E$496*I16</f>
        <v>1.9421714587696599</v>
      </c>
      <c r="J22" s="159">
        <f>Inputs!J498+Inputs!$E$496*J16</f>
        <v>1.9421714587696484</v>
      </c>
      <c r="K22" s="159">
        <f>Inputs!K498+Inputs!$E$496*K16</f>
        <v>0.96310420284193521</v>
      </c>
      <c r="L22" s="159">
        <f>Inputs!L498+Inputs!$E$496*L16</f>
        <v>0</v>
      </c>
      <c r="M22" s="159">
        <f>Inputs!M498+Inputs!$E$496*M16</f>
        <v>0</v>
      </c>
      <c r="N22" s="159">
        <f>Inputs!N498+Inputs!$E$496*N16</f>
        <v>0</v>
      </c>
      <c r="O22" s="159">
        <f>Inputs!O498+Inputs!$E$496*O16</f>
        <v>0</v>
      </c>
      <c r="P22" s="159">
        <f>Inputs!P498+Inputs!$E$496*P16</f>
        <v>0</v>
      </c>
      <c r="Q22" s="159">
        <f>Inputs!Q498+Inputs!$E$496*Q16</f>
        <v>0</v>
      </c>
      <c r="R22" s="159">
        <f>Inputs!R498+Inputs!$E$496*R16</f>
        <v>0</v>
      </c>
      <c r="S22" s="159">
        <f>Inputs!S498+Inputs!$E$496*S16</f>
        <v>0</v>
      </c>
      <c r="T22" s="159">
        <f>Inputs!T498+Inputs!$E$496*T16</f>
        <v>0</v>
      </c>
    </row>
    <row r="23" spans="2:20" ht="26.25" customHeight="1" x14ac:dyDescent="0.25">
      <c r="B23" s="64" t="s">
        <v>2620</v>
      </c>
      <c r="C23" s="28" t="s">
        <v>493</v>
      </c>
      <c r="H23" s="159">
        <f>Inputs!H499+(1-Inputs!$E$496)*H16</f>
        <v>0</v>
      </c>
      <c r="I23" s="159">
        <f>Inputs!I499+(1-Inputs!$E$496)*I16</f>
        <v>13.331278719</v>
      </c>
      <c r="J23" s="159">
        <f>Inputs!J499+(1-Inputs!$E$496)*J16</f>
        <v>13.331278719000011</v>
      </c>
      <c r="K23" s="159">
        <f>Inputs!K499+(1-Inputs!$E$496)*K16</f>
        <v>6.6108532825726085</v>
      </c>
      <c r="L23" s="159">
        <f>Inputs!L499+(1-Inputs!$E$496)*L16</f>
        <v>0</v>
      </c>
      <c r="M23" s="159">
        <f>Inputs!M499+(1-Inputs!$E$496)*M16</f>
        <v>0</v>
      </c>
      <c r="N23" s="159">
        <f>Inputs!N499+(1-Inputs!$E$496)*N16</f>
        <v>0</v>
      </c>
      <c r="O23" s="159">
        <f>Inputs!O499+(1-Inputs!$E$496)*O16</f>
        <v>0</v>
      </c>
      <c r="P23" s="159">
        <f>Inputs!P499+(1-Inputs!$E$496)*P16</f>
        <v>0</v>
      </c>
      <c r="Q23" s="159">
        <f>Inputs!Q499+(1-Inputs!$E$496)*Q16</f>
        <v>0</v>
      </c>
      <c r="R23" s="159">
        <f>Inputs!R499+(1-Inputs!$E$496)*R16</f>
        <v>0</v>
      </c>
      <c r="S23" s="159">
        <f>Inputs!S499+(1-Inputs!$E$496)*S16</f>
        <v>0</v>
      </c>
      <c r="T23" s="159">
        <f>Inputs!T499+(1-Inputs!$E$496)*T16</f>
        <v>0</v>
      </c>
    </row>
    <row r="24" spans="2:20" ht="26.25" customHeight="1" x14ac:dyDescent="0.25">
      <c r="B24" s="133" t="s">
        <v>2621</v>
      </c>
      <c r="C24" s="28" t="s">
        <v>493</v>
      </c>
      <c r="H24" s="160">
        <f t="shared" ref="H24:T24" si="8">H22+H23</f>
        <v>5.4709055176610004</v>
      </c>
      <c r="I24" s="160">
        <f t="shared" si="8"/>
        <v>15.273450177769661</v>
      </c>
      <c r="J24" s="160">
        <f t="shared" si="8"/>
        <v>15.273450177769659</v>
      </c>
      <c r="K24" s="160">
        <f t="shared" si="8"/>
        <v>7.5739574854145442</v>
      </c>
      <c r="L24" s="160">
        <f t="shared" si="8"/>
        <v>0</v>
      </c>
      <c r="M24" s="160">
        <f t="shared" si="8"/>
        <v>0</v>
      </c>
      <c r="N24" s="160">
        <f t="shared" si="8"/>
        <v>0</v>
      </c>
      <c r="O24" s="160">
        <f t="shared" si="8"/>
        <v>0</v>
      </c>
      <c r="P24" s="160">
        <f t="shared" si="8"/>
        <v>0</v>
      </c>
      <c r="Q24" s="160">
        <f t="shared" si="8"/>
        <v>0</v>
      </c>
      <c r="R24" s="160">
        <f t="shared" si="8"/>
        <v>0</v>
      </c>
      <c r="S24" s="160">
        <f t="shared" si="8"/>
        <v>0</v>
      </c>
      <c r="T24" s="160">
        <f t="shared" si="8"/>
        <v>0</v>
      </c>
    </row>
    <row r="25" spans="2:20" x14ac:dyDescent="0.25">
      <c r="B25" s="23" t="s">
        <v>2622</v>
      </c>
      <c r="C25" s="28" t="s">
        <v>493</v>
      </c>
      <c r="H25" s="159">
        <f>Inputs!H498+Inputs!H499</f>
        <v>5.4709055176610004</v>
      </c>
      <c r="I25" s="159">
        <f>Inputs!I498+Inputs!I499</f>
        <v>15.273450177769661</v>
      </c>
      <c r="J25" s="159">
        <f>Inputs!J498+Inputs!J499</f>
        <v>0</v>
      </c>
      <c r="K25" s="159">
        <f>Inputs!K498+Inputs!K499</f>
        <v>0</v>
      </c>
      <c r="L25" s="159">
        <f>Inputs!L498+Inputs!L499</f>
        <v>0</v>
      </c>
      <c r="M25" s="159">
        <f>Inputs!M498+Inputs!M499</f>
        <v>0</v>
      </c>
      <c r="N25" s="159">
        <f>Inputs!N498+Inputs!N499</f>
        <v>0</v>
      </c>
      <c r="O25" s="159">
        <f>Inputs!O498+Inputs!O499</f>
        <v>0</v>
      </c>
      <c r="P25" s="159">
        <f>Inputs!P498+Inputs!P499</f>
        <v>0</v>
      </c>
      <c r="Q25" s="159">
        <f>Inputs!Q498+Inputs!Q499</f>
        <v>0</v>
      </c>
      <c r="R25" s="159">
        <f>Inputs!R498+Inputs!R499</f>
        <v>0</v>
      </c>
      <c r="S25" s="159">
        <f>Inputs!S498+Inputs!S499</f>
        <v>0</v>
      </c>
      <c r="T25" s="159">
        <f>Inputs!T498+Inputs!T499</f>
        <v>0</v>
      </c>
    </row>
    <row r="26" spans="2:20" x14ac:dyDescent="0.25">
      <c r="B26" s="145" t="s">
        <v>2623</v>
      </c>
    </row>
    <row r="28" spans="2:20" x14ac:dyDescent="0.25">
      <c r="B28" s="58" t="s">
        <v>2624</v>
      </c>
      <c r="C28" s="19"/>
      <c r="D28" s="19"/>
      <c r="E28" s="19"/>
      <c r="F28" s="19"/>
      <c r="G28" s="19"/>
      <c r="H28" s="19"/>
      <c r="I28" s="19"/>
      <c r="J28" s="19"/>
      <c r="K28" s="19"/>
      <c r="L28" s="19"/>
      <c r="M28" s="19"/>
      <c r="N28" s="19"/>
      <c r="O28" s="19"/>
      <c r="P28" s="19"/>
      <c r="Q28" s="19"/>
      <c r="R28" s="19"/>
      <c r="S28" s="19"/>
      <c r="T28" s="19"/>
    </row>
    <row r="29" spans="2:20" x14ac:dyDescent="0.25">
      <c r="B29" s="154" t="s">
        <v>2509</v>
      </c>
    </row>
    <row r="30" spans="2:20" x14ac:dyDescent="0.25">
      <c r="B30" s="23" t="s">
        <v>2608</v>
      </c>
      <c r="C30" s="28" t="s">
        <v>493</v>
      </c>
      <c r="H30" s="159">
        <f t="shared" ref="H30:T30" si="9">G33</f>
        <v>0</v>
      </c>
      <c r="I30" s="159">
        <f t="shared" si="9"/>
        <v>0</v>
      </c>
      <c r="J30" s="159">
        <f t="shared" si="9"/>
        <v>0</v>
      </c>
      <c r="K30" s="159">
        <f t="shared" si="9"/>
        <v>0</v>
      </c>
      <c r="L30" s="159">
        <f t="shared" si="9"/>
        <v>0</v>
      </c>
      <c r="M30" s="159">
        <f t="shared" si="9"/>
        <v>0</v>
      </c>
      <c r="N30" s="159">
        <f t="shared" si="9"/>
        <v>0</v>
      </c>
      <c r="O30" s="159">
        <f t="shared" si="9"/>
        <v>0</v>
      </c>
      <c r="P30" s="159">
        <f t="shared" si="9"/>
        <v>0</v>
      </c>
      <c r="Q30" s="159">
        <f t="shared" si="9"/>
        <v>0</v>
      </c>
      <c r="R30" s="159">
        <f t="shared" si="9"/>
        <v>0</v>
      </c>
      <c r="S30" s="159">
        <f t="shared" si="9"/>
        <v>0</v>
      </c>
      <c r="T30" s="159">
        <f t="shared" si="9"/>
        <v>0</v>
      </c>
    </row>
    <row r="31" spans="2:20" x14ac:dyDescent="0.25">
      <c r="B31" s="23" t="s">
        <v>2625</v>
      </c>
      <c r="C31" s="28" t="s">
        <v>493</v>
      </c>
      <c r="G31" s="159">
        <v>0</v>
      </c>
      <c r="H31" s="29">
        <f>'Funding Requirement'!H55</f>
        <v>0</v>
      </c>
      <c r="I31" s="29">
        <f>'Funding Requirement'!I55</f>
        <v>0</v>
      </c>
      <c r="J31" s="29">
        <f>'Funding Requirement'!J55</f>
        <v>0</v>
      </c>
      <c r="K31" s="29">
        <f>'Funding Requirement'!K55</f>
        <v>0</v>
      </c>
      <c r="L31" s="29">
        <f>'Funding Requirement'!L55</f>
        <v>0</v>
      </c>
      <c r="M31" s="29">
        <f>'Funding Requirement'!M55</f>
        <v>0</v>
      </c>
      <c r="N31" s="29">
        <f>'Funding Requirement'!N55</f>
        <v>0</v>
      </c>
      <c r="O31" s="29">
        <f>'Funding Requirement'!O55</f>
        <v>0</v>
      </c>
      <c r="P31" s="29">
        <f>'Funding Requirement'!P55</f>
        <v>0</v>
      </c>
      <c r="Q31" s="29">
        <f>'Funding Requirement'!Q55</f>
        <v>0</v>
      </c>
      <c r="R31" s="29">
        <f>'Funding Requirement'!R55</f>
        <v>0</v>
      </c>
      <c r="S31" s="29">
        <f>'Funding Requirement'!S55</f>
        <v>0</v>
      </c>
      <c r="T31" s="29">
        <f>'Funding Requirement'!T55</f>
        <v>0</v>
      </c>
    </row>
    <row r="32" spans="2:20" x14ac:dyDescent="0.25">
      <c r="B32" s="23" t="s">
        <v>2626</v>
      </c>
      <c r="C32" s="28" t="s">
        <v>493</v>
      </c>
      <c r="H32" s="159">
        <f>SUMPRODUCT($G$31:G$31,--('Revenue Calculation'!$G$7:G$7+Inputs!$E$504+1&lt;='Revenue Calculation'!H7),--('Revenue Calculation'!$G$7:G$7+Inputs!$E$503&gt;='Revenue Calculation'!H7))/MAX(1,Inputs!$E$503-Inputs!$E$504)</f>
        <v>0</v>
      </c>
      <c r="I32" s="159">
        <f>SUMPRODUCT($G$31:H$31,--('Revenue Calculation'!$G$7:H$7+Inputs!$E$504+1&lt;='Revenue Calculation'!I7),--('Revenue Calculation'!$G$7:H$7+Inputs!$E$503&gt;='Revenue Calculation'!I7))/MAX(1,Inputs!$E$503-Inputs!$E$504)</f>
        <v>0</v>
      </c>
      <c r="J32" s="159">
        <f>SUMPRODUCT($G$31:I$31,--('Revenue Calculation'!$G$7:I$7+Inputs!$E$504+1&lt;='Revenue Calculation'!J7),--('Revenue Calculation'!$G$7:I$7+Inputs!$E$503&gt;='Revenue Calculation'!J7))/MAX(1,Inputs!$E$503-Inputs!$E$504)</f>
        <v>0</v>
      </c>
      <c r="K32" s="159">
        <f>SUMPRODUCT($G$31:J$31,--('Revenue Calculation'!$G$7:J$7+Inputs!$E$504+1&lt;='Revenue Calculation'!K7),--('Revenue Calculation'!$G$7:J$7+Inputs!$E$503&gt;='Revenue Calculation'!K7))/MAX(1,Inputs!$E$503-Inputs!$E$504)</f>
        <v>0</v>
      </c>
      <c r="L32" s="159">
        <f>SUMPRODUCT($G$31:K$31,--('Revenue Calculation'!$G$7:K$7+Inputs!$E$504+1&lt;='Revenue Calculation'!L7),--('Revenue Calculation'!$G$7:K$7+Inputs!$E$503&gt;='Revenue Calculation'!L7))/MAX(1,Inputs!$E$503-Inputs!$E$504)</f>
        <v>0</v>
      </c>
      <c r="M32" s="159">
        <f>SUMPRODUCT($G$31:L$31,--('Revenue Calculation'!$G$7:L$7+Inputs!$E$504+1&lt;='Revenue Calculation'!M7),--('Revenue Calculation'!$G$7:L$7+Inputs!$E$503&gt;='Revenue Calculation'!M7))/MAX(1,Inputs!$E$503-Inputs!$E$504)</f>
        <v>0</v>
      </c>
      <c r="N32" s="159">
        <f>SUMPRODUCT($G$31:M$31,--('Revenue Calculation'!$G$7:M$7+Inputs!$E$504+1&lt;='Revenue Calculation'!N7),--('Revenue Calculation'!$G$7:M$7+Inputs!$E$503&gt;='Revenue Calculation'!N7))/MAX(1,Inputs!$E$503-Inputs!$E$504)</f>
        <v>0</v>
      </c>
      <c r="O32" s="159">
        <f>SUMPRODUCT($G$31:N$31,--('Revenue Calculation'!$G$7:N$7+Inputs!$E$504+1&lt;='Revenue Calculation'!O7),--('Revenue Calculation'!$G$7:N$7+Inputs!$E$503&gt;='Revenue Calculation'!O7))/MAX(1,Inputs!$E$503-Inputs!$E$504)</f>
        <v>0</v>
      </c>
      <c r="P32" s="159">
        <f>SUMPRODUCT($G$31:O$31,--('Revenue Calculation'!$G$7:O$7+Inputs!$E$504+1&lt;='Revenue Calculation'!P7),--('Revenue Calculation'!$G$7:O$7+Inputs!$E$503&gt;='Revenue Calculation'!P7))/MAX(1,Inputs!$E$503-Inputs!$E$504)</f>
        <v>0</v>
      </c>
      <c r="Q32" s="159">
        <f>SUMPRODUCT($G$31:P$31,--('Revenue Calculation'!$G$7:P$7+Inputs!$E$504+1&lt;='Revenue Calculation'!Q7),--('Revenue Calculation'!$G$7:P$7+Inputs!$E$503&gt;='Revenue Calculation'!Q7))/MAX(1,Inputs!$E$503-Inputs!$E$504)</f>
        <v>0</v>
      </c>
      <c r="R32" s="159">
        <f>SUMPRODUCT($G$31:Q$31,--('Revenue Calculation'!$G$7:Q$7+Inputs!$E$504+1&lt;='Revenue Calculation'!R7),--('Revenue Calculation'!$G$7:Q$7+Inputs!$E$503&gt;='Revenue Calculation'!R7))/MAX(1,Inputs!$E$503-Inputs!$E$504)</f>
        <v>0</v>
      </c>
      <c r="S32" s="159">
        <f>SUMPRODUCT($G$31:R$31,--('Revenue Calculation'!$G$7:R$7+Inputs!$E$504+1&lt;='Revenue Calculation'!S7),--('Revenue Calculation'!$G$7:R$7+Inputs!$E$503&gt;='Revenue Calculation'!S7))/MAX(1,Inputs!$E$503-Inputs!$E$504)</f>
        <v>0</v>
      </c>
      <c r="T32" s="159">
        <f>SUMPRODUCT($G$31:S$31,--('Revenue Calculation'!$G$7:S$7+Inputs!$E$504+1&lt;='Revenue Calculation'!T7),--('Revenue Calculation'!$G$7:S$7+Inputs!$E$503&gt;='Revenue Calculation'!T7))/MAX(1,Inputs!$E$503-Inputs!$E$504)</f>
        <v>0</v>
      </c>
    </row>
    <row r="33" spans="2:20" x14ac:dyDescent="0.25">
      <c r="B33" s="21" t="s">
        <v>2610</v>
      </c>
      <c r="C33" s="28" t="s">
        <v>493</v>
      </c>
      <c r="G33" s="158">
        <v>0</v>
      </c>
      <c r="H33" s="158">
        <f t="shared" ref="H33:T33" si="10">H30+H31-H32</f>
        <v>0</v>
      </c>
      <c r="I33" s="158">
        <f t="shared" si="10"/>
        <v>0</v>
      </c>
      <c r="J33" s="158">
        <f t="shared" si="10"/>
        <v>0</v>
      </c>
      <c r="K33" s="158">
        <f t="shared" si="10"/>
        <v>0</v>
      </c>
      <c r="L33" s="158">
        <f t="shared" si="10"/>
        <v>0</v>
      </c>
      <c r="M33" s="158">
        <f t="shared" si="10"/>
        <v>0</v>
      </c>
      <c r="N33" s="158">
        <f t="shared" si="10"/>
        <v>0</v>
      </c>
      <c r="O33" s="158">
        <f t="shared" si="10"/>
        <v>0</v>
      </c>
      <c r="P33" s="158">
        <f t="shared" si="10"/>
        <v>0</v>
      </c>
      <c r="Q33" s="158">
        <f t="shared" si="10"/>
        <v>0</v>
      </c>
      <c r="R33" s="158">
        <f t="shared" si="10"/>
        <v>0</v>
      </c>
      <c r="S33" s="158">
        <f t="shared" si="10"/>
        <v>0</v>
      </c>
      <c r="T33" s="158">
        <f t="shared" si="10"/>
        <v>0</v>
      </c>
    </row>
    <row r="34" spans="2:20" x14ac:dyDescent="0.25">
      <c r="B34" s="23" t="s">
        <v>2627</v>
      </c>
      <c r="C34" s="28" t="s">
        <v>493</v>
      </c>
      <c r="H34" s="159">
        <f>Inputs!H507*H30</f>
        <v>0</v>
      </c>
      <c r="I34" s="159">
        <f>Inputs!I507*I30</f>
        <v>0</v>
      </c>
      <c r="J34" s="159">
        <f>Inputs!J507*J30</f>
        <v>0</v>
      </c>
      <c r="K34" s="159">
        <f>Inputs!K507*K30</f>
        <v>0</v>
      </c>
      <c r="L34" s="159">
        <f>Inputs!L507*L30</f>
        <v>0</v>
      </c>
      <c r="M34" s="159">
        <f>Inputs!M507*M30</f>
        <v>0</v>
      </c>
      <c r="N34" s="159">
        <f>Inputs!N507*N30</f>
        <v>0</v>
      </c>
      <c r="O34" s="159">
        <f>Inputs!O507*O30</f>
        <v>0</v>
      </c>
      <c r="P34" s="159">
        <f>Inputs!P507*P30</f>
        <v>0</v>
      </c>
      <c r="Q34" s="159">
        <f>Inputs!Q507*Q30</f>
        <v>0</v>
      </c>
      <c r="R34" s="159">
        <f>Inputs!R507*R30</f>
        <v>0</v>
      </c>
      <c r="S34" s="159">
        <f>Inputs!S507*S30</f>
        <v>0</v>
      </c>
      <c r="T34" s="159">
        <f>Inputs!T507*T30</f>
        <v>0</v>
      </c>
    </row>
    <row r="35" spans="2:20" x14ac:dyDescent="0.25">
      <c r="B35" s="23" t="s">
        <v>2628</v>
      </c>
      <c r="C35" s="28" t="s">
        <v>493</v>
      </c>
      <c r="H35" s="159">
        <f>Inputs!$E$502*H31</f>
        <v>0</v>
      </c>
      <c r="I35" s="159">
        <f>Inputs!$E$502*I31</f>
        <v>0</v>
      </c>
      <c r="J35" s="159">
        <f>Inputs!$E$502*J31</f>
        <v>0</v>
      </c>
      <c r="K35" s="159">
        <f>Inputs!$E$502*K31</f>
        <v>0</v>
      </c>
      <c r="L35" s="159">
        <f>Inputs!$E$502*L31</f>
        <v>0</v>
      </c>
      <c r="M35" s="159">
        <f>Inputs!$E$502*M31</f>
        <v>0</v>
      </c>
      <c r="N35" s="159">
        <f>Inputs!$E$502*N31</f>
        <v>0</v>
      </c>
      <c r="O35" s="159">
        <f>Inputs!$E$502*O31</f>
        <v>0</v>
      </c>
      <c r="P35" s="159">
        <f>Inputs!$E$502*P31</f>
        <v>0</v>
      </c>
      <c r="Q35" s="159">
        <f>Inputs!$E$502*Q31</f>
        <v>0</v>
      </c>
      <c r="R35" s="159">
        <f>Inputs!$E$502*R31</f>
        <v>0</v>
      </c>
      <c r="S35" s="159">
        <f>Inputs!$E$502*S31</f>
        <v>0</v>
      </c>
      <c r="T35" s="159">
        <f>Inputs!$E$502*T31</f>
        <v>0</v>
      </c>
    </row>
    <row r="36" spans="2:20" x14ac:dyDescent="0.25">
      <c r="B36" s="23" t="s">
        <v>2629</v>
      </c>
      <c r="C36" s="28" t="s">
        <v>493</v>
      </c>
      <c r="H36" s="161">
        <f t="shared" ref="H36:T36" si="11">ROUND(H30+H31-H32-H33,6)</f>
        <v>0</v>
      </c>
      <c r="I36" s="161">
        <f t="shared" si="11"/>
        <v>0</v>
      </c>
      <c r="J36" s="161">
        <f t="shared" si="11"/>
        <v>0</v>
      </c>
      <c r="K36" s="161">
        <f t="shared" si="11"/>
        <v>0</v>
      </c>
      <c r="L36" s="161">
        <f t="shared" si="11"/>
        <v>0</v>
      </c>
      <c r="M36" s="161">
        <f t="shared" si="11"/>
        <v>0</v>
      </c>
      <c r="N36" s="161">
        <f t="shared" si="11"/>
        <v>0</v>
      </c>
      <c r="O36" s="161">
        <f t="shared" si="11"/>
        <v>0</v>
      </c>
      <c r="P36" s="161">
        <f t="shared" si="11"/>
        <v>0</v>
      </c>
      <c r="Q36" s="161">
        <f t="shared" si="11"/>
        <v>0</v>
      </c>
      <c r="R36" s="161">
        <f t="shared" si="11"/>
        <v>0</v>
      </c>
      <c r="S36" s="161">
        <f t="shared" si="11"/>
        <v>0</v>
      </c>
      <c r="T36" s="161">
        <f t="shared" si="11"/>
        <v>0</v>
      </c>
    </row>
    <row r="37" spans="2:20" x14ac:dyDescent="0.25">
      <c r="B37" s="154" t="s">
        <v>2517</v>
      </c>
    </row>
    <row r="38" spans="2:20" x14ac:dyDescent="0.25">
      <c r="B38" s="23" t="s">
        <v>2608</v>
      </c>
      <c r="C38" s="28" t="s">
        <v>493</v>
      </c>
      <c r="H38" s="159">
        <f t="shared" ref="H38:T38" si="12">G41</f>
        <v>0</v>
      </c>
      <c r="I38" s="159">
        <f t="shared" si="12"/>
        <v>0</v>
      </c>
      <c r="J38" s="159">
        <f t="shared" si="12"/>
        <v>0</v>
      </c>
      <c r="K38" s="159">
        <f t="shared" si="12"/>
        <v>0</v>
      </c>
      <c r="L38" s="159">
        <f t="shared" si="12"/>
        <v>0</v>
      </c>
      <c r="M38" s="159">
        <f t="shared" si="12"/>
        <v>0</v>
      </c>
      <c r="N38" s="159">
        <f t="shared" si="12"/>
        <v>0</v>
      </c>
      <c r="O38" s="159">
        <f t="shared" si="12"/>
        <v>0</v>
      </c>
      <c r="P38" s="159">
        <f t="shared" si="12"/>
        <v>0</v>
      </c>
      <c r="Q38" s="159">
        <f t="shared" si="12"/>
        <v>0</v>
      </c>
      <c r="R38" s="159">
        <f t="shared" si="12"/>
        <v>0</v>
      </c>
      <c r="S38" s="159">
        <f t="shared" si="12"/>
        <v>0</v>
      </c>
      <c r="T38" s="159">
        <f t="shared" si="12"/>
        <v>0</v>
      </c>
    </row>
    <row r="39" spans="2:20" x14ac:dyDescent="0.25">
      <c r="B39" s="23" t="s">
        <v>2625</v>
      </c>
      <c r="C39" s="28" t="s">
        <v>493</v>
      </c>
      <c r="G39" s="159">
        <v>0</v>
      </c>
      <c r="H39" s="29">
        <f>'Funding Requirement'!H87</f>
        <v>0</v>
      </c>
      <c r="I39" s="29">
        <f>'Funding Requirement'!I87</f>
        <v>0</v>
      </c>
      <c r="J39" s="29">
        <f>'Funding Requirement'!J87</f>
        <v>0</v>
      </c>
      <c r="K39" s="29">
        <f>'Funding Requirement'!K87</f>
        <v>0</v>
      </c>
      <c r="L39" s="29">
        <f>'Funding Requirement'!L87</f>
        <v>0</v>
      </c>
      <c r="M39" s="29">
        <f>'Funding Requirement'!M87</f>
        <v>0</v>
      </c>
      <c r="N39" s="29">
        <f>'Funding Requirement'!N87</f>
        <v>0</v>
      </c>
      <c r="O39" s="29">
        <f>'Funding Requirement'!O87</f>
        <v>0</v>
      </c>
      <c r="P39" s="29">
        <f>'Funding Requirement'!P87</f>
        <v>0</v>
      </c>
      <c r="Q39" s="29">
        <f>'Funding Requirement'!Q87</f>
        <v>0</v>
      </c>
      <c r="R39" s="29">
        <f>'Funding Requirement'!R87</f>
        <v>0</v>
      </c>
      <c r="S39" s="29">
        <f>'Funding Requirement'!S87</f>
        <v>0</v>
      </c>
      <c r="T39" s="29">
        <f>'Funding Requirement'!T87</f>
        <v>0</v>
      </c>
    </row>
    <row r="40" spans="2:20" x14ac:dyDescent="0.25">
      <c r="B40" s="23" t="s">
        <v>2626</v>
      </c>
      <c r="C40" s="28" t="s">
        <v>493</v>
      </c>
      <c r="H40" s="159">
        <f>SUMPRODUCT($G$39:G$39,--('Revenue Calculation'!$G$7:G$7+Inputs!$E$504+1&lt;='Revenue Calculation'!H7),--('Revenue Calculation'!$G$7:G$7+Inputs!$E$503&gt;='Revenue Calculation'!H7))/MAX(1,Inputs!$E$503-Inputs!$E$504)</f>
        <v>0</v>
      </c>
      <c r="I40" s="159">
        <f>SUMPRODUCT($G$39:H$39,--('Revenue Calculation'!$G$7:H$7+Inputs!$E$504+1&lt;='Revenue Calculation'!I7),--('Revenue Calculation'!$G$7:H$7+Inputs!$E$503&gt;='Revenue Calculation'!I7))/MAX(1,Inputs!$E$503-Inputs!$E$504)</f>
        <v>0</v>
      </c>
      <c r="J40" s="159">
        <f>SUMPRODUCT($G$39:I$39,--('Revenue Calculation'!$G$7:I$7+Inputs!$E$504+1&lt;='Revenue Calculation'!J7),--('Revenue Calculation'!$G$7:I$7+Inputs!$E$503&gt;='Revenue Calculation'!J7))/MAX(1,Inputs!$E$503-Inputs!$E$504)</f>
        <v>0</v>
      </c>
      <c r="K40" s="159">
        <f>SUMPRODUCT($G$39:J$39,--('Revenue Calculation'!$G$7:J$7+Inputs!$E$504+1&lt;='Revenue Calculation'!K7),--('Revenue Calculation'!$G$7:J$7+Inputs!$E$503&gt;='Revenue Calculation'!K7))/MAX(1,Inputs!$E$503-Inputs!$E$504)</f>
        <v>0</v>
      </c>
      <c r="L40" s="159">
        <f>SUMPRODUCT($G$39:K$39,--('Revenue Calculation'!$G$7:K$7+Inputs!$E$504+1&lt;='Revenue Calculation'!L7),--('Revenue Calculation'!$G$7:K$7+Inputs!$E$503&gt;='Revenue Calculation'!L7))/MAX(1,Inputs!$E$503-Inputs!$E$504)</f>
        <v>0</v>
      </c>
      <c r="M40" s="159">
        <f>SUMPRODUCT($G$39:L$39,--('Revenue Calculation'!$G$7:L$7+Inputs!$E$504+1&lt;='Revenue Calculation'!M7),--('Revenue Calculation'!$G$7:L$7+Inputs!$E$503&gt;='Revenue Calculation'!M7))/MAX(1,Inputs!$E$503-Inputs!$E$504)</f>
        <v>0</v>
      </c>
      <c r="N40" s="159">
        <f>SUMPRODUCT($G$39:M$39,--('Revenue Calculation'!$G$7:M$7+Inputs!$E$504+1&lt;='Revenue Calculation'!N7),--('Revenue Calculation'!$G$7:M$7+Inputs!$E$503&gt;='Revenue Calculation'!N7))/MAX(1,Inputs!$E$503-Inputs!$E$504)</f>
        <v>0</v>
      </c>
      <c r="O40" s="159">
        <f>SUMPRODUCT($G$39:N$39,--('Revenue Calculation'!$G$7:N$7+Inputs!$E$504+1&lt;='Revenue Calculation'!O7),--('Revenue Calculation'!$G$7:N$7+Inputs!$E$503&gt;='Revenue Calculation'!O7))/MAX(1,Inputs!$E$503-Inputs!$E$504)</f>
        <v>0</v>
      </c>
      <c r="P40" s="159">
        <f>SUMPRODUCT($G$39:O$39,--('Revenue Calculation'!$G$7:O$7+Inputs!$E$504+1&lt;='Revenue Calculation'!P7),--('Revenue Calculation'!$G$7:O$7+Inputs!$E$503&gt;='Revenue Calculation'!P7))/MAX(1,Inputs!$E$503-Inputs!$E$504)</f>
        <v>0</v>
      </c>
      <c r="Q40" s="159">
        <f>SUMPRODUCT($G$39:P$39,--('Revenue Calculation'!$G$7:P$7+Inputs!$E$504+1&lt;='Revenue Calculation'!Q7),--('Revenue Calculation'!$G$7:P$7+Inputs!$E$503&gt;='Revenue Calculation'!Q7))/MAX(1,Inputs!$E$503-Inputs!$E$504)</f>
        <v>0</v>
      </c>
      <c r="R40" s="159">
        <f>SUMPRODUCT($G$39:Q$39,--('Revenue Calculation'!$G$7:Q$7+Inputs!$E$504+1&lt;='Revenue Calculation'!R7),--('Revenue Calculation'!$G$7:Q$7+Inputs!$E$503&gt;='Revenue Calculation'!R7))/MAX(1,Inputs!$E$503-Inputs!$E$504)</f>
        <v>0</v>
      </c>
      <c r="S40" s="159">
        <f>SUMPRODUCT($G$39:R$39,--('Revenue Calculation'!$G$7:R$7+Inputs!$E$504+1&lt;='Revenue Calculation'!S7),--('Revenue Calculation'!$G$7:R$7+Inputs!$E$503&gt;='Revenue Calculation'!S7))/MAX(1,Inputs!$E$503-Inputs!$E$504)</f>
        <v>0</v>
      </c>
      <c r="T40" s="159">
        <f>SUMPRODUCT($G$39:S$39,--('Revenue Calculation'!$G$7:S$7+Inputs!$E$504+1&lt;='Revenue Calculation'!T7),--('Revenue Calculation'!$G$7:S$7+Inputs!$E$503&gt;='Revenue Calculation'!T7))/MAX(1,Inputs!$E$503-Inputs!$E$504)</f>
        <v>0</v>
      </c>
    </row>
    <row r="41" spans="2:20" x14ac:dyDescent="0.25">
      <c r="B41" s="21" t="s">
        <v>2610</v>
      </c>
      <c r="C41" s="28" t="s">
        <v>493</v>
      </c>
      <c r="G41" s="158">
        <v>0</v>
      </c>
      <c r="H41" s="158">
        <f t="shared" ref="H41:T41" si="13">H38+H39-H40</f>
        <v>0</v>
      </c>
      <c r="I41" s="158">
        <f t="shared" si="13"/>
        <v>0</v>
      </c>
      <c r="J41" s="158">
        <f t="shared" si="13"/>
        <v>0</v>
      </c>
      <c r="K41" s="158">
        <f t="shared" si="13"/>
        <v>0</v>
      </c>
      <c r="L41" s="158">
        <f t="shared" si="13"/>
        <v>0</v>
      </c>
      <c r="M41" s="158">
        <f t="shared" si="13"/>
        <v>0</v>
      </c>
      <c r="N41" s="158">
        <f t="shared" si="13"/>
        <v>0</v>
      </c>
      <c r="O41" s="158">
        <f t="shared" si="13"/>
        <v>0</v>
      </c>
      <c r="P41" s="158">
        <f t="shared" si="13"/>
        <v>0</v>
      </c>
      <c r="Q41" s="158">
        <f t="shared" si="13"/>
        <v>0</v>
      </c>
      <c r="R41" s="158">
        <f t="shared" si="13"/>
        <v>0</v>
      </c>
      <c r="S41" s="158">
        <f t="shared" si="13"/>
        <v>0</v>
      </c>
      <c r="T41" s="158">
        <f t="shared" si="13"/>
        <v>0</v>
      </c>
    </row>
    <row r="42" spans="2:20" x14ac:dyDescent="0.25">
      <c r="B42" s="23" t="s">
        <v>2627</v>
      </c>
      <c r="C42" s="28" t="s">
        <v>493</v>
      </c>
      <c r="H42" s="159">
        <f>Inputs!H507*H38</f>
        <v>0</v>
      </c>
      <c r="I42" s="159">
        <f>Inputs!I507*I38</f>
        <v>0</v>
      </c>
      <c r="J42" s="159">
        <f>Inputs!J507*J38</f>
        <v>0</v>
      </c>
      <c r="K42" s="159">
        <f>Inputs!K507*K38</f>
        <v>0</v>
      </c>
      <c r="L42" s="159">
        <f>Inputs!L507*L38</f>
        <v>0</v>
      </c>
      <c r="M42" s="159">
        <f>Inputs!M507*M38</f>
        <v>0</v>
      </c>
      <c r="N42" s="159">
        <f>Inputs!N507*N38</f>
        <v>0</v>
      </c>
      <c r="O42" s="159">
        <f>Inputs!O507*O38</f>
        <v>0</v>
      </c>
      <c r="P42" s="159">
        <f>Inputs!P507*P38</f>
        <v>0</v>
      </c>
      <c r="Q42" s="159">
        <f>Inputs!Q507*Q38</f>
        <v>0</v>
      </c>
      <c r="R42" s="159">
        <f>Inputs!R507*R38</f>
        <v>0</v>
      </c>
      <c r="S42" s="159">
        <f>Inputs!S507*S38</f>
        <v>0</v>
      </c>
      <c r="T42" s="159">
        <f>Inputs!T507*T38</f>
        <v>0</v>
      </c>
    </row>
    <row r="43" spans="2:20" x14ac:dyDescent="0.25">
      <c r="B43" s="23" t="s">
        <v>2628</v>
      </c>
      <c r="C43" s="28" t="s">
        <v>493</v>
      </c>
      <c r="H43" s="159">
        <f>Inputs!$E$502*H39</f>
        <v>0</v>
      </c>
      <c r="I43" s="159">
        <f>Inputs!$E$502*I39</f>
        <v>0</v>
      </c>
      <c r="J43" s="159">
        <f>Inputs!$E$502*J39</f>
        <v>0</v>
      </c>
      <c r="K43" s="159">
        <f>Inputs!$E$502*K39</f>
        <v>0</v>
      </c>
      <c r="L43" s="159">
        <f>Inputs!$E$502*L39</f>
        <v>0</v>
      </c>
      <c r="M43" s="159">
        <f>Inputs!$E$502*M39</f>
        <v>0</v>
      </c>
      <c r="N43" s="159">
        <f>Inputs!$E$502*N39</f>
        <v>0</v>
      </c>
      <c r="O43" s="159">
        <f>Inputs!$E$502*O39</f>
        <v>0</v>
      </c>
      <c r="P43" s="159">
        <f>Inputs!$E$502*P39</f>
        <v>0</v>
      </c>
      <c r="Q43" s="159">
        <f>Inputs!$E$502*Q39</f>
        <v>0</v>
      </c>
      <c r="R43" s="159">
        <f>Inputs!$E$502*R39</f>
        <v>0</v>
      </c>
      <c r="S43" s="159">
        <f>Inputs!$E$502*S39</f>
        <v>0</v>
      </c>
      <c r="T43" s="159">
        <f>Inputs!$E$502*T39</f>
        <v>0</v>
      </c>
    </row>
    <row r="44" spans="2:20" x14ac:dyDescent="0.25">
      <c r="B44" s="23" t="s">
        <v>2629</v>
      </c>
      <c r="C44" s="28" t="s">
        <v>493</v>
      </c>
      <c r="H44" s="161">
        <f t="shared" ref="H44:T44" si="14">ROUND(H38+H39-H40-H41,6)</f>
        <v>0</v>
      </c>
      <c r="I44" s="161">
        <f t="shared" si="14"/>
        <v>0</v>
      </c>
      <c r="J44" s="161">
        <f t="shared" si="14"/>
        <v>0</v>
      </c>
      <c r="K44" s="161">
        <f t="shared" si="14"/>
        <v>0</v>
      </c>
      <c r="L44" s="161">
        <f t="shared" si="14"/>
        <v>0</v>
      </c>
      <c r="M44" s="161">
        <f t="shared" si="14"/>
        <v>0</v>
      </c>
      <c r="N44" s="161">
        <f t="shared" si="14"/>
        <v>0</v>
      </c>
      <c r="O44" s="161">
        <f t="shared" si="14"/>
        <v>0</v>
      </c>
      <c r="P44" s="161">
        <f t="shared" si="14"/>
        <v>0</v>
      </c>
      <c r="Q44" s="161">
        <f t="shared" si="14"/>
        <v>0</v>
      </c>
      <c r="R44" s="161">
        <f t="shared" si="14"/>
        <v>0</v>
      </c>
      <c r="S44" s="161">
        <f t="shared" si="14"/>
        <v>0</v>
      </c>
      <c r="T44" s="161">
        <f t="shared" si="14"/>
        <v>0</v>
      </c>
    </row>
    <row r="46" spans="2:20" x14ac:dyDescent="0.25">
      <c r="B46" s="58" t="s">
        <v>2630</v>
      </c>
      <c r="C46" s="19"/>
      <c r="D46" s="19"/>
      <c r="E46" s="19"/>
      <c r="F46" s="19"/>
      <c r="G46" s="19"/>
      <c r="H46" s="19"/>
      <c r="I46" s="19"/>
      <c r="J46" s="19"/>
      <c r="K46" s="19"/>
      <c r="L46" s="19"/>
      <c r="M46" s="19"/>
      <c r="N46" s="19"/>
      <c r="O46" s="19"/>
      <c r="P46" s="19"/>
      <c r="Q46" s="19"/>
      <c r="R46" s="19"/>
      <c r="S46" s="19"/>
      <c r="T46" s="19"/>
    </row>
    <row r="47" spans="2:20" x14ac:dyDescent="0.25">
      <c r="B47" s="23" t="s">
        <v>2631</v>
      </c>
      <c r="C47" s="28" t="s">
        <v>493</v>
      </c>
      <c r="H47" s="159">
        <f t="shared" ref="H47:T47" si="15">G50</f>
        <v>0</v>
      </c>
      <c r="I47" s="159">
        <f t="shared" si="15"/>
        <v>0</v>
      </c>
      <c r="J47" s="159">
        <f t="shared" si="15"/>
        <v>0</v>
      </c>
      <c r="K47" s="159">
        <f t="shared" si="15"/>
        <v>0</v>
      </c>
      <c r="L47" s="159">
        <f t="shared" si="15"/>
        <v>32.53</v>
      </c>
      <c r="M47" s="159">
        <f t="shared" si="15"/>
        <v>81.325000000000003</v>
      </c>
      <c r="N47" s="159">
        <f t="shared" si="15"/>
        <v>81.325000000000003</v>
      </c>
      <c r="O47" s="159">
        <f t="shared" si="15"/>
        <v>74.819000000000003</v>
      </c>
      <c r="P47" s="159">
        <f t="shared" si="15"/>
        <v>58.554000000000002</v>
      </c>
      <c r="Q47" s="159">
        <f t="shared" si="15"/>
        <v>42.289000000000001</v>
      </c>
      <c r="R47" s="159">
        <f t="shared" si="15"/>
        <v>26.024000000000001</v>
      </c>
      <c r="S47" s="159">
        <f t="shared" si="15"/>
        <v>9.7590000000000003</v>
      </c>
      <c r="T47" s="159">
        <f t="shared" si="15"/>
        <v>0</v>
      </c>
    </row>
    <row r="48" spans="2:20" x14ac:dyDescent="0.25">
      <c r="B48" s="23" t="s">
        <v>2632</v>
      </c>
      <c r="C48" s="28" t="s">
        <v>493</v>
      </c>
      <c r="G48" s="159">
        <v>0</v>
      </c>
      <c r="H48" s="159">
        <f>Inputs!$E$584*'Capex &amp; Depreciation'!H75</f>
        <v>0</v>
      </c>
      <c r="I48" s="159">
        <f>Inputs!$E$584*'Capex &amp; Depreciation'!I75</f>
        <v>0</v>
      </c>
      <c r="J48" s="159">
        <f>Inputs!$E$584*'Capex &amp; Depreciation'!J75</f>
        <v>0</v>
      </c>
      <c r="K48" s="159">
        <f>Inputs!$E$584*'Capex &amp; Depreciation'!K75</f>
        <v>32.53</v>
      </c>
      <c r="L48" s="159">
        <f>Inputs!$E$584*'Capex &amp; Depreciation'!L75</f>
        <v>48.795000000000002</v>
      </c>
      <c r="M48" s="159">
        <f>Inputs!$E$584*'Capex &amp; Depreciation'!M75</f>
        <v>0</v>
      </c>
      <c r="N48" s="159">
        <f>Inputs!$E$584*'Capex &amp; Depreciation'!N75</f>
        <v>0</v>
      </c>
      <c r="O48" s="159">
        <f>Inputs!$E$584*'Capex &amp; Depreciation'!O75</f>
        <v>0</v>
      </c>
      <c r="P48" s="159">
        <f>Inputs!$E$584*'Capex &amp; Depreciation'!P75</f>
        <v>0</v>
      </c>
      <c r="Q48" s="159">
        <f>Inputs!$E$584*'Capex &amp; Depreciation'!Q75</f>
        <v>0</v>
      </c>
      <c r="R48" s="159">
        <f>Inputs!$E$584*'Capex &amp; Depreciation'!R75</f>
        <v>0</v>
      </c>
      <c r="S48" s="159">
        <f>Inputs!$E$584*'Capex &amp; Depreciation'!S75</f>
        <v>0</v>
      </c>
      <c r="T48" s="159">
        <f>Inputs!$E$584*'Capex &amp; Depreciation'!T75</f>
        <v>0</v>
      </c>
    </row>
    <row r="49" spans="2:20" x14ac:dyDescent="0.25">
      <c r="B49" s="23" t="s">
        <v>2633</v>
      </c>
      <c r="C49" s="28" t="s">
        <v>493</v>
      </c>
      <c r="H49" s="159">
        <f>SUMPRODUCT($G$48:G$48,--('Revenue Calculation'!$G$7:G$7+Inputs!$E$586+1&lt;='Revenue Calculation'!H7),--('Revenue Calculation'!$G$7:G$7+Inputs!$E$585&gt;='Revenue Calculation'!H7))/MAX(1,Inputs!$E$585-Inputs!$E$586)</f>
        <v>0</v>
      </c>
      <c r="I49" s="159">
        <f>SUMPRODUCT($G$48:H$48,--('Revenue Calculation'!$G$7:H$7+Inputs!$E$586+1&lt;='Revenue Calculation'!I7),--('Revenue Calculation'!$G$7:H$7+Inputs!$E$585&gt;='Revenue Calculation'!I7))/MAX(1,Inputs!$E$585-Inputs!$E$586)</f>
        <v>0</v>
      </c>
      <c r="J49" s="159">
        <f>SUMPRODUCT($G$48:I$48,--('Revenue Calculation'!$G$7:I$7+Inputs!$E$586+1&lt;='Revenue Calculation'!J7),--('Revenue Calculation'!$G$7:I$7+Inputs!$E$585&gt;='Revenue Calculation'!J7))/MAX(1,Inputs!$E$585-Inputs!$E$586)</f>
        <v>0</v>
      </c>
      <c r="K49" s="159">
        <f>SUMPRODUCT($G$48:J$48,--('Revenue Calculation'!$G$7:J$7+Inputs!$E$586+1&lt;='Revenue Calculation'!K7),--('Revenue Calculation'!$G$7:J$7+Inputs!$E$585&gt;='Revenue Calculation'!K7))/MAX(1,Inputs!$E$585-Inputs!$E$586)</f>
        <v>0</v>
      </c>
      <c r="L49" s="159">
        <f>SUMPRODUCT($G$48:K$48,--('Revenue Calculation'!$G$7:K$7+Inputs!$E$586+1&lt;='Revenue Calculation'!L7),--('Revenue Calculation'!$G$7:K$7+Inputs!$E$585&gt;='Revenue Calculation'!L7))/MAX(1,Inputs!$E$585-Inputs!$E$586)</f>
        <v>0</v>
      </c>
      <c r="M49" s="159">
        <f>SUMPRODUCT($G$48:L$48,--('Revenue Calculation'!$G$7:L$7+Inputs!$E$586+1&lt;='Revenue Calculation'!M7),--('Revenue Calculation'!$G$7:L$7+Inputs!$E$585&gt;='Revenue Calculation'!M7))/MAX(1,Inputs!$E$585-Inputs!$E$586)</f>
        <v>0</v>
      </c>
      <c r="N49" s="159">
        <f>SUMPRODUCT($G$48:M$48,--('Revenue Calculation'!$G$7:M$7+Inputs!$E$586+1&lt;='Revenue Calculation'!N7),--('Revenue Calculation'!$G$7:M$7+Inputs!$E$585&gt;='Revenue Calculation'!N7))/MAX(1,Inputs!$E$585-Inputs!$E$586)</f>
        <v>6.5060000000000002</v>
      </c>
      <c r="O49" s="159">
        <f>SUMPRODUCT($G$48:N$48,--('Revenue Calculation'!$G$7:N$7+Inputs!$E$586+1&lt;='Revenue Calculation'!O7),--('Revenue Calculation'!$G$7:N$7+Inputs!$E$585&gt;='Revenue Calculation'!O7))/MAX(1,Inputs!$E$585-Inputs!$E$586)</f>
        <v>16.265000000000001</v>
      </c>
      <c r="P49" s="159">
        <f>SUMPRODUCT($G$48:O$48,--('Revenue Calculation'!$G$7:O$7+Inputs!$E$586+1&lt;='Revenue Calculation'!P7),--('Revenue Calculation'!$G$7:O$7+Inputs!$E$585&gt;='Revenue Calculation'!P7))/MAX(1,Inputs!$E$585-Inputs!$E$586)</f>
        <v>16.265000000000001</v>
      </c>
      <c r="Q49" s="159">
        <f>SUMPRODUCT($G$48:P$48,--('Revenue Calculation'!$G$7:P$7+Inputs!$E$586+1&lt;='Revenue Calculation'!Q7),--('Revenue Calculation'!$G$7:P$7+Inputs!$E$585&gt;='Revenue Calculation'!Q7))/MAX(1,Inputs!$E$585-Inputs!$E$586)</f>
        <v>16.265000000000001</v>
      </c>
      <c r="R49" s="159">
        <f>SUMPRODUCT($G$48:Q$48,--('Revenue Calculation'!$G$7:Q$7+Inputs!$E$586+1&lt;='Revenue Calculation'!R7),--('Revenue Calculation'!$G$7:Q$7+Inputs!$E$585&gt;='Revenue Calculation'!R7))/MAX(1,Inputs!$E$585-Inputs!$E$586)</f>
        <v>16.265000000000001</v>
      </c>
      <c r="S49" s="159">
        <f>SUMPRODUCT($G$48:R$48,--('Revenue Calculation'!$G$7:R$7+Inputs!$E$586+1&lt;='Revenue Calculation'!S7),--('Revenue Calculation'!$G$7:R$7+Inputs!$E$585&gt;='Revenue Calculation'!S7))/MAX(1,Inputs!$E$585-Inputs!$E$586)</f>
        <v>9.7590000000000003</v>
      </c>
      <c r="T49" s="159">
        <f>SUMPRODUCT($G$48:S$48,--('Revenue Calculation'!$G$7:S$7+Inputs!$E$586+1&lt;='Revenue Calculation'!T7),--('Revenue Calculation'!$G$7:S$7+Inputs!$E$585&gt;='Revenue Calculation'!T7))/MAX(1,Inputs!$E$585-Inputs!$E$586)</f>
        <v>0</v>
      </c>
    </row>
    <row r="50" spans="2:20" x14ac:dyDescent="0.25">
      <c r="B50" s="21" t="s">
        <v>2634</v>
      </c>
      <c r="C50" s="28" t="s">
        <v>493</v>
      </c>
      <c r="G50" s="160">
        <v>0</v>
      </c>
      <c r="H50" s="160">
        <f t="shared" ref="H50:T50" si="16">H47+H48-H49</f>
        <v>0</v>
      </c>
      <c r="I50" s="160">
        <f t="shared" si="16"/>
        <v>0</v>
      </c>
      <c r="J50" s="160">
        <f t="shared" si="16"/>
        <v>0</v>
      </c>
      <c r="K50" s="160">
        <f t="shared" si="16"/>
        <v>32.53</v>
      </c>
      <c r="L50" s="160">
        <f t="shared" si="16"/>
        <v>81.325000000000003</v>
      </c>
      <c r="M50" s="160">
        <f t="shared" si="16"/>
        <v>81.325000000000003</v>
      </c>
      <c r="N50" s="160">
        <f t="shared" si="16"/>
        <v>74.819000000000003</v>
      </c>
      <c r="O50" s="160">
        <f t="shared" si="16"/>
        <v>58.554000000000002</v>
      </c>
      <c r="P50" s="160">
        <f t="shared" si="16"/>
        <v>42.289000000000001</v>
      </c>
      <c r="Q50" s="160">
        <f t="shared" si="16"/>
        <v>26.024000000000001</v>
      </c>
      <c r="R50" s="160">
        <f t="shared" si="16"/>
        <v>9.7590000000000003</v>
      </c>
      <c r="S50" s="160">
        <f t="shared" si="16"/>
        <v>0</v>
      </c>
      <c r="T50" s="160">
        <f t="shared" si="16"/>
        <v>0</v>
      </c>
    </row>
    <row r="51" spans="2:20" x14ac:dyDescent="0.25">
      <c r="B51" s="23" t="s">
        <v>2635</v>
      </c>
      <c r="C51" s="28" t="s">
        <v>493</v>
      </c>
      <c r="H51" s="159">
        <f>Inputs!H598*H47</f>
        <v>0</v>
      </c>
      <c r="I51" s="159">
        <f>Inputs!I598*I47</f>
        <v>0</v>
      </c>
      <c r="J51" s="159">
        <f>Inputs!J598*J47</f>
        <v>0</v>
      </c>
      <c r="K51" s="159">
        <f>Inputs!K598*K47</f>
        <v>0</v>
      </c>
      <c r="L51" s="159">
        <f>Inputs!L598*L47</f>
        <v>3.4156499999999999</v>
      </c>
      <c r="M51" s="159">
        <f>Inputs!M598*M47</f>
        <v>8.5391250000000003</v>
      </c>
      <c r="N51" s="159">
        <f>Inputs!N598*N47</f>
        <v>8.5391250000000003</v>
      </c>
      <c r="O51" s="159">
        <f>Inputs!O598*O47</f>
        <v>7.8559950000000001</v>
      </c>
      <c r="P51" s="159">
        <f>Inputs!P598*P47</f>
        <v>6.1481700000000004</v>
      </c>
      <c r="Q51" s="159">
        <f>Inputs!Q598*Q47</f>
        <v>4.4403449999999998</v>
      </c>
      <c r="R51" s="159">
        <f>Inputs!R598*R47</f>
        <v>2.7325200000000001</v>
      </c>
      <c r="S51" s="159">
        <f>Inputs!S598*S47</f>
        <v>1.0246949999999999</v>
      </c>
      <c r="T51" s="159">
        <f>Inputs!T598*T47</f>
        <v>0</v>
      </c>
    </row>
    <row r="52" spans="2:20" x14ac:dyDescent="0.25">
      <c r="B52" s="23" t="s">
        <v>2636</v>
      </c>
      <c r="C52" s="28" t="s">
        <v>493</v>
      </c>
      <c r="H52" s="159">
        <f>H48*Inputs!$H$82</f>
        <v>0</v>
      </c>
      <c r="I52" s="159">
        <f>I48*Inputs!$H$82</f>
        <v>0</v>
      </c>
      <c r="J52" s="159">
        <f>J48*Inputs!$H$82</f>
        <v>0</v>
      </c>
      <c r="K52" s="159">
        <f>K48*Inputs!$H$82</f>
        <v>32.53</v>
      </c>
      <c r="L52" s="159">
        <f>L48*Inputs!$H$82</f>
        <v>48.795000000000002</v>
      </c>
      <c r="M52" s="159">
        <f>M48*Inputs!$H$82</f>
        <v>0</v>
      </c>
      <c r="N52" s="159">
        <f>N48*Inputs!$H$82</f>
        <v>0</v>
      </c>
      <c r="O52" s="159">
        <f>O48*Inputs!$H$82</f>
        <v>0</v>
      </c>
      <c r="P52" s="159">
        <f>P48*Inputs!$H$82</f>
        <v>0</v>
      </c>
      <c r="Q52" s="159">
        <f>Q48*Inputs!$H$82</f>
        <v>0</v>
      </c>
      <c r="R52" s="159">
        <f>R48*Inputs!$H$82</f>
        <v>0</v>
      </c>
      <c r="S52" s="159">
        <f>S48*Inputs!$H$82</f>
        <v>0</v>
      </c>
      <c r="T52" s="159">
        <f>T48*Inputs!$H$82</f>
        <v>0</v>
      </c>
    </row>
    <row r="53" spans="2:20" x14ac:dyDescent="0.25">
      <c r="B53" s="23" t="s">
        <v>2637</v>
      </c>
      <c r="C53" s="28" t="s">
        <v>493</v>
      </c>
      <c r="H53" s="159">
        <f>H49*Inputs!$H$82</f>
        <v>0</v>
      </c>
      <c r="I53" s="159">
        <f>I49*Inputs!$H$82</f>
        <v>0</v>
      </c>
      <c r="J53" s="159">
        <f>J49*Inputs!$H$82</f>
        <v>0</v>
      </c>
      <c r="K53" s="159">
        <f>K49*Inputs!$H$82</f>
        <v>0</v>
      </c>
      <c r="L53" s="159">
        <f>L49*Inputs!$H$82</f>
        <v>0</v>
      </c>
      <c r="M53" s="159">
        <f>M49*Inputs!$H$82</f>
        <v>0</v>
      </c>
      <c r="N53" s="159">
        <f>N49*Inputs!$H$82</f>
        <v>6.5060000000000002</v>
      </c>
      <c r="O53" s="159">
        <f>O49*Inputs!$H$82</f>
        <v>16.265000000000001</v>
      </c>
      <c r="P53" s="159">
        <f>P49*Inputs!$H$82</f>
        <v>16.265000000000001</v>
      </c>
      <c r="Q53" s="159">
        <f>Q49*Inputs!$H$82</f>
        <v>16.265000000000001</v>
      </c>
      <c r="R53" s="159">
        <f>R49*Inputs!$H$82</f>
        <v>16.265000000000001</v>
      </c>
      <c r="S53" s="159">
        <f>S49*Inputs!$H$82</f>
        <v>9.7590000000000003</v>
      </c>
      <c r="T53" s="159">
        <f>T49*Inputs!$H$82</f>
        <v>0</v>
      </c>
    </row>
    <row r="54" spans="2:20" x14ac:dyDescent="0.25">
      <c r="B54" s="23" t="s">
        <v>2638</v>
      </c>
      <c r="C54" s="28" t="s">
        <v>493</v>
      </c>
      <c r="H54" s="159">
        <f>H51*Inputs!$H$82</f>
        <v>0</v>
      </c>
      <c r="I54" s="159">
        <f>I51*Inputs!$H$82</f>
        <v>0</v>
      </c>
      <c r="J54" s="159">
        <f>J51*Inputs!$H$82</f>
        <v>0</v>
      </c>
      <c r="K54" s="159">
        <f>K51*Inputs!$H$82</f>
        <v>0</v>
      </c>
      <c r="L54" s="159">
        <f>L51*Inputs!$H$82</f>
        <v>3.4156499999999999</v>
      </c>
      <c r="M54" s="159">
        <f>M51*Inputs!$H$82</f>
        <v>8.5391250000000003</v>
      </c>
      <c r="N54" s="159">
        <f>N51*Inputs!$H$82</f>
        <v>8.5391250000000003</v>
      </c>
      <c r="O54" s="159">
        <f>O51*Inputs!$H$82</f>
        <v>7.8559950000000001</v>
      </c>
      <c r="P54" s="159">
        <f>P51*Inputs!$H$82</f>
        <v>6.1481700000000004</v>
      </c>
      <c r="Q54" s="159">
        <f>Q51*Inputs!$H$82</f>
        <v>4.4403449999999998</v>
      </c>
      <c r="R54" s="159">
        <f>R51*Inputs!$H$82</f>
        <v>2.7325200000000001</v>
      </c>
      <c r="S54" s="159">
        <f>S51*Inputs!$H$82</f>
        <v>1.0246949999999999</v>
      </c>
      <c r="T54" s="159">
        <f>T51*Inputs!$H$82</f>
        <v>0</v>
      </c>
    </row>
    <row r="55" spans="2:20" x14ac:dyDescent="0.25">
      <c r="B55" s="21" t="s">
        <v>2639</v>
      </c>
      <c r="C55" s="28" t="s">
        <v>493</v>
      </c>
      <c r="G55" s="160">
        <v>0</v>
      </c>
      <c r="H55" s="160">
        <f>H50*Inputs!$H$82</f>
        <v>0</v>
      </c>
      <c r="I55" s="160">
        <f>I50*Inputs!$H$82</f>
        <v>0</v>
      </c>
      <c r="J55" s="160">
        <f>J50*Inputs!$H$82</f>
        <v>0</v>
      </c>
      <c r="K55" s="160">
        <f>K50*Inputs!$H$82</f>
        <v>32.53</v>
      </c>
      <c r="L55" s="160">
        <f>L50*Inputs!$H$82</f>
        <v>81.325000000000003</v>
      </c>
      <c r="M55" s="160">
        <f>M50*Inputs!$H$82</f>
        <v>81.325000000000003</v>
      </c>
      <c r="N55" s="160">
        <f>N50*Inputs!$H$82</f>
        <v>74.819000000000003</v>
      </c>
      <c r="O55" s="160">
        <f>O50*Inputs!$H$82</f>
        <v>58.554000000000002</v>
      </c>
      <c r="P55" s="160">
        <f>P50*Inputs!$H$82</f>
        <v>42.289000000000001</v>
      </c>
      <c r="Q55" s="160">
        <f>Q50*Inputs!$H$82</f>
        <v>26.024000000000001</v>
      </c>
      <c r="R55" s="160">
        <f>R50*Inputs!$H$82</f>
        <v>9.7590000000000003</v>
      </c>
      <c r="S55" s="160">
        <f>S50*Inputs!$H$82</f>
        <v>0</v>
      </c>
      <c r="T55" s="160">
        <f>T50*Inputs!$H$82</f>
        <v>0</v>
      </c>
    </row>
    <row r="56" spans="2:20" x14ac:dyDescent="0.25">
      <c r="B56" s="23" t="s">
        <v>2629</v>
      </c>
      <c r="C56" s="28" t="s">
        <v>493</v>
      </c>
      <c r="H56" s="161">
        <f t="shared" ref="H56:T56" si="17">ROUND(H47+H48-H49-H50,6)</f>
        <v>0</v>
      </c>
      <c r="I56" s="161">
        <f t="shared" si="17"/>
        <v>0</v>
      </c>
      <c r="J56" s="161">
        <f t="shared" si="17"/>
        <v>0</v>
      </c>
      <c r="K56" s="161">
        <f t="shared" si="17"/>
        <v>0</v>
      </c>
      <c r="L56" s="161">
        <f t="shared" si="17"/>
        <v>0</v>
      </c>
      <c r="M56" s="161">
        <f t="shared" si="17"/>
        <v>0</v>
      </c>
      <c r="N56" s="161">
        <f t="shared" si="17"/>
        <v>0</v>
      </c>
      <c r="O56" s="161">
        <f t="shared" si="17"/>
        <v>0</v>
      </c>
      <c r="P56" s="161">
        <f t="shared" si="17"/>
        <v>0</v>
      </c>
      <c r="Q56" s="161">
        <f t="shared" si="17"/>
        <v>0</v>
      </c>
      <c r="R56" s="161">
        <f t="shared" si="17"/>
        <v>0</v>
      </c>
      <c r="S56" s="161">
        <f t="shared" si="17"/>
        <v>0</v>
      </c>
      <c r="T56" s="161">
        <f t="shared" si="17"/>
        <v>0</v>
      </c>
    </row>
    <row r="57" spans="2:20" x14ac:dyDescent="0.25">
      <c r="B57" s="145" t="s">
        <v>2640</v>
      </c>
    </row>
    <row r="59" spans="2:20" x14ac:dyDescent="0.25">
      <c r="B59" s="58" t="s">
        <v>2641</v>
      </c>
      <c r="C59" s="19"/>
      <c r="D59" s="19"/>
      <c r="E59" s="19"/>
      <c r="F59" s="19"/>
      <c r="G59" s="19"/>
      <c r="H59" s="19"/>
      <c r="I59" s="19"/>
      <c r="J59" s="19"/>
      <c r="K59" s="19"/>
      <c r="L59" s="19"/>
      <c r="M59" s="19"/>
      <c r="N59" s="19"/>
      <c r="O59" s="19"/>
      <c r="P59" s="19"/>
      <c r="Q59" s="19"/>
      <c r="R59" s="19"/>
      <c r="S59" s="19"/>
      <c r="T59" s="19"/>
    </row>
    <row r="60" spans="2:20" x14ac:dyDescent="0.25">
      <c r="B60" s="23" t="s">
        <v>2642</v>
      </c>
      <c r="C60" s="28" t="s">
        <v>493</v>
      </c>
      <c r="H60" s="159">
        <f>Inputs!H513*'Funding Requirement'!G62</f>
        <v>0</v>
      </c>
      <c r="I60" s="159">
        <f>Inputs!I513*'Funding Requirement'!H62</f>
        <v>0</v>
      </c>
      <c r="J60" s="159">
        <f>Inputs!J513*'Funding Requirement'!I62</f>
        <v>0</v>
      </c>
      <c r="K60" s="159">
        <f>Inputs!K513*'Funding Requirement'!J62</f>
        <v>0</v>
      </c>
      <c r="L60" s="159">
        <f>Inputs!L513*'Funding Requirement'!K62</f>
        <v>0</v>
      </c>
      <c r="M60" s="159">
        <f>Inputs!M513*'Funding Requirement'!L62</f>
        <v>0</v>
      </c>
      <c r="N60" s="159">
        <f>Inputs!N513*'Funding Requirement'!M62</f>
        <v>0</v>
      </c>
      <c r="O60" s="159">
        <f>Inputs!O513*'Funding Requirement'!N62</f>
        <v>0</v>
      </c>
      <c r="P60" s="159">
        <f>Inputs!P513*'Funding Requirement'!O62</f>
        <v>0</v>
      </c>
      <c r="Q60" s="159">
        <f>Inputs!Q513*'Funding Requirement'!P62</f>
        <v>0</v>
      </c>
      <c r="R60" s="159">
        <f>Inputs!R513*'Funding Requirement'!Q62</f>
        <v>0</v>
      </c>
      <c r="S60" s="159">
        <f>Inputs!S513*'Funding Requirement'!R62</f>
        <v>0</v>
      </c>
      <c r="T60" s="159">
        <f>Inputs!T513*'Funding Requirement'!S62</f>
        <v>0</v>
      </c>
    </row>
    <row r="61" spans="2:20" ht="38.25" customHeight="1" x14ac:dyDescent="0.25">
      <c r="B61" s="133" t="s">
        <v>2643</v>
      </c>
      <c r="C61" s="28" t="s">
        <v>493</v>
      </c>
      <c r="H61" s="160">
        <f>'Funding Requirement'!H52+'Funding Requirement'!H53+'Funding Requirement'!H57</f>
        <v>0</v>
      </c>
      <c r="I61" s="160">
        <f>'Funding Requirement'!I52+'Funding Requirement'!I53+'Funding Requirement'!I57</f>
        <v>0</v>
      </c>
      <c r="J61" s="160">
        <f>'Funding Requirement'!J52+'Funding Requirement'!J53+'Funding Requirement'!J57</f>
        <v>0</v>
      </c>
      <c r="K61" s="160">
        <f>'Funding Requirement'!K52+'Funding Requirement'!K53+'Funding Requirement'!K57</f>
        <v>28.884162758641565</v>
      </c>
      <c r="L61" s="160">
        <f>'Funding Requirement'!L52+'Funding Requirement'!L53+'Funding Requirement'!L57</f>
        <v>0</v>
      </c>
      <c r="M61" s="160">
        <f>'Funding Requirement'!M52+'Funding Requirement'!M53+'Funding Requirement'!M57</f>
        <v>0</v>
      </c>
      <c r="N61" s="160">
        <f>'Funding Requirement'!N52+'Funding Requirement'!N53+'Funding Requirement'!N57</f>
        <v>0</v>
      </c>
      <c r="O61" s="160">
        <f>'Funding Requirement'!O52+'Funding Requirement'!O53+'Funding Requirement'!O57</f>
        <v>0</v>
      </c>
      <c r="P61" s="160">
        <f>'Funding Requirement'!P52+'Funding Requirement'!P53+'Funding Requirement'!P57</f>
        <v>0</v>
      </c>
      <c r="Q61" s="160">
        <f>'Funding Requirement'!Q52+'Funding Requirement'!Q53+'Funding Requirement'!Q57</f>
        <v>0</v>
      </c>
      <c r="R61" s="160">
        <f>'Funding Requirement'!R52+'Funding Requirement'!R53+'Funding Requirement'!R57</f>
        <v>0</v>
      </c>
      <c r="S61" s="160">
        <f>'Funding Requirement'!S52+'Funding Requirement'!S53+'Funding Requirement'!S57</f>
        <v>0</v>
      </c>
      <c r="T61" s="160">
        <f>'Funding Requirement'!T52+'Funding Requirement'!T53+'Funding Requirement'!T57</f>
        <v>0</v>
      </c>
    </row>
    <row r="62" spans="2:20" x14ac:dyDescent="0.25">
      <c r="B62" s="23" t="s">
        <v>2644</v>
      </c>
      <c r="C62" s="28" t="s">
        <v>806</v>
      </c>
      <c r="H62" s="159">
        <f>H61*1000/Inputs!H95</f>
        <v>0</v>
      </c>
      <c r="I62" s="159">
        <f>I61*1000/Inputs!I95</f>
        <v>0</v>
      </c>
      <c r="J62" s="159">
        <f>J61*1000/Inputs!J95</f>
        <v>0</v>
      </c>
      <c r="K62" s="159">
        <f>K61*1000/Inputs!K95</f>
        <v>1.7758476949672037</v>
      </c>
      <c r="L62" s="159">
        <f>L61*1000/Inputs!L95</f>
        <v>0</v>
      </c>
      <c r="M62" s="159">
        <f>M61*1000/Inputs!M95</f>
        <v>0</v>
      </c>
      <c r="N62" s="159">
        <f>N61*1000/Inputs!N95</f>
        <v>0</v>
      </c>
      <c r="O62" s="159">
        <f>O61*1000/Inputs!O95</f>
        <v>0</v>
      </c>
      <c r="P62" s="159">
        <f>P61*1000/Inputs!P95</f>
        <v>0</v>
      </c>
      <c r="Q62" s="159">
        <f>Q61*1000/Inputs!Q95</f>
        <v>0</v>
      </c>
      <c r="R62" s="159">
        <f>R61*1000/Inputs!R95</f>
        <v>0</v>
      </c>
      <c r="S62" s="159">
        <f>S61*1000/Inputs!S95</f>
        <v>0</v>
      </c>
      <c r="T62" s="159">
        <f>T61*1000/Inputs!T95</f>
        <v>0</v>
      </c>
    </row>
    <row r="63" spans="2:20" x14ac:dyDescent="0.25">
      <c r="B63" s="23" t="s">
        <v>2645</v>
      </c>
      <c r="C63" s="28" t="s">
        <v>493</v>
      </c>
      <c r="G63" s="159">
        <v>0</v>
      </c>
      <c r="H63" s="159">
        <f t="shared" ref="H63:T63" si="18">G63+H61</f>
        <v>0</v>
      </c>
      <c r="I63" s="159">
        <f t="shared" si="18"/>
        <v>0</v>
      </c>
      <c r="J63" s="159">
        <f t="shared" si="18"/>
        <v>0</v>
      </c>
      <c r="K63" s="159">
        <f t="shared" si="18"/>
        <v>28.884162758641565</v>
      </c>
      <c r="L63" s="159">
        <f t="shared" si="18"/>
        <v>28.884162758641565</v>
      </c>
      <c r="M63" s="159">
        <f t="shared" si="18"/>
        <v>28.884162758641565</v>
      </c>
      <c r="N63" s="159">
        <f t="shared" si="18"/>
        <v>28.884162758641565</v>
      </c>
      <c r="O63" s="159">
        <f t="shared" si="18"/>
        <v>28.884162758641565</v>
      </c>
      <c r="P63" s="159">
        <f t="shared" si="18"/>
        <v>28.884162758641565</v>
      </c>
      <c r="Q63" s="159">
        <f t="shared" si="18"/>
        <v>28.884162758641565</v>
      </c>
      <c r="R63" s="159">
        <f t="shared" si="18"/>
        <v>28.884162758641565</v>
      </c>
      <c r="S63" s="159">
        <f t="shared" si="18"/>
        <v>28.884162758641565</v>
      </c>
      <c r="T63" s="159">
        <f t="shared" si="18"/>
        <v>28.884162758641565</v>
      </c>
    </row>
    <row r="64" spans="2:20" ht="26.25" customHeight="1" x14ac:dyDescent="0.25">
      <c r="B64" s="64" t="s">
        <v>2646</v>
      </c>
      <c r="C64" s="28" t="s">
        <v>806</v>
      </c>
      <c r="G64" s="159">
        <v>0</v>
      </c>
      <c r="H64" s="159">
        <f t="shared" ref="H64:T64" si="19">G64+H62</f>
        <v>0</v>
      </c>
      <c r="I64" s="159">
        <f t="shared" si="19"/>
        <v>0</v>
      </c>
      <c r="J64" s="159">
        <f t="shared" si="19"/>
        <v>0</v>
      </c>
      <c r="K64" s="159">
        <f t="shared" si="19"/>
        <v>1.7758476949672037</v>
      </c>
      <c r="L64" s="159">
        <f t="shared" si="19"/>
        <v>1.7758476949672037</v>
      </c>
      <c r="M64" s="159">
        <f t="shared" si="19"/>
        <v>1.7758476949672037</v>
      </c>
      <c r="N64" s="159">
        <f t="shared" si="19"/>
        <v>1.7758476949672037</v>
      </c>
      <c r="O64" s="159">
        <f t="shared" si="19"/>
        <v>1.7758476949672037</v>
      </c>
      <c r="P64" s="159">
        <f t="shared" si="19"/>
        <v>1.7758476949672037</v>
      </c>
      <c r="Q64" s="159">
        <f t="shared" si="19"/>
        <v>1.7758476949672037</v>
      </c>
      <c r="R64" s="159">
        <f t="shared" si="19"/>
        <v>1.7758476949672037</v>
      </c>
      <c r="S64" s="159">
        <f t="shared" si="19"/>
        <v>1.7758476949672037</v>
      </c>
      <c r="T64" s="159">
        <f t="shared" si="19"/>
        <v>1.7758476949672037</v>
      </c>
    </row>
    <row r="65" spans="2:20" x14ac:dyDescent="0.25">
      <c r="B65" s="154" t="s">
        <v>2647</v>
      </c>
    </row>
    <row r="66" spans="2:20" ht="26.25" customHeight="1" x14ac:dyDescent="0.25">
      <c r="B66" s="64" t="s">
        <v>2648</v>
      </c>
      <c r="C66" s="28" t="s">
        <v>493</v>
      </c>
      <c r="H66" s="159">
        <f>Inputs!H517*'FSL Output - With BUMN'!H79</f>
        <v>6.3327025288222343</v>
      </c>
      <c r="I66" s="159">
        <f>Inputs!I517*'FSL Output - With BUMN'!I79</f>
        <v>24.168312578226143</v>
      </c>
      <c r="J66" s="159">
        <f>Inputs!J517*'FSL Output - With BUMN'!J79</f>
        <v>43.29611758378374</v>
      </c>
      <c r="K66" s="159">
        <f>Inputs!K517*'FSL Output - With BUMN'!K79</f>
        <v>64.465727779217687</v>
      </c>
      <c r="L66" s="159">
        <f>Inputs!L517*'FSL Output - With BUMN'!L79</f>
        <v>74.377897345920431</v>
      </c>
      <c r="M66" s="159">
        <f>Inputs!M517*'FSL Output - With BUMN'!M79</f>
        <v>85.975938287159337</v>
      </c>
      <c r="N66" s="159">
        <f>Inputs!N517*'FSL Output - With BUMN'!N79</f>
        <v>92.804338547055849</v>
      </c>
      <c r="O66" s="159">
        <f>Inputs!O517*'FSL Output - With BUMN'!O79</f>
        <v>103.81417555589361</v>
      </c>
      <c r="P66" s="159">
        <f>Inputs!P517*'FSL Output - With BUMN'!P79</f>
        <v>110.27752833153677</v>
      </c>
      <c r="Q66" s="159">
        <f>Inputs!Q517*'FSL Output - With BUMN'!Q79</f>
        <v>121.42553178157326</v>
      </c>
      <c r="R66" s="159">
        <f>Inputs!R517*'FSL Output - With BUMN'!R79</f>
        <v>127.86504987552635</v>
      </c>
      <c r="S66" s="159">
        <f>Inputs!S517*'FSL Output - With BUMN'!S79</f>
        <v>126.87677783971669</v>
      </c>
      <c r="T66" s="159">
        <f>Inputs!T517*'FSL Output - With BUMN'!T79</f>
        <v>132.14909845823394</v>
      </c>
    </row>
    <row r="67" spans="2:20" x14ac:dyDescent="0.25">
      <c r="B67" s="23" t="s">
        <v>2649</v>
      </c>
      <c r="C67" s="28" t="s">
        <v>493</v>
      </c>
      <c r="H67" s="159">
        <f>Inputs!$E$515*Inputs!H95/1000*Inputs!$E$516</f>
        <v>58.554000000000002</v>
      </c>
      <c r="I67" s="159">
        <f>Inputs!$E$515*Inputs!I95/1000*Inputs!$E$516</f>
        <v>58.554000000000002</v>
      </c>
      <c r="J67" s="159">
        <f>Inputs!$E$515*Inputs!J95/1000*Inputs!$E$516</f>
        <v>58.554000000000002</v>
      </c>
      <c r="K67" s="159">
        <f>Inputs!$E$515*Inputs!K95/1000*Inputs!$E$516</f>
        <v>58.554000000000002</v>
      </c>
      <c r="L67" s="159">
        <f>Inputs!$E$515*Inputs!L95/1000*Inputs!$E$516</f>
        <v>58.554000000000002</v>
      </c>
      <c r="M67" s="159">
        <f>Inputs!$E$515*Inputs!M95/1000*Inputs!$E$516</f>
        <v>58.554000000000002</v>
      </c>
      <c r="N67" s="159">
        <f>Inputs!$E$515*Inputs!N95/1000*Inputs!$E$516</f>
        <v>58.554000000000002</v>
      </c>
      <c r="O67" s="159">
        <f>Inputs!$E$515*Inputs!O95/1000*Inputs!$E$516</f>
        <v>58.554000000000002</v>
      </c>
      <c r="P67" s="159">
        <f>Inputs!$E$515*Inputs!P95/1000*Inputs!$E$516</f>
        <v>58.554000000000002</v>
      </c>
      <c r="Q67" s="159">
        <f>Inputs!$E$515*Inputs!Q95/1000*Inputs!$E$516</f>
        <v>58.554000000000002</v>
      </c>
      <c r="R67" s="159">
        <f>Inputs!$E$515*Inputs!R95/1000*Inputs!$E$516</f>
        <v>58.554000000000002</v>
      </c>
      <c r="S67" s="159">
        <f>Inputs!$E$515*Inputs!S95/1000*Inputs!$E$516</f>
        <v>58.554000000000002</v>
      </c>
      <c r="T67" s="159">
        <f>Inputs!$E$515*Inputs!T95/1000*Inputs!$E$516</f>
        <v>58.554000000000002</v>
      </c>
    </row>
    <row r="68" spans="2:20" ht="26.25" customHeight="1" x14ac:dyDescent="0.25">
      <c r="B68" s="64" t="s">
        <v>2650</v>
      </c>
      <c r="C68" s="28" t="s">
        <v>493</v>
      </c>
      <c r="H68" s="159">
        <f>'Source Data'!$E$812+SUM('FSL Output - With BUMN'!$G$77:H$77)</f>
        <v>331.02123631264891</v>
      </c>
      <c r="I68" s="159">
        <f>'Source Data'!$E$812+SUM('FSL Output - With BUMN'!$G$77:I$77)</f>
        <v>431.69489239269177</v>
      </c>
      <c r="J68" s="159">
        <f>'Source Data'!$E$812+SUM('FSL Output - With BUMN'!$G$77:J$77)</f>
        <v>596.65735806966552</v>
      </c>
      <c r="K68" s="159">
        <f>'Source Data'!$E$812+SUM('FSL Output - With BUMN'!$G$77:K$77)</f>
        <v>833.13571035627797</v>
      </c>
      <c r="L68" s="159">
        <f>'Source Data'!$E$812+SUM('FSL Output - With BUMN'!$G$77:L$77)</f>
        <v>1103.4998902993393</v>
      </c>
      <c r="M68" s="159">
        <f>'Source Data'!$E$812+SUM('FSL Output - With BUMN'!$G$77:M$77)</f>
        <v>1414.5919110230104</v>
      </c>
      <c r="N68" s="159">
        <f>'Source Data'!$E$812+SUM('FSL Output - With BUMN'!$G$77:N$77)</f>
        <v>1749.3669213067337</v>
      </c>
      <c r="O68" s="159">
        <f>'Source Data'!$E$812+SUM('FSL Output - With BUMN'!$G$77:O$77)</f>
        <v>2121.7801343312944</v>
      </c>
      <c r="P68" s="159">
        <f>'Source Data'!$E$812+SUM('FSL Output - With BUMN'!$G$77:P$77)</f>
        <v>2518.0864733975641</v>
      </c>
      <c r="Q68" s="159">
        <f>'Source Data'!$E$812+SUM('FSL Output - With BUMN'!$G$77:Q$77)</f>
        <v>2952.5754986240058</v>
      </c>
      <c r="R68" s="159">
        <f>'Source Data'!$E$812+SUM('FSL Output - With BUMN'!$G$77:R$77)</f>
        <v>3409.5703620107147</v>
      </c>
      <c r="S68" s="159">
        <f>'Source Data'!$E$812+SUM('FSL Output - With BUMN'!$G$77:S$77)</f>
        <v>3864.3296533488833</v>
      </c>
      <c r="T68" s="159">
        <f>'Source Data'!$E$812+SUM('FSL Output - With BUMN'!$G$77:T$77)</f>
        <v>4337.7396397077364</v>
      </c>
    </row>
    <row r="69" spans="2:20" ht="38.25" customHeight="1" x14ac:dyDescent="0.25">
      <c r="B69" s="64" t="s">
        <v>2651</v>
      </c>
      <c r="C69" s="28" t="s">
        <v>493</v>
      </c>
      <c r="H69" s="159">
        <f>IF(Inputs!$E$752=1,MAX(0,G76+'FSL Output - With BUMN'!H77-H67),MAX(0,H68-H67))</f>
        <v>272.46723631264888</v>
      </c>
      <c r="I69" s="159">
        <f>IF(Inputs!$E$752=1,MAX(0,H76+'FSL Output - With BUMN'!I77-I67),MAX(0,I68-I67))</f>
        <v>373.14089239269174</v>
      </c>
      <c r="J69" s="159">
        <f>IF(Inputs!$E$752=1,MAX(0,I76+'FSL Output - With BUMN'!J77-J67),MAX(0,J68-J67))</f>
        <v>538.10335806966555</v>
      </c>
      <c r="K69" s="159">
        <f>IF(Inputs!$E$752=1,MAX(0,J76+'FSL Output - With BUMN'!K77-K67),MAX(0,K68-K67))</f>
        <v>774.58171035627799</v>
      </c>
      <c r="L69" s="159">
        <f>IF(Inputs!$E$752=1,MAX(0,K76+'FSL Output - With BUMN'!L77-L67),MAX(0,L68-L67))</f>
        <v>1044.9458902993392</v>
      </c>
      <c r="M69" s="159">
        <f>IF(Inputs!$E$752=1,MAX(0,L76+'FSL Output - With BUMN'!M77-M67),MAX(0,M68-M67))</f>
        <v>1356.0379110230103</v>
      </c>
      <c r="N69" s="159">
        <f>IF(Inputs!$E$752=1,MAX(0,M76+'FSL Output - With BUMN'!N77-N67),MAX(0,N68-N67))</f>
        <v>1690.8129213067336</v>
      </c>
      <c r="O69" s="159">
        <f>IF(Inputs!$E$752=1,MAX(0,N76+'FSL Output - With BUMN'!O77-O67),MAX(0,O68-O67))</f>
        <v>2063.2261343312944</v>
      </c>
      <c r="P69" s="159">
        <f>IF(Inputs!$E$752=1,MAX(0,O76+'FSL Output - With BUMN'!P77-P67),MAX(0,P68-P67))</f>
        <v>2459.532473397564</v>
      </c>
      <c r="Q69" s="159">
        <f>IF(Inputs!$E$752=1,MAX(0,P76+'FSL Output - With BUMN'!Q77-Q67),MAX(0,Q68-Q67))</f>
        <v>2894.0214986240057</v>
      </c>
      <c r="R69" s="159">
        <f>IF(Inputs!$E$752=1,MAX(0,Q76+'FSL Output - With BUMN'!R77-R67),MAX(0,R68-R67))</f>
        <v>3351.0163620107146</v>
      </c>
      <c r="S69" s="159">
        <f>IF(Inputs!$E$752=1,MAX(0,R76+'FSL Output - With BUMN'!S77-S67),MAX(0,S68-S67))</f>
        <v>3805.7756533488832</v>
      </c>
      <c r="T69" s="159">
        <f>IF(Inputs!$E$752=1,MAX(0,S76+'FSL Output - With BUMN'!T77-T67),MAX(0,T68-T67))</f>
        <v>4279.1856397077363</v>
      </c>
    </row>
    <row r="70" spans="2:20" ht="26.25" customHeight="1" x14ac:dyDescent="0.25">
      <c r="B70" s="64" t="s">
        <v>2652</v>
      </c>
      <c r="C70" s="28" t="s">
        <v>493</v>
      </c>
      <c r="H70" s="159">
        <f>MAX(0,'Funding Requirement'!H59-Inputs!H512)</f>
        <v>34.699265073765446</v>
      </c>
      <c r="I70" s="159">
        <f>MAX(0,'Funding Requirement'!I59-Inputs!I512)</f>
        <v>212.19822520836064</v>
      </c>
      <c r="J70" s="159">
        <f>MAX(0,'Funding Requirement'!J59-Inputs!J512)</f>
        <v>44.013344846634908</v>
      </c>
      <c r="K70" s="159">
        <f>MAX(0,'Funding Requirement'!K59-Inputs!K512)</f>
        <v>0</v>
      </c>
      <c r="L70" s="159">
        <f>MAX(0,'Funding Requirement'!L59-Inputs!L512)</f>
        <v>357.13178126471377</v>
      </c>
      <c r="M70" s="159">
        <f>MAX(0,'Funding Requirement'!M59-Inputs!M512)</f>
        <v>740.05509506813985</v>
      </c>
      <c r="N70" s="159">
        <f>MAX(0,'Funding Requirement'!N59-Inputs!N512)</f>
        <v>1135.038115435724</v>
      </c>
      <c r="O70" s="159">
        <f>MAX(0,'Funding Requirement'!O59-Inputs!O512)</f>
        <v>1548.3940418611116</v>
      </c>
      <c r="P70" s="159">
        <f>MAX(0,'Funding Requirement'!P59-Inputs!P512)</f>
        <v>1979.4025253829548</v>
      </c>
      <c r="Q70" s="159">
        <f>MAX(0,'Funding Requirement'!Q59-Inputs!Q512)</f>
        <v>2439.0903523045872</v>
      </c>
      <c r="R70" s="159">
        <f>MAX(0,'Funding Requirement'!R59-Inputs!R512)</f>
        <v>2909.540725516913</v>
      </c>
      <c r="S70" s="159">
        <f>MAX(0,'Funding Requirement'!S59-Inputs!S512)</f>
        <v>3380.4505514483485</v>
      </c>
      <c r="T70" s="159">
        <f>MAX(0,'Funding Requirement'!T59-Inputs!T512)</f>
        <v>3877.3005449048192</v>
      </c>
    </row>
    <row r="71" spans="2:20" ht="26.25" customHeight="1" x14ac:dyDescent="0.25">
      <c r="B71" s="133" t="s">
        <v>2653</v>
      </c>
      <c r="C71" s="28" t="s">
        <v>493</v>
      </c>
      <c r="H71" s="160">
        <f t="shared" ref="H71:T71" si="20">MIN(H66,H69,H70)</f>
        <v>6.3327025288222343</v>
      </c>
      <c r="I71" s="160">
        <f t="shared" si="20"/>
        <v>24.168312578226143</v>
      </c>
      <c r="J71" s="160">
        <f t="shared" si="20"/>
        <v>43.29611758378374</v>
      </c>
      <c r="K71" s="160">
        <f t="shared" si="20"/>
        <v>0</v>
      </c>
      <c r="L71" s="160">
        <f t="shared" si="20"/>
        <v>74.377897345920431</v>
      </c>
      <c r="M71" s="160">
        <f t="shared" si="20"/>
        <v>85.975938287159337</v>
      </c>
      <c r="N71" s="160">
        <f t="shared" si="20"/>
        <v>92.804338547055849</v>
      </c>
      <c r="O71" s="160">
        <f t="shared" si="20"/>
        <v>103.81417555589361</v>
      </c>
      <c r="P71" s="160">
        <f t="shared" si="20"/>
        <v>110.27752833153677</v>
      </c>
      <c r="Q71" s="160">
        <f t="shared" si="20"/>
        <v>121.42553178157326</v>
      </c>
      <c r="R71" s="160">
        <f t="shared" si="20"/>
        <v>127.86504987552635</v>
      </c>
      <c r="S71" s="160">
        <f t="shared" si="20"/>
        <v>126.87677783971669</v>
      </c>
      <c r="T71" s="160">
        <f t="shared" si="20"/>
        <v>132.14909845823394</v>
      </c>
    </row>
    <row r="72" spans="2:20" x14ac:dyDescent="0.25">
      <c r="B72" s="23" t="s">
        <v>2654</v>
      </c>
      <c r="C72" s="28" t="s">
        <v>493</v>
      </c>
      <c r="H72" s="159">
        <f t="shared" ref="H72:T72" si="21">H71-H66</f>
        <v>0</v>
      </c>
      <c r="I72" s="159">
        <f t="shared" si="21"/>
        <v>0</v>
      </c>
      <c r="J72" s="159">
        <f t="shared" si="21"/>
        <v>0</v>
      </c>
      <c r="K72" s="159">
        <f t="shared" si="21"/>
        <v>-64.465727779217687</v>
      </c>
      <c r="L72" s="159">
        <f t="shared" si="21"/>
        <v>0</v>
      </c>
      <c r="M72" s="159">
        <f t="shared" si="21"/>
        <v>0</v>
      </c>
      <c r="N72" s="159">
        <f t="shared" si="21"/>
        <v>0</v>
      </c>
      <c r="O72" s="159">
        <f t="shared" si="21"/>
        <v>0</v>
      </c>
      <c r="P72" s="159">
        <f t="shared" si="21"/>
        <v>0</v>
      </c>
      <c r="Q72" s="159">
        <f t="shared" si="21"/>
        <v>0</v>
      </c>
      <c r="R72" s="159">
        <f t="shared" si="21"/>
        <v>0</v>
      </c>
      <c r="S72" s="159">
        <f t="shared" si="21"/>
        <v>0</v>
      </c>
      <c r="T72" s="159">
        <f t="shared" si="21"/>
        <v>0</v>
      </c>
    </row>
    <row r="73" spans="2:20" ht="26.25" customHeight="1" x14ac:dyDescent="0.25">
      <c r="B73" s="64" t="s">
        <v>2655</v>
      </c>
      <c r="C73" s="28" t="s">
        <v>493</v>
      </c>
      <c r="H73" s="159">
        <f>MIN(Inputs!H518*MAX(0,'FSL Output - With BUMN'!H78),MAX(0,'Funding Requirement'!H59-Inputs!H512-H71))</f>
        <v>0</v>
      </c>
      <c r="I73" s="159">
        <f>MIN(Inputs!I518*MAX(0,'FSL Output - With BUMN'!I78),MAX(0,'Funding Requirement'!I59-Inputs!I512-I71))</f>
        <v>0</v>
      </c>
      <c r="J73" s="159">
        <f>MIN(Inputs!J518*MAX(0,'FSL Output - With BUMN'!J78),MAX(0,'Funding Requirement'!J59-Inputs!J512-J71))</f>
        <v>0</v>
      </c>
      <c r="K73" s="159">
        <f>MIN(Inputs!K518*MAX(0,'FSL Output - With BUMN'!K78),MAX(0,'Funding Requirement'!K59-Inputs!K512-K71))</f>
        <v>0</v>
      </c>
      <c r="L73" s="159">
        <f>MIN(Inputs!L518*MAX(0,'FSL Output - With BUMN'!L78),MAX(0,'Funding Requirement'!L59-Inputs!L512-L71))</f>
        <v>0</v>
      </c>
      <c r="M73" s="159">
        <f>MIN(Inputs!M518*MAX(0,'FSL Output - With BUMN'!M78),MAX(0,'Funding Requirement'!M59-Inputs!M512-M71))</f>
        <v>0</v>
      </c>
      <c r="N73" s="159">
        <f>MIN(Inputs!N518*MAX(0,'FSL Output - With BUMN'!N78),MAX(0,'Funding Requirement'!N59-Inputs!N512-N71))</f>
        <v>0</v>
      </c>
      <c r="O73" s="159">
        <f>MIN(Inputs!O518*MAX(0,'FSL Output - With BUMN'!O78),MAX(0,'Funding Requirement'!O59-Inputs!O512-O71))</f>
        <v>0</v>
      </c>
      <c r="P73" s="159">
        <f>MIN(Inputs!P518*MAX(0,'FSL Output - With BUMN'!P78),MAX(0,'Funding Requirement'!P59-Inputs!P512-P71))</f>
        <v>0</v>
      </c>
      <c r="Q73" s="159">
        <f>MIN(Inputs!Q518*MAX(0,'FSL Output - With BUMN'!Q78),MAX(0,'Funding Requirement'!Q59-Inputs!Q512-Q71))</f>
        <v>0</v>
      </c>
      <c r="R73" s="159">
        <f>MIN(Inputs!R518*MAX(0,'FSL Output - With BUMN'!R78),MAX(0,'Funding Requirement'!R59-Inputs!R512-R71))</f>
        <v>0</v>
      </c>
      <c r="S73" s="159">
        <f>MIN(Inputs!S518*MAX(0,'FSL Output - With BUMN'!S78),MAX(0,'Funding Requirement'!S59-Inputs!S512-S71))</f>
        <v>0</v>
      </c>
      <c r="T73" s="159">
        <f>MIN(Inputs!T518*MAX(0,'FSL Output - With BUMN'!T78),MAX(0,'Funding Requirement'!T59-Inputs!T512-T71))</f>
        <v>0</v>
      </c>
    </row>
    <row r="74" spans="2:20" x14ac:dyDescent="0.25">
      <c r="B74" s="154" t="s">
        <v>2656</v>
      </c>
    </row>
    <row r="75" spans="2:20" x14ac:dyDescent="0.25">
      <c r="B75" s="23" t="s">
        <v>2657</v>
      </c>
      <c r="C75" s="28" t="s">
        <v>493</v>
      </c>
      <c r="G75" s="29">
        <f>'Source Data'!$E$811</f>
        <v>677.73059999999998</v>
      </c>
      <c r="H75" s="159">
        <f t="shared" ref="H75:T75" si="22">G75+H61</f>
        <v>677.73059999999998</v>
      </c>
      <c r="I75" s="159">
        <f t="shared" si="22"/>
        <v>677.73059999999998</v>
      </c>
      <c r="J75" s="159">
        <f t="shared" si="22"/>
        <v>677.73059999999998</v>
      </c>
      <c r="K75" s="159">
        <f t="shared" si="22"/>
        <v>706.61476275864152</v>
      </c>
      <c r="L75" s="159">
        <f t="shared" si="22"/>
        <v>706.61476275864152</v>
      </c>
      <c r="M75" s="159">
        <f t="shared" si="22"/>
        <v>706.61476275864152</v>
      </c>
      <c r="N75" s="159">
        <f t="shared" si="22"/>
        <v>706.61476275864152</v>
      </c>
      <c r="O75" s="159">
        <f t="shared" si="22"/>
        <v>706.61476275864152</v>
      </c>
      <c r="P75" s="159">
        <f t="shared" si="22"/>
        <v>706.61476275864152</v>
      </c>
      <c r="Q75" s="159">
        <f t="shared" si="22"/>
        <v>706.61476275864152</v>
      </c>
      <c r="R75" s="159">
        <f t="shared" si="22"/>
        <v>706.61476275864152</v>
      </c>
      <c r="S75" s="159">
        <f t="shared" si="22"/>
        <v>706.61476275864152</v>
      </c>
      <c r="T75" s="159">
        <f t="shared" si="22"/>
        <v>706.61476275864152</v>
      </c>
    </row>
    <row r="76" spans="2:20" x14ac:dyDescent="0.25">
      <c r="B76" s="23" t="s">
        <v>2658</v>
      </c>
      <c r="C76" s="28" t="s">
        <v>493</v>
      </c>
      <c r="G76" s="29">
        <f>'Source Data'!$E$812</f>
        <v>290.59201234880999</v>
      </c>
      <c r="H76" s="159">
        <f>G76+'FSL Output - With BUMN'!H77-H71-H73</f>
        <v>324.6885337838267</v>
      </c>
      <c r="I76" s="159">
        <f>H76+'FSL Output - With BUMN'!I77-I71-I73</f>
        <v>401.1938772856434</v>
      </c>
      <c r="J76" s="159">
        <f>I76+'FSL Output - With BUMN'!J77-J71-J73</f>
        <v>522.86022537883343</v>
      </c>
      <c r="K76" s="159">
        <f>J76+'FSL Output - With BUMN'!K77-K71-K73</f>
        <v>759.33857766544588</v>
      </c>
      <c r="L76" s="159">
        <f>K76+'FSL Output - With BUMN'!L77-L71-L73</f>
        <v>955.32486026258698</v>
      </c>
      <c r="M76" s="159">
        <f>L76+'FSL Output - With BUMN'!M77-M71-M73</f>
        <v>1180.4409426990987</v>
      </c>
      <c r="N76" s="159">
        <f>M76+'FSL Output - With BUMN'!N77-N71-N73</f>
        <v>1422.4116144357663</v>
      </c>
      <c r="O76" s="159">
        <f>N76+'FSL Output - With BUMN'!O77-O71-O73</f>
        <v>1691.0106519044334</v>
      </c>
      <c r="P76" s="159">
        <f>O76+'FSL Output - With BUMN'!P77-P71-P73</f>
        <v>1977.0394626391662</v>
      </c>
      <c r="Q76" s="159">
        <f>P76+'FSL Output - With BUMN'!Q77-Q71-Q73</f>
        <v>2290.1029560840348</v>
      </c>
      <c r="R76" s="159">
        <f>Q76+'FSL Output - With BUMN'!R77-R71-R73</f>
        <v>2619.2327695952176</v>
      </c>
      <c r="S76" s="159">
        <f>R76+'FSL Output - With BUMN'!S77-S71-S73</f>
        <v>2947.1152830936694</v>
      </c>
      <c r="T76" s="159">
        <f>S76+'FSL Output - With BUMN'!T77-T71-T73</f>
        <v>3288.3761709942887</v>
      </c>
    </row>
    <row r="77" spans="2:20" ht="26.25" customHeight="1" x14ac:dyDescent="0.25">
      <c r="B77" s="64" t="s">
        <v>2659</v>
      </c>
      <c r="C77" s="28" t="s">
        <v>493</v>
      </c>
      <c r="G77" s="159">
        <f>(1-Inputs!$E$531)*'Source Data'!$E$818</f>
        <v>123.70530996843949</v>
      </c>
      <c r="H77" s="159">
        <f>G77+'FSL Output - With BUMN'!H78-H73</f>
        <v>143.02552550287095</v>
      </c>
      <c r="I77" s="159">
        <f>H77+'FSL Output - With BUMN'!I78-I73</f>
        <v>163.13813965549332</v>
      </c>
      <c r="J77" s="159">
        <f>I77+'FSL Output - With BUMN'!J78-J73</f>
        <v>183.78021338652127</v>
      </c>
      <c r="K77" s="159">
        <f>J77+'FSL Output - With BUMN'!K78-K73</f>
        <v>205.37280640907468</v>
      </c>
      <c r="L77" s="159">
        <f>K77+'FSL Output - With BUMN'!L78-L73</f>
        <v>227.81066186573477</v>
      </c>
      <c r="M77" s="159">
        <f>L77+'FSL Output - With BUMN'!M78-M73</f>
        <v>252.31622163220806</v>
      </c>
      <c r="N77" s="159">
        <f>M77+'FSL Output - With BUMN'!N78-N73</f>
        <v>277.74343675907846</v>
      </c>
      <c r="O77" s="159">
        <f>N77+'FSL Output - With BUMN'!O78-O73</f>
        <v>304.10939793066041</v>
      </c>
      <c r="P77" s="159">
        <f>O77+'FSL Output - With BUMN'!P78-P73</f>
        <v>332.82397589180738</v>
      </c>
      <c r="Q77" s="159">
        <f>P77+'FSL Output - With BUMN'!Q78-Q73</f>
        <v>362.56122851300512</v>
      </c>
      <c r="R77" s="159">
        <f>Q77+'FSL Output - With BUMN'!R78-R73</f>
        <v>393.33925898129303</v>
      </c>
      <c r="S77" s="159">
        <f>R77+'FSL Output - With BUMN'!S78-S73</f>
        <v>425.17595752040597</v>
      </c>
      <c r="T77" s="159">
        <f>S77+'FSL Output - With BUMN'!T78-T73</f>
        <v>458.08894901847924</v>
      </c>
    </row>
    <row r="78" spans="2:20" ht="26.25" customHeight="1" x14ac:dyDescent="0.25">
      <c r="B78" s="64" t="s">
        <v>2660</v>
      </c>
      <c r="C78" s="28" t="s">
        <v>493</v>
      </c>
      <c r="G78" s="159">
        <f t="shared" ref="G78:T78" si="23">G75+G76-G77</f>
        <v>844.61730238037057</v>
      </c>
      <c r="H78" s="159">
        <f t="shared" si="23"/>
        <v>859.39360828095573</v>
      </c>
      <c r="I78" s="159">
        <f t="shared" si="23"/>
        <v>915.78633763015011</v>
      </c>
      <c r="J78" s="159">
        <f t="shared" si="23"/>
        <v>1016.8106119923121</v>
      </c>
      <c r="K78" s="159">
        <f t="shared" si="23"/>
        <v>1260.5805340150127</v>
      </c>
      <c r="L78" s="159">
        <f t="shared" si="23"/>
        <v>1434.1289611554937</v>
      </c>
      <c r="M78" s="159">
        <f t="shared" si="23"/>
        <v>1634.7394838255323</v>
      </c>
      <c r="N78" s="159">
        <f t="shared" si="23"/>
        <v>1851.2829404353292</v>
      </c>
      <c r="O78" s="159">
        <f t="shared" si="23"/>
        <v>2093.5160167324148</v>
      </c>
      <c r="P78" s="159">
        <f t="shared" si="23"/>
        <v>2350.8302495060002</v>
      </c>
      <c r="Q78" s="159">
        <f t="shared" si="23"/>
        <v>2634.1564903296712</v>
      </c>
      <c r="R78" s="159">
        <f t="shared" si="23"/>
        <v>2932.5082733725662</v>
      </c>
      <c r="S78" s="159">
        <f t="shared" si="23"/>
        <v>3228.5540883319049</v>
      </c>
      <c r="T78" s="159">
        <f t="shared" si="23"/>
        <v>3536.9019847344512</v>
      </c>
    </row>
    <row r="79" spans="2:20" ht="26.25" customHeight="1" x14ac:dyDescent="0.25">
      <c r="B79" s="64" t="s">
        <v>2661</v>
      </c>
      <c r="C79" s="28" t="s">
        <v>493</v>
      </c>
      <c r="G79" s="159">
        <f>G20</f>
        <v>224.51846524876001</v>
      </c>
      <c r="H79" s="159">
        <f t="shared" ref="H79:T79" si="24">H20+H33+H55</f>
        <v>195.18</v>
      </c>
      <c r="I79" s="159">
        <f t="shared" si="24"/>
        <v>195.18</v>
      </c>
      <c r="J79" s="159">
        <f t="shared" si="24"/>
        <v>195.18</v>
      </c>
      <c r="K79" s="159">
        <f t="shared" si="24"/>
        <v>32.53</v>
      </c>
      <c r="L79" s="159">
        <f t="shared" si="24"/>
        <v>81.325000000000003</v>
      </c>
      <c r="M79" s="159">
        <f t="shared" si="24"/>
        <v>81.325000000000003</v>
      </c>
      <c r="N79" s="159">
        <f t="shared" si="24"/>
        <v>74.819000000000003</v>
      </c>
      <c r="O79" s="159">
        <f t="shared" si="24"/>
        <v>58.554000000000002</v>
      </c>
      <c r="P79" s="159">
        <f t="shared" si="24"/>
        <v>42.289000000000001</v>
      </c>
      <c r="Q79" s="159">
        <f t="shared" si="24"/>
        <v>26.024000000000001</v>
      </c>
      <c r="R79" s="159">
        <f t="shared" si="24"/>
        <v>9.7590000000000003</v>
      </c>
      <c r="S79" s="159">
        <f t="shared" si="24"/>
        <v>0</v>
      </c>
      <c r="T79" s="159">
        <f t="shared" si="24"/>
        <v>0</v>
      </c>
    </row>
    <row r="80" spans="2:20" x14ac:dyDescent="0.25">
      <c r="B80" s="154" t="s">
        <v>2662</v>
      </c>
    </row>
    <row r="81" spans="2:20" ht="26.25" customHeight="1" x14ac:dyDescent="0.25">
      <c r="B81" s="64" t="s">
        <v>2663</v>
      </c>
      <c r="C81" s="28" t="s">
        <v>493</v>
      </c>
      <c r="H81" s="159">
        <f>'FSL Output - With BUMN'!H67-'FSL Output - With BUMN'!H230-'Working Capital'!H116-'Capex &amp; Depreciation'!H210</f>
        <v>137.11023078990644</v>
      </c>
      <c r="I81" s="159">
        <f>'FSL Output - With BUMN'!I67-'FSL Output - With BUMN'!I230-'Working Capital'!I116-'Capex &amp; Depreciation'!I210</f>
        <v>213.74361284118709</v>
      </c>
      <c r="J81" s="159">
        <f>'FSL Output - With BUMN'!J67-'FSL Output - With BUMN'!J230-'Working Capital'!J116-'Capex &amp; Depreciation'!J210</f>
        <v>291.02891215617478</v>
      </c>
      <c r="K81" s="159">
        <f>'FSL Output - With BUMN'!K67-'FSL Output - With BUMN'!K230-'Working Capital'!K116-'Capex &amp; Depreciation'!K210</f>
        <v>365.68619246392177</v>
      </c>
      <c r="L81" s="159">
        <f>'FSL Output - With BUMN'!L67-'FSL Output - With BUMN'!L230-'Working Capital'!L116-'Capex &amp; Depreciation'!L210</f>
        <v>409.34243126471381</v>
      </c>
      <c r="M81" s="159">
        <f>'FSL Output - With BUMN'!M67-'FSL Output - With BUMN'!M230-'Working Capital'!M116-'Capex &amp; Depreciation'!M210</f>
        <v>465.84033614934651</v>
      </c>
      <c r="N81" s="159">
        <f>'FSL Output - With BUMN'!N67-'FSL Output - With BUMN'!N230-'Working Capital'!N116-'Capex &amp; Depreciation'!N210</f>
        <v>496.00408365474362</v>
      </c>
      <c r="O81" s="159">
        <f>'FSL Output - With BUMN'!O67-'FSL Output - With BUMN'!O230-'Working Capital'!O116-'Capex &amp; Depreciation'!O210</f>
        <v>530.28125997244342</v>
      </c>
      <c r="P81" s="159">
        <f>'FSL Output - With BUMN'!P67-'FSL Output - With BUMN'!P230-'Working Capital'!P116-'Capex &amp; Depreciation'!P210</f>
        <v>557.23582907773664</v>
      </c>
      <c r="Q81" s="159">
        <f>'FSL Output - With BUMN'!Q67-'FSL Output - With BUMN'!Q230-'Working Capital'!Q116-'Capex &amp; Depreciation'!Q210</f>
        <v>590.670700253169</v>
      </c>
      <c r="R81" s="159">
        <f>'FSL Output - With BUMN'!R67-'FSL Output - With BUMN'!R230-'Working Capital'!R116-'Capex &amp; Depreciation'!R210</f>
        <v>610.87342499389877</v>
      </c>
      <c r="S81" s="159">
        <f>'FSL Output - With BUMN'!S67-'FSL Output - With BUMN'!S230-'Working Capital'!S116-'Capex &amp; Depreciation'!S210</f>
        <v>609.55857080696205</v>
      </c>
      <c r="T81" s="159">
        <f>'FSL Output - With BUMN'!T67-'FSL Output - With BUMN'!T230-'Working Capital'!T116-'Capex &amp; Depreciation'!T210</f>
        <v>623.72677129618762</v>
      </c>
    </row>
    <row r="82" spans="2:20" ht="26.25" customHeight="1" x14ac:dyDescent="0.25">
      <c r="B82" s="64" t="s">
        <v>2664</v>
      </c>
      <c r="C82" s="28" t="s">
        <v>493</v>
      </c>
      <c r="H82" s="159">
        <f t="shared" ref="H82:T82" si="25">H24+H19+H34+H32+H54+H53</f>
        <v>34.809370766421004</v>
      </c>
      <c r="I82" s="159">
        <f t="shared" si="25"/>
        <v>15.273450177769661</v>
      </c>
      <c r="J82" s="159">
        <f t="shared" si="25"/>
        <v>15.273450177769659</v>
      </c>
      <c r="K82" s="159">
        <f t="shared" si="25"/>
        <v>202.75395748541456</v>
      </c>
      <c r="L82" s="159">
        <f t="shared" si="25"/>
        <v>3.4156499999999999</v>
      </c>
      <c r="M82" s="159">
        <f t="shared" si="25"/>
        <v>8.5391250000000003</v>
      </c>
      <c r="N82" s="159">
        <f t="shared" si="25"/>
        <v>15.045125000000001</v>
      </c>
      <c r="O82" s="159">
        <f t="shared" si="25"/>
        <v>24.120995000000001</v>
      </c>
      <c r="P82" s="159">
        <f t="shared" si="25"/>
        <v>22.413170000000001</v>
      </c>
      <c r="Q82" s="159">
        <f t="shared" si="25"/>
        <v>20.705345000000001</v>
      </c>
      <c r="R82" s="159">
        <f t="shared" si="25"/>
        <v>18.997520000000002</v>
      </c>
      <c r="S82" s="159">
        <f t="shared" si="25"/>
        <v>10.783695</v>
      </c>
      <c r="T82" s="159">
        <f t="shared" si="25"/>
        <v>0</v>
      </c>
    </row>
    <row r="83" spans="2:20" x14ac:dyDescent="0.25">
      <c r="B83" s="21" t="s">
        <v>2665</v>
      </c>
      <c r="C83" s="28" t="s">
        <v>497</v>
      </c>
      <c r="H83" s="183">
        <f t="shared" ref="H83:T83" si="26">IF(H82&gt;0.0001,H81/H82,"n/a")</f>
        <v>3.9388885168292198</v>
      </c>
      <c r="I83" s="183">
        <f t="shared" si="26"/>
        <v>13.994455106959956</v>
      </c>
      <c r="J83" s="183">
        <f t="shared" si="26"/>
        <v>19.054562575505319</v>
      </c>
      <c r="K83" s="183">
        <f t="shared" si="26"/>
        <v>1.8035958311207219</v>
      </c>
      <c r="L83" s="183">
        <f t="shared" si="26"/>
        <v>119.84320151792889</v>
      </c>
      <c r="M83" s="183">
        <f t="shared" si="26"/>
        <v>54.553638241546587</v>
      </c>
      <c r="N83" s="183">
        <f t="shared" si="26"/>
        <v>32.967760896286578</v>
      </c>
      <c r="O83" s="183">
        <f t="shared" si="26"/>
        <v>21.984219969882808</v>
      </c>
      <c r="P83" s="183">
        <f t="shared" si="26"/>
        <v>24.86198199887551</v>
      </c>
      <c r="Q83" s="183">
        <f t="shared" si="26"/>
        <v>28.527450291370126</v>
      </c>
      <c r="R83" s="183">
        <f t="shared" si="26"/>
        <v>32.15543002422941</v>
      </c>
      <c r="S83" s="183">
        <f t="shared" si="26"/>
        <v>56.525946886198291</v>
      </c>
      <c r="T83" s="183" t="str">
        <f t="shared" si="26"/>
        <v>n/a</v>
      </c>
    </row>
    <row r="84" spans="2:20" x14ac:dyDescent="0.25">
      <c r="B84" s="21" t="s">
        <v>2666</v>
      </c>
      <c r="C84" s="28" t="s">
        <v>497</v>
      </c>
      <c r="E84" s="183">
        <f>IF(COUNT($H$83:$T$83)=0,"n/a - no debt service",MIN($H$83:$T$83))</f>
        <v>1.8035958311207219</v>
      </c>
    </row>
    <row r="85" spans="2:20" x14ac:dyDescent="0.25">
      <c r="B85" s="23" t="s">
        <v>2667</v>
      </c>
      <c r="E85" s="45">
        <f>IF(COUNT($H$83:$T$83)=0,"n/a",INDEX('Revenue Calculation'!$H$7:$T$7,1,MATCH(MIN($H$83:$T$83),$H$83:$T$83,0)))</f>
        <v>2027</v>
      </c>
    </row>
    <row r="86" spans="2:20" x14ac:dyDescent="0.25">
      <c r="B86" s="145" t="s">
        <v>2668</v>
      </c>
    </row>
    <row r="88" spans="2:20" x14ac:dyDescent="0.25">
      <c r="B88" s="58" t="s">
        <v>2669</v>
      </c>
      <c r="C88" s="19"/>
      <c r="D88" s="19"/>
      <c r="E88" s="19"/>
      <c r="F88" s="19"/>
      <c r="G88" s="19"/>
      <c r="H88" s="19"/>
      <c r="I88" s="19"/>
      <c r="J88" s="19"/>
      <c r="K88" s="19"/>
      <c r="L88" s="19"/>
      <c r="M88" s="19"/>
      <c r="N88" s="19"/>
      <c r="O88" s="19"/>
      <c r="P88" s="19"/>
      <c r="Q88" s="19"/>
      <c r="R88" s="19"/>
      <c r="S88" s="19"/>
      <c r="T88" s="19"/>
    </row>
    <row r="89" spans="2:20" x14ac:dyDescent="0.25">
      <c r="B89" s="23" t="s">
        <v>2642</v>
      </c>
      <c r="C89" s="28" t="s">
        <v>493</v>
      </c>
      <c r="H89" s="159">
        <f>Inputs!H513*'Funding Requirement'!G94</f>
        <v>0</v>
      </c>
      <c r="I89" s="159">
        <f>Inputs!I513*'Funding Requirement'!H94</f>
        <v>0</v>
      </c>
      <c r="J89" s="159">
        <f>Inputs!J513*'Funding Requirement'!I94</f>
        <v>0</v>
      </c>
      <c r="K89" s="159">
        <f>Inputs!K513*'Funding Requirement'!J94</f>
        <v>0</v>
      </c>
      <c r="L89" s="159">
        <f>Inputs!L513*'Funding Requirement'!K94</f>
        <v>0</v>
      </c>
      <c r="M89" s="159">
        <f>Inputs!M513*'Funding Requirement'!L94</f>
        <v>0</v>
      </c>
      <c r="N89" s="159">
        <f>Inputs!N513*'Funding Requirement'!M94</f>
        <v>0</v>
      </c>
      <c r="O89" s="159">
        <f>Inputs!O513*'Funding Requirement'!N94</f>
        <v>0</v>
      </c>
      <c r="P89" s="159">
        <f>Inputs!P513*'Funding Requirement'!O94</f>
        <v>0</v>
      </c>
      <c r="Q89" s="159">
        <f>Inputs!Q513*'Funding Requirement'!P94</f>
        <v>0</v>
      </c>
      <c r="R89" s="159">
        <f>Inputs!R513*'Funding Requirement'!Q94</f>
        <v>0</v>
      </c>
      <c r="S89" s="159">
        <f>Inputs!S513*'Funding Requirement'!R94</f>
        <v>0</v>
      </c>
      <c r="T89" s="159">
        <f>Inputs!T513*'Funding Requirement'!S94</f>
        <v>0</v>
      </c>
    </row>
    <row r="90" spans="2:20" ht="38.25" customHeight="1" x14ac:dyDescent="0.25">
      <c r="B90" s="133" t="s">
        <v>2643</v>
      </c>
      <c r="C90" s="28" t="s">
        <v>493</v>
      </c>
      <c r="H90" s="160">
        <f>'Funding Requirement'!H84+'Funding Requirement'!H85+'Funding Requirement'!H89</f>
        <v>0</v>
      </c>
      <c r="I90" s="160">
        <f>'Funding Requirement'!I84+'Funding Requirement'!I85+'Funding Requirement'!I89</f>
        <v>0</v>
      </c>
      <c r="J90" s="160">
        <f>'Funding Requirement'!J84+'Funding Requirement'!J85+'Funding Requirement'!J89</f>
        <v>0</v>
      </c>
      <c r="K90" s="160">
        <f>'Funding Requirement'!K84+'Funding Requirement'!K85+'Funding Requirement'!K89</f>
        <v>76.665204077581919</v>
      </c>
      <c r="L90" s="160">
        <f>'Funding Requirement'!L84+'Funding Requirement'!L85+'Funding Requirement'!L89</f>
        <v>0</v>
      </c>
      <c r="M90" s="160">
        <f>'Funding Requirement'!M84+'Funding Requirement'!M85+'Funding Requirement'!M89</f>
        <v>0</v>
      </c>
      <c r="N90" s="160">
        <f>'Funding Requirement'!N84+'Funding Requirement'!N85+'Funding Requirement'!N89</f>
        <v>0</v>
      </c>
      <c r="O90" s="160">
        <f>'Funding Requirement'!O84+'Funding Requirement'!O85+'Funding Requirement'!O89</f>
        <v>0</v>
      </c>
      <c r="P90" s="160">
        <f>'Funding Requirement'!P84+'Funding Requirement'!P85+'Funding Requirement'!P89</f>
        <v>0</v>
      </c>
      <c r="Q90" s="160">
        <f>'Funding Requirement'!Q84+'Funding Requirement'!Q85+'Funding Requirement'!Q89</f>
        <v>0</v>
      </c>
      <c r="R90" s="160">
        <f>'Funding Requirement'!R84+'Funding Requirement'!R85+'Funding Requirement'!R89</f>
        <v>0</v>
      </c>
      <c r="S90" s="160">
        <f>'Funding Requirement'!S84+'Funding Requirement'!S85+'Funding Requirement'!S89</f>
        <v>0</v>
      </c>
      <c r="T90" s="160">
        <f>'Funding Requirement'!T84+'Funding Requirement'!T85+'Funding Requirement'!T89</f>
        <v>0</v>
      </c>
    </row>
    <row r="91" spans="2:20" x14ac:dyDescent="0.25">
      <c r="B91" s="23" t="s">
        <v>2644</v>
      </c>
      <c r="C91" s="28" t="s">
        <v>806</v>
      </c>
      <c r="H91" s="159">
        <f>H90*1000/Inputs!H95</f>
        <v>0</v>
      </c>
      <c r="I91" s="159">
        <f>I90*1000/Inputs!I95</f>
        <v>0</v>
      </c>
      <c r="J91" s="159">
        <f>J90*1000/Inputs!J95</f>
        <v>0</v>
      </c>
      <c r="K91" s="159">
        <f>K90*1000/Inputs!K95</f>
        <v>4.713507782206082</v>
      </c>
      <c r="L91" s="159">
        <f>L90*1000/Inputs!L95</f>
        <v>0</v>
      </c>
      <c r="M91" s="159">
        <f>M90*1000/Inputs!M95</f>
        <v>0</v>
      </c>
      <c r="N91" s="159">
        <f>N90*1000/Inputs!N95</f>
        <v>0</v>
      </c>
      <c r="O91" s="159">
        <f>O90*1000/Inputs!O95</f>
        <v>0</v>
      </c>
      <c r="P91" s="159">
        <f>P90*1000/Inputs!P95</f>
        <v>0</v>
      </c>
      <c r="Q91" s="159">
        <f>Q90*1000/Inputs!Q95</f>
        <v>0</v>
      </c>
      <c r="R91" s="159">
        <f>R90*1000/Inputs!R95</f>
        <v>0</v>
      </c>
      <c r="S91" s="159">
        <f>S90*1000/Inputs!S95</f>
        <v>0</v>
      </c>
      <c r="T91" s="159">
        <f>T90*1000/Inputs!T95</f>
        <v>0</v>
      </c>
    </row>
    <row r="92" spans="2:20" x14ac:dyDescent="0.25">
      <c r="B92" s="23" t="s">
        <v>2645</v>
      </c>
      <c r="C92" s="28" t="s">
        <v>493</v>
      </c>
      <c r="G92" s="159">
        <v>0</v>
      </c>
      <c r="H92" s="159">
        <f t="shared" ref="H92:T92" si="27">G92+H90</f>
        <v>0</v>
      </c>
      <c r="I92" s="159">
        <f t="shared" si="27"/>
        <v>0</v>
      </c>
      <c r="J92" s="159">
        <f t="shared" si="27"/>
        <v>0</v>
      </c>
      <c r="K92" s="159">
        <f t="shared" si="27"/>
        <v>76.665204077581919</v>
      </c>
      <c r="L92" s="159">
        <f t="shared" si="27"/>
        <v>76.665204077581919</v>
      </c>
      <c r="M92" s="159">
        <f t="shared" si="27"/>
        <v>76.665204077581919</v>
      </c>
      <c r="N92" s="159">
        <f t="shared" si="27"/>
        <v>76.665204077581919</v>
      </c>
      <c r="O92" s="159">
        <f t="shared" si="27"/>
        <v>76.665204077581919</v>
      </c>
      <c r="P92" s="159">
        <f t="shared" si="27"/>
        <v>76.665204077581919</v>
      </c>
      <c r="Q92" s="159">
        <f t="shared" si="27"/>
        <v>76.665204077581919</v>
      </c>
      <c r="R92" s="159">
        <f t="shared" si="27"/>
        <v>76.665204077581919</v>
      </c>
      <c r="S92" s="159">
        <f t="shared" si="27"/>
        <v>76.665204077581919</v>
      </c>
      <c r="T92" s="159">
        <f t="shared" si="27"/>
        <v>76.665204077581919</v>
      </c>
    </row>
    <row r="93" spans="2:20" ht="26.25" customHeight="1" x14ac:dyDescent="0.25">
      <c r="B93" s="64" t="s">
        <v>2646</v>
      </c>
      <c r="C93" s="28" t="s">
        <v>806</v>
      </c>
      <c r="G93" s="159">
        <v>0</v>
      </c>
      <c r="H93" s="159">
        <f t="shared" ref="H93:T93" si="28">G93+H91</f>
        <v>0</v>
      </c>
      <c r="I93" s="159">
        <f t="shared" si="28"/>
        <v>0</v>
      </c>
      <c r="J93" s="159">
        <f t="shared" si="28"/>
        <v>0</v>
      </c>
      <c r="K93" s="159">
        <f t="shared" si="28"/>
        <v>4.713507782206082</v>
      </c>
      <c r="L93" s="159">
        <f t="shared" si="28"/>
        <v>4.713507782206082</v>
      </c>
      <c r="M93" s="159">
        <f t="shared" si="28"/>
        <v>4.713507782206082</v>
      </c>
      <c r="N93" s="159">
        <f t="shared" si="28"/>
        <v>4.713507782206082</v>
      </c>
      <c r="O93" s="159">
        <f t="shared" si="28"/>
        <v>4.713507782206082</v>
      </c>
      <c r="P93" s="159">
        <f t="shared" si="28"/>
        <v>4.713507782206082</v>
      </c>
      <c r="Q93" s="159">
        <f t="shared" si="28"/>
        <v>4.713507782206082</v>
      </c>
      <c r="R93" s="159">
        <f t="shared" si="28"/>
        <v>4.713507782206082</v>
      </c>
      <c r="S93" s="159">
        <f t="shared" si="28"/>
        <v>4.713507782206082</v>
      </c>
      <c r="T93" s="159">
        <f t="shared" si="28"/>
        <v>4.713507782206082</v>
      </c>
    </row>
    <row r="94" spans="2:20" x14ac:dyDescent="0.25">
      <c r="B94" s="154" t="s">
        <v>2647</v>
      </c>
    </row>
    <row r="95" spans="2:20" ht="26.25" customHeight="1" x14ac:dyDescent="0.25">
      <c r="B95" s="64" t="s">
        <v>2648</v>
      </c>
      <c r="C95" s="28" t="s">
        <v>493</v>
      </c>
      <c r="H95" s="159">
        <f>Inputs!H517*'FSL Output - Without BUMN'!H28</f>
        <v>6.3327025288222343</v>
      </c>
      <c r="I95" s="159">
        <f>Inputs!I517*'FSL Output - Without BUMN'!I28</f>
        <v>24.168312578226143</v>
      </c>
      <c r="J95" s="159">
        <f>Inputs!J517*'FSL Output - Without BUMN'!J28</f>
        <v>29.649665090109856</v>
      </c>
      <c r="K95" s="159">
        <f>Inputs!K517*'FSL Output - Without BUMN'!K28</f>
        <v>50.086101354925546</v>
      </c>
      <c r="L95" s="159">
        <f>Inputs!L517*'FSL Output - Without BUMN'!L28</f>
        <v>59.495650450621696</v>
      </c>
      <c r="M95" s="159">
        <f>Inputs!M517*'FSL Output - Without BUMN'!M28</f>
        <v>70.578420659392435</v>
      </c>
      <c r="N95" s="159">
        <f>Inputs!N517*'FSL Output - Without BUMN'!N28</f>
        <v>76.878520417515276</v>
      </c>
      <c r="O95" s="159">
        <f>Inputs!O517*'FSL Output - Without BUMN'!O28</f>
        <v>87.346636262194721</v>
      </c>
      <c r="P95" s="159">
        <f>Inputs!P517*'FSL Output - Without BUMN'!P28</f>
        <v>93.254444591423393</v>
      </c>
      <c r="Q95" s="159">
        <f>Inputs!Q517*'FSL Output - Without BUMN'!Q28</f>
        <v>103.83266561432144</v>
      </c>
      <c r="R95" s="159">
        <f>Inputs!R517*'FSL Output - Without BUMN'!R28</f>
        <v>109.68773616099057</v>
      </c>
      <c r="S95" s="159">
        <f>Inputs!S517*'FSL Output - Without BUMN'!S28</f>
        <v>109.07125257157128</v>
      </c>
      <c r="T95" s="159">
        <f>Inputs!T517*'FSL Output - Without BUMN'!T28</f>
        <v>113.80940743204413</v>
      </c>
    </row>
    <row r="96" spans="2:20" x14ac:dyDescent="0.25">
      <c r="B96" s="23" t="s">
        <v>2649</v>
      </c>
      <c r="C96" s="28" t="s">
        <v>493</v>
      </c>
      <c r="H96" s="159">
        <f>Inputs!$E$515*Inputs!H95/1000*Inputs!$E$516</f>
        <v>58.554000000000002</v>
      </c>
      <c r="I96" s="159">
        <f>Inputs!$E$515*Inputs!I95/1000*Inputs!$E$516</f>
        <v>58.554000000000002</v>
      </c>
      <c r="J96" s="159">
        <f>Inputs!$E$515*Inputs!J95/1000*Inputs!$E$516</f>
        <v>58.554000000000002</v>
      </c>
      <c r="K96" s="159">
        <f>Inputs!$E$515*Inputs!K95/1000*Inputs!$E$516</f>
        <v>58.554000000000002</v>
      </c>
      <c r="L96" s="159">
        <f>Inputs!$E$515*Inputs!L95/1000*Inputs!$E$516</f>
        <v>58.554000000000002</v>
      </c>
      <c r="M96" s="159">
        <f>Inputs!$E$515*Inputs!M95/1000*Inputs!$E$516</f>
        <v>58.554000000000002</v>
      </c>
      <c r="N96" s="159">
        <f>Inputs!$E$515*Inputs!N95/1000*Inputs!$E$516</f>
        <v>58.554000000000002</v>
      </c>
      <c r="O96" s="159">
        <f>Inputs!$E$515*Inputs!O95/1000*Inputs!$E$516</f>
        <v>58.554000000000002</v>
      </c>
      <c r="P96" s="159">
        <f>Inputs!$E$515*Inputs!P95/1000*Inputs!$E$516</f>
        <v>58.554000000000002</v>
      </c>
      <c r="Q96" s="159">
        <f>Inputs!$E$515*Inputs!Q95/1000*Inputs!$E$516</f>
        <v>58.554000000000002</v>
      </c>
      <c r="R96" s="159">
        <f>Inputs!$E$515*Inputs!R95/1000*Inputs!$E$516</f>
        <v>58.554000000000002</v>
      </c>
      <c r="S96" s="159">
        <f>Inputs!$E$515*Inputs!S95/1000*Inputs!$E$516</f>
        <v>58.554000000000002</v>
      </c>
      <c r="T96" s="159">
        <f>Inputs!$E$515*Inputs!T95/1000*Inputs!$E$516</f>
        <v>58.554000000000002</v>
      </c>
    </row>
    <row r="97" spans="2:20" ht="26.25" customHeight="1" x14ac:dyDescent="0.25">
      <c r="B97" s="64" t="s">
        <v>2650</v>
      </c>
      <c r="C97" s="28" t="s">
        <v>493</v>
      </c>
      <c r="H97" s="159">
        <f>'Source Data'!$E$812+SUM('FSL Output - Without BUMN'!$G$26:H$26)</f>
        <v>331.02123631264891</v>
      </c>
      <c r="I97" s="159">
        <f>'Source Data'!$E$812+SUM('FSL Output - Without BUMN'!$G$26:I$26)</f>
        <v>431.69489239269177</v>
      </c>
      <c r="J97" s="159">
        <f>'Source Data'!$E$812+SUM('FSL Output - Without BUMN'!$G$26:J$26)</f>
        <v>551.16918309075254</v>
      </c>
      <c r="K97" s="159">
        <f>'Source Data'!$E$812+SUM('FSL Output - Without BUMN'!$G$26:K$26)</f>
        <v>739.71544729639118</v>
      </c>
      <c r="L97" s="159">
        <f>'Source Data'!$E$812+SUM('FSL Output - Without BUMN'!$G$26:L$26)</f>
        <v>960.47213758845692</v>
      </c>
      <c r="M97" s="159">
        <f>'Source Data'!$E$812+SUM('FSL Output - Without BUMN'!$G$26:M$26)</f>
        <v>1220.2390995529049</v>
      </c>
      <c r="N97" s="159">
        <f>'Source Data'!$E$812+SUM('FSL Output - Without BUMN'!$G$26:N$26)</f>
        <v>1501.9280494048262</v>
      </c>
      <c r="O97" s="159">
        <f>'Source Data'!$E$812+SUM('FSL Output - Without BUMN'!$G$26:O$26)</f>
        <v>1819.4494647837239</v>
      </c>
      <c r="P97" s="159">
        <f>'Source Data'!$E$812+SUM('FSL Output - Without BUMN'!$G$26:P$26)</f>
        <v>2159.0121913829489</v>
      </c>
      <c r="Q97" s="159">
        <f>'Source Data'!$E$812+SUM('FSL Output - Without BUMN'!$G$26:Q$26)</f>
        <v>2534.858329385218</v>
      </c>
      <c r="R97" s="159">
        <f>'Source Data'!$E$812+SUM('FSL Output - Without BUMN'!$G$26:R$26)</f>
        <v>2931.2621470568079</v>
      </c>
      <c r="S97" s="159">
        <f>'Source Data'!$E$812+SUM('FSL Output - Without BUMN'!$G$26:S$26)</f>
        <v>3326.6696875011585</v>
      </c>
      <c r="T97" s="159">
        <f>'Source Data'!$E$812+SUM('FSL Output - Without BUMN'!$G$26:T$26)</f>
        <v>3738.947370439379</v>
      </c>
    </row>
    <row r="98" spans="2:20" ht="38.25" customHeight="1" x14ac:dyDescent="0.25">
      <c r="B98" s="64" t="s">
        <v>2651</v>
      </c>
      <c r="C98" s="28" t="s">
        <v>493</v>
      </c>
      <c r="H98" s="159">
        <f>IF(Inputs!$E$752=1,MAX(0,G105+'FSL Output - Without BUMN'!H26-H96),MAX(0,H97-H96))</f>
        <v>272.46723631264888</v>
      </c>
      <c r="I98" s="159">
        <f>IF(Inputs!$E$752=1,MAX(0,H105+'FSL Output - Without BUMN'!I26-I96),MAX(0,I97-I96))</f>
        <v>373.14089239269174</v>
      </c>
      <c r="J98" s="159">
        <f>IF(Inputs!$E$752=1,MAX(0,I105+'FSL Output - Without BUMN'!J26-J96),MAX(0,J97-J96))</f>
        <v>492.61518309075257</v>
      </c>
      <c r="K98" s="159">
        <f>IF(Inputs!$E$752=1,MAX(0,J105+'FSL Output - Without BUMN'!K26-K96),MAX(0,K97-K96))</f>
        <v>681.1614472963912</v>
      </c>
      <c r="L98" s="159">
        <f>IF(Inputs!$E$752=1,MAX(0,K105+'FSL Output - Without BUMN'!L26-L96),MAX(0,L97-L96))</f>
        <v>901.91813758845694</v>
      </c>
      <c r="M98" s="159">
        <f>IF(Inputs!$E$752=1,MAX(0,L105+'FSL Output - Without BUMN'!M26-M96),MAX(0,M97-M96))</f>
        <v>1161.6850995529048</v>
      </c>
      <c r="N98" s="159">
        <f>IF(Inputs!$E$752=1,MAX(0,M105+'FSL Output - Without BUMN'!N26-N96),MAX(0,N97-N96))</f>
        <v>1443.3740494048261</v>
      </c>
      <c r="O98" s="159">
        <f>IF(Inputs!$E$752=1,MAX(0,N105+'FSL Output - Without BUMN'!O26-O96),MAX(0,O97-O96))</f>
        <v>1760.8954647837238</v>
      </c>
      <c r="P98" s="159">
        <f>IF(Inputs!$E$752=1,MAX(0,O105+'FSL Output - Without BUMN'!P26-P96),MAX(0,P97-P96))</f>
        <v>2100.4581913829488</v>
      </c>
      <c r="Q98" s="159">
        <f>IF(Inputs!$E$752=1,MAX(0,P105+'FSL Output - Without BUMN'!Q26-Q96),MAX(0,Q97-Q96))</f>
        <v>2476.3043293852179</v>
      </c>
      <c r="R98" s="159">
        <f>IF(Inputs!$E$752=1,MAX(0,Q105+'FSL Output - Without BUMN'!R26-R96),MAX(0,R97-R96))</f>
        <v>2872.7081470568078</v>
      </c>
      <c r="S98" s="159">
        <f>IF(Inputs!$E$752=1,MAX(0,R105+'FSL Output - Without BUMN'!S26-S96),MAX(0,S97-S96))</f>
        <v>3268.1156875011584</v>
      </c>
      <c r="T98" s="159">
        <f>IF(Inputs!$E$752=1,MAX(0,S105+'FSL Output - Without BUMN'!T26-T96),MAX(0,T97-T96))</f>
        <v>3680.3933704393789</v>
      </c>
    </row>
    <row r="99" spans="2:20" ht="26.25" customHeight="1" x14ac:dyDescent="0.25">
      <c r="B99" s="64" t="s">
        <v>2652</v>
      </c>
      <c r="C99" s="28" t="s">
        <v>493</v>
      </c>
      <c r="H99" s="159">
        <f>MAX(0,'Funding Requirement'!H91-Inputs!H512)</f>
        <v>34.699265073765446</v>
      </c>
      <c r="I99" s="159">
        <f>MAX(0,'Funding Requirement'!I91-Inputs!I512)</f>
        <v>212.19822520836064</v>
      </c>
      <c r="J99" s="159">
        <f>MAX(0,'Funding Requirement'!J91-Inputs!J512)</f>
        <v>14.243584472293236</v>
      </c>
      <c r="K99" s="159">
        <f>MAX(0,'Funding Requirement'!K91-Inputs!K512)</f>
        <v>0</v>
      </c>
      <c r="L99" s="159">
        <f>MAX(0,'Funding Requirement'!L91-Inputs!L512)</f>
        <v>308.06225416912497</v>
      </c>
      <c r="M99" s="159">
        <f>MAX(0,'Funding Requirement'!M91-Inputs!M512)</f>
        <v>655.1891233394947</v>
      </c>
      <c r="N99" s="159">
        <f>MAX(0,'Funding Requirement'!N91-Inputs!N512)</f>
        <v>1013.0980593807991</v>
      </c>
      <c r="O99" s="159">
        <f>MAX(0,'Funding Requirement'!O91-Inputs!O512)</f>
        <v>1388.1179231102515</v>
      </c>
      <c r="P99" s="159">
        <f>MAX(0,'Funding Requirement'!P91-Inputs!P512)</f>
        <v>1779.4424531568141</v>
      </c>
      <c r="Q99" s="159">
        <f>MAX(0,'Funding Requirement'!Q91-Inputs!Q512)</f>
        <v>2198.2264344775922</v>
      </c>
      <c r="R99" s="159">
        <f>MAX(0,'Funding Requirement'!R91-Inputs!R512)</f>
        <v>2626.3577585585795</v>
      </c>
      <c r="S99" s="159">
        <f>MAX(0,'Funding Requirement'!S91-Inputs!S512)</f>
        <v>3055.5995114676152</v>
      </c>
      <c r="T99" s="159">
        <f>MAX(0,'Funding Requirement'!T91-Inputs!T512)</f>
        <v>3509.6802792590038</v>
      </c>
    </row>
    <row r="100" spans="2:20" ht="26.25" customHeight="1" x14ac:dyDescent="0.25">
      <c r="B100" s="133" t="s">
        <v>2653</v>
      </c>
      <c r="C100" s="28" t="s">
        <v>493</v>
      </c>
      <c r="H100" s="160">
        <f t="shared" ref="H100:T100" si="29">MIN(H95,H98,H99)</f>
        <v>6.3327025288222343</v>
      </c>
      <c r="I100" s="160">
        <f t="shared" si="29"/>
        <v>24.168312578226143</v>
      </c>
      <c r="J100" s="160">
        <f t="shared" si="29"/>
        <v>14.243584472293236</v>
      </c>
      <c r="K100" s="160">
        <f t="shared" si="29"/>
        <v>0</v>
      </c>
      <c r="L100" s="160">
        <f t="shared" si="29"/>
        <v>59.495650450621696</v>
      </c>
      <c r="M100" s="160">
        <f t="shared" si="29"/>
        <v>70.578420659392435</v>
      </c>
      <c r="N100" s="160">
        <f t="shared" si="29"/>
        <v>76.878520417515276</v>
      </c>
      <c r="O100" s="160">
        <f t="shared" si="29"/>
        <v>87.346636262194721</v>
      </c>
      <c r="P100" s="160">
        <f t="shared" si="29"/>
        <v>93.254444591423393</v>
      </c>
      <c r="Q100" s="160">
        <f t="shared" si="29"/>
        <v>103.83266561432144</v>
      </c>
      <c r="R100" s="160">
        <f t="shared" si="29"/>
        <v>109.68773616099057</v>
      </c>
      <c r="S100" s="160">
        <f t="shared" si="29"/>
        <v>109.07125257157128</v>
      </c>
      <c r="T100" s="160">
        <f t="shared" si="29"/>
        <v>113.80940743204413</v>
      </c>
    </row>
    <row r="101" spans="2:20" x14ac:dyDescent="0.25">
      <c r="B101" s="23" t="s">
        <v>2654</v>
      </c>
      <c r="C101" s="28" t="s">
        <v>493</v>
      </c>
      <c r="H101" s="159">
        <f t="shared" ref="H101:T101" si="30">H100-H95</f>
        <v>0</v>
      </c>
      <c r="I101" s="159">
        <f t="shared" si="30"/>
        <v>0</v>
      </c>
      <c r="J101" s="159">
        <f t="shared" si="30"/>
        <v>-15.40608061781662</v>
      </c>
      <c r="K101" s="159">
        <f t="shared" si="30"/>
        <v>-50.086101354925546</v>
      </c>
      <c r="L101" s="159">
        <f t="shared" si="30"/>
        <v>0</v>
      </c>
      <c r="M101" s="159">
        <f t="shared" si="30"/>
        <v>0</v>
      </c>
      <c r="N101" s="159">
        <f t="shared" si="30"/>
        <v>0</v>
      </c>
      <c r="O101" s="159">
        <f t="shared" si="30"/>
        <v>0</v>
      </c>
      <c r="P101" s="159">
        <f t="shared" si="30"/>
        <v>0</v>
      </c>
      <c r="Q101" s="159">
        <f t="shared" si="30"/>
        <v>0</v>
      </c>
      <c r="R101" s="159">
        <f t="shared" si="30"/>
        <v>0</v>
      </c>
      <c r="S101" s="159">
        <f t="shared" si="30"/>
        <v>0</v>
      </c>
      <c r="T101" s="159">
        <f t="shared" si="30"/>
        <v>0</v>
      </c>
    </row>
    <row r="102" spans="2:20" ht="26.25" customHeight="1" x14ac:dyDescent="0.25">
      <c r="B102" s="64" t="s">
        <v>2655</v>
      </c>
      <c r="C102" s="28" t="s">
        <v>493</v>
      </c>
      <c r="H102" s="159">
        <f>MIN(Inputs!H518*MAX(0,'FSL Output - Without BUMN'!H27),MAX(0,'Funding Requirement'!H91-Inputs!H512-H100))</f>
        <v>0</v>
      </c>
      <c r="I102" s="159">
        <f>MIN(Inputs!I518*MAX(0,'FSL Output - Without BUMN'!I27),MAX(0,'Funding Requirement'!I91-Inputs!I512-I100))</f>
        <v>0</v>
      </c>
      <c r="J102" s="159">
        <f>MIN(Inputs!J518*MAX(0,'FSL Output - Without BUMN'!J27),MAX(0,'Funding Requirement'!J91-Inputs!J512-J100))</f>
        <v>0</v>
      </c>
      <c r="K102" s="159">
        <f>MIN(Inputs!K518*MAX(0,'FSL Output - Without BUMN'!K27),MAX(0,'Funding Requirement'!K91-Inputs!K512-K100))</f>
        <v>0</v>
      </c>
      <c r="L102" s="159">
        <f>MIN(Inputs!L518*MAX(0,'FSL Output - Without BUMN'!L27),MAX(0,'Funding Requirement'!L91-Inputs!L512-L100))</f>
        <v>0</v>
      </c>
      <c r="M102" s="159">
        <f>MIN(Inputs!M518*MAX(0,'FSL Output - Without BUMN'!M27),MAX(0,'Funding Requirement'!M91-Inputs!M512-M100))</f>
        <v>0</v>
      </c>
      <c r="N102" s="159">
        <f>MIN(Inputs!N518*MAX(0,'FSL Output - Without BUMN'!N27),MAX(0,'Funding Requirement'!N91-Inputs!N512-N100))</f>
        <v>0</v>
      </c>
      <c r="O102" s="159">
        <f>MIN(Inputs!O518*MAX(0,'FSL Output - Without BUMN'!O27),MAX(0,'Funding Requirement'!O91-Inputs!O512-O100))</f>
        <v>0</v>
      </c>
      <c r="P102" s="159">
        <f>MIN(Inputs!P518*MAX(0,'FSL Output - Without BUMN'!P27),MAX(0,'Funding Requirement'!P91-Inputs!P512-P100))</f>
        <v>0</v>
      </c>
      <c r="Q102" s="159">
        <f>MIN(Inputs!Q518*MAX(0,'FSL Output - Without BUMN'!Q27),MAX(0,'Funding Requirement'!Q91-Inputs!Q512-Q100))</f>
        <v>0</v>
      </c>
      <c r="R102" s="159">
        <f>MIN(Inputs!R518*MAX(0,'FSL Output - Without BUMN'!R27),MAX(0,'Funding Requirement'!R91-Inputs!R512-R100))</f>
        <v>0</v>
      </c>
      <c r="S102" s="159">
        <f>MIN(Inputs!S518*MAX(0,'FSL Output - Without BUMN'!S27),MAX(0,'Funding Requirement'!S91-Inputs!S512-S100))</f>
        <v>0</v>
      </c>
      <c r="T102" s="159">
        <f>MIN(Inputs!T518*MAX(0,'FSL Output - Without BUMN'!T27),MAX(0,'Funding Requirement'!T91-Inputs!T512-T100))</f>
        <v>0</v>
      </c>
    </row>
    <row r="103" spans="2:20" x14ac:dyDescent="0.25">
      <c r="B103" s="154" t="s">
        <v>2656</v>
      </c>
    </row>
    <row r="104" spans="2:20" x14ac:dyDescent="0.25">
      <c r="B104" s="23" t="s">
        <v>2657</v>
      </c>
      <c r="C104" s="28" t="s">
        <v>493</v>
      </c>
      <c r="G104" s="29">
        <f>'Source Data'!$E$811</f>
        <v>677.73059999999998</v>
      </c>
      <c r="H104" s="159">
        <f t="shared" ref="H104:T104" si="31">G104+H90</f>
        <v>677.73059999999998</v>
      </c>
      <c r="I104" s="159">
        <f t="shared" si="31"/>
        <v>677.73059999999998</v>
      </c>
      <c r="J104" s="159">
        <f t="shared" si="31"/>
        <v>677.73059999999998</v>
      </c>
      <c r="K104" s="159">
        <f t="shared" si="31"/>
        <v>754.39580407758194</v>
      </c>
      <c r="L104" s="159">
        <f t="shared" si="31"/>
        <v>754.39580407758194</v>
      </c>
      <c r="M104" s="159">
        <f t="shared" si="31"/>
        <v>754.39580407758194</v>
      </c>
      <c r="N104" s="159">
        <f t="shared" si="31"/>
        <v>754.39580407758194</v>
      </c>
      <c r="O104" s="159">
        <f t="shared" si="31"/>
        <v>754.39580407758194</v>
      </c>
      <c r="P104" s="159">
        <f t="shared" si="31"/>
        <v>754.39580407758194</v>
      </c>
      <c r="Q104" s="159">
        <f t="shared" si="31"/>
        <v>754.39580407758194</v>
      </c>
      <c r="R104" s="159">
        <f t="shared" si="31"/>
        <v>754.39580407758194</v>
      </c>
      <c r="S104" s="159">
        <f t="shared" si="31"/>
        <v>754.39580407758194</v>
      </c>
      <c r="T104" s="159">
        <f t="shared" si="31"/>
        <v>754.39580407758194</v>
      </c>
    </row>
    <row r="105" spans="2:20" x14ac:dyDescent="0.25">
      <c r="B105" s="23" t="s">
        <v>2658</v>
      </c>
      <c r="C105" s="28" t="s">
        <v>493</v>
      </c>
      <c r="G105" s="29">
        <f>'Source Data'!$E$812</f>
        <v>290.59201234880999</v>
      </c>
      <c r="H105" s="159">
        <f>G105+'FSL Output - Without BUMN'!H26-H100-H102</f>
        <v>324.6885337838267</v>
      </c>
      <c r="I105" s="159">
        <f>H105+'FSL Output - Without BUMN'!I26-I100-I102</f>
        <v>401.1938772856434</v>
      </c>
      <c r="J105" s="159">
        <f>I105+'FSL Output - Without BUMN'!J26-J100-J102</f>
        <v>506.4245835114109</v>
      </c>
      <c r="K105" s="159">
        <f>J105+'FSL Output - Without BUMN'!K26-K100-K102</f>
        <v>694.97084771704954</v>
      </c>
      <c r="L105" s="159">
        <f>K105+'FSL Output - Without BUMN'!L26-L100-L102</f>
        <v>856.23188755849355</v>
      </c>
      <c r="M105" s="159">
        <f>L105+'FSL Output - Without BUMN'!M26-M100-M102</f>
        <v>1045.4204288635492</v>
      </c>
      <c r="N105" s="159">
        <f>M105+'FSL Output - Without BUMN'!N26-N100-N102</f>
        <v>1250.2308582979551</v>
      </c>
      <c r="O105" s="159">
        <f>N105+'FSL Output - Without BUMN'!O26-O100-O102</f>
        <v>1480.405637414658</v>
      </c>
      <c r="P105" s="159">
        <f>O105+'FSL Output - Without BUMN'!P26-P100-P102</f>
        <v>1726.7139194224596</v>
      </c>
      <c r="Q105" s="159">
        <f>P105+'FSL Output - Without BUMN'!Q26-Q100-Q102</f>
        <v>1998.7273918104072</v>
      </c>
      <c r="R105" s="159">
        <f>Q105+'FSL Output - Without BUMN'!R26-R100-R102</f>
        <v>2285.4434733210064</v>
      </c>
      <c r="S105" s="159">
        <f>R105+'FSL Output - Without BUMN'!S26-S100-S102</f>
        <v>2571.7797611937858</v>
      </c>
      <c r="T105" s="159">
        <f>S105+'FSL Output - Without BUMN'!T26-T100-T102</f>
        <v>2870.2480366999621</v>
      </c>
    </row>
    <row r="106" spans="2:20" ht="26.25" customHeight="1" x14ac:dyDescent="0.25">
      <c r="B106" s="64" t="s">
        <v>2659</v>
      </c>
      <c r="C106" s="28" t="s">
        <v>493</v>
      </c>
      <c r="G106" s="159">
        <f>(1-Inputs!$E$531)*'Source Data'!$E$818</f>
        <v>123.70530996843949</v>
      </c>
      <c r="H106" s="159">
        <f>G106+'FSL Output - Without BUMN'!H27-H102</f>
        <v>143.02552550287095</v>
      </c>
      <c r="I106" s="159">
        <f>H106+'FSL Output - Without BUMN'!I27-I102</f>
        <v>163.13813965549332</v>
      </c>
      <c r="J106" s="159">
        <f>I106+'FSL Output - Without BUMN'!J27-J102</f>
        <v>183.78021338652127</v>
      </c>
      <c r="K106" s="159">
        <f>J106+'FSL Output - Without BUMN'!K27-K102</f>
        <v>205.37280640907468</v>
      </c>
      <c r="L106" s="159">
        <f>K106+'FSL Output - Without BUMN'!L27-L102</f>
        <v>227.81066186573477</v>
      </c>
      <c r="M106" s="159">
        <f>L106+'FSL Output - Without BUMN'!M27-M102</f>
        <v>252.31622163220806</v>
      </c>
      <c r="N106" s="159">
        <f>M106+'FSL Output - Without BUMN'!N27-N102</f>
        <v>277.74343675907846</v>
      </c>
      <c r="O106" s="159">
        <f>N106+'FSL Output - Without BUMN'!O27-O102</f>
        <v>304.10939793066041</v>
      </c>
      <c r="P106" s="159">
        <f>O106+'FSL Output - Without BUMN'!P27-P102</f>
        <v>332.82397589180738</v>
      </c>
      <c r="Q106" s="159">
        <f>P106+'FSL Output - Without BUMN'!Q27-Q102</f>
        <v>362.56122851300512</v>
      </c>
      <c r="R106" s="159">
        <f>Q106+'FSL Output - Without BUMN'!R27-R102</f>
        <v>393.33925898129303</v>
      </c>
      <c r="S106" s="159">
        <f>R106+'FSL Output - Without BUMN'!S27-S102</f>
        <v>425.17595752040597</v>
      </c>
      <c r="T106" s="159">
        <f>S106+'FSL Output - Without BUMN'!T27-T102</f>
        <v>458.08894901847924</v>
      </c>
    </row>
    <row r="107" spans="2:20" ht="26.25" customHeight="1" x14ac:dyDescent="0.25">
      <c r="B107" s="64" t="s">
        <v>2660</v>
      </c>
      <c r="C107" s="28" t="s">
        <v>493</v>
      </c>
      <c r="G107" s="159">
        <f t="shared" ref="G107:T107" si="32">G104+G105-G106</f>
        <v>844.61730238037057</v>
      </c>
      <c r="H107" s="159">
        <f t="shared" si="32"/>
        <v>859.39360828095573</v>
      </c>
      <c r="I107" s="159">
        <f t="shared" si="32"/>
        <v>915.78633763015011</v>
      </c>
      <c r="J107" s="159">
        <f t="shared" si="32"/>
        <v>1000.3749701248897</v>
      </c>
      <c r="K107" s="159">
        <f t="shared" si="32"/>
        <v>1243.9938453855568</v>
      </c>
      <c r="L107" s="159">
        <f t="shared" si="32"/>
        <v>1382.8170297703407</v>
      </c>
      <c r="M107" s="159">
        <f t="shared" si="32"/>
        <v>1547.5000113089231</v>
      </c>
      <c r="N107" s="159">
        <f t="shared" si="32"/>
        <v>1726.8832256164587</v>
      </c>
      <c r="O107" s="159">
        <f t="shared" si="32"/>
        <v>1930.6920435615796</v>
      </c>
      <c r="P107" s="159">
        <f t="shared" si="32"/>
        <v>2148.285747608234</v>
      </c>
      <c r="Q107" s="159">
        <f t="shared" si="32"/>
        <v>2390.5619673749839</v>
      </c>
      <c r="R107" s="159">
        <f t="shared" si="32"/>
        <v>2646.5000184172955</v>
      </c>
      <c r="S107" s="159">
        <f t="shared" si="32"/>
        <v>2900.9996077509618</v>
      </c>
      <c r="T107" s="159">
        <f t="shared" si="32"/>
        <v>3166.554891759065</v>
      </c>
    </row>
    <row r="108" spans="2:20" ht="26.25" customHeight="1" x14ac:dyDescent="0.25">
      <c r="B108" s="64" t="s">
        <v>2661</v>
      </c>
      <c r="C108" s="28" t="s">
        <v>493</v>
      </c>
      <c r="G108" s="159">
        <f>G20</f>
        <v>224.51846524876001</v>
      </c>
      <c r="H108" s="159">
        <f t="shared" ref="H108:T108" si="33">H20+H41+H55</f>
        <v>195.18</v>
      </c>
      <c r="I108" s="159">
        <f t="shared" si="33"/>
        <v>195.18</v>
      </c>
      <c r="J108" s="159">
        <f t="shared" si="33"/>
        <v>195.18</v>
      </c>
      <c r="K108" s="159">
        <f t="shared" si="33"/>
        <v>32.53</v>
      </c>
      <c r="L108" s="159">
        <f t="shared" si="33"/>
        <v>81.325000000000003</v>
      </c>
      <c r="M108" s="159">
        <f t="shared" si="33"/>
        <v>81.325000000000003</v>
      </c>
      <c r="N108" s="159">
        <f t="shared" si="33"/>
        <v>74.819000000000003</v>
      </c>
      <c r="O108" s="159">
        <f t="shared" si="33"/>
        <v>58.554000000000002</v>
      </c>
      <c r="P108" s="159">
        <f t="shared" si="33"/>
        <v>42.289000000000001</v>
      </c>
      <c r="Q108" s="159">
        <f t="shared" si="33"/>
        <v>26.024000000000001</v>
      </c>
      <c r="R108" s="159">
        <f t="shared" si="33"/>
        <v>9.7590000000000003</v>
      </c>
      <c r="S108" s="159">
        <f t="shared" si="33"/>
        <v>0</v>
      </c>
      <c r="T108" s="159">
        <f t="shared" si="33"/>
        <v>0</v>
      </c>
    </row>
    <row r="109" spans="2:20" x14ac:dyDescent="0.25">
      <c r="B109" s="154" t="s">
        <v>2662</v>
      </c>
    </row>
    <row r="110" spans="2:20" ht="26.25" customHeight="1" x14ac:dyDescent="0.25">
      <c r="B110" s="64" t="s">
        <v>2663</v>
      </c>
      <c r="C110" s="28" t="s">
        <v>493</v>
      </c>
      <c r="H110" s="159">
        <f>'FSL Output - Without BUMN'!H16-'FSL Output - Without BUMN'!H179-'Working Capital'!H122-'Capex &amp; Depreciation'!H210</f>
        <v>137.11023078990644</v>
      </c>
      <c r="I110" s="159">
        <f>'FSL Output - Without BUMN'!I16-'FSL Output - Without BUMN'!I179-'Working Capital'!I122-'Capex &amp; Depreciation'!I210</f>
        <v>213.74361284118709</v>
      </c>
      <c r="J110" s="159">
        <f>'FSL Output - Without BUMN'!J16-'FSL Output - Without BUMN'!J179-'Working Capital'!J122-'Capex &amp; Depreciation'!J210</f>
        <v>261.25915178183311</v>
      </c>
      <c r="K110" s="159">
        <f>'FSL Output - Without BUMN'!K16-'FSL Output - Without BUMN'!K179-'Working Capital'!K122-'Capex &amp; Depreciation'!K210</f>
        <v>318.62237840783257</v>
      </c>
      <c r="L110" s="159">
        <f>'FSL Output - Without BUMN'!L16-'FSL Output - Without BUMN'!L179-'Working Capital'!L122-'Capex &amp; Depreciation'!L210</f>
        <v>360.27290416912496</v>
      </c>
      <c r="M110" s="159">
        <f>'FSL Output - Without BUMN'!M16-'FSL Output - Without BUMN'!M179-'Working Capital'!M122-'Capex &amp; Depreciation'!M210</f>
        <v>415.16164462099141</v>
      </c>
      <c r="N110" s="159">
        <f>'FSL Output - Without BUMN'!N16-'FSL Output - Without BUMN'!N179-'Working Capital'!N122-'Capex &amp; Depreciation'!N210</f>
        <v>443.53248170069685</v>
      </c>
      <c r="O110" s="159">
        <f>'FSL Output - Without BUMN'!O16-'FSL Output - Without BUMN'!O179-'Working Capital'!O122-'Capex &amp; Depreciation'!O210</f>
        <v>476.01937914696759</v>
      </c>
      <c r="P110" s="159">
        <f>'FSL Output - Without BUMN'!P16-'FSL Output - Without BUMN'!P179-'Working Capital'!P122-'Capex &amp; Depreciation'!P210</f>
        <v>501.08433630875749</v>
      </c>
      <c r="Q110" s="159">
        <f>'FSL Output - Without BUMN'!Q16-'FSL Output - Without BUMN'!Q179-'Working Capital'!Q122-'Capex &amp; Depreciation'!Q210</f>
        <v>532.7437709122014</v>
      </c>
      <c r="R110" s="159">
        <f>'FSL Output - Without BUMN'!R16-'FSL Output - Without BUMN'!R179-'Working Capital'!R122-'Capex &amp; Depreciation'!R210</f>
        <v>550.96150969530856</v>
      </c>
      <c r="S110" s="159">
        <f>'FSL Output - Without BUMN'!S16-'FSL Output - Without BUMN'!S179-'Working Capital'!S122-'Capex &amp; Depreciation'!S210</f>
        <v>549.71318407002605</v>
      </c>
      <c r="T110" s="159">
        <f>'FSL Output - Without BUMN'!T16-'FSL Output - Without BUMN'!T179-'Working Capital'!T122-'Capex &amp; Depreciation'!T210</f>
        <v>563.15202036295966</v>
      </c>
    </row>
    <row r="111" spans="2:20" ht="26.25" customHeight="1" x14ac:dyDescent="0.25">
      <c r="B111" s="64" t="s">
        <v>2664</v>
      </c>
      <c r="C111" s="28" t="s">
        <v>493</v>
      </c>
      <c r="H111" s="159">
        <f t="shared" ref="H111:T111" si="34">H24+H19+H42+H40+H54+H53</f>
        <v>34.809370766421004</v>
      </c>
      <c r="I111" s="159">
        <f t="shared" si="34"/>
        <v>15.273450177769661</v>
      </c>
      <c r="J111" s="159">
        <f t="shared" si="34"/>
        <v>15.273450177769659</v>
      </c>
      <c r="K111" s="159">
        <f t="shared" si="34"/>
        <v>202.75395748541456</v>
      </c>
      <c r="L111" s="159">
        <f t="shared" si="34"/>
        <v>3.4156499999999999</v>
      </c>
      <c r="M111" s="159">
        <f t="shared" si="34"/>
        <v>8.5391250000000003</v>
      </c>
      <c r="N111" s="159">
        <f t="shared" si="34"/>
        <v>15.045125000000001</v>
      </c>
      <c r="O111" s="159">
        <f t="shared" si="34"/>
        <v>24.120995000000001</v>
      </c>
      <c r="P111" s="159">
        <f t="shared" si="34"/>
        <v>22.413170000000001</v>
      </c>
      <c r="Q111" s="159">
        <f t="shared" si="34"/>
        <v>20.705345000000001</v>
      </c>
      <c r="R111" s="159">
        <f t="shared" si="34"/>
        <v>18.997520000000002</v>
      </c>
      <c r="S111" s="159">
        <f t="shared" si="34"/>
        <v>10.783695</v>
      </c>
      <c r="T111" s="159">
        <f t="shared" si="34"/>
        <v>0</v>
      </c>
    </row>
    <row r="112" spans="2:20" x14ac:dyDescent="0.25">
      <c r="B112" s="21" t="s">
        <v>2665</v>
      </c>
      <c r="C112" s="28" t="s">
        <v>497</v>
      </c>
      <c r="H112" s="183">
        <f t="shared" ref="H112:T112" si="35">IF(H111&gt;0.0001,H110/H111,"n/a")</f>
        <v>3.9388885168292198</v>
      </c>
      <c r="I112" s="183">
        <f t="shared" si="35"/>
        <v>13.994455106959956</v>
      </c>
      <c r="J112" s="183">
        <f t="shared" si="35"/>
        <v>17.105444332551198</v>
      </c>
      <c r="K112" s="183">
        <f t="shared" si="35"/>
        <v>1.5714730422993257</v>
      </c>
      <c r="L112" s="183">
        <f t="shared" si="35"/>
        <v>105.47711392242324</v>
      </c>
      <c r="M112" s="183">
        <f t="shared" si="35"/>
        <v>48.618757146779252</v>
      </c>
      <c r="N112" s="183">
        <f t="shared" si="35"/>
        <v>29.480146007473973</v>
      </c>
      <c r="O112" s="183">
        <f t="shared" si="35"/>
        <v>19.734649385191929</v>
      </c>
      <c r="P112" s="183">
        <f t="shared" si="35"/>
        <v>22.356691905194914</v>
      </c>
      <c r="Q112" s="183">
        <f t="shared" si="35"/>
        <v>25.729770303861219</v>
      </c>
      <c r="R112" s="183">
        <f t="shared" si="35"/>
        <v>29.001759687333323</v>
      </c>
      <c r="S112" s="183">
        <f t="shared" si="35"/>
        <v>50.976328992059408</v>
      </c>
      <c r="T112" s="183" t="str">
        <f t="shared" si="35"/>
        <v>n/a</v>
      </c>
    </row>
    <row r="113" spans="2:5" x14ac:dyDescent="0.25">
      <c r="B113" s="21" t="s">
        <v>2666</v>
      </c>
      <c r="C113" s="28" t="s">
        <v>497</v>
      </c>
      <c r="E113" s="183">
        <f>IF(COUNT($H$112:$T$112)=0,"n/a - no debt service",MIN($H$112:$T$112))</f>
        <v>1.5714730422993257</v>
      </c>
    </row>
    <row r="114" spans="2:5" x14ac:dyDescent="0.25">
      <c r="B114" s="23" t="s">
        <v>2667</v>
      </c>
      <c r="E114" s="45">
        <f>IF(COUNT($H$112:$T$112)=0,"n/a",INDEX('Revenue Calculation'!$H$7:$T$7,1,MATCH(MIN($H$112:$T$112),$H$112:$T$112,0)))</f>
        <v>2027</v>
      </c>
    </row>
    <row r="115" spans="2:5" x14ac:dyDescent="0.25">
      <c r="B115" s="145" t="s">
        <v>2668</v>
      </c>
    </row>
  </sheetData>
  <hyperlinks>
    <hyperlink ref="C3" location="'Model Flow'!A1" display="Model Flow" xr:uid="{00000000-0004-0000-0800-000000000000}"/>
    <hyperlink ref="D3" location="Inputs!A1" display="Inputs" xr:uid="{00000000-0004-0000-0800-000001000000}"/>
    <hyperlink ref="E3" location="'FS Data Request'!A1" display="FS Request" xr:uid="{00000000-0004-0000-0800-000002000000}"/>
    <hyperlink ref="F3" location="'Revenue Calculation'!A1" display="Revenue" xr:uid="{00000000-0004-0000-0800-000003000000}"/>
    <hyperlink ref="G3" location="'Cost Calculation'!A1" display="Costs" xr:uid="{00000000-0004-0000-0800-000004000000}"/>
    <hyperlink ref="H3" location="'BUMN Synergy Calculation'!A1" display="BUMN Synergy" xr:uid="{00000000-0004-0000-0800-000005000000}"/>
    <hyperlink ref="I3" location="'Capex &amp; Depreciation'!A1" display="Capex" xr:uid="{00000000-0004-0000-0800-000006000000}"/>
    <hyperlink ref="J3" location="'Working Capital'!A1" display="Work. cap." xr:uid="{00000000-0004-0000-0800-000007000000}"/>
    <hyperlink ref="L3" location="'Funding Requirement'!A1" display="Funding" xr:uid="{00000000-0004-0000-0800-000008000000}"/>
    <hyperlink ref="M3" location="'FSL Output - Without BUMN'!A1" display="Out: w/o BUMN" xr:uid="{00000000-0004-0000-0800-000009000000}"/>
    <hyperlink ref="N3" location="'FSL Output - With BUMN'!A1" display="Out: With BUMN" xr:uid="{00000000-0004-0000-0800-00000A000000}"/>
    <hyperlink ref="O3" location="'Valuation — Without BUMN'!A1" display="Val: w/o BUMN" xr:uid="{00000000-0004-0000-0800-00000B000000}"/>
    <hyperlink ref="P3" location="'Valuation — With BUMN'!A1" display="Val: With BUMN" xr:uid="{00000000-0004-0000-0800-00000C000000}"/>
    <hyperlink ref="Q3" location="'Project Cash Flows'!A1" display="Proj. CF" xr:uid="{00000000-0004-0000-0800-00000D000000}"/>
    <hyperlink ref="R3" location="'Project Summary'!A1" display="Proj. Summary" xr:uid="{00000000-0004-0000-0800-00000E000000}"/>
    <hyperlink ref="S3" location="'Checks &amp; Reconciliation'!A1" display="Checks" xr:uid="{00000000-0004-0000-0800-00000F000000}"/>
    <hyperlink ref="T3" location="'Source Data'!A1" display="Source Data" xr:uid="{00000000-0004-0000-0800-000010000000}"/>
  </hyperlinks>
  <pageMargins left="0.4" right="0.4" top="0.5" bottom="0.5" header="0.511811023622047" footer="0.5"/>
  <pageSetup paperSize="9" fitToHeight="0" orientation="landscape" horizontalDpi="300" verticalDpi="300"/>
  <headerFooter>
    <oddFooter>&amp;L&amp;A&amp;RPage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E5C8A"/>
    <pageSetUpPr fitToPage="1"/>
  </sheetPr>
  <dimension ref="B1:U169"/>
  <sheetViews>
    <sheetView showGridLines="0" zoomScale="85" zoomScaleNormal="85" workbookViewId="0">
      <pane xSplit="6" ySplit="6" topLeftCell="G7" activePane="bottomRight" state="frozen"/>
      <selection pane="topRight" activeCell="G1" sqref="G1"/>
      <selection pane="bottomLeft" activeCell="A7" sqref="A7"/>
      <selection pane="bottomRight"/>
    </sheetView>
  </sheetViews>
  <sheetFormatPr defaultColWidth="8.7109375" defaultRowHeight="15" x14ac:dyDescent="0.25"/>
  <cols>
    <col min="1" max="1" width="1.5703125" customWidth="1"/>
    <col min="2" max="2" width="78" customWidth="1"/>
    <col min="3" max="3" width="10" customWidth="1"/>
    <col min="4" max="6" width="13" customWidth="1"/>
    <col min="7" max="20" width="10.5703125" customWidth="1"/>
    <col min="21" max="21" width="55" customWidth="1"/>
  </cols>
  <sheetData>
    <row r="1" spans="2:21" ht="18" x14ac:dyDescent="0.25">
      <c r="B1" s="13" t="s">
        <v>2670</v>
      </c>
    </row>
    <row r="2" spans="2:21" x14ac:dyDescent="0.25">
      <c r="B2" s="14" t="s">
        <v>2671</v>
      </c>
    </row>
    <row r="3" spans="2:21" x14ac:dyDescent="0.25">
      <c r="B3" s="15" t="s">
        <v>2</v>
      </c>
      <c r="C3" s="17" t="s">
        <v>422</v>
      </c>
      <c r="D3" s="17" t="s">
        <v>4</v>
      </c>
      <c r="E3" s="17" t="s">
        <v>5</v>
      </c>
      <c r="F3" s="17" t="s">
        <v>6</v>
      </c>
      <c r="G3" s="17" t="s">
        <v>7</v>
      </c>
      <c r="H3" s="17" t="s">
        <v>8</v>
      </c>
      <c r="I3" s="17" t="s">
        <v>9</v>
      </c>
      <c r="J3" s="17" t="s">
        <v>10</v>
      </c>
      <c r="K3" s="17" t="s">
        <v>11</v>
      </c>
      <c r="L3" s="16" t="s">
        <v>2672</v>
      </c>
      <c r="M3" s="17" t="s">
        <v>13</v>
      </c>
      <c r="N3" s="17" t="s">
        <v>14</v>
      </c>
      <c r="O3" s="17" t="s">
        <v>15</v>
      </c>
      <c r="P3" s="17" t="s">
        <v>16</v>
      </c>
      <c r="Q3" s="17" t="s">
        <v>17</v>
      </c>
      <c r="R3" s="17" t="s">
        <v>18</v>
      </c>
      <c r="S3" s="17" t="s">
        <v>19</v>
      </c>
      <c r="T3" s="17" t="s">
        <v>20</v>
      </c>
    </row>
    <row r="4" spans="2:21" x14ac:dyDescent="0.25">
      <c r="G4" s="77" t="s">
        <v>1878</v>
      </c>
      <c r="H4" s="77" t="s">
        <v>1879</v>
      </c>
      <c r="I4" s="77" t="s">
        <v>1879</v>
      </c>
      <c r="J4" s="77" t="s">
        <v>1879</v>
      </c>
      <c r="K4" s="77" t="s">
        <v>1879</v>
      </c>
      <c r="L4" s="77" t="s">
        <v>1879</v>
      </c>
      <c r="M4" s="77" t="s">
        <v>1879</v>
      </c>
      <c r="N4" s="77" t="s">
        <v>1879</v>
      </c>
      <c r="O4" s="77" t="s">
        <v>1879</v>
      </c>
      <c r="P4" s="77" t="s">
        <v>1879</v>
      </c>
      <c r="Q4" s="77" t="s">
        <v>1879</v>
      </c>
      <c r="R4" s="77" t="s">
        <v>1879</v>
      </c>
      <c r="S4" s="77" t="s">
        <v>1879</v>
      </c>
      <c r="T4" s="77" t="s">
        <v>1879</v>
      </c>
    </row>
    <row r="5" spans="2:21" x14ac:dyDescent="0.25">
      <c r="B5" s="150" t="s">
        <v>493</v>
      </c>
      <c r="C5" s="150" t="s">
        <v>466</v>
      </c>
      <c r="D5" s="59" t="s">
        <v>1881</v>
      </c>
      <c r="E5" s="59" t="s">
        <v>468</v>
      </c>
      <c r="F5" s="60"/>
      <c r="G5" s="151">
        <v>2023</v>
      </c>
      <c r="H5" s="152">
        <v>2024</v>
      </c>
      <c r="I5" s="152">
        <v>2025</v>
      </c>
      <c r="J5" s="152">
        <v>2026</v>
      </c>
      <c r="K5" s="152">
        <v>2027</v>
      </c>
      <c r="L5" s="152">
        <v>2028</v>
      </c>
      <c r="M5" s="152">
        <v>2029</v>
      </c>
      <c r="N5" s="152">
        <v>2030</v>
      </c>
      <c r="O5" s="152">
        <v>2031</v>
      </c>
      <c r="P5" s="152">
        <v>2032</v>
      </c>
      <c r="Q5" s="152">
        <v>2033</v>
      </c>
      <c r="R5" s="152">
        <v>2034</v>
      </c>
      <c r="S5" s="152">
        <v>2035</v>
      </c>
      <c r="T5" s="152">
        <v>2036</v>
      </c>
      <c r="U5" s="59" t="s">
        <v>1882</v>
      </c>
    </row>
    <row r="6" spans="2:21" x14ac:dyDescent="0.25">
      <c r="B6" s="58" t="s">
        <v>2673</v>
      </c>
      <c r="C6" s="19"/>
      <c r="D6" s="19"/>
      <c r="E6" s="19"/>
      <c r="F6" s="19"/>
      <c r="G6" s="19"/>
      <c r="H6" s="19"/>
      <c r="I6" s="19"/>
      <c r="J6" s="19"/>
      <c r="K6" s="19"/>
      <c r="L6" s="19"/>
      <c r="M6" s="19"/>
      <c r="N6" s="19"/>
      <c r="O6" s="19"/>
      <c r="P6" s="19"/>
      <c r="Q6" s="19"/>
      <c r="R6" s="19"/>
      <c r="S6" s="19"/>
      <c r="T6" s="19"/>
    </row>
    <row r="7" spans="2:21" x14ac:dyDescent="0.25">
      <c r="B7" s="59" t="s">
        <v>2674</v>
      </c>
      <c r="C7" s="59" t="s">
        <v>466</v>
      </c>
      <c r="D7" s="59" t="s">
        <v>1881</v>
      </c>
      <c r="E7" s="59" t="s">
        <v>2675</v>
      </c>
      <c r="F7" s="59" t="s">
        <v>2676</v>
      </c>
    </row>
    <row r="8" spans="2:21" x14ac:dyDescent="0.25">
      <c r="B8" s="21" t="s">
        <v>2677</v>
      </c>
      <c r="E8" s="248" t="str">
        <f>IF(Inputs!$E$44=1,"1 - residual requirement","2 - v29 schedule")</f>
        <v>1 - residual requirement</v>
      </c>
      <c r="F8" s="248"/>
    </row>
    <row r="9" spans="2:21" x14ac:dyDescent="0.25">
      <c r="B9" s="23" t="s">
        <v>2678</v>
      </c>
      <c r="C9" s="28" t="s">
        <v>493</v>
      </c>
      <c r="E9" s="159">
        <f>SUMPRODUCT(--('Revenue Calculation'!$H$7:$T$7&gt;Inputs!$E$560),'Capex &amp; Depreciation'!$H$81:$T$81)+SUMPRODUCT(--('Revenue Calculation'!$H$7:$T$7&gt;Inputs!$E$560),'Capex &amp; Depreciation'!$H$210:$T$210)</f>
        <v>322.65362499999992</v>
      </c>
      <c r="F9" s="159">
        <f>SUMPRODUCT(--('Revenue Calculation'!$H$7:$T$7&gt;Inputs!$E$560),'Capex &amp; Depreciation'!$H$80:$T$80)+SUMPRODUCT(--('Revenue Calculation'!$H$7:$T$7&gt;Inputs!$E$560),'Capex &amp; Depreciation'!$H$210:$T$210)</f>
        <v>322.65362499999992</v>
      </c>
    </row>
    <row r="10" spans="2:21" x14ac:dyDescent="0.25">
      <c r="B10" s="23" t="s">
        <v>2679</v>
      </c>
      <c r="C10" s="28" t="s">
        <v>493</v>
      </c>
      <c r="E10" s="159">
        <f>SUMPRODUCT(--('Revenue Calculation'!$H$7:$T$7&gt;Inputs!$E$560),'Capex &amp; Depreciation'!$H$354:$T$354)</f>
        <v>0</v>
      </c>
      <c r="F10" s="159">
        <f>SUMPRODUCT(--('Revenue Calculation'!$H$7:$T$7&gt;Inputs!$E$560),'Capex &amp; Depreciation'!$H$354:$T$354)</f>
        <v>0</v>
      </c>
    </row>
    <row r="11" spans="2:21" x14ac:dyDescent="0.25">
      <c r="B11" s="21" t="s">
        <v>2680</v>
      </c>
      <c r="C11" s="28" t="s">
        <v>493</v>
      </c>
      <c r="E11" s="184">
        <f>$E$9+$E$10</f>
        <v>322.65362499999992</v>
      </c>
      <c r="F11" s="184">
        <f>$F$9+$F$10</f>
        <v>322.65362499999992</v>
      </c>
    </row>
    <row r="12" spans="2:21" x14ac:dyDescent="0.25">
      <c r="B12" s="23" t="s">
        <v>2681</v>
      </c>
      <c r="C12" s="28" t="s">
        <v>493</v>
      </c>
      <c r="E12" s="159">
        <f>SUMPRODUCT(--('Revenue Calculation'!$H$7:$T$7&gt;Inputs!$E$560),Financing!$H$13:$T$13)</f>
        <v>195.18</v>
      </c>
      <c r="F12" s="159">
        <f>SUMPRODUCT(--('Revenue Calculation'!$H$7:$T$7&gt;Inputs!$E$560),Financing!$H$13:$T$13)</f>
        <v>195.18</v>
      </c>
    </row>
    <row r="13" spans="2:21" ht="26.25" customHeight="1" x14ac:dyDescent="0.25">
      <c r="B13" s="64" t="s">
        <v>2682</v>
      </c>
      <c r="C13" s="28" t="s">
        <v>493</v>
      </c>
      <c r="E13" s="159">
        <f>SUMPRODUCT(--('Revenue Calculation'!$H$7:$T$7&gt;Inputs!$E$560),$H$54:$T$54)</f>
        <v>28.884162758641565</v>
      </c>
      <c r="F13" s="159">
        <f>SUMPRODUCT(--('Revenue Calculation'!$H$7:$T$7&gt;Inputs!$E$560),$H$86:$T$86)</f>
        <v>76.665204077581919</v>
      </c>
    </row>
    <row r="14" spans="2:21" x14ac:dyDescent="0.25">
      <c r="B14" s="21" t="s">
        <v>2683</v>
      </c>
      <c r="C14" s="28" t="s">
        <v>493</v>
      </c>
      <c r="E14" s="184">
        <f>MAX($H$54:$T$54)</f>
        <v>28.884162758641565</v>
      </c>
      <c r="F14" s="184">
        <f>MAX($H$86:$T$86)</f>
        <v>76.665204077581919</v>
      </c>
    </row>
    <row r="15" spans="2:21" x14ac:dyDescent="0.25">
      <c r="B15" s="23" t="s">
        <v>2684</v>
      </c>
      <c r="C15" s="28" t="s">
        <v>490</v>
      </c>
      <c r="E15" s="45">
        <f>IF(MAX($H$54:$T$54)=0,"none",INDEX('Revenue Calculation'!$H$7:$T$7,1,MATCH(MAX($H$54:$T$54),$H$54:$T$54,0)))</f>
        <v>2027</v>
      </c>
      <c r="F15" s="45">
        <f>IF(MAX($H$86:$T$86)=0,"none",INDEX('Revenue Calculation'!$H$7:$T$7,1,MATCH(MAX($H$86:$T$86),$H$86:$T$86,0)))</f>
        <v>2027</v>
      </c>
    </row>
    <row r="16" spans="2:21" x14ac:dyDescent="0.25">
      <c r="B16" s="23" t="s">
        <v>2685</v>
      </c>
      <c r="C16" s="28" t="s">
        <v>493</v>
      </c>
      <c r="E16" s="159">
        <f>SUM(Financing!$H$31:$T$31)+SUM(Financing!$H$52:$T$52)</f>
        <v>81.325000000000003</v>
      </c>
      <c r="F16" s="159">
        <f>SUM(Financing!$H$39:$T$39)+SUM(Financing!$H$52:$T$52)</f>
        <v>81.325000000000003</v>
      </c>
    </row>
    <row r="17" spans="2:6" x14ac:dyDescent="0.25">
      <c r="B17" s="23" t="s">
        <v>2686</v>
      </c>
      <c r="C17" s="28" t="s">
        <v>493</v>
      </c>
      <c r="E17" s="159">
        <f>SUM($H$53:$T$53)</f>
        <v>0</v>
      </c>
      <c r="F17" s="159">
        <f>SUM($H$85:$T$85)</f>
        <v>0</v>
      </c>
    </row>
    <row r="18" spans="2:6" x14ac:dyDescent="0.25">
      <c r="B18" s="23" t="s">
        <v>2687</v>
      </c>
      <c r="C18" s="28" t="s">
        <v>493</v>
      </c>
      <c r="E18" s="159">
        <f>SUM($H$52:$T$52)</f>
        <v>0</v>
      </c>
      <c r="F18" s="159">
        <f>SUM($H$84:$T$84)</f>
        <v>0</v>
      </c>
    </row>
    <row r="19" spans="2:6" x14ac:dyDescent="0.25">
      <c r="B19" s="23" t="s">
        <v>2688</v>
      </c>
      <c r="C19" s="28" t="s">
        <v>493</v>
      </c>
      <c r="E19" s="159">
        <f>SUM($H$57:$T$57)</f>
        <v>28.884162758641565</v>
      </c>
      <c r="F19" s="159">
        <f>SUM($H$89:$T$89)</f>
        <v>76.665204077581919</v>
      </c>
    </row>
    <row r="20" spans="2:6" x14ac:dyDescent="0.25">
      <c r="B20" s="23" t="s">
        <v>2689</v>
      </c>
      <c r="C20" s="28" t="s">
        <v>493</v>
      </c>
      <c r="E20" s="159">
        <f>SUM($H$146:$T$146)</f>
        <v>0</v>
      </c>
      <c r="F20" s="159">
        <f>SUM($H$146:$T$146)</f>
        <v>0</v>
      </c>
    </row>
    <row r="21" spans="2:6" x14ac:dyDescent="0.25">
      <c r="B21" s="21" t="s">
        <v>2690</v>
      </c>
      <c r="C21" s="28" t="s">
        <v>493</v>
      </c>
      <c r="E21" s="184">
        <f>SUM($H$154:$T$154)</f>
        <v>28.884162758641565</v>
      </c>
      <c r="F21" s="184">
        <f>SUM($H$163:$T$163)</f>
        <v>76.665204077581919</v>
      </c>
    </row>
    <row r="22" spans="2:6" x14ac:dyDescent="0.25">
      <c r="B22" s="21" t="s">
        <v>2691</v>
      </c>
      <c r="C22" s="28" t="s">
        <v>806</v>
      </c>
      <c r="E22" s="184">
        <f>SUM($H$155:$T$155)</f>
        <v>1.7758476949672037</v>
      </c>
      <c r="F22" s="184">
        <f>SUM($H$164:$T$164)</f>
        <v>4.713507782206082</v>
      </c>
    </row>
    <row r="23" spans="2:6" x14ac:dyDescent="0.25">
      <c r="B23" s="23" t="s">
        <v>2692</v>
      </c>
      <c r="C23" s="28" t="s">
        <v>490</v>
      </c>
      <c r="E23" s="45">
        <f>IF(SUM($H$154:$T$154)&lt;=0.0005,"none",9999-SUMPRODUCT(MAX(($H$154:$T$154&gt;0.0005)*(9999-'Revenue Calculation'!$H$7:$T$7))))</f>
        <v>2027</v>
      </c>
      <c r="F23" s="45">
        <f>IF(SUM($H$163:$T$163)&lt;=0.0005,"none",9999-SUMPRODUCT(MAX(($H$163:$T$163&gt;0.0005)*(9999-'Revenue Calculation'!$H$7:$T$7))))</f>
        <v>2027</v>
      </c>
    </row>
    <row r="24" spans="2:6" x14ac:dyDescent="0.25">
      <c r="B24" s="23" t="s">
        <v>2693</v>
      </c>
      <c r="C24" s="28" t="s">
        <v>493</v>
      </c>
      <c r="E24" s="159">
        <f>SUM($H$157:$T$157)</f>
        <v>28.884162758641565</v>
      </c>
      <c r="F24" s="159">
        <f>SUM($H$166:$T$166)</f>
        <v>32.53</v>
      </c>
    </row>
    <row r="25" spans="2:6" x14ac:dyDescent="0.25">
      <c r="B25" s="23" t="s">
        <v>2694</v>
      </c>
      <c r="C25" s="28" t="s">
        <v>493</v>
      </c>
      <c r="E25" s="159">
        <f>SUM($H$58:$T$58)</f>
        <v>0</v>
      </c>
      <c r="F25" s="159">
        <f>SUM($H$90:$T$90)</f>
        <v>0</v>
      </c>
    </row>
    <row r="26" spans="2:6" x14ac:dyDescent="0.25">
      <c r="B26" s="23" t="s">
        <v>2695</v>
      </c>
      <c r="C26" s="28" t="s">
        <v>806</v>
      </c>
      <c r="E26" s="159">
        <f>Inputs!$E$511-$E$22</f>
        <v>108.2241523050328</v>
      </c>
      <c r="F26" s="159">
        <f>Inputs!$E$511-$F$22</f>
        <v>105.28649221779392</v>
      </c>
    </row>
    <row r="27" spans="2:6" x14ac:dyDescent="0.25">
      <c r="B27" s="23" t="s">
        <v>2696</v>
      </c>
      <c r="C27" s="28" t="s">
        <v>493</v>
      </c>
      <c r="E27" s="159">
        <f>SUM('Source Data'!$H$847:$T$847)</f>
        <v>579.775654761905</v>
      </c>
      <c r="F27" s="159">
        <f>SUM('Source Data'!$H$912:$T$912)</f>
        <v>579.775654761905</v>
      </c>
    </row>
    <row r="28" spans="2:6" x14ac:dyDescent="0.25">
      <c r="B28" s="23" t="s">
        <v>2697</v>
      </c>
      <c r="C28" s="28" t="s">
        <v>493</v>
      </c>
      <c r="E28" s="159">
        <f>MIN($H$62:$T$62)</f>
        <v>3</v>
      </c>
      <c r="F28" s="159">
        <f>MIN($H$94:$T$94)</f>
        <v>3</v>
      </c>
    </row>
    <row r="29" spans="2:6" x14ac:dyDescent="0.25">
      <c r="B29" s="23" t="s">
        <v>2698</v>
      </c>
      <c r="C29" s="28" t="s">
        <v>490</v>
      </c>
      <c r="E29" s="45">
        <f>INDEX('Revenue Calculation'!$H$7:$T$7,1,MATCH(MIN($H$62:$T$62),$H$62:$T$62,0))</f>
        <v>2027</v>
      </c>
      <c r="F29" s="45">
        <f>INDEX('Revenue Calculation'!$H$7:$T$7,1,MATCH(MIN($H$94:$T$94),$H$94:$T$94,0))</f>
        <v>2026</v>
      </c>
    </row>
    <row r="30" spans="2:6" x14ac:dyDescent="0.25">
      <c r="B30" s="23" t="s">
        <v>2699</v>
      </c>
      <c r="C30" s="28" t="s">
        <v>493</v>
      </c>
      <c r="E30" s="159">
        <f>SUM(Financing!$H$71:$T$71)</f>
        <v>1049.3634687134484</v>
      </c>
      <c r="F30" s="159">
        <f>SUM(Financing!$H$100:$T$100)</f>
        <v>868.6993337394166</v>
      </c>
    </row>
    <row r="31" spans="2:6" x14ac:dyDescent="0.25">
      <c r="B31" s="145" t="s">
        <v>2700</v>
      </c>
    </row>
    <row r="32" spans="2:6" x14ac:dyDescent="0.25">
      <c r="B32" s="145" t="s">
        <v>2701</v>
      </c>
    </row>
    <row r="34" spans="2:20" x14ac:dyDescent="0.25">
      <c r="B34" s="58" t="s">
        <v>2702</v>
      </c>
      <c r="C34" s="19"/>
      <c r="D34" s="19"/>
      <c r="E34" s="19"/>
      <c r="F34" s="19"/>
      <c r="G34" s="19"/>
      <c r="H34" s="19"/>
      <c r="I34" s="19"/>
      <c r="J34" s="19"/>
      <c r="K34" s="19"/>
      <c r="L34" s="19"/>
      <c r="M34" s="19"/>
      <c r="N34" s="19"/>
      <c r="O34" s="19"/>
      <c r="P34" s="19"/>
      <c r="Q34" s="19"/>
      <c r="R34" s="19"/>
      <c r="S34" s="19"/>
      <c r="T34" s="19"/>
    </row>
    <row r="35" spans="2:20" x14ac:dyDescent="0.25">
      <c r="B35" s="154" t="s">
        <v>2703</v>
      </c>
    </row>
    <row r="36" spans="2:20" x14ac:dyDescent="0.25">
      <c r="B36" s="21" t="s">
        <v>2704</v>
      </c>
      <c r="C36" s="28" t="s">
        <v>493</v>
      </c>
      <c r="H36" s="160">
        <f t="shared" ref="H36:T36" si="0">G62</f>
        <v>60.638905050280002</v>
      </c>
      <c r="I36" s="160">
        <f t="shared" si="0"/>
        <v>31.366562544943211</v>
      </c>
      <c r="J36" s="160">
        <f t="shared" si="0"/>
        <v>191.0299126301345</v>
      </c>
      <c r="K36" s="160">
        <f t="shared" si="0"/>
        <v>3.7172272628511678</v>
      </c>
      <c r="L36" s="160">
        <f t="shared" si="0"/>
        <v>3</v>
      </c>
      <c r="M36" s="160">
        <f t="shared" si="0"/>
        <v>285.75388391879335</v>
      </c>
      <c r="N36" s="160">
        <f t="shared" si="0"/>
        <v>657.0791567809805</v>
      </c>
      <c r="O36" s="160">
        <f t="shared" si="0"/>
        <v>1045.2337768886682</v>
      </c>
      <c r="P36" s="160">
        <f t="shared" si="0"/>
        <v>1447.579866305218</v>
      </c>
      <c r="Q36" s="160">
        <f t="shared" si="0"/>
        <v>1872.1249970514179</v>
      </c>
      <c r="R36" s="160">
        <f t="shared" si="0"/>
        <v>2320.664820523014</v>
      </c>
      <c r="S36" s="160">
        <f t="shared" si="0"/>
        <v>2784.6756756413865</v>
      </c>
      <c r="T36" s="160">
        <f t="shared" si="0"/>
        <v>3256.5737736086317</v>
      </c>
    </row>
    <row r="37" spans="2:20" x14ac:dyDescent="0.25">
      <c r="B37" s="23" t="s">
        <v>2705</v>
      </c>
      <c r="C37" s="28" t="s">
        <v>493</v>
      </c>
      <c r="H37" s="29">
        <f>'FSL Output - With BUMN'!H67</f>
        <v>154.23547540286305</v>
      </c>
      <c r="I37" s="29">
        <f>'FSL Output - With BUMN'!I67</f>
        <v>263.55853377872427</v>
      </c>
      <c r="J37" s="29">
        <f>'FSL Output - With BUMN'!J67</f>
        <v>367.49028803120575</v>
      </c>
      <c r="K37" s="29">
        <f>'FSL Output - With BUMN'!K67</f>
        <v>450.24813332977317</v>
      </c>
      <c r="L37" s="29">
        <f>'FSL Output - With BUMN'!L67</f>
        <v>497.66950547804646</v>
      </c>
      <c r="M37" s="29">
        <f>'FSL Output - With BUMN'!M67</f>
        <v>567.1880901466418</v>
      </c>
      <c r="N37" s="29">
        <f>'FSL Output - With BUMN'!N67</f>
        <v>595.36851562758238</v>
      </c>
      <c r="O37" s="29">
        <f>'FSL Output - With BUMN'!O67</f>
        <v>642.91169302368303</v>
      </c>
      <c r="P37" s="29">
        <f>'FSL Output - With BUMN'!P67</f>
        <v>673.87651926544368</v>
      </c>
      <c r="Q37" s="29">
        <f>'FSL Output - With BUMN'!Q67</f>
        <v>721.09913610810815</v>
      </c>
      <c r="R37" s="29">
        <f>'FSL Output - With BUMN'!R67</f>
        <v>742.71674547399266</v>
      </c>
      <c r="S37" s="29">
        <f>'FSL Output - With BUMN'!S67</f>
        <v>738.15263621875317</v>
      </c>
      <c r="T37" s="29">
        <f>'FSL Output - With BUMN'!T67</f>
        <v>761.08029091213029</v>
      </c>
    </row>
    <row r="38" spans="2:20" x14ac:dyDescent="0.25">
      <c r="B38" s="23" t="s">
        <v>2706</v>
      </c>
      <c r="C38" s="28" t="s">
        <v>493</v>
      </c>
      <c r="H38" s="159">
        <f>-'FSL Output - With BUMN'!H230</f>
        <v>-19.962283512427824</v>
      </c>
      <c r="I38" s="159">
        <f>-'FSL Output - With BUMN'!I230</f>
        <v>-34.011742338910175</v>
      </c>
      <c r="J38" s="159">
        <f>-'FSL Output - With BUMN'!J230</f>
        <v>-52.286568273349772</v>
      </c>
      <c r="K38" s="159">
        <f>-'FSL Output - With BUMN'!K230</f>
        <v>-69.25448187053756</v>
      </c>
      <c r="L38" s="159">
        <f>-'FSL Output - With BUMN'!L230</f>
        <v>-79.691245471648969</v>
      </c>
      <c r="M38" s="159">
        <f>-'FSL Output - With BUMN'!M230</f>
        <v>-89.972075216019149</v>
      </c>
      <c r="N38" s="159">
        <f>-'FSL Output - With BUMN'!N230</f>
        <v>-94.460604401384614</v>
      </c>
      <c r="O38" s="159">
        <f>-'FSL Output - With BUMN'!O230</f>
        <v>-105.03962418641458</v>
      </c>
      <c r="P38" s="159">
        <f>-'FSL Output - With BUMN'!P230</f>
        <v>-111.77871101869141</v>
      </c>
      <c r="Q38" s="159">
        <f>-'FSL Output - With BUMN'!Q230</f>
        <v>-122.54818660232972</v>
      </c>
      <c r="R38" s="159">
        <f>-'FSL Output - With BUMN'!R230</f>
        <v>-128.89598710907174</v>
      </c>
      <c r="S38" s="159">
        <f>-'FSL Output - With BUMN'!S230</f>
        <v>-128.26544114666288</v>
      </c>
      <c r="T38" s="159">
        <f>-'FSL Output - With BUMN'!T230</f>
        <v>-133.52589358839438</v>
      </c>
    </row>
    <row r="39" spans="2:20" x14ac:dyDescent="0.25">
      <c r="B39" s="23" t="s">
        <v>2707</v>
      </c>
      <c r="C39" s="28" t="s">
        <v>493</v>
      </c>
      <c r="H39" s="159">
        <f>-'Working Capital'!H116</f>
        <v>2.8370388994712172</v>
      </c>
      <c r="I39" s="159">
        <f>-'Working Capital'!I116</f>
        <v>-15.803178598627007</v>
      </c>
      <c r="J39" s="159">
        <f>-'Working Capital'!J116</f>
        <v>-24.174807601681188</v>
      </c>
      <c r="K39" s="159">
        <f>-'Working Capital'!K116</f>
        <v>-15.307458995313795</v>
      </c>
      <c r="L39" s="159">
        <f>-'Working Capital'!L116</f>
        <v>-8.6358287416836532</v>
      </c>
      <c r="M39" s="159">
        <f>-'Working Capital'!M116</f>
        <v>-11.375678781276122</v>
      </c>
      <c r="N39" s="159">
        <f>-'Working Capital'!N116</f>
        <v>-4.9038275714541584</v>
      </c>
      <c r="O39" s="159">
        <f>-'Working Capital'!O116</f>
        <v>-7.5908088648250782</v>
      </c>
      <c r="P39" s="159">
        <f>-'Working Capital'!P116</f>
        <v>-4.8619791690155978</v>
      </c>
      <c r="Q39" s="159">
        <f>-'Working Capital'!Q116</f>
        <v>-7.8802492526095165</v>
      </c>
      <c r="R39" s="159">
        <f>-'Working Capital'!R116</f>
        <v>-2.9473333710221539</v>
      </c>
      <c r="S39" s="159">
        <f>-'Working Capital'!S116</f>
        <v>-0.3286242651282123</v>
      </c>
      <c r="T39" s="159">
        <f>-'Working Capital'!T116</f>
        <v>-3.8276260275482912</v>
      </c>
    </row>
    <row r="40" spans="2:20" x14ac:dyDescent="0.25">
      <c r="B40" s="21" t="s">
        <v>2708</v>
      </c>
      <c r="C40" s="28" t="s">
        <v>493</v>
      </c>
      <c r="H40" s="160">
        <f t="shared" ref="H40:T40" si="1">H37+H38+H39</f>
        <v>137.11023078990644</v>
      </c>
      <c r="I40" s="160">
        <f t="shared" si="1"/>
        <v>213.74361284118709</v>
      </c>
      <c r="J40" s="160">
        <f t="shared" si="1"/>
        <v>291.02891215617478</v>
      </c>
      <c r="K40" s="160">
        <f t="shared" si="1"/>
        <v>365.68619246392177</v>
      </c>
      <c r="L40" s="160">
        <f t="shared" si="1"/>
        <v>409.34243126471381</v>
      </c>
      <c r="M40" s="160">
        <f t="shared" si="1"/>
        <v>465.84033614934651</v>
      </c>
      <c r="N40" s="160">
        <f t="shared" si="1"/>
        <v>496.00408365474362</v>
      </c>
      <c r="O40" s="160">
        <f t="shared" si="1"/>
        <v>530.28125997244342</v>
      </c>
      <c r="P40" s="160">
        <f t="shared" si="1"/>
        <v>557.23582907773664</v>
      </c>
      <c r="Q40" s="160">
        <f t="shared" si="1"/>
        <v>590.670700253169</v>
      </c>
      <c r="R40" s="160">
        <f t="shared" si="1"/>
        <v>610.87342499389877</v>
      </c>
      <c r="S40" s="160">
        <f t="shared" si="1"/>
        <v>609.55857080696205</v>
      </c>
      <c r="T40" s="160">
        <f t="shared" si="1"/>
        <v>623.72677129618762</v>
      </c>
    </row>
    <row r="41" spans="2:20" x14ac:dyDescent="0.25">
      <c r="B41" s="23" t="s">
        <v>2709</v>
      </c>
      <c r="C41" s="28" t="s">
        <v>493</v>
      </c>
      <c r="H41" s="159">
        <f>-'Capex &amp; Depreciation'!H81</f>
        <v>-125.24050000000001</v>
      </c>
      <c r="I41" s="159">
        <f>-'Capex &amp; Depreciation'!I81</f>
        <v>-14.638500000000001</v>
      </c>
      <c r="J41" s="159">
        <f>-'Capex &amp; Depreciation'!J81</f>
        <v>-419.77202976190472</v>
      </c>
      <c r="K41" s="159">
        <f>-'Capex &amp; Depreciation'!K81</f>
        <v>-225.06362499999994</v>
      </c>
      <c r="L41" s="159">
        <f>-'Capex &amp; Depreciation'!L81</f>
        <v>-97.59</v>
      </c>
      <c r="M41" s="159">
        <f>-'Capex &amp; Depreciation'!M81</f>
        <v>0</v>
      </c>
      <c r="N41" s="159">
        <f>-'Capex &amp; Depreciation'!N81</f>
        <v>0</v>
      </c>
      <c r="O41" s="159">
        <f>-'Capex &amp; Depreciation'!O81</f>
        <v>0</v>
      </c>
      <c r="P41" s="159">
        <f>-'Capex &amp; Depreciation'!P81</f>
        <v>0</v>
      </c>
      <c r="Q41" s="159">
        <f>-'Capex &amp; Depreciation'!Q81</f>
        <v>0</v>
      </c>
      <c r="R41" s="159">
        <f>-'Capex &amp; Depreciation'!R81</f>
        <v>0</v>
      </c>
      <c r="S41" s="159">
        <f>-'Capex &amp; Depreciation'!S81</f>
        <v>0</v>
      </c>
      <c r="T41" s="159">
        <f>-'Capex &amp; Depreciation'!T81</f>
        <v>0</v>
      </c>
    </row>
    <row r="42" spans="2:20" x14ac:dyDescent="0.25">
      <c r="B42" s="23" t="s">
        <v>2710</v>
      </c>
      <c r="C42" s="28" t="s">
        <v>493</v>
      </c>
      <c r="H42" s="159">
        <f>-'Capex &amp; Depreciation'!H210</f>
        <v>0</v>
      </c>
      <c r="I42" s="159">
        <f>-'Capex &amp; Depreciation'!I210</f>
        <v>0</v>
      </c>
      <c r="J42" s="159">
        <f>-'Capex &amp; Depreciation'!J210</f>
        <v>0</v>
      </c>
      <c r="K42" s="159">
        <f>-'Capex &amp; Depreciation'!K210</f>
        <v>0</v>
      </c>
      <c r="L42" s="159">
        <f>-'Capex &amp; Depreciation'!L210</f>
        <v>0</v>
      </c>
      <c r="M42" s="159">
        <f>-'Capex &amp; Depreciation'!M210</f>
        <v>0</v>
      </c>
      <c r="N42" s="159">
        <f>-'Capex &amp; Depreciation'!N210</f>
        <v>0</v>
      </c>
      <c r="O42" s="159">
        <f>-'Capex &amp; Depreciation'!O210</f>
        <v>0</v>
      </c>
      <c r="P42" s="159">
        <f>-'Capex &amp; Depreciation'!P210</f>
        <v>0</v>
      </c>
      <c r="Q42" s="159">
        <f>-'Capex &amp; Depreciation'!Q210</f>
        <v>0</v>
      </c>
      <c r="R42" s="159">
        <f>-'Capex &amp; Depreciation'!R210</f>
        <v>0</v>
      </c>
      <c r="S42" s="159">
        <f>-'Capex &amp; Depreciation'!S210</f>
        <v>0</v>
      </c>
      <c r="T42" s="159">
        <f>-'Capex &amp; Depreciation'!T210</f>
        <v>0</v>
      </c>
    </row>
    <row r="43" spans="2:20" x14ac:dyDescent="0.25">
      <c r="B43" s="23" t="s">
        <v>2711</v>
      </c>
      <c r="C43" s="28" t="s">
        <v>493</v>
      </c>
      <c r="H43" s="159">
        <f>-Financing!H24</f>
        <v>-5.4709055176610004</v>
      </c>
      <c r="I43" s="159">
        <f>-Financing!I24</f>
        <v>-15.273450177769661</v>
      </c>
      <c r="J43" s="159">
        <f>-Financing!J24</f>
        <v>-15.273450177769659</v>
      </c>
      <c r="K43" s="159">
        <f>-Financing!K24</f>
        <v>-7.5739574854145442</v>
      </c>
      <c r="L43" s="159">
        <f>-Financing!L24</f>
        <v>0</v>
      </c>
      <c r="M43" s="159">
        <f>-Financing!M24</f>
        <v>0</v>
      </c>
      <c r="N43" s="159">
        <f>-Financing!N24</f>
        <v>0</v>
      </c>
      <c r="O43" s="159">
        <f>-Financing!O24</f>
        <v>0</v>
      </c>
      <c r="P43" s="159">
        <f>-Financing!P24</f>
        <v>0</v>
      </c>
      <c r="Q43" s="159">
        <f>-Financing!Q24</f>
        <v>0</v>
      </c>
      <c r="R43" s="159">
        <f>-Financing!R24</f>
        <v>0</v>
      </c>
      <c r="S43" s="159">
        <f>-Financing!S24</f>
        <v>0</v>
      </c>
      <c r="T43" s="159">
        <f>-Financing!T24</f>
        <v>0</v>
      </c>
    </row>
    <row r="44" spans="2:20" x14ac:dyDescent="0.25">
      <c r="B44" s="23" t="s">
        <v>2712</v>
      </c>
      <c r="C44" s="28" t="s">
        <v>493</v>
      </c>
      <c r="H44" s="159">
        <f>-Financing!H9</f>
        <v>-29.338465248760002</v>
      </c>
      <c r="I44" s="159">
        <f>-Financing!I9</f>
        <v>0</v>
      </c>
      <c r="J44" s="159">
        <f>-Financing!J9</f>
        <v>0</v>
      </c>
      <c r="K44" s="159">
        <f>-Financing!K9</f>
        <v>0</v>
      </c>
      <c r="L44" s="159">
        <f>-Financing!L9</f>
        <v>0</v>
      </c>
      <c r="M44" s="159">
        <f>-Financing!M9</f>
        <v>0</v>
      </c>
      <c r="N44" s="159">
        <f>-Financing!N9</f>
        <v>0</v>
      </c>
      <c r="O44" s="159">
        <f>-Financing!O9</f>
        <v>0</v>
      </c>
      <c r="P44" s="159">
        <f>-Financing!P9</f>
        <v>0</v>
      </c>
      <c r="Q44" s="159">
        <f>-Financing!Q9</f>
        <v>0</v>
      </c>
      <c r="R44" s="159">
        <f>-Financing!R9</f>
        <v>0</v>
      </c>
      <c r="S44" s="159">
        <f>-Financing!S9</f>
        <v>0</v>
      </c>
      <c r="T44" s="159">
        <f>-Financing!T9</f>
        <v>0</v>
      </c>
    </row>
    <row r="45" spans="2:20" x14ac:dyDescent="0.25">
      <c r="B45" s="23" t="s">
        <v>2713</v>
      </c>
      <c r="C45" s="28" t="s">
        <v>493</v>
      </c>
      <c r="H45" s="159">
        <f>-Financing!H13</f>
        <v>0</v>
      </c>
      <c r="I45" s="159">
        <f>-Financing!I13</f>
        <v>0</v>
      </c>
      <c r="J45" s="159">
        <f>-Financing!J13</f>
        <v>0</v>
      </c>
      <c r="K45" s="159">
        <f>-Financing!K13</f>
        <v>-195.18</v>
      </c>
      <c r="L45" s="159">
        <f>-Financing!L13</f>
        <v>0</v>
      </c>
      <c r="M45" s="159">
        <f>-Financing!M13</f>
        <v>0</v>
      </c>
      <c r="N45" s="159">
        <f>-Financing!N13</f>
        <v>0</v>
      </c>
      <c r="O45" s="159">
        <f>-Financing!O13</f>
        <v>0</v>
      </c>
      <c r="P45" s="159">
        <f>-Financing!P13</f>
        <v>0</v>
      </c>
      <c r="Q45" s="159">
        <f>-Financing!Q13</f>
        <v>0</v>
      </c>
      <c r="R45" s="159">
        <f>-Financing!R13</f>
        <v>0</v>
      </c>
      <c r="S45" s="159">
        <f>-Financing!S13</f>
        <v>0</v>
      </c>
      <c r="T45" s="159">
        <f>-Financing!T13</f>
        <v>0</v>
      </c>
    </row>
    <row r="46" spans="2:20" x14ac:dyDescent="0.25">
      <c r="B46" s="23" t="s">
        <v>2714</v>
      </c>
      <c r="C46" s="28" t="s">
        <v>493</v>
      </c>
      <c r="H46" s="159">
        <f>-(Financing!H34+Financing!H32)</f>
        <v>0</v>
      </c>
      <c r="I46" s="159">
        <f>-(Financing!I34+Financing!I32)</f>
        <v>0</v>
      </c>
      <c r="J46" s="159">
        <f>-(Financing!J34+Financing!J32)</f>
        <v>0</v>
      </c>
      <c r="K46" s="159">
        <f>-(Financing!K34+Financing!K32)</f>
        <v>0</v>
      </c>
      <c r="L46" s="159">
        <f>-(Financing!L34+Financing!L32)</f>
        <v>0</v>
      </c>
      <c r="M46" s="159">
        <f>-(Financing!M34+Financing!M32)</f>
        <v>0</v>
      </c>
      <c r="N46" s="159">
        <f>-(Financing!N34+Financing!N32)</f>
        <v>0</v>
      </c>
      <c r="O46" s="159">
        <f>-(Financing!O34+Financing!O32)</f>
        <v>0</v>
      </c>
      <c r="P46" s="159">
        <f>-(Financing!P34+Financing!P32)</f>
        <v>0</v>
      </c>
      <c r="Q46" s="159">
        <f>-(Financing!Q34+Financing!Q32)</f>
        <v>0</v>
      </c>
      <c r="R46" s="159">
        <f>-(Financing!R34+Financing!R32)</f>
        <v>0</v>
      </c>
      <c r="S46" s="159">
        <f>-(Financing!S34+Financing!S32)</f>
        <v>0</v>
      </c>
      <c r="T46" s="159">
        <f>-(Financing!T34+Financing!T32)</f>
        <v>0</v>
      </c>
    </row>
    <row r="47" spans="2:20" ht="26.25" customHeight="1" x14ac:dyDescent="0.25">
      <c r="B47" s="64" t="s">
        <v>2715</v>
      </c>
      <c r="C47" s="28" t="s">
        <v>493</v>
      </c>
      <c r="H47" s="159">
        <f>Financing!H52-Financing!H54-Financing!H53</f>
        <v>0</v>
      </c>
      <c r="I47" s="159">
        <f>Financing!I52-Financing!I54-Financing!I53</f>
        <v>0</v>
      </c>
      <c r="J47" s="159">
        <f>Financing!J52-Financing!J54-Financing!J53</f>
        <v>0</v>
      </c>
      <c r="K47" s="159">
        <f>Financing!K52-Financing!K54-Financing!K53</f>
        <v>32.53</v>
      </c>
      <c r="L47" s="159">
        <f>Financing!L52-Financing!L54-Financing!L53</f>
        <v>45.379350000000002</v>
      </c>
      <c r="M47" s="159">
        <f>Financing!M52-Financing!M54-Financing!M53</f>
        <v>-8.5391250000000003</v>
      </c>
      <c r="N47" s="159">
        <f>Financing!N52-Financing!N54-Financing!N53</f>
        <v>-15.045125000000001</v>
      </c>
      <c r="O47" s="159">
        <f>Financing!O52-Financing!O54-Financing!O53</f>
        <v>-24.120995000000001</v>
      </c>
      <c r="P47" s="159">
        <f>Financing!P52-Financing!P54-Financing!P53</f>
        <v>-22.413170000000001</v>
      </c>
      <c r="Q47" s="159">
        <f>Financing!Q52-Financing!Q54-Financing!Q53</f>
        <v>-20.705345000000001</v>
      </c>
      <c r="R47" s="159">
        <f>Financing!R52-Financing!R54-Financing!R53</f>
        <v>-18.997520000000002</v>
      </c>
      <c r="S47" s="159">
        <f>Financing!S52-Financing!S54-Financing!S53</f>
        <v>-10.783695</v>
      </c>
      <c r="T47" s="159">
        <f>Financing!T52-Financing!T54-Financing!T53</f>
        <v>0</v>
      </c>
    </row>
    <row r="48" spans="2:20" x14ac:dyDescent="0.25">
      <c r="B48" s="23" t="s">
        <v>2716</v>
      </c>
      <c r="C48" s="28" t="s">
        <v>493</v>
      </c>
      <c r="H48" s="29">
        <f>Financing!H60</f>
        <v>0</v>
      </c>
      <c r="I48" s="29">
        <f>Financing!I60</f>
        <v>0</v>
      </c>
      <c r="J48" s="29">
        <f>Financing!J60</f>
        <v>0</v>
      </c>
      <c r="K48" s="29">
        <f>Financing!K60</f>
        <v>0</v>
      </c>
      <c r="L48" s="29">
        <f>Financing!L60</f>
        <v>0</v>
      </c>
      <c r="M48" s="29">
        <f>Financing!M60</f>
        <v>0</v>
      </c>
      <c r="N48" s="29">
        <f>Financing!N60</f>
        <v>0</v>
      </c>
      <c r="O48" s="29">
        <f>Financing!O60</f>
        <v>0</v>
      </c>
      <c r="P48" s="29">
        <f>Financing!P60</f>
        <v>0</v>
      </c>
      <c r="Q48" s="29">
        <f>Financing!Q60</f>
        <v>0</v>
      </c>
      <c r="R48" s="29">
        <f>Financing!R60</f>
        <v>0</v>
      </c>
      <c r="S48" s="29">
        <f>Financing!S60</f>
        <v>0</v>
      </c>
      <c r="T48" s="29">
        <f>Financing!T60</f>
        <v>0</v>
      </c>
    </row>
    <row r="49" spans="2:20" x14ac:dyDescent="0.25">
      <c r="B49" s="21" t="s">
        <v>2717</v>
      </c>
      <c r="C49" s="28" t="s">
        <v>493</v>
      </c>
      <c r="G49" s="157"/>
      <c r="H49" s="158">
        <f t="shared" ref="H49:T49" si="2">H36+H40+H41+H42+H43+H44+H45+H46+H47+H48</f>
        <v>37.699265073765446</v>
      </c>
      <c r="I49" s="158">
        <f t="shared" si="2"/>
        <v>215.19822520836064</v>
      </c>
      <c r="J49" s="158">
        <f t="shared" si="2"/>
        <v>47.013344846634908</v>
      </c>
      <c r="K49" s="158">
        <f t="shared" si="2"/>
        <v>-25.884162758641565</v>
      </c>
      <c r="L49" s="158">
        <f t="shared" si="2"/>
        <v>360.13178126471377</v>
      </c>
      <c r="M49" s="158">
        <f t="shared" si="2"/>
        <v>743.05509506813985</v>
      </c>
      <c r="N49" s="158">
        <f t="shared" si="2"/>
        <v>1138.038115435724</v>
      </c>
      <c r="O49" s="158">
        <f t="shared" si="2"/>
        <v>1551.3940418611116</v>
      </c>
      <c r="P49" s="158">
        <f t="shared" si="2"/>
        <v>1982.4025253829548</v>
      </c>
      <c r="Q49" s="158">
        <f t="shared" si="2"/>
        <v>2442.0903523045872</v>
      </c>
      <c r="R49" s="158">
        <f t="shared" si="2"/>
        <v>2912.540725516913</v>
      </c>
      <c r="S49" s="158">
        <f t="shared" si="2"/>
        <v>3383.4505514483485</v>
      </c>
      <c r="T49" s="158">
        <f t="shared" si="2"/>
        <v>3880.3005449048192</v>
      </c>
    </row>
    <row r="50" spans="2:20" x14ac:dyDescent="0.25">
      <c r="B50" s="23" t="s">
        <v>2718</v>
      </c>
      <c r="C50" s="28" t="s">
        <v>493</v>
      </c>
      <c r="H50" s="29">
        <f>Inputs!H512</f>
        <v>3</v>
      </c>
      <c r="I50" s="29">
        <f>Inputs!I512</f>
        <v>3</v>
      </c>
      <c r="J50" s="29">
        <f>Inputs!J512</f>
        <v>3</v>
      </c>
      <c r="K50" s="29">
        <f>Inputs!K512</f>
        <v>3</v>
      </c>
      <c r="L50" s="29">
        <f>Inputs!L512</f>
        <v>3</v>
      </c>
      <c r="M50" s="29">
        <f>Inputs!M512</f>
        <v>3</v>
      </c>
      <c r="N50" s="29">
        <f>Inputs!N512</f>
        <v>3</v>
      </c>
      <c r="O50" s="29">
        <f>Inputs!O512</f>
        <v>3</v>
      </c>
      <c r="P50" s="29">
        <f>Inputs!P512</f>
        <v>3</v>
      </c>
      <c r="Q50" s="29">
        <f>Inputs!Q512</f>
        <v>3</v>
      </c>
      <c r="R50" s="29">
        <f>Inputs!R512</f>
        <v>3</v>
      </c>
      <c r="S50" s="29">
        <f>Inputs!S512</f>
        <v>3</v>
      </c>
      <c r="T50" s="29">
        <f>Inputs!T512</f>
        <v>3</v>
      </c>
    </row>
    <row r="51" spans="2:20" x14ac:dyDescent="0.25">
      <c r="B51" s="154" t="s">
        <v>2719</v>
      </c>
    </row>
    <row r="52" spans="2:20" ht="26.25" customHeight="1" x14ac:dyDescent="0.25">
      <c r="B52" s="64" t="s">
        <v>2720</v>
      </c>
      <c r="C52" s="28" t="s">
        <v>493</v>
      </c>
      <c r="H52" s="159">
        <f>IF(Inputs!$E$44=2,Inputs!H510*'Capex &amp; Depreciation'!H81,0)</f>
        <v>0</v>
      </c>
      <c r="I52" s="159">
        <f>IF(Inputs!$E$44=2,Inputs!I510*'Capex &amp; Depreciation'!I81,0)</f>
        <v>0</v>
      </c>
      <c r="J52" s="159">
        <f>IF(Inputs!$E$44=2,Inputs!J510*'Capex &amp; Depreciation'!J81,0)</f>
        <v>0</v>
      </c>
      <c r="K52" s="159">
        <f>IF(Inputs!$E$44=2,Inputs!K510*'Capex &amp; Depreciation'!K81,0)</f>
        <v>0</v>
      </c>
      <c r="L52" s="159">
        <f>IF(Inputs!$E$44=2,Inputs!L510*'Capex &amp; Depreciation'!L81,0)</f>
        <v>0</v>
      </c>
      <c r="M52" s="159">
        <f>IF(Inputs!$E$44=2,Inputs!M510*'Capex &amp; Depreciation'!M81,0)</f>
        <v>0</v>
      </c>
      <c r="N52" s="159">
        <f>IF(Inputs!$E$44=2,Inputs!N510*'Capex &amp; Depreciation'!N81,0)</f>
        <v>0</v>
      </c>
      <c r="O52" s="159">
        <f>IF(Inputs!$E$44=2,Inputs!O510*'Capex &amp; Depreciation'!O81,0)</f>
        <v>0</v>
      </c>
      <c r="P52" s="159">
        <f>IF(Inputs!$E$44=2,Inputs!P510*'Capex &amp; Depreciation'!P81,0)</f>
        <v>0</v>
      </c>
      <c r="Q52" s="159">
        <f>IF(Inputs!$E$44=2,Inputs!Q510*'Capex &amp; Depreciation'!Q81,0)</f>
        <v>0</v>
      </c>
      <c r="R52" s="159">
        <f>IF(Inputs!$E$44=2,Inputs!R510*'Capex &amp; Depreciation'!R81,0)</f>
        <v>0</v>
      </c>
      <c r="S52" s="159">
        <f>IF(Inputs!$E$44=2,Inputs!S510*'Capex &amp; Depreciation'!S81,0)</f>
        <v>0</v>
      </c>
      <c r="T52" s="159">
        <f>IF(Inputs!$E$44=2,Inputs!T510*'Capex &amp; Depreciation'!T81,0)</f>
        <v>0</v>
      </c>
    </row>
    <row r="53" spans="2:20" x14ac:dyDescent="0.25">
      <c r="B53" s="23" t="s">
        <v>2721</v>
      </c>
      <c r="C53" s="28" t="s">
        <v>493</v>
      </c>
      <c r="H53" s="29">
        <f>Inputs!H508</f>
        <v>0</v>
      </c>
      <c r="I53" s="29">
        <f>Inputs!I508</f>
        <v>0</v>
      </c>
      <c r="J53" s="29">
        <f>Inputs!J508</f>
        <v>0</v>
      </c>
      <c r="K53" s="29">
        <f>Inputs!K508</f>
        <v>0</v>
      </c>
      <c r="L53" s="29">
        <f>Inputs!L508</f>
        <v>0</v>
      </c>
      <c r="M53" s="29">
        <f>Inputs!M508</f>
        <v>0</v>
      </c>
      <c r="N53" s="29">
        <f>Inputs!N508</f>
        <v>0</v>
      </c>
      <c r="O53" s="29">
        <f>Inputs!O508</f>
        <v>0</v>
      </c>
      <c r="P53" s="29">
        <f>Inputs!P508</f>
        <v>0</v>
      </c>
      <c r="Q53" s="29">
        <f>Inputs!Q508</f>
        <v>0</v>
      </c>
      <c r="R53" s="29">
        <f>Inputs!R508</f>
        <v>0</v>
      </c>
      <c r="S53" s="29">
        <f>Inputs!S508</f>
        <v>0</v>
      </c>
      <c r="T53" s="29">
        <f>Inputs!T508</f>
        <v>0</v>
      </c>
    </row>
    <row r="54" spans="2:20" x14ac:dyDescent="0.25">
      <c r="B54" s="21" t="s">
        <v>2722</v>
      </c>
      <c r="C54" s="28" t="s">
        <v>493</v>
      </c>
      <c r="G54" s="157"/>
      <c r="H54" s="158">
        <f t="shared" ref="H54:T54" si="3">MAX(0,H50-H49-H52-H53)</f>
        <v>0</v>
      </c>
      <c r="I54" s="158">
        <f t="shared" si="3"/>
        <v>0</v>
      </c>
      <c r="J54" s="158">
        <f t="shared" si="3"/>
        <v>0</v>
      </c>
      <c r="K54" s="158">
        <f t="shared" si="3"/>
        <v>28.884162758641565</v>
      </c>
      <c r="L54" s="158">
        <f t="shared" si="3"/>
        <v>0</v>
      </c>
      <c r="M54" s="158">
        <f t="shared" si="3"/>
        <v>0</v>
      </c>
      <c r="N54" s="158">
        <f t="shared" si="3"/>
        <v>0</v>
      </c>
      <c r="O54" s="158">
        <f t="shared" si="3"/>
        <v>0</v>
      </c>
      <c r="P54" s="158">
        <f t="shared" si="3"/>
        <v>0</v>
      </c>
      <c r="Q54" s="158">
        <f t="shared" si="3"/>
        <v>0</v>
      </c>
      <c r="R54" s="158">
        <f t="shared" si="3"/>
        <v>0</v>
      </c>
      <c r="S54" s="158">
        <f t="shared" si="3"/>
        <v>0</v>
      </c>
      <c r="T54" s="158">
        <f t="shared" si="3"/>
        <v>0</v>
      </c>
    </row>
    <row r="55" spans="2:20" x14ac:dyDescent="0.25">
      <c r="B55" s="23" t="s">
        <v>2723</v>
      </c>
      <c r="C55" s="28" t="s">
        <v>493</v>
      </c>
      <c r="H55" s="159">
        <f>MIN(H54*Inputs!H506/(1-Inputs!$E$502),MAX(0,Inputs!$E$501-(Financing!H30-Financing!H32)))</f>
        <v>0</v>
      </c>
      <c r="I55" s="159">
        <f>MIN(I54*Inputs!I506/(1-Inputs!$E$502),MAX(0,Inputs!$E$501-(Financing!I30-Financing!I32)))</f>
        <v>0</v>
      </c>
      <c r="J55" s="159">
        <f>MIN(J54*Inputs!J506/(1-Inputs!$E$502),MAX(0,Inputs!$E$501-(Financing!J30-Financing!J32)))</f>
        <v>0</v>
      </c>
      <c r="K55" s="159">
        <f>MIN(K54*Inputs!K506/(1-Inputs!$E$502),MAX(0,Inputs!$E$501-(Financing!K30-Financing!K32)))</f>
        <v>0</v>
      </c>
      <c r="L55" s="159">
        <f>MIN(L54*Inputs!L506/(1-Inputs!$E$502),MAX(0,Inputs!$E$501-(Financing!L30-Financing!L32)))</f>
        <v>0</v>
      </c>
      <c r="M55" s="159">
        <f>MIN(M54*Inputs!M506/(1-Inputs!$E$502),MAX(0,Inputs!$E$501-(Financing!M30-Financing!M32)))</f>
        <v>0</v>
      </c>
      <c r="N55" s="159">
        <f>MIN(N54*Inputs!N506/(1-Inputs!$E$502),MAX(0,Inputs!$E$501-(Financing!N30-Financing!N32)))</f>
        <v>0</v>
      </c>
      <c r="O55" s="159">
        <f>MIN(O54*Inputs!O506/(1-Inputs!$E$502),MAX(0,Inputs!$E$501-(Financing!O30-Financing!O32)))</f>
        <v>0</v>
      </c>
      <c r="P55" s="159">
        <f>MIN(P54*Inputs!P506/(1-Inputs!$E$502),MAX(0,Inputs!$E$501-(Financing!P30-Financing!P32)))</f>
        <v>0</v>
      </c>
      <c r="Q55" s="159">
        <f>MIN(Q54*Inputs!Q506/(1-Inputs!$E$502),MAX(0,Inputs!$E$501-(Financing!Q30-Financing!Q32)))</f>
        <v>0</v>
      </c>
      <c r="R55" s="159">
        <f>MIN(R54*Inputs!R506/(1-Inputs!$E$502),MAX(0,Inputs!$E$501-(Financing!R30-Financing!R32)))</f>
        <v>0</v>
      </c>
      <c r="S55" s="159">
        <f>MIN(S54*Inputs!S506/(1-Inputs!$E$502),MAX(0,Inputs!$E$501-(Financing!S30-Financing!S32)))</f>
        <v>0</v>
      </c>
      <c r="T55" s="159">
        <f>MIN(T54*Inputs!T506/(1-Inputs!$E$502),MAX(0,Inputs!$E$501-(Financing!T30-Financing!T32)))</f>
        <v>0</v>
      </c>
    </row>
    <row r="56" spans="2:20" x14ac:dyDescent="0.25">
      <c r="B56" s="23" t="s">
        <v>2724</v>
      </c>
      <c r="C56" s="28" t="s">
        <v>493</v>
      </c>
      <c r="H56" s="159">
        <f>H55*(1-Inputs!$E$502)</f>
        <v>0</v>
      </c>
      <c r="I56" s="159">
        <f>I55*(1-Inputs!$E$502)</f>
        <v>0</v>
      </c>
      <c r="J56" s="159">
        <f>J55*(1-Inputs!$E$502)</f>
        <v>0</v>
      </c>
      <c r="K56" s="159">
        <f>K55*(1-Inputs!$E$502)</f>
        <v>0</v>
      </c>
      <c r="L56" s="159">
        <f>L55*(1-Inputs!$E$502)</f>
        <v>0</v>
      </c>
      <c r="M56" s="159">
        <f>M55*(1-Inputs!$E$502)</f>
        <v>0</v>
      </c>
      <c r="N56" s="159">
        <f>N55*(1-Inputs!$E$502)</f>
        <v>0</v>
      </c>
      <c r="O56" s="159">
        <f>O55*(1-Inputs!$E$502)</f>
        <v>0</v>
      </c>
      <c r="P56" s="159">
        <f>P55*(1-Inputs!$E$502)</f>
        <v>0</v>
      </c>
      <c r="Q56" s="159">
        <f>Q55*(1-Inputs!$E$502)</f>
        <v>0</v>
      </c>
      <c r="R56" s="159">
        <f>R55*(1-Inputs!$E$502)</f>
        <v>0</v>
      </c>
      <c r="S56" s="159">
        <f>S55*(1-Inputs!$E$502)</f>
        <v>0</v>
      </c>
      <c r="T56" s="159">
        <f>T55*(1-Inputs!$E$502)</f>
        <v>0</v>
      </c>
    </row>
    <row r="57" spans="2:20" ht="26.25" customHeight="1" x14ac:dyDescent="0.25">
      <c r="B57" s="133" t="s">
        <v>2725</v>
      </c>
      <c r="C57" s="28" t="s">
        <v>493</v>
      </c>
      <c r="H57" s="160">
        <f>IF(Inputs!$E$44=1,H54-H56,MIN(H54-H56,MAX(0,(Inputs!$E$511-Financing!G64)*Inputs!H95/1000-H52)))</f>
        <v>0</v>
      </c>
      <c r="I57" s="160">
        <f>IF(Inputs!$E$44=1,I54-I56,MIN(I54-I56,MAX(0,(Inputs!$E$511-Financing!H64)*Inputs!I95/1000-I52)))</f>
        <v>0</v>
      </c>
      <c r="J57" s="160">
        <f>IF(Inputs!$E$44=1,J54-J56,MIN(J54-J56,MAX(0,(Inputs!$E$511-Financing!I64)*Inputs!J95/1000-J52)))</f>
        <v>0</v>
      </c>
      <c r="K57" s="160">
        <f>IF(Inputs!$E$44=1,K54-K56,MIN(K54-K56,MAX(0,(Inputs!$E$511-Financing!J64)*Inputs!K95/1000-K52)))</f>
        <v>28.884162758641565</v>
      </c>
      <c r="L57" s="160">
        <f>IF(Inputs!$E$44=1,L54-L56,MIN(L54-L56,MAX(0,(Inputs!$E$511-Financing!K64)*Inputs!L95/1000-L52)))</f>
        <v>0</v>
      </c>
      <c r="M57" s="160">
        <f>IF(Inputs!$E$44=1,M54-M56,MIN(M54-M56,MAX(0,(Inputs!$E$511-Financing!L64)*Inputs!M95/1000-M52)))</f>
        <v>0</v>
      </c>
      <c r="N57" s="160">
        <f>IF(Inputs!$E$44=1,N54-N56,MIN(N54-N56,MAX(0,(Inputs!$E$511-Financing!M64)*Inputs!N95/1000-N52)))</f>
        <v>0</v>
      </c>
      <c r="O57" s="160">
        <f>IF(Inputs!$E$44=1,O54-O56,MIN(O54-O56,MAX(0,(Inputs!$E$511-Financing!N64)*Inputs!O95/1000-O52)))</f>
        <v>0</v>
      </c>
      <c r="P57" s="160">
        <f>IF(Inputs!$E$44=1,P54-P56,MIN(P54-P56,MAX(0,(Inputs!$E$511-Financing!O64)*Inputs!P95/1000-P52)))</f>
        <v>0</v>
      </c>
      <c r="Q57" s="160">
        <f>IF(Inputs!$E$44=1,Q54-Q56,MIN(Q54-Q56,MAX(0,(Inputs!$E$511-Financing!P64)*Inputs!Q95/1000-Q52)))</f>
        <v>0</v>
      </c>
      <c r="R57" s="160">
        <f>IF(Inputs!$E$44=1,R54-R56,MIN(R54-R56,MAX(0,(Inputs!$E$511-Financing!Q64)*Inputs!R95/1000-R52)))</f>
        <v>0</v>
      </c>
      <c r="S57" s="160">
        <f>IF(Inputs!$E$44=1,S54-S56,MIN(S54-S56,MAX(0,(Inputs!$E$511-Financing!R64)*Inputs!S95/1000-S52)))</f>
        <v>0</v>
      </c>
      <c r="T57" s="160">
        <f>IF(Inputs!$E$44=1,T54-T56,MIN(T54-T56,MAX(0,(Inputs!$E$511-Financing!S64)*Inputs!T95/1000-T52)))</f>
        <v>0</v>
      </c>
    </row>
    <row r="58" spans="2:20" x14ac:dyDescent="0.25">
      <c r="B58" s="23" t="s">
        <v>2726</v>
      </c>
      <c r="C58" s="28" t="s">
        <v>493</v>
      </c>
      <c r="H58" s="159">
        <f t="shared" ref="H58:T58" si="4">H54-H56-H57</f>
        <v>0</v>
      </c>
      <c r="I58" s="159">
        <f t="shared" si="4"/>
        <v>0</v>
      </c>
      <c r="J58" s="159">
        <f t="shared" si="4"/>
        <v>0</v>
      </c>
      <c r="K58" s="159">
        <f t="shared" si="4"/>
        <v>0</v>
      </c>
      <c r="L58" s="159">
        <f t="shared" si="4"/>
        <v>0</v>
      </c>
      <c r="M58" s="159">
        <f t="shared" si="4"/>
        <v>0</v>
      </c>
      <c r="N58" s="159">
        <f t="shared" si="4"/>
        <v>0</v>
      </c>
      <c r="O58" s="159">
        <f t="shared" si="4"/>
        <v>0</v>
      </c>
      <c r="P58" s="159">
        <f t="shared" si="4"/>
        <v>0</v>
      </c>
      <c r="Q58" s="159">
        <f t="shared" si="4"/>
        <v>0</v>
      </c>
      <c r="R58" s="159">
        <f t="shared" si="4"/>
        <v>0</v>
      </c>
      <c r="S58" s="159">
        <f t="shared" si="4"/>
        <v>0</v>
      </c>
      <c r="T58" s="159">
        <f t="shared" si="4"/>
        <v>0</v>
      </c>
    </row>
    <row r="59" spans="2:20" ht="26.25" customHeight="1" x14ac:dyDescent="0.25">
      <c r="B59" s="133" t="s">
        <v>2727</v>
      </c>
      <c r="C59" s="28" t="s">
        <v>493</v>
      </c>
      <c r="G59" s="157"/>
      <c r="H59" s="158">
        <f t="shared" ref="H59:T59" si="5">H49+H52+H53+H56+H57</f>
        <v>37.699265073765446</v>
      </c>
      <c r="I59" s="158">
        <f t="shared" si="5"/>
        <v>215.19822520836064</v>
      </c>
      <c r="J59" s="158">
        <f t="shared" si="5"/>
        <v>47.013344846634908</v>
      </c>
      <c r="K59" s="158">
        <f t="shared" si="5"/>
        <v>3</v>
      </c>
      <c r="L59" s="158">
        <f t="shared" si="5"/>
        <v>360.13178126471377</v>
      </c>
      <c r="M59" s="158">
        <f t="shared" si="5"/>
        <v>743.05509506813985</v>
      </c>
      <c r="N59" s="158">
        <f t="shared" si="5"/>
        <v>1138.038115435724</v>
      </c>
      <c r="O59" s="158">
        <f t="shared" si="5"/>
        <v>1551.3940418611116</v>
      </c>
      <c r="P59" s="158">
        <f t="shared" si="5"/>
        <v>1982.4025253829548</v>
      </c>
      <c r="Q59" s="158">
        <f t="shared" si="5"/>
        <v>2442.0903523045872</v>
      </c>
      <c r="R59" s="158">
        <f t="shared" si="5"/>
        <v>2912.540725516913</v>
      </c>
      <c r="S59" s="158">
        <f t="shared" si="5"/>
        <v>3383.4505514483485</v>
      </c>
      <c r="T59" s="158">
        <f t="shared" si="5"/>
        <v>3880.3005449048192</v>
      </c>
    </row>
    <row r="60" spans="2:20" x14ac:dyDescent="0.25">
      <c r="B60" s="23" t="s">
        <v>2728</v>
      </c>
      <c r="C60" s="28" t="s">
        <v>493</v>
      </c>
      <c r="H60" s="159">
        <f>-Financing!H71</f>
        <v>-6.3327025288222343</v>
      </c>
      <c r="I60" s="159">
        <f>-Financing!I71</f>
        <v>-24.168312578226143</v>
      </c>
      <c r="J60" s="159">
        <f>-Financing!J71</f>
        <v>-43.29611758378374</v>
      </c>
      <c r="K60" s="159">
        <f>-Financing!K71</f>
        <v>0</v>
      </c>
      <c r="L60" s="159">
        <f>-Financing!L71</f>
        <v>-74.377897345920431</v>
      </c>
      <c r="M60" s="159">
        <f>-Financing!M71</f>
        <v>-85.975938287159337</v>
      </c>
      <c r="N60" s="159">
        <f>-Financing!N71</f>
        <v>-92.804338547055849</v>
      </c>
      <c r="O60" s="159">
        <f>-Financing!O71</f>
        <v>-103.81417555589361</v>
      </c>
      <c r="P60" s="159">
        <f>-Financing!P71</f>
        <v>-110.27752833153677</v>
      </c>
      <c r="Q60" s="159">
        <f>-Financing!Q71</f>
        <v>-121.42553178157326</v>
      </c>
      <c r="R60" s="159">
        <f>-Financing!R71</f>
        <v>-127.86504987552635</v>
      </c>
      <c r="S60" s="159">
        <f>-Financing!S71</f>
        <v>-126.87677783971669</v>
      </c>
      <c r="T60" s="159">
        <f>-Financing!T71</f>
        <v>-132.14909845823394</v>
      </c>
    </row>
    <row r="61" spans="2:20" x14ac:dyDescent="0.25">
      <c r="B61" s="23" t="s">
        <v>2729</v>
      </c>
      <c r="C61" s="28" t="s">
        <v>493</v>
      </c>
      <c r="H61" s="159">
        <f>-Financing!H73</f>
        <v>0</v>
      </c>
      <c r="I61" s="159">
        <f>-Financing!I73</f>
        <v>0</v>
      </c>
      <c r="J61" s="159">
        <f>-Financing!J73</f>
        <v>0</v>
      </c>
      <c r="K61" s="159">
        <f>-Financing!K73</f>
        <v>0</v>
      </c>
      <c r="L61" s="159">
        <f>-Financing!L73</f>
        <v>0</v>
      </c>
      <c r="M61" s="159">
        <f>-Financing!M73</f>
        <v>0</v>
      </c>
      <c r="N61" s="159">
        <f>-Financing!N73</f>
        <v>0</v>
      </c>
      <c r="O61" s="159">
        <f>-Financing!O73</f>
        <v>0</v>
      </c>
      <c r="P61" s="159">
        <f>-Financing!P73</f>
        <v>0</v>
      </c>
      <c r="Q61" s="159">
        <f>-Financing!Q73</f>
        <v>0</v>
      </c>
      <c r="R61" s="159">
        <f>-Financing!R73</f>
        <v>0</v>
      </c>
      <c r="S61" s="159">
        <f>-Financing!S73</f>
        <v>0</v>
      </c>
      <c r="T61" s="159">
        <f>-Financing!T73</f>
        <v>0</v>
      </c>
    </row>
    <row r="62" spans="2:20" x14ac:dyDescent="0.25">
      <c r="B62" s="21" t="s">
        <v>2730</v>
      </c>
      <c r="C62" s="28" t="s">
        <v>493</v>
      </c>
      <c r="G62" s="185">
        <f>'Source Data'!$E$799</f>
        <v>60.638905050280002</v>
      </c>
      <c r="H62" s="158">
        <f t="shared" ref="H62:T62" si="6">H59+H60+H61</f>
        <v>31.366562544943211</v>
      </c>
      <c r="I62" s="158">
        <f t="shared" si="6"/>
        <v>191.0299126301345</v>
      </c>
      <c r="J62" s="158">
        <f t="shared" si="6"/>
        <v>3.7172272628511678</v>
      </c>
      <c r="K62" s="158">
        <f t="shared" si="6"/>
        <v>3</v>
      </c>
      <c r="L62" s="158">
        <f t="shared" si="6"/>
        <v>285.75388391879335</v>
      </c>
      <c r="M62" s="158">
        <f t="shared" si="6"/>
        <v>657.0791567809805</v>
      </c>
      <c r="N62" s="158">
        <f t="shared" si="6"/>
        <v>1045.2337768886682</v>
      </c>
      <c r="O62" s="158">
        <f t="shared" si="6"/>
        <v>1447.579866305218</v>
      </c>
      <c r="P62" s="158">
        <f t="shared" si="6"/>
        <v>1872.1249970514179</v>
      </c>
      <c r="Q62" s="158">
        <f t="shared" si="6"/>
        <v>2320.664820523014</v>
      </c>
      <c r="R62" s="158">
        <f t="shared" si="6"/>
        <v>2784.6756756413865</v>
      </c>
      <c r="S62" s="158">
        <f t="shared" si="6"/>
        <v>3256.5737736086317</v>
      </c>
      <c r="T62" s="158">
        <f t="shared" si="6"/>
        <v>3748.1514464465854</v>
      </c>
    </row>
    <row r="63" spans="2:20" x14ac:dyDescent="0.25">
      <c r="B63" s="23" t="s">
        <v>2731</v>
      </c>
      <c r="C63" s="28" t="s">
        <v>493</v>
      </c>
      <c r="H63" s="161">
        <f t="shared" ref="H63:T63" si="7">ROUND(H54-H56-H57-H58,6)</f>
        <v>0</v>
      </c>
      <c r="I63" s="161">
        <f t="shared" si="7"/>
        <v>0</v>
      </c>
      <c r="J63" s="161">
        <f t="shared" si="7"/>
        <v>0</v>
      </c>
      <c r="K63" s="161">
        <f t="shared" si="7"/>
        <v>0</v>
      </c>
      <c r="L63" s="161">
        <f t="shared" si="7"/>
        <v>0</v>
      </c>
      <c r="M63" s="161">
        <f t="shared" si="7"/>
        <v>0</v>
      </c>
      <c r="N63" s="161">
        <f t="shared" si="7"/>
        <v>0</v>
      </c>
      <c r="O63" s="161">
        <f t="shared" si="7"/>
        <v>0</v>
      </c>
      <c r="P63" s="161">
        <f t="shared" si="7"/>
        <v>0</v>
      </c>
      <c r="Q63" s="161">
        <f t="shared" si="7"/>
        <v>0</v>
      </c>
      <c r="R63" s="161">
        <f t="shared" si="7"/>
        <v>0</v>
      </c>
      <c r="S63" s="161">
        <f t="shared" si="7"/>
        <v>0</v>
      </c>
      <c r="T63" s="161">
        <f t="shared" si="7"/>
        <v>0</v>
      </c>
    </row>
    <row r="64" spans="2:20" x14ac:dyDescent="0.25">
      <c r="B64" s="23" t="s">
        <v>2732</v>
      </c>
      <c r="C64" s="28" t="s">
        <v>1889</v>
      </c>
      <c r="H64" s="153">
        <f t="shared" ref="H64:T64" si="8">IF(AND(H62&lt;H50-0.001,H58&lt;=0.001),1,0)</f>
        <v>0</v>
      </c>
      <c r="I64" s="153">
        <f t="shared" si="8"/>
        <v>0</v>
      </c>
      <c r="J64" s="153">
        <f t="shared" si="8"/>
        <v>0</v>
      </c>
      <c r="K64" s="153">
        <f t="shared" si="8"/>
        <v>0</v>
      </c>
      <c r="L64" s="153">
        <f t="shared" si="8"/>
        <v>0</v>
      </c>
      <c r="M64" s="153">
        <f t="shared" si="8"/>
        <v>0</v>
      </c>
      <c r="N64" s="153">
        <f t="shared" si="8"/>
        <v>0</v>
      </c>
      <c r="O64" s="153">
        <f t="shared" si="8"/>
        <v>0</v>
      </c>
      <c r="P64" s="153">
        <f t="shared" si="8"/>
        <v>0</v>
      </c>
      <c r="Q64" s="153">
        <f t="shared" si="8"/>
        <v>0</v>
      </c>
      <c r="R64" s="153">
        <f t="shared" si="8"/>
        <v>0</v>
      </c>
      <c r="S64" s="153">
        <f t="shared" si="8"/>
        <v>0</v>
      </c>
      <c r="T64" s="153">
        <f t="shared" si="8"/>
        <v>0</v>
      </c>
    </row>
    <row r="66" spans="2:20" x14ac:dyDescent="0.25">
      <c r="B66" s="58" t="s">
        <v>2733</v>
      </c>
      <c r="C66" s="19"/>
      <c r="D66" s="19"/>
      <c r="E66" s="19"/>
      <c r="F66" s="19"/>
      <c r="G66" s="19"/>
      <c r="H66" s="19"/>
      <c r="I66" s="19"/>
      <c r="J66" s="19"/>
      <c r="K66" s="19"/>
      <c r="L66" s="19"/>
      <c r="M66" s="19"/>
      <c r="N66" s="19"/>
      <c r="O66" s="19"/>
      <c r="P66" s="19"/>
      <c r="Q66" s="19"/>
      <c r="R66" s="19"/>
      <c r="S66" s="19"/>
      <c r="T66" s="19"/>
    </row>
    <row r="67" spans="2:20" x14ac:dyDescent="0.25">
      <c r="B67" s="154" t="s">
        <v>2703</v>
      </c>
    </row>
    <row r="68" spans="2:20" x14ac:dyDescent="0.25">
      <c r="B68" s="21" t="s">
        <v>2704</v>
      </c>
      <c r="C68" s="28" t="s">
        <v>493</v>
      </c>
      <c r="H68" s="160">
        <f t="shared" ref="H68:T68" si="9">G94</f>
        <v>60.638905050280002</v>
      </c>
      <c r="I68" s="160">
        <f t="shared" si="9"/>
        <v>31.366562544943211</v>
      </c>
      <c r="J68" s="160">
        <f t="shared" si="9"/>
        <v>191.0299126301345</v>
      </c>
      <c r="K68" s="160">
        <f t="shared" si="9"/>
        <v>3</v>
      </c>
      <c r="L68" s="160">
        <f t="shared" si="9"/>
        <v>3</v>
      </c>
      <c r="M68" s="160">
        <f t="shared" si="9"/>
        <v>251.56660371850327</v>
      </c>
      <c r="N68" s="160">
        <f t="shared" si="9"/>
        <v>587.61070268010224</v>
      </c>
      <c r="O68" s="160">
        <f t="shared" si="9"/>
        <v>939.21953896328387</v>
      </c>
      <c r="P68" s="160">
        <f t="shared" si="9"/>
        <v>1303.7712868480567</v>
      </c>
      <c r="Q68" s="160">
        <f t="shared" si="9"/>
        <v>1689.1880085653906</v>
      </c>
      <c r="R68" s="160">
        <f t="shared" si="9"/>
        <v>2097.3937688632709</v>
      </c>
      <c r="S68" s="160">
        <f t="shared" si="9"/>
        <v>2519.670022397589</v>
      </c>
      <c r="T68" s="160">
        <f t="shared" si="9"/>
        <v>2949.528258896044</v>
      </c>
    </row>
    <row r="69" spans="2:20" x14ac:dyDescent="0.25">
      <c r="B69" s="23" t="s">
        <v>2705</v>
      </c>
      <c r="C69" s="28" t="s">
        <v>493</v>
      </c>
      <c r="H69" s="29">
        <f>'FSL Output - Without BUMN'!H16</f>
        <v>154.23547540286305</v>
      </c>
      <c r="I69" s="29">
        <f>'FSL Output - Without BUMN'!I16</f>
        <v>263.55853377872427</v>
      </c>
      <c r="J69" s="29">
        <f>'FSL Output - Without BUMN'!J16</f>
        <v>309.17211498131735</v>
      </c>
      <c r="K69" s="29">
        <f>'FSL Output - Without BUMN'!K16</f>
        <v>388.79673835416565</v>
      </c>
      <c r="L69" s="29">
        <f>'FSL Output - Without BUMN'!L16</f>
        <v>434.07015977164167</v>
      </c>
      <c r="M69" s="29">
        <f>'FSL Output - Without BUMN'!M16</f>
        <v>501.38673276302262</v>
      </c>
      <c r="N69" s="29">
        <f>'FSL Output - Without BUMN'!N16</f>
        <v>527.30946379193892</v>
      </c>
      <c r="O69" s="29">
        <f>'FSL Output - Without BUMN'!O16</f>
        <v>572.53759347796131</v>
      </c>
      <c r="P69" s="29">
        <f>'FSL Output - Without BUMN'!P16</f>
        <v>601.12829815384794</v>
      </c>
      <c r="Q69" s="29">
        <f>'FSL Output - Without BUMN'!Q16</f>
        <v>645.91594735916885</v>
      </c>
      <c r="R69" s="29">
        <f>'FSL Output - Without BUMN'!R16</f>
        <v>665.03591763409622</v>
      </c>
      <c r="S69" s="29">
        <f>'FSL Output - Without BUMN'!S16</f>
        <v>662.0606478933455</v>
      </c>
      <c r="T69" s="29">
        <f>'FSL Output - Without BUMN'!T16</f>
        <v>682.70554293696023</v>
      </c>
    </row>
    <row r="70" spans="2:20" x14ac:dyDescent="0.25">
      <c r="B70" s="23" t="s">
        <v>2706</v>
      </c>
      <c r="C70" s="28" t="s">
        <v>493</v>
      </c>
      <c r="H70" s="159">
        <f>-'FSL Output - Without BUMN'!H179</f>
        <v>-19.962283512427824</v>
      </c>
      <c r="I70" s="159">
        <f>-'FSL Output - Without BUMN'!I179</f>
        <v>-34.011742338910175</v>
      </c>
      <c r="J70" s="159">
        <f>-'FSL Output - Without BUMN'!J179</f>
        <v>-39.45657020237433</v>
      </c>
      <c r="K70" s="159">
        <f>-'FSL Output - Without BUMN'!K179</f>
        <v>-55.735174975903888</v>
      </c>
      <c r="L70" s="159">
        <f>-'FSL Output - Without BUMN'!L179</f>
        <v>-65.69938941623991</v>
      </c>
      <c r="M70" s="159">
        <f>-'FSL Output - Without BUMN'!M179</f>
        <v>-75.495776591622914</v>
      </c>
      <c r="N70" s="159">
        <f>-'FSL Output - Without BUMN'!N179</f>
        <v>-79.487612997543067</v>
      </c>
      <c r="O70" s="159">
        <f>-'FSL Output - Without BUMN'!O179</f>
        <v>-89.557322286355799</v>
      </c>
      <c r="P70" s="159">
        <f>-'FSL Output - Without BUMN'!P179</f>
        <v>-95.774102374140355</v>
      </c>
      <c r="Q70" s="159">
        <f>-'FSL Output - Without BUMN'!Q179</f>
        <v>-106.0078850775631</v>
      </c>
      <c r="R70" s="159">
        <f>-'FSL Output - Without BUMN'!R179</f>
        <v>-111.80620498429455</v>
      </c>
      <c r="S70" s="159">
        <f>-'FSL Output - Without BUMN'!S179</f>
        <v>-111.52520371507319</v>
      </c>
      <c r="T70" s="159">
        <f>-'FSL Output - Without BUMN'!T179</f>
        <v>-116.28344903385702</v>
      </c>
    </row>
    <row r="71" spans="2:20" x14ac:dyDescent="0.25">
      <c r="B71" s="23" t="s">
        <v>2707</v>
      </c>
      <c r="C71" s="28" t="s">
        <v>493</v>
      </c>
      <c r="H71" s="159">
        <f>-'Working Capital'!H122</f>
        <v>2.8370388994712172</v>
      </c>
      <c r="I71" s="159">
        <f>-'Working Capital'!I122</f>
        <v>-15.803178598627007</v>
      </c>
      <c r="J71" s="159">
        <f>-'Working Capital'!J122</f>
        <v>-8.4563929971098872</v>
      </c>
      <c r="K71" s="159">
        <f>-'Working Capital'!K122</f>
        <v>-14.439184970429189</v>
      </c>
      <c r="L71" s="159">
        <f>-'Working Capital'!L122</f>
        <v>-8.0978661862768035</v>
      </c>
      <c r="M71" s="159">
        <f>-'Working Capital'!M122</f>
        <v>-10.729311550408283</v>
      </c>
      <c r="N71" s="159">
        <f>-'Working Capital'!N122</f>
        <v>-4.2893690936989941</v>
      </c>
      <c r="O71" s="159">
        <f>-'Working Capital'!O122</f>
        <v>-6.9608920446379159</v>
      </c>
      <c r="P71" s="159">
        <f>-'Working Capital'!P122</f>
        <v>-4.2698594709500952</v>
      </c>
      <c r="Q71" s="159">
        <f>-'Working Capital'!Q122</f>
        <v>-7.1642913694044239</v>
      </c>
      <c r="R71" s="159">
        <f>-'Working Capital'!R122</f>
        <v>-2.2682029544930629</v>
      </c>
      <c r="S71" s="159">
        <f>-'Working Capital'!S122</f>
        <v>-0.82226010824624041</v>
      </c>
      <c r="T71" s="159">
        <f>-'Working Capital'!T122</f>
        <v>-3.2700735401435708</v>
      </c>
    </row>
    <row r="72" spans="2:20" x14ac:dyDescent="0.25">
      <c r="B72" s="21" t="s">
        <v>2708</v>
      </c>
      <c r="C72" s="28" t="s">
        <v>493</v>
      </c>
      <c r="H72" s="160">
        <f t="shared" ref="H72:T72" si="10">H69+H70+H71</f>
        <v>137.11023078990644</v>
      </c>
      <c r="I72" s="160">
        <f t="shared" si="10"/>
        <v>213.74361284118709</v>
      </c>
      <c r="J72" s="160">
        <f t="shared" si="10"/>
        <v>261.25915178183311</v>
      </c>
      <c r="K72" s="160">
        <f t="shared" si="10"/>
        <v>318.62237840783257</v>
      </c>
      <c r="L72" s="160">
        <f t="shared" si="10"/>
        <v>360.27290416912496</v>
      </c>
      <c r="M72" s="160">
        <f t="shared" si="10"/>
        <v>415.16164462099141</v>
      </c>
      <c r="N72" s="160">
        <f t="shared" si="10"/>
        <v>443.53248170069685</v>
      </c>
      <c r="O72" s="160">
        <f t="shared" si="10"/>
        <v>476.01937914696759</v>
      </c>
      <c r="P72" s="160">
        <f t="shared" si="10"/>
        <v>501.08433630875749</v>
      </c>
      <c r="Q72" s="160">
        <f t="shared" si="10"/>
        <v>532.7437709122014</v>
      </c>
      <c r="R72" s="160">
        <f t="shared" si="10"/>
        <v>550.96150969530856</v>
      </c>
      <c r="S72" s="160">
        <f t="shared" si="10"/>
        <v>549.71318407002605</v>
      </c>
      <c r="T72" s="160">
        <f t="shared" si="10"/>
        <v>563.15202036295966</v>
      </c>
    </row>
    <row r="73" spans="2:20" x14ac:dyDescent="0.25">
      <c r="B73" s="23" t="s">
        <v>2709</v>
      </c>
      <c r="C73" s="28" t="s">
        <v>493</v>
      </c>
      <c r="H73" s="159">
        <f>-'Capex &amp; Depreciation'!H80</f>
        <v>-125.24050000000001</v>
      </c>
      <c r="I73" s="159">
        <f>-'Capex &amp; Depreciation'!I80</f>
        <v>-14.638500000000001</v>
      </c>
      <c r="J73" s="159">
        <f>-'Capex &amp; Depreciation'!J80</f>
        <v>-419.77202976190472</v>
      </c>
      <c r="K73" s="159">
        <f>-'Capex &amp; Depreciation'!K80</f>
        <v>-225.06362499999994</v>
      </c>
      <c r="L73" s="159">
        <f>-'Capex &amp; Depreciation'!L80</f>
        <v>-97.59</v>
      </c>
      <c r="M73" s="159">
        <f>-'Capex &amp; Depreciation'!M80</f>
        <v>0</v>
      </c>
      <c r="N73" s="159">
        <f>-'Capex &amp; Depreciation'!N80</f>
        <v>0</v>
      </c>
      <c r="O73" s="159">
        <f>-'Capex &amp; Depreciation'!O80</f>
        <v>0</v>
      </c>
      <c r="P73" s="159">
        <f>-'Capex &amp; Depreciation'!P80</f>
        <v>0</v>
      </c>
      <c r="Q73" s="159">
        <f>-'Capex &amp; Depreciation'!Q80</f>
        <v>0</v>
      </c>
      <c r="R73" s="159">
        <f>-'Capex &amp; Depreciation'!R80</f>
        <v>0</v>
      </c>
      <c r="S73" s="159">
        <f>-'Capex &amp; Depreciation'!S80</f>
        <v>0</v>
      </c>
      <c r="T73" s="159">
        <f>-'Capex &amp; Depreciation'!T80</f>
        <v>0</v>
      </c>
    </row>
    <row r="74" spans="2:20" x14ac:dyDescent="0.25">
      <c r="B74" s="23" t="s">
        <v>2710</v>
      </c>
      <c r="C74" s="28" t="s">
        <v>493</v>
      </c>
      <c r="H74" s="159">
        <f>-'Capex &amp; Depreciation'!H210</f>
        <v>0</v>
      </c>
      <c r="I74" s="159">
        <f>-'Capex &amp; Depreciation'!I210</f>
        <v>0</v>
      </c>
      <c r="J74" s="159">
        <f>-'Capex &amp; Depreciation'!J210</f>
        <v>0</v>
      </c>
      <c r="K74" s="159">
        <f>-'Capex &amp; Depreciation'!K210</f>
        <v>0</v>
      </c>
      <c r="L74" s="159">
        <f>-'Capex &amp; Depreciation'!L210</f>
        <v>0</v>
      </c>
      <c r="M74" s="159">
        <f>-'Capex &amp; Depreciation'!M210</f>
        <v>0</v>
      </c>
      <c r="N74" s="159">
        <f>-'Capex &amp; Depreciation'!N210</f>
        <v>0</v>
      </c>
      <c r="O74" s="159">
        <f>-'Capex &amp; Depreciation'!O210</f>
        <v>0</v>
      </c>
      <c r="P74" s="159">
        <f>-'Capex &amp; Depreciation'!P210</f>
        <v>0</v>
      </c>
      <c r="Q74" s="159">
        <f>-'Capex &amp; Depreciation'!Q210</f>
        <v>0</v>
      </c>
      <c r="R74" s="159">
        <f>-'Capex &amp; Depreciation'!R210</f>
        <v>0</v>
      </c>
      <c r="S74" s="159">
        <f>-'Capex &amp; Depreciation'!S210</f>
        <v>0</v>
      </c>
      <c r="T74" s="159">
        <f>-'Capex &amp; Depreciation'!T210</f>
        <v>0</v>
      </c>
    </row>
    <row r="75" spans="2:20" x14ac:dyDescent="0.25">
      <c r="B75" s="23" t="s">
        <v>2711</v>
      </c>
      <c r="C75" s="28" t="s">
        <v>493</v>
      </c>
      <c r="H75" s="159">
        <f>-Financing!H24</f>
        <v>-5.4709055176610004</v>
      </c>
      <c r="I75" s="159">
        <f>-Financing!I24</f>
        <v>-15.273450177769661</v>
      </c>
      <c r="J75" s="159">
        <f>-Financing!J24</f>
        <v>-15.273450177769659</v>
      </c>
      <c r="K75" s="159">
        <f>-Financing!K24</f>
        <v>-7.5739574854145442</v>
      </c>
      <c r="L75" s="159">
        <f>-Financing!L24</f>
        <v>0</v>
      </c>
      <c r="M75" s="159">
        <f>-Financing!M24</f>
        <v>0</v>
      </c>
      <c r="N75" s="159">
        <f>-Financing!N24</f>
        <v>0</v>
      </c>
      <c r="O75" s="159">
        <f>-Financing!O24</f>
        <v>0</v>
      </c>
      <c r="P75" s="159">
        <f>-Financing!P24</f>
        <v>0</v>
      </c>
      <c r="Q75" s="159">
        <f>-Financing!Q24</f>
        <v>0</v>
      </c>
      <c r="R75" s="159">
        <f>-Financing!R24</f>
        <v>0</v>
      </c>
      <c r="S75" s="159">
        <f>-Financing!S24</f>
        <v>0</v>
      </c>
      <c r="T75" s="159">
        <f>-Financing!T24</f>
        <v>0</v>
      </c>
    </row>
    <row r="76" spans="2:20" x14ac:dyDescent="0.25">
      <c r="B76" s="23" t="s">
        <v>2712</v>
      </c>
      <c r="C76" s="28" t="s">
        <v>493</v>
      </c>
      <c r="H76" s="159">
        <f>-Financing!H9</f>
        <v>-29.338465248760002</v>
      </c>
      <c r="I76" s="159">
        <f>-Financing!I9</f>
        <v>0</v>
      </c>
      <c r="J76" s="159">
        <f>-Financing!J9</f>
        <v>0</v>
      </c>
      <c r="K76" s="159">
        <f>-Financing!K9</f>
        <v>0</v>
      </c>
      <c r="L76" s="159">
        <f>-Financing!L9</f>
        <v>0</v>
      </c>
      <c r="M76" s="159">
        <f>-Financing!M9</f>
        <v>0</v>
      </c>
      <c r="N76" s="159">
        <f>-Financing!N9</f>
        <v>0</v>
      </c>
      <c r="O76" s="159">
        <f>-Financing!O9</f>
        <v>0</v>
      </c>
      <c r="P76" s="159">
        <f>-Financing!P9</f>
        <v>0</v>
      </c>
      <c r="Q76" s="159">
        <f>-Financing!Q9</f>
        <v>0</v>
      </c>
      <c r="R76" s="159">
        <f>-Financing!R9</f>
        <v>0</v>
      </c>
      <c r="S76" s="159">
        <f>-Financing!S9</f>
        <v>0</v>
      </c>
      <c r="T76" s="159">
        <f>-Financing!T9</f>
        <v>0</v>
      </c>
    </row>
    <row r="77" spans="2:20" x14ac:dyDescent="0.25">
      <c r="B77" s="23" t="s">
        <v>2713</v>
      </c>
      <c r="C77" s="28" t="s">
        <v>493</v>
      </c>
      <c r="H77" s="159">
        <f>-Financing!H13</f>
        <v>0</v>
      </c>
      <c r="I77" s="159">
        <f>-Financing!I13</f>
        <v>0</v>
      </c>
      <c r="J77" s="159">
        <f>-Financing!J13</f>
        <v>0</v>
      </c>
      <c r="K77" s="159">
        <f>-Financing!K13</f>
        <v>-195.18</v>
      </c>
      <c r="L77" s="159">
        <f>-Financing!L13</f>
        <v>0</v>
      </c>
      <c r="M77" s="159">
        <f>-Financing!M13</f>
        <v>0</v>
      </c>
      <c r="N77" s="159">
        <f>-Financing!N13</f>
        <v>0</v>
      </c>
      <c r="O77" s="159">
        <f>-Financing!O13</f>
        <v>0</v>
      </c>
      <c r="P77" s="159">
        <f>-Financing!P13</f>
        <v>0</v>
      </c>
      <c r="Q77" s="159">
        <f>-Financing!Q13</f>
        <v>0</v>
      </c>
      <c r="R77" s="159">
        <f>-Financing!R13</f>
        <v>0</v>
      </c>
      <c r="S77" s="159">
        <f>-Financing!S13</f>
        <v>0</v>
      </c>
      <c r="T77" s="159">
        <f>-Financing!T13</f>
        <v>0</v>
      </c>
    </row>
    <row r="78" spans="2:20" x14ac:dyDescent="0.25">
      <c r="B78" s="23" t="s">
        <v>2714</v>
      </c>
      <c r="C78" s="28" t="s">
        <v>493</v>
      </c>
      <c r="H78" s="159">
        <f>-(Financing!H42+Financing!H40)</f>
        <v>0</v>
      </c>
      <c r="I78" s="159">
        <f>-(Financing!I42+Financing!I40)</f>
        <v>0</v>
      </c>
      <c r="J78" s="159">
        <f>-(Financing!J42+Financing!J40)</f>
        <v>0</v>
      </c>
      <c r="K78" s="159">
        <f>-(Financing!K42+Financing!K40)</f>
        <v>0</v>
      </c>
      <c r="L78" s="159">
        <f>-(Financing!L42+Financing!L40)</f>
        <v>0</v>
      </c>
      <c r="M78" s="159">
        <f>-(Financing!M42+Financing!M40)</f>
        <v>0</v>
      </c>
      <c r="N78" s="159">
        <f>-(Financing!N42+Financing!N40)</f>
        <v>0</v>
      </c>
      <c r="O78" s="159">
        <f>-(Financing!O42+Financing!O40)</f>
        <v>0</v>
      </c>
      <c r="P78" s="159">
        <f>-(Financing!P42+Financing!P40)</f>
        <v>0</v>
      </c>
      <c r="Q78" s="159">
        <f>-(Financing!Q42+Financing!Q40)</f>
        <v>0</v>
      </c>
      <c r="R78" s="159">
        <f>-(Financing!R42+Financing!R40)</f>
        <v>0</v>
      </c>
      <c r="S78" s="159">
        <f>-(Financing!S42+Financing!S40)</f>
        <v>0</v>
      </c>
      <c r="T78" s="159">
        <f>-(Financing!T42+Financing!T40)</f>
        <v>0</v>
      </c>
    </row>
    <row r="79" spans="2:20" ht="26.25" customHeight="1" x14ac:dyDescent="0.25">
      <c r="B79" s="64" t="s">
        <v>2715</v>
      </c>
      <c r="C79" s="28" t="s">
        <v>493</v>
      </c>
      <c r="H79" s="159">
        <f>Financing!H52-Financing!H54-Financing!H53</f>
        <v>0</v>
      </c>
      <c r="I79" s="159">
        <f>Financing!I52-Financing!I54-Financing!I53</f>
        <v>0</v>
      </c>
      <c r="J79" s="159">
        <f>Financing!J52-Financing!J54-Financing!J53</f>
        <v>0</v>
      </c>
      <c r="K79" s="159">
        <f>Financing!K52-Financing!K54-Financing!K53</f>
        <v>32.53</v>
      </c>
      <c r="L79" s="159">
        <f>Financing!L52-Financing!L54-Financing!L53</f>
        <v>45.379350000000002</v>
      </c>
      <c r="M79" s="159">
        <f>Financing!M52-Financing!M54-Financing!M53</f>
        <v>-8.5391250000000003</v>
      </c>
      <c r="N79" s="159">
        <f>Financing!N52-Financing!N54-Financing!N53</f>
        <v>-15.045125000000001</v>
      </c>
      <c r="O79" s="159">
        <f>Financing!O52-Financing!O54-Financing!O53</f>
        <v>-24.120995000000001</v>
      </c>
      <c r="P79" s="159">
        <f>Financing!P52-Financing!P54-Financing!P53</f>
        <v>-22.413170000000001</v>
      </c>
      <c r="Q79" s="159">
        <f>Financing!Q52-Financing!Q54-Financing!Q53</f>
        <v>-20.705345000000001</v>
      </c>
      <c r="R79" s="159">
        <f>Financing!R52-Financing!R54-Financing!R53</f>
        <v>-18.997520000000002</v>
      </c>
      <c r="S79" s="159">
        <f>Financing!S52-Financing!S54-Financing!S53</f>
        <v>-10.783695</v>
      </c>
      <c r="T79" s="159">
        <f>Financing!T52-Financing!T54-Financing!T53</f>
        <v>0</v>
      </c>
    </row>
    <row r="80" spans="2:20" x14ac:dyDescent="0.25">
      <c r="B80" s="23" t="s">
        <v>2716</v>
      </c>
      <c r="C80" s="28" t="s">
        <v>493</v>
      </c>
      <c r="H80" s="29">
        <f>Financing!H89</f>
        <v>0</v>
      </c>
      <c r="I80" s="29">
        <f>Financing!I89</f>
        <v>0</v>
      </c>
      <c r="J80" s="29">
        <f>Financing!J89</f>
        <v>0</v>
      </c>
      <c r="K80" s="29">
        <f>Financing!K89</f>
        <v>0</v>
      </c>
      <c r="L80" s="29">
        <f>Financing!L89</f>
        <v>0</v>
      </c>
      <c r="M80" s="29">
        <f>Financing!M89</f>
        <v>0</v>
      </c>
      <c r="N80" s="29">
        <f>Financing!N89</f>
        <v>0</v>
      </c>
      <c r="O80" s="29">
        <f>Financing!O89</f>
        <v>0</v>
      </c>
      <c r="P80" s="29">
        <f>Financing!P89</f>
        <v>0</v>
      </c>
      <c r="Q80" s="29">
        <f>Financing!Q89</f>
        <v>0</v>
      </c>
      <c r="R80" s="29">
        <f>Financing!R89</f>
        <v>0</v>
      </c>
      <c r="S80" s="29">
        <f>Financing!S89</f>
        <v>0</v>
      </c>
      <c r="T80" s="29">
        <f>Financing!T89</f>
        <v>0</v>
      </c>
    </row>
    <row r="81" spans="2:20" x14ac:dyDescent="0.25">
      <c r="B81" s="21" t="s">
        <v>2717</v>
      </c>
      <c r="C81" s="28" t="s">
        <v>493</v>
      </c>
      <c r="G81" s="157"/>
      <c r="H81" s="158">
        <f t="shared" ref="H81:T81" si="11">H68+H72+H73+H74+H75+H76+H77+H78+H79+H80</f>
        <v>37.699265073765446</v>
      </c>
      <c r="I81" s="158">
        <f t="shared" si="11"/>
        <v>215.19822520836064</v>
      </c>
      <c r="J81" s="158">
        <f t="shared" si="11"/>
        <v>17.243584472293236</v>
      </c>
      <c r="K81" s="158">
        <f t="shared" si="11"/>
        <v>-73.665204077581919</v>
      </c>
      <c r="L81" s="158">
        <f t="shared" si="11"/>
        <v>311.06225416912497</v>
      </c>
      <c r="M81" s="158">
        <f t="shared" si="11"/>
        <v>658.1891233394947</v>
      </c>
      <c r="N81" s="158">
        <f t="shared" si="11"/>
        <v>1016.0980593807991</v>
      </c>
      <c r="O81" s="158">
        <f t="shared" si="11"/>
        <v>1391.1179231102515</v>
      </c>
      <c r="P81" s="158">
        <f t="shared" si="11"/>
        <v>1782.4424531568141</v>
      </c>
      <c r="Q81" s="158">
        <f t="shared" si="11"/>
        <v>2201.2264344775922</v>
      </c>
      <c r="R81" s="158">
        <f t="shared" si="11"/>
        <v>2629.3577585585795</v>
      </c>
      <c r="S81" s="158">
        <f t="shared" si="11"/>
        <v>3058.5995114676152</v>
      </c>
      <c r="T81" s="158">
        <f t="shared" si="11"/>
        <v>3512.6802792590038</v>
      </c>
    </row>
    <row r="82" spans="2:20" x14ac:dyDescent="0.25">
      <c r="B82" s="23" t="s">
        <v>2718</v>
      </c>
      <c r="C82" s="28" t="s">
        <v>493</v>
      </c>
      <c r="H82" s="29">
        <f>Inputs!H512</f>
        <v>3</v>
      </c>
      <c r="I82" s="29">
        <f>Inputs!I512</f>
        <v>3</v>
      </c>
      <c r="J82" s="29">
        <f>Inputs!J512</f>
        <v>3</v>
      </c>
      <c r="K82" s="29">
        <f>Inputs!K512</f>
        <v>3</v>
      </c>
      <c r="L82" s="29">
        <f>Inputs!L512</f>
        <v>3</v>
      </c>
      <c r="M82" s="29">
        <f>Inputs!M512</f>
        <v>3</v>
      </c>
      <c r="N82" s="29">
        <f>Inputs!N512</f>
        <v>3</v>
      </c>
      <c r="O82" s="29">
        <f>Inputs!O512</f>
        <v>3</v>
      </c>
      <c r="P82" s="29">
        <f>Inputs!P512</f>
        <v>3</v>
      </c>
      <c r="Q82" s="29">
        <f>Inputs!Q512</f>
        <v>3</v>
      </c>
      <c r="R82" s="29">
        <f>Inputs!R512</f>
        <v>3</v>
      </c>
      <c r="S82" s="29">
        <f>Inputs!S512</f>
        <v>3</v>
      </c>
      <c r="T82" s="29">
        <f>Inputs!T512</f>
        <v>3</v>
      </c>
    </row>
    <row r="83" spans="2:20" x14ac:dyDescent="0.25">
      <c r="B83" s="154" t="s">
        <v>2719</v>
      </c>
    </row>
    <row r="84" spans="2:20" ht="26.25" customHeight="1" x14ac:dyDescent="0.25">
      <c r="B84" s="64" t="s">
        <v>2720</v>
      </c>
      <c r="C84" s="28" t="s">
        <v>493</v>
      </c>
      <c r="H84" s="159">
        <f>IF(Inputs!$E$44=2,Inputs!H510*'Capex &amp; Depreciation'!H80,0)</f>
        <v>0</v>
      </c>
      <c r="I84" s="159">
        <f>IF(Inputs!$E$44=2,Inputs!I510*'Capex &amp; Depreciation'!I80,0)</f>
        <v>0</v>
      </c>
      <c r="J84" s="159">
        <f>IF(Inputs!$E$44=2,Inputs!J510*'Capex &amp; Depreciation'!J80,0)</f>
        <v>0</v>
      </c>
      <c r="K84" s="159">
        <f>IF(Inputs!$E$44=2,Inputs!K510*'Capex &amp; Depreciation'!K80,0)</f>
        <v>0</v>
      </c>
      <c r="L84" s="159">
        <f>IF(Inputs!$E$44=2,Inputs!L510*'Capex &amp; Depreciation'!L80,0)</f>
        <v>0</v>
      </c>
      <c r="M84" s="159">
        <f>IF(Inputs!$E$44=2,Inputs!M510*'Capex &amp; Depreciation'!M80,0)</f>
        <v>0</v>
      </c>
      <c r="N84" s="159">
        <f>IF(Inputs!$E$44=2,Inputs!N510*'Capex &amp; Depreciation'!N80,0)</f>
        <v>0</v>
      </c>
      <c r="O84" s="159">
        <f>IF(Inputs!$E$44=2,Inputs!O510*'Capex &amp; Depreciation'!O80,0)</f>
        <v>0</v>
      </c>
      <c r="P84" s="159">
        <f>IF(Inputs!$E$44=2,Inputs!P510*'Capex &amp; Depreciation'!P80,0)</f>
        <v>0</v>
      </c>
      <c r="Q84" s="159">
        <f>IF(Inputs!$E$44=2,Inputs!Q510*'Capex &amp; Depreciation'!Q80,0)</f>
        <v>0</v>
      </c>
      <c r="R84" s="159">
        <f>IF(Inputs!$E$44=2,Inputs!R510*'Capex &amp; Depreciation'!R80,0)</f>
        <v>0</v>
      </c>
      <c r="S84" s="159">
        <f>IF(Inputs!$E$44=2,Inputs!S510*'Capex &amp; Depreciation'!S80,0)</f>
        <v>0</v>
      </c>
      <c r="T84" s="159">
        <f>IF(Inputs!$E$44=2,Inputs!T510*'Capex &amp; Depreciation'!T80,0)</f>
        <v>0</v>
      </c>
    </row>
    <row r="85" spans="2:20" x14ac:dyDescent="0.25">
      <c r="B85" s="23" t="s">
        <v>2721</v>
      </c>
      <c r="C85" s="28" t="s">
        <v>493</v>
      </c>
      <c r="H85" s="29">
        <f>Inputs!H508</f>
        <v>0</v>
      </c>
      <c r="I85" s="29">
        <f>Inputs!I508</f>
        <v>0</v>
      </c>
      <c r="J85" s="29">
        <f>Inputs!J508</f>
        <v>0</v>
      </c>
      <c r="K85" s="29">
        <f>Inputs!K508</f>
        <v>0</v>
      </c>
      <c r="L85" s="29">
        <f>Inputs!L508</f>
        <v>0</v>
      </c>
      <c r="M85" s="29">
        <f>Inputs!M508</f>
        <v>0</v>
      </c>
      <c r="N85" s="29">
        <f>Inputs!N508</f>
        <v>0</v>
      </c>
      <c r="O85" s="29">
        <f>Inputs!O508</f>
        <v>0</v>
      </c>
      <c r="P85" s="29">
        <f>Inputs!P508</f>
        <v>0</v>
      </c>
      <c r="Q85" s="29">
        <f>Inputs!Q508</f>
        <v>0</v>
      </c>
      <c r="R85" s="29">
        <f>Inputs!R508</f>
        <v>0</v>
      </c>
      <c r="S85" s="29">
        <f>Inputs!S508</f>
        <v>0</v>
      </c>
      <c r="T85" s="29">
        <f>Inputs!T508</f>
        <v>0</v>
      </c>
    </row>
    <row r="86" spans="2:20" x14ac:dyDescent="0.25">
      <c r="B86" s="21" t="s">
        <v>2722</v>
      </c>
      <c r="C86" s="28" t="s">
        <v>493</v>
      </c>
      <c r="G86" s="157"/>
      <c r="H86" s="158">
        <f t="shared" ref="H86:T86" si="12">MAX(0,H82-H81-H84-H85)</f>
        <v>0</v>
      </c>
      <c r="I86" s="158">
        <f t="shared" si="12"/>
        <v>0</v>
      </c>
      <c r="J86" s="158">
        <f t="shared" si="12"/>
        <v>0</v>
      </c>
      <c r="K86" s="158">
        <f t="shared" si="12"/>
        <v>76.665204077581919</v>
      </c>
      <c r="L86" s="158">
        <f t="shared" si="12"/>
        <v>0</v>
      </c>
      <c r="M86" s="158">
        <f t="shared" si="12"/>
        <v>0</v>
      </c>
      <c r="N86" s="158">
        <f t="shared" si="12"/>
        <v>0</v>
      </c>
      <c r="O86" s="158">
        <f t="shared" si="12"/>
        <v>0</v>
      </c>
      <c r="P86" s="158">
        <f t="shared" si="12"/>
        <v>0</v>
      </c>
      <c r="Q86" s="158">
        <f t="shared" si="12"/>
        <v>0</v>
      </c>
      <c r="R86" s="158">
        <f t="shared" si="12"/>
        <v>0</v>
      </c>
      <c r="S86" s="158">
        <f t="shared" si="12"/>
        <v>0</v>
      </c>
      <c r="T86" s="158">
        <f t="shared" si="12"/>
        <v>0</v>
      </c>
    </row>
    <row r="87" spans="2:20" x14ac:dyDescent="0.25">
      <c r="B87" s="23" t="s">
        <v>2723</v>
      </c>
      <c r="C87" s="28" t="s">
        <v>493</v>
      </c>
      <c r="H87" s="159">
        <f>MIN(H86*Inputs!H506/(1-Inputs!$E$502),MAX(0,Inputs!$E$501-(Financing!H38-Financing!H40)))</f>
        <v>0</v>
      </c>
      <c r="I87" s="159">
        <f>MIN(I86*Inputs!I506/(1-Inputs!$E$502),MAX(0,Inputs!$E$501-(Financing!I38-Financing!I40)))</f>
        <v>0</v>
      </c>
      <c r="J87" s="159">
        <f>MIN(J86*Inputs!J506/(1-Inputs!$E$502),MAX(0,Inputs!$E$501-(Financing!J38-Financing!J40)))</f>
        <v>0</v>
      </c>
      <c r="K87" s="159">
        <f>MIN(K86*Inputs!K506/(1-Inputs!$E$502),MAX(0,Inputs!$E$501-(Financing!K38-Financing!K40)))</f>
        <v>0</v>
      </c>
      <c r="L87" s="159">
        <f>MIN(L86*Inputs!L506/(1-Inputs!$E$502),MAX(0,Inputs!$E$501-(Financing!L38-Financing!L40)))</f>
        <v>0</v>
      </c>
      <c r="M87" s="159">
        <f>MIN(M86*Inputs!M506/(1-Inputs!$E$502),MAX(0,Inputs!$E$501-(Financing!M38-Financing!M40)))</f>
        <v>0</v>
      </c>
      <c r="N87" s="159">
        <f>MIN(N86*Inputs!N506/(1-Inputs!$E$502),MAX(0,Inputs!$E$501-(Financing!N38-Financing!N40)))</f>
        <v>0</v>
      </c>
      <c r="O87" s="159">
        <f>MIN(O86*Inputs!O506/(1-Inputs!$E$502),MAX(0,Inputs!$E$501-(Financing!O38-Financing!O40)))</f>
        <v>0</v>
      </c>
      <c r="P87" s="159">
        <f>MIN(P86*Inputs!P506/(1-Inputs!$E$502),MAX(0,Inputs!$E$501-(Financing!P38-Financing!P40)))</f>
        <v>0</v>
      </c>
      <c r="Q87" s="159">
        <f>MIN(Q86*Inputs!Q506/(1-Inputs!$E$502),MAX(0,Inputs!$E$501-(Financing!Q38-Financing!Q40)))</f>
        <v>0</v>
      </c>
      <c r="R87" s="159">
        <f>MIN(R86*Inputs!R506/(1-Inputs!$E$502),MAX(0,Inputs!$E$501-(Financing!R38-Financing!R40)))</f>
        <v>0</v>
      </c>
      <c r="S87" s="159">
        <f>MIN(S86*Inputs!S506/(1-Inputs!$E$502),MAX(0,Inputs!$E$501-(Financing!S38-Financing!S40)))</f>
        <v>0</v>
      </c>
      <c r="T87" s="159">
        <f>MIN(T86*Inputs!T506/(1-Inputs!$E$502),MAX(0,Inputs!$E$501-(Financing!T38-Financing!T40)))</f>
        <v>0</v>
      </c>
    </row>
    <row r="88" spans="2:20" x14ac:dyDescent="0.25">
      <c r="B88" s="23" t="s">
        <v>2724</v>
      </c>
      <c r="C88" s="28" t="s">
        <v>493</v>
      </c>
      <c r="H88" s="159">
        <f>H87*(1-Inputs!$E$502)</f>
        <v>0</v>
      </c>
      <c r="I88" s="159">
        <f>I87*(1-Inputs!$E$502)</f>
        <v>0</v>
      </c>
      <c r="J88" s="159">
        <f>J87*(1-Inputs!$E$502)</f>
        <v>0</v>
      </c>
      <c r="K88" s="159">
        <f>K87*(1-Inputs!$E$502)</f>
        <v>0</v>
      </c>
      <c r="L88" s="159">
        <f>L87*(1-Inputs!$E$502)</f>
        <v>0</v>
      </c>
      <c r="M88" s="159">
        <f>M87*(1-Inputs!$E$502)</f>
        <v>0</v>
      </c>
      <c r="N88" s="159">
        <f>N87*(1-Inputs!$E$502)</f>
        <v>0</v>
      </c>
      <c r="O88" s="159">
        <f>O87*(1-Inputs!$E$502)</f>
        <v>0</v>
      </c>
      <c r="P88" s="159">
        <f>P87*(1-Inputs!$E$502)</f>
        <v>0</v>
      </c>
      <c r="Q88" s="159">
        <f>Q87*(1-Inputs!$E$502)</f>
        <v>0</v>
      </c>
      <c r="R88" s="159">
        <f>R87*(1-Inputs!$E$502)</f>
        <v>0</v>
      </c>
      <c r="S88" s="159">
        <f>S87*(1-Inputs!$E$502)</f>
        <v>0</v>
      </c>
      <c r="T88" s="159">
        <f>T87*(1-Inputs!$E$502)</f>
        <v>0</v>
      </c>
    </row>
    <row r="89" spans="2:20" ht="26.25" customHeight="1" x14ac:dyDescent="0.25">
      <c r="B89" s="133" t="s">
        <v>2725</v>
      </c>
      <c r="C89" s="28" t="s">
        <v>493</v>
      </c>
      <c r="H89" s="160">
        <f>IF(Inputs!$E$44=1,H86-H88,MIN(H86-H88,MAX(0,(Inputs!$E$511-Financing!G93)*Inputs!H95/1000-H84)))</f>
        <v>0</v>
      </c>
      <c r="I89" s="160">
        <f>IF(Inputs!$E$44=1,I86-I88,MIN(I86-I88,MAX(0,(Inputs!$E$511-Financing!H93)*Inputs!I95/1000-I84)))</f>
        <v>0</v>
      </c>
      <c r="J89" s="160">
        <f>IF(Inputs!$E$44=1,J86-J88,MIN(J86-J88,MAX(0,(Inputs!$E$511-Financing!I93)*Inputs!J95/1000-J84)))</f>
        <v>0</v>
      </c>
      <c r="K89" s="160">
        <f>IF(Inputs!$E$44=1,K86-K88,MIN(K86-K88,MAX(0,(Inputs!$E$511-Financing!J93)*Inputs!K95/1000-K84)))</f>
        <v>76.665204077581919</v>
      </c>
      <c r="L89" s="160">
        <f>IF(Inputs!$E$44=1,L86-L88,MIN(L86-L88,MAX(0,(Inputs!$E$511-Financing!K93)*Inputs!L95/1000-L84)))</f>
        <v>0</v>
      </c>
      <c r="M89" s="160">
        <f>IF(Inputs!$E$44=1,M86-M88,MIN(M86-M88,MAX(0,(Inputs!$E$511-Financing!L93)*Inputs!M95/1000-M84)))</f>
        <v>0</v>
      </c>
      <c r="N89" s="160">
        <f>IF(Inputs!$E$44=1,N86-N88,MIN(N86-N88,MAX(0,(Inputs!$E$511-Financing!M93)*Inputs!N95/1000-N84)))</f>
        <v>0</v>
      </c>
      <c r="O89" s="160">
        <f>IF(Inputs!$E$44=1,O86-O88,MIN(O86-O88,MAX(0,(Inputs!$E$511-Financing!N93)*Inputs!O95/1000-O84)))</f>
        <v>0</v>
      </c>
      <c r="P89" s="160">
        <f>IF(Inputs!$E$44=1,P86-P88,MIN(P86-P88,MAX(0,(Inputs!$E$511-Financing!O93)*Inputs!P95/1000-P84)))</f>
        <v>0</v>
      </c>
      <c r="Q89" s="160">
        <f>IF(Inputs!$E$44=1,Q86-Q88,MIN(Q86-Q88,MAX(0,(Inputs!$E$511-Financing!P93)*Inputs!Q95/1000-Q84)))</f>
        <v>0</v>
      </c>
      <c r="R89" s="160">
        <f>IF(Inputs!$E$44=1,R86-R88,MIN(R86-R88,MAX(0,(Inputs!$E$511-Financing!Q93)*Inputs!R95/1000-R84)))</f>
        <v>0</v>
      </c>
      <c r="S89" s="160">
        <f>IF(Inputs!$E$44=1,S86-S88,MIN(S86-S88,MAX(0,(Inputs!$E$511-Financing!R93)*Inputs!S95/1000-S84)))</f>
        <v>0</v>
      </c>
      <c r="T89" s="160">
        <f>IF(Inputs!$E$44=1,T86-T88,MIN(T86-T88,MAX(0,(Inputs!$E$511-Financing!S93)*Inputs!T95/1000-T84)))</f>
        <v>0</v>
      </c>
    </row>
    <row r="90" spans="2:20" x14ac:dyDescent="0.25">
      <c r="B90" s="23" t="s">
        <v>2726</v>
      </c>
      <c r="C90" s="28" t="s">
        <v>493</v>
      </c>
      <c r="H90" s="159">
        <f t="shared" ref="H90:T90" si="13">H86-H88-H89</f>
        <v>0</v>
      </c>
      <c r="I90" s="159">
        <f t="shared" si="13"/>
        <v>0</v>
      </c>
      <c r="J90" s="159">
        <f t="shared" si="13"/>
        <v>0</v>
      </c>
      <c r="K90" s="159">
        <f t="shared" si="13"/>
        <v>0</v>
      </c>
      <c r="L90" s="159">
        <f t="shared" si="13"/>
        <v>0</v>
      </c>
      <c r="M90" s="159">
        <f t="shared" si="13"/>
        <v>0</v>
      </c>
      <c r="N90" s="159">
        <f t="shared" si="13"/>
        <v>0</v>
      </c>
      <c r="O90" s="159">
        <f t="shared" si="13"/>
        <v>0</v>
      </c>
      <c r="P90" s="159">
        <f t="shared" si="13"/>
        <v>0</v>
      </c>
      <c r="Q90" s="159">
        <f t="shared" si="13"/>
        <v>0</v>
      </c>
      <c r="R90" s="159">
        <f t="shared" si="13"/>
        <v>0</v>
      </c>
      <c r="S90" s="159">
        <f t="shared" si="13"/>
        <v>0</v>
      </c>
      <c r="T90" s="159">
        <f t="shared" si="13"/>
        <v>0</v>
      </c>
    </row>
    <row r="91" spans="2:20" ht="26.25" customHeight="1" x14ac:dyDescent="0.25">
      <c r="B91" s="133" t="s">
        <v>2727</v>
      </c>
      <c r="C91" s="28" t="s">
        <v>493</v>
      </c>
      <c r="G91" s="157"/>
      <c r="H91" s="158">
        <f t="shared" ref="H91:T91" si="14">H81+H84+H85+H88+H89</f>
        <v>37.699265073765446</v>
      </c>
      <c r="I91" s="158">
        <f t="shared" si="14"/>
        <v>215.19822520836064</v>
      </c>
      <c r="J91" s="158">
        <f t="shared" si="14"/>
        <v>17.243584472293236</v>
      </c>
      <c r="K91" s="158">
        <f t="shared" si="14"/>
        <v>3</v>
      </c>
      <c r="L91" s="158">
        <f t="shared" si="14"/>
        <v>311.06225416912497</v>
      </c>
      <c r="M91" s="158">
        <f t="shared" si="14"/>
        <v>658.1891233394947</v>
      </c>
      <c r="N91" s="158">
        <f t="shared" si="14"/>
        <v>1016.0980593807991</v>
      </c>
      <c r="O91" s="158">
        <f t="shared" si="14"/>
        <v>1391.1179231102515</v>
      </c>
      <c r="P91" s="158">
        <f t="shared" si="14"/>
        <v>1782.4424531568141</v>
      </c>
      <c r="Q91" s="158">
        <f t="shared" si="14"/>
        <v>2201.2264344775922</v>
      </c>
      <c r="R91" s="158">
        <f t="shared" si="14"/>
        <v>2629.3577585585795</v>
      </c>
      <c r="S91" s="158">
        <f t="shared" si="14"/>
        <v>3058.5995114676152</v>
      </c>
      <c r="T91" s="158">
        <f t="shared" si="14"/>
        <v>3512.6802792590038</v>
      </c>
    </row>
    <row r="92" spans="2:20" x14ac:dyDescent="0.25">
      <c r="B92" s="23" t="s">
        <v>2728</v>
      </c>
      <c r="C92" s="28" t="s">
        <v>493</v>
      </c>
      <c r="H92" s="159">
        <f>-Financing!H100</f>
        <v>-6.3327025288222343</v>
      </c>
      <c r="I92" s="159">
        <f>-Financing!I100</f>
        <v>-24.168312578226143</v>
      </c>
      <c r="J92" s="159">
        <f>-Financing!J100</f>
        <v>-14.243584472293236</v>
      </c>
      <c r="K92" s="159">
        <f>-Financing!K100</f>
        <v>0</v>
      </c>
      <c r="L92" s="159">
        <f>-Financing!L100</f>
        <v>-59.495650450621696</v>
      </c>
      <c r="M92" s="159">
        <f>-Financing!M100</f>
        <v>-70.578420659392435</v>
      </c>
      <c r="N92" s="159">
        <f>-Financing!N100</f>
        <v>-76.878520417515276</v>
      </c>
      <c r="O92" s="159">
        <f>-Financing!O100</f>
        <v>-87.346636262194721</v>
      </c>
      <c r="P92" s="159">
        <f>-Financing!P100</f>
        <v>-93.254444591423393</v>
      </c>
      <c r="Q92" s="159">
        <f>-Financing!Q100</f>
        <v>-103.83266561432144</v>
      </c>
      <c r="R92" s="159">
        <f>-Financing!R100</f>
        <v>-109.68773616099057</v>
      </c>
      <c r="S92" s="159">
        <f>-Financing!S100</f>
        <v>-109.07125257157128</v>
      </c>
      <c r="T92" s="159">
        <f>-Financing!T100</f>
        <v>-113.80940743204413</v>
      </c>
    </row>
    <row r="93" spans="2:20" x14ac:dyDescent="0.25">
      <c r="B93" s="23" t="s">
        <v>2729</v>
      </c>
      <c r="C93" s="28" t="s">
        <v>493</v>
      </c>
      <c r="H93" s="159">
        <f>-Financing!H102</f>
        <v>0</v>
      </c>
      <c r="I93" s="159">
        <f>-Financing!I102</f>
        <v>0</v>
      </c>
      <c r="J93" s="159">
        <f>-Financing!J102</f>
        <v>0</v>
      </c>
      <c r="K93" s="159">
        <f>-Financing!K102</f>
        <v>0</v>
      </c>
      <c r="L93" s="159">
        <f>-Financing!L102</f>
        <v>0</v>
      </c>
      <c r="M93" s="159">
        <f>-Financing!M102</f>
        <v>0</v>
      </c>
      <c r="N93" s="159">
        <f>-Financing!N102</f>
        <v>0</v>
      </c>
      <c r="O93" s="159">
        <f>-Financing!O102</f>
        <v>0</v>
      </c>
      <c r="P93" s="159">
        <f>-Financing!P102</f>
        <v>0</v>
      </c>
      <c r="Q93" s="159">
        <f>-Financing!Q102</f>
        <v>0</v>
      </c>
      <c r="R93" s="159">
        <f>-Financing!R102</f>
        <v>0</v>
      </c>
      <c r="S93" s="159">
        <f>-Financing!S102</f>
        <v>0</v>
      </c>
      <c r="T93" s="159">
        <f>-Financing!T102</f>
        <v>0</v>
      </c>
    </row>
    <row r="94" spans="2:20" x14ac:dyDescent="0.25">
      <c r="B94" s="21" t="s">
        <v>2730</v>
      </c>
      <c r="C94" s="28" t="s">
        <v>493</v>
      </c>
      <c r="G94" s="185">
        <f>'Source Data'!$E$799</f>
        <v>60.638905050280002</v>
      </c>
      <c r="H94" s="158">
        <f t="shared" ref="H94:T94" si="15">H91+H92+H93</f>
        <v>31.366562544943211</v>
      </c>
      <c r="I94" s="158">
        <f t="shared" si="15"/>
        <v>191.0299126301345</v>
      </c>
      <c r="J94" s="158">
        <f t="shared" si="15"/>
        <v>3</v>
      </c>
      <c r="K94" s="158">
        <f t="shared" si="15"/>
        <v>3</v>
      </c>
      <c r="L94" s="158">
        <f t="shared" si="15"/>
        <v>251.56660371850327</v>
      </c>
      <c r="M94" s="158">
        <f t="shared" si="15"/>
        <v>587.61070268010224</v>
      </c>
      <c r="N94" s="158">
        <f t="shared" si="15"/>
        <v>939.21953896328387</v>
      </c>
      <c r="O94" s="158">
        <f t="shared" si="15"/>
        <v>1303.7712868480567</v>
      </c>
      <c r="P94" s="158">
        <f t="shared" si="15"/>
        <v>1689.1880085653906</v>
      </c>
      <c r="Q94" s="158">
        <f t="shared" si="15"/>
        <v>2097.3937688632709</v>
      </c>
      <c r="R94" s="158">
        <f t="shared" si="15"/>
        <v>2519.670022397589</v>
      </c>
      <c r="S94" s="158">
        <f t="shared" si="15"/>
        <v>2949.528258896044</v>
      </c>
      <c r="T94" s="158">
        <f t="shared" si="15"/>
        <v>3398.8708718269595</v>
      </c>
    </row>
    <row r="95" spans="2:20" x14ac:dyDescent="0.25">
      <c r="B95" s="23" t="s">
        <v>2731</v>
      </c>
      <c r="C95" s="28" t="s">
        <v>493</v>
      </c>
      <c r="H95" s="161">
        <f t="shared" ref="H95:T95" si="16">ROUND(H86-H88-H89-H90,6)</f>
        <v>0</v>
      </c>
      <c r="I95" s="161">
        <f t="shared" si="16"/>
        <v>0</v>
      </c>
      <c r="J95" s="161">
        <f t="shared" si="16"/>
        <v>0</v>
      </c>
      <c r="K95" s="161">
        <f t="shared" si="16"/>
        <v>0</v>
      </c>
      <c r="L95" s="161">
        <f t="shared" si="16"/>
        <v>0</v>
      </c>
      <c r="M95" s="161">
        <f t="shared" si="16"/>
        <v>0</v>
      </c>
      <c r="N95" s="161">
        <f t="shared" si="16"/>
        <v>0</v>
      </c>
      <c r="O95" s="161">
        <f t="shared" si="16"/>
        <v>0</v>
      </c>
      <c r="P95" s="161">
        <f t="shared" si="16"/>
        <v>0</v>
      </c>
      <c r="Q95" s="161">
        <f t="shared" si="16"/>
        <v>0</v>
      </c>
      <c r="R95" s="161">
        <f t="shared" si="16"/>
        <v>0</v>
      </c>
      <c r="S95" s="161">
        <f t="shared" si="16"/>
        <v>0</v>
      </c>
      <c r="T95" s="161">
        <f t="shared" si="16"/>
        <v>0</v>
      </c>
    </row>
    <row r="96" spans="2:20" x14ac:dyDescent="0.25">
      <c r="B96" s="23" t="s">
        <v>2732</v>
      </c>
      <c r="C96" s="28" t="s">
        <v>1889</v>
      </c>
      <c r="H96" s="153">
        <f t="shared" ref="H96:T96" si="17">IF(AND(H94&lt;H82-0.001,H90&lt;=0.001),1,0)</f>
        <v>0</v>
      </c>
      <c r="I96" s="153">
        <f t="shared" si="17"/>
        <v>0</v>
      </c>
      <c r="J96" s="153">
        <f t="shared" si="17"/>
        <v>0</v>
      </c>
      <c r="K96" s="153">
        <f t="shared" si="17"/>
        <v>0</v>
      </c>
      <c r="L96" s="153">
        <f t="shared" si="17"/>
        <v>0</v>
      </c>
      <c r="M96" s="153">
        <f t="shared" si="17"/>
        <v>0</v>
      </c>
      <c r="N96" s="153">
        <f t="shared" si="17"/>
        <v>0</v>
      </c>
      <c r="O96" s="153">
        <f t="shared" si="17"/>
        <v>0</v>
      </c>
      <c r="P96" s="153">
        <f t="shared" si="17"/>
        <v>0</v>
      </c>
      <c r="Q96" s="153">
        <f t="shared" si="17"/>
        <v>0</v>
      </c>
      <c r="R96" s="153">
        <f t="shared" si="17"/>
        <v>0</v>
      </c>
      <c r="S96" s="153">
        <f t="shared" si="17"/>
        <v>0</v>
      </c>
      <c r="T96" s="153">
        <f t="shared" si="17"/>
        <v>0</v>
      </c>
    </row>
    <row r="98" spans="2:20" x14ac:dyDescent="0.25">
      <c r="B98" s="58" t="s">
        <v>2734</v>
      </c>
      <c r="C98" s="19"/>
      <c r="D98" s="19"/>
      <c r="E98" s="19"/>
      <c r="F98" s="19"/>
      <c r="G98" s="19"/>
      <c r="H98" s="19"/>
      <c r="I98" s="19"/>
      <c r="J98" s="19"/>
      <c r="K98" s="19"/>
      <c r="L98" s="19"/>
      <c r="M98" s="19"/>
      <c r="N98" s="19"/>
      <c r="O98" s="19"/>
      <c r="P98" s="19"/>
      <c r="Q98" s="19"/>
      <c r="R98" s="19"/>
      <c r="S98" s="19"/>
      <c r="T98" s="19"/>
    </row>
    <row r="99" spans="2:20" x14ac:dyDescent="0.25">
      <c r="B99" s="154" t="s">
        <v>2735</v>
      </c>
    </row>
    <row r="100" spans="2:20" x14ac:dyDescent="0.25">
      <c r="B100" s="23" t="s">
        <v>2035</v>
      </c>
      <c r="C100" s="28" t="s">
        <v>493</v>
      </c>
      <c r="H100" s="29">
        <f>'Capex &amp; Depreciation'!H262</f>
        <v>37.409500000000008</v>
      </c>
      <c r="I100" s="29">
        <f>'Capex &amp; Depreciation'!I262</f>
        <v>8.1325000000000003</v>
      </c>
      <c r="J100" s="29">
        <f>'Capex &amp; Depreciation'!J262</f>
        <v>0</v>
      </c>
      <c r="K100" s="29">
        <f>'Capex &amp; Depreciation'!K262</f>
        <v>0</v>
      </c>
      <c r="L100" s="29">
        <f>'Capex &amp; Depreciation'!L262</f>
        <v>0</v>
      </c>
      <c r="M100" s="29">
        <f>'Capex &amp; Depreciation'!M262</f>
        <v>0</v>
      </c>
      <c r="N100" s="29">
        <f>'Capex &amp; Depreciation'!N262</f>
        <v>0</v>
      </c>
      <c r="O100" s="29">
        <f>'Capex &amp; Depreciation'!O262</f>
        <v>0</v>
      </c>
      <c r="P100" s="29">
        <f>'Capex &amp; Depreciation'!P262</f>
        <v>0</v>
      </c>
      <c r="Q100" s="29">
        <f>'Capex &amp; Depreciation'!Q262</f>
        <v>0</v>
      </c>
      <c r="R100" s="29">
        <f>'Capex &amp; Depreciation'!R262</f>
        <v>0</v>
      </c>
      <c r="S100" s="29">
        <f>'Capex &amp; Depreciation'!S262</f>
        <v>0</v>
      </c>
      <c r="T100" s="29">
        <f>'Capex &amp; Depreciation'!T262</f>
        <v>0</v>
      </c>
    </row>
    <row r="101" spans="2:20" x14ac:dyDescent="0.25">
      <c r="B101" s="23" t="s">
        <v>2036</v>
      </c>
      <c r="C101" s="28" t="s">
        <v>493</v>
      </c>
      <c r="H101" s="29">
        <f>'Capex &amp; Depreciation'!H263</f>
        <v>87.831000000000003</v>
      </c>
      <c r="I101" s="29">
        <f>'Capex &amp; Depreciation'!I263</f>
        <v>6.5060000000000002</v>
      </c>
      <c r="J101" s="29">
        <f>'Capex &amp; Depreciation'!J263</f>
        <v>0</v>
      </c>
      <c r="K101" s="29">
        <f>'Capex &amp; Depreciation'!K263</f>
        <v>0</v>
      </c>
      <c r="L101" s="29">
        <f>'Capex &amp; Depreciation'!L263</f>
        <v>0</v>
      </c>
      <c r="M101" s="29">
        <f>'Capex &amp; Depreciation'!M263</f>
        <v>0</v>
      </c>
      <c r="N101" s="29">
        <f>'Capex &amp; Depreciation'!N263</f>
        <v>0</v>
      </c>
      <c r="O101" s="29">
        <f>'Capex &amp; Depreciation'!O263</f>
        <v>0</v>
      </c>
      <c r="P101" s="29">
        <f>'Capex &amp; Depreciation'!P263</f>
        <v>0</v>
      </c>
      <c r="Q101" s="29">
        <f>'Capex &amp; Depreciation'!Q263</f>
        <v>0</v>
      </c>
      <c r="R101" s="29">
        <f>'Capex &amp; Depreciation'!R263</f>
        <v>0</v>
      </c>
      <c r="S101" s="29">
        <f>'Capex &amp; Depreciation'!S263</f>
        <v>0</v>
      </c>
      <c r="T101" s="29">
        <f>'Capex &amp; Depreciation'!T263</f>
        <v>0</v>
      </c>
    </row>
    <row r="102" spans="2:20" x14ac:dyDescent="0.25">
      <c r="B102" s="23" t="s">
        <v>2037</v>
      </c>
      <c r="C102" s="28" t="s">
        <v>493</v>
      </c>
      <c r="H102" s="29">
        <f>'Capex &amp; Depreciation'!H264</f>
        <v>0</v>
      </c>
      <c r="I102" s="29">
        <f>'Capex &amp; Depreciation'!I264</f>
        <v>0</v>
      </c>
      <c r="J102" s="29">
        <f>'Capex &amp; Depreciation'!J264</f>
        <v>97.990000000000052</v>
      </c>
      <c r="K102" s="29">
        <f>'Capex &amp; Depreciation'!K264</f>
        <v>0</v>
      </c>
      <c r="L102" s="29">
        <f>'Capex &amp; Depreciation'!L264</f>
        <v>0</v>
      </c>
      <c r="M102" s="29">
        <f>'Capex &amp; Depreciation'!M264</f>
        <v>0</v>
      </c>
      <c r="N102" s="29">
        <f>'Capex &amp; Depreciation'!N264</f>
        <v>0</v>
      </c>
      <c r="O102" s="29">
        <f>'Capex &amp; Depreciation'!O264</f>
        <v>0</v>
      </c>
      <c r="P102" s="29">
        <f>'Capex &amp; Depreciation'!P264</f>
        <v>0</v>
      </c>
      <c r="Q102" s="29">
        <f>'Capex &amp; Depreciation'!Q264</f>
        <v>0</v>
      </c>
      <c r="R102" s="29">
        <f>'Capex &amp; Depreciation'!R264</f>
        <v>0</v>
      </c>
      <c r="S102" s="29">
        <f>'Capex &amp; Depreciation'!S264</f>
        <v>0</v>
      </c>
      <c r="T102" s="29">
        <f>'Capex &amp; Depreciation'!T264</f>
        <v>0</v>
      </c>
    </row>
    <row r="103" spans="2:20" x14ac:dyDescent="0.25">
      <c r="B103" s="23" t="s">
        <v>2038</v>
      </c>
      <c r="C103" s="28" t="s">
        <v>493</v>
      </c>
      <c r="H103" s="29">
        <f>'Capex &amp; Depreciation'!H265</f>
        <v>0</v>
      </c>
      <c r="I103" s="29">
        <f>'Capex &amp; Depreciation'!I265</f>
        <v>0</v>
      </c>
      <c r="J103" s="29">
        <f>'Capex &amp; Depreciation'!J265</f>
        <v>61.193749999999952</v>
      </c>
      <c r="K103" s="29">
        <f>'Capex &amp; Depreciation'!K265</f>
        <v>0</v>
      </c>
      <c r="L103" s="29">
        <f>'Capex &amp; Depreciation'!L265</f>
        <v>0</v>
      </c>
      <c r="M103" s="29">
        <f>'Capex &amp; Depreciation'!M265</f>
        <v>0</v>
      </c>
      <c r="N103" s="29">
        <f>'Capex &amp; Depreciation'!N265</f>
        <v>0</v>
      </c>
      <c r="O103" s="29">
        <f>'Capex &amp; Depreciation'!O265</f>
        <v>0</v>
      </c>
      <c r="P103" s="29">
        <f>'Capex &amp; Depreciation'!P265</f>
        <v>0</v>
      </c>
      <c r="Q103" s="29">
        <f>'Capex &amp; Depreciation'!Q265</f>
        <v>0</v>
      </c>
      <c r="R103" s="29">
        <f>'Capex &amp; Depreciation'!R265</f>
        <v>0</v>
      </c>
      <c r="S103" s="29">
        <f>'Capex &amp; Depreciation'!S265</f>
        <v>0</v>
      </c>
      <c r="T103" s="29">
        <f>'Capex &amp; Depreciation'!T265</f>
        <v>0</v>
      </c>
    </row>
    <row r="104" spans="2:20" x14ac:dyDescent="0.25">
      <c r="B104" s="23" t="s">
        <v>2039</v>
      </c>
      <c r="C104" s="28" t="s">
        <v>493</v>
      </c>
      <c r="H104" s="29">
        <f>'Capex &amp; Depreciation'!H266</f>
        <v>0</v>
      </c>
      <c r="I104" s="29">
        <f>'Capex &amp; Depreciation'!I266</f>
        <v>0</v>
      </c>
      <c r="J104" s="29">
        <f>'Capex &amp; Depreciation'!J266</f>
        <v>105.47077976190474</v>
      </c>
      <c r="K104" s="29">
        <f>'Capex &amp; Depreciation'!K266</f>
        <v>5.2861249999999975</v>
      </c>
      <c r="L104" s="29">
        <f>'Capex &amp; Depreciation'!L266</f>
        <v>0</v>
      </c>
      <c r="M104" s="29">
        <f>'Capex &amp; Depreciation'!M266</f>
        <v>0</v>
      </c>
      <c r="N104" s="29">
        <f>'Capex &amp; Depreciation'!N266</f>
        <v>0</v>
      </c>
      <c r="O104" s="29">
        <f>'Capex &amp; Depreciation'!O266</f>
        <v>0</v>
      </c>
      <c r="P104" s="29">
        <f>'Capex &amp; Depreciation'!P266</f>
        <v>0</v>
      </c>
      <c r="Q104" s="29">
        <f>'Capex &amp; Depreciation'!Q266</f>
        <v>0</v>
      </c>
      <c r="R104" s="29">
        <f>'Capex &amp; Depreciation'!R266</f>
        <v>0</v>
      </c>
      <c r="S104" s="29">
        <f>'Capex &amp; Depreciation'!S266</f>
        <v>0</v>
      </c>
      <c r="T104" s="29">
        <f>'Capex &amp; Depreciation'!T266</f>
        <v>0</v>
      </c>
    </row>
    <row r="105" spans="2:20" x14ac:dyDescent="0.25">
      <c r="B105" s="23" t="s">
        <v>2040</v>
      </c>
      <c r="C105" s="28" t="s">
        <v>493</v>
      </c>
      <c r="H105" s="29">
        <f>'Capex &amp; Depreciation'!H267</f>
        <v>0</v>
      </c>
      <c r="I105" s="29">
        <f>'Capex &amp; Depreciation'!I267</f>
        <v>0</v>
      </c>
      <c r="J105" s="29">
        <f>'Capex &amp; Depreciation'!J267</f>
        <v>40.862500000000026</v>
      </c>
      <c r="K105" s="29">
        <f>'Capex &amp; Depreciation'!K267</f>
        <v>40.862500000000026</v>
      </c>
      <c r="L105" s="29">
        <f>'Capex &amp; Depreciation'!L267</f>
        <v>0</v>
      </c>
      <c r="M105" s="29">
        <f>'Capex &amp; Depreciation'!M267</f>
        <v>0</v>
      </c>
      <c r="N105" s="29">
        <f>'Capex &amp; Depreciation'!N267</f>
        <v>0</v>
      </c>
      <c r="O105" s="29">
        <f>'Capex &amp; Depreciation'!O267</f>
        <v>0</v>
      </c>
      <c r="P105" s="29">
        <f>'Capex &amp; Depreciation'!P267</f>
        <v>0</v>
      </c>
      <c r="Q105" s="29">
        <f>'Capex &amp; Depreciation'!Q267</f>
        <v>0</v>
      </c>
      <c r="R105" s="29">
        <f>'Capex &amp; Depreciation'!R267</f>
        <v>0</v>
      </c>
      <c r="S105" s="29">
        <f>'Capex &amp; Depreciation'!S267</f>
        <v>0</v>
      </c>
      <c r="T105" s="29">
        <f>'Capex &amp; Depreciation'!T267</f>
        <v>0</v>
      </c>
    </row>
    <row r="106" spans="2:20" x14ac:dyDescent="0.25">
      <c r="B106" s="23" t="s">
        <v>2041</v>
      </c>
      <c r="C106" s="28" t="s">
        <v>493</v>
      </c>
      <c r="H106" s="29">
        <f>'Capex &amp; Depreciation'!H268</f>
        <v>0</v>
      </c>
      <c r="I106" s="29">
        <f>'Capex &amp; Depreciation'!I268</f>
        <v>0</v>
      </c>
      <c r="J106" s="29">
        <f>'Capex &amp; Depreciation'!J268</f>
        <v>114.25499999999997</v>
      </c>
      <c r="K106" s="29">
        <f>'Capex &amp; Depreciation'!K268</f>
        <v>113.85499999999993</v>
      </c>
      <c r="L106" s="29">
        <f>'Capex &amp; Depreciation'!L268</f>
        <v>0</v>
      </c>
      <c r="M106" s="29">
        <f>'Capex &amp; Depreciation'!M268</f>
        <v>0</v>
      </c>
      <c r="N106" s="29">
        <f>'Capex &amp; Depreciation'!N268</f>
        <v>0</v>
      </c>
      <c r="O106" s="29">
        <f>'Capex &amp; Depreciation'!O268</f>
        <v>0</v>
      </c>
      <c r="P106" s="29">
        <f>'Capex &amp; Depreciation'!P268</f>
        <v>0</v>
      </c>
      <c r="Q106" s="29">
        <f>'Capex &amp; Depreciation'!Q268</f>
        <v>0</v>
      </c>
      <c r="R106" s="29">
        <f>'Capex &amp; Depreciation'!R268</f>
        <v>0</v>
      </c>
      <c r="S106" s="29">
        <f>'Capex &amp; Depreciation'!S268</f>
        <v>0</v>
      </c>
      <c r="T106" s="29">
        <f>'Capex &amp; Depreciation'!T268</f>
        <v>0</v>
      </c>
    </row>
    <row r="107" spans="2:20" x14ac:dyDescent="0.25">
      <c r="B107" s="23" t="s">
        <v>2049</v>
      </c>
      <c r="C107" s="28" t="s">
        <v>493</v>
      </c>
      <c r="H107" s="29">
        <f>'Capex &amp; Depreciation'!H276</f>
        <v>0</v>
      </c>
      <c r="I107" s="29">
        <f>'Capex &amp; Depreciation'!I276</f>
        <v>0</v>
      </c>
      <c r="J107" s="29">
        <f>'Capex &amp; Depreciation'!J276</f>
        <v>0</v>
      </c>
      <c r="K107" s="29">
        <f>'Capex &amp; Depreciation'!K276</f>
        <v>0</v>
      </c>
      <c r="L107" s="29">
        <f>'Capex &amp; Depreciation'!L276</f>
        <v>0</v>
      </c>
      <c r="M107" s="29">
        <f>'Capex &amp; Depreciation'!M276</f>
        <v>0</v>
      </c>
      <c r="N107" s="29">
        <f>'Capex &amp; Depreciation'!N276</f>
        <v>0</v>
      </c>
      <c r="O107" s="29">
        <f>'Capex &amp; Depreciation'!O276</f>
        <v>0</v>
      </c>
      <c r="P107" s="29">
        <f>'Capex &amp; Depreciation'!P276</f>
        <v>0</v>
      </c>
      <c r="Q107" s="29">
        <f>'Capex &amp; Depreciation'!Q276</f>
        <v>0</v>
      </c>
      <c r="R107" s="29">
        <f>'Capex &amp; Depreciation'!R276</f>
        <v>0</v>
      </c>
      <c r="S107" s="29">
        <f>'Capex &amp; Depreciation'!S276</f>
        <v>0</v>
      </c>
      <c r="T107" s="29">
        <f>'Capex &amp; Depreciation'!T276</f>
        <v>0</v>
      </c>
    </row>
    <row r="108" spans="2:20" x14ac:dyDescent="0.25">
      <c r="B108" s="23" t="str">
        <f>"P16  "&amp;Inputs!$E$605</f>
        <v>P16  Lampung</v>
      </c>
      <c r="C108" s="28" t="s">
        <v>493</v>
      </c>
      <c r="H108" s="29">
        <f>'Capex &amp; Depreciation'!H277</f>
        <v>0</v>
      </c>
      <c r="I108" s="29">
        <f>'Capex &amp; Depreciation'!I277</f>
        <v>0</v>
      </c>
      <c r="J108" s="29">
        <f>'Capex &amp; Depreciation'!J277</f>
        <v>0</v>
      </c>
      <c r="K108" s="29">
        <f>'Capex &amp; Depreciation'!K277</f>
        <v>0</v>
      </c>
      <c r="L108" s="29">
        <f>'Capex &amp; Depreciation'!L277</f>
        <v>0</v>
      </c>
      <c r="M108" s="29">
        <f>'Capex &amp; Depreciation'!M277</f>
        <v>0</v>
      </c>
      <c r="N108" s="29">
        <f>'Capex &amp; Depreciation'!N277</f>
        <v>0</v>
      </c>
      <c r="O108" s="29">
        <f>'Capex &amp; Depreciation'!O277</f>
        <v>0</v>
      </c>
      <c r="P108" s="29">
        <f>'Capex &amp; Depreciation'!P277</f>
        <v>0</v>
      </c>
      <c r="Q108" s="29">
        <f>'Capex &amp; Depreciation'!Q277</f>
        <v>0</v>
      </c>
      <c r="R108" s="29">
        <f>'Capex &amp; Depreciation'!R277</f>
        <v>0</v>
      </c>
      <c r="S108" s="29">
        <f>'Capex &amp; Depreciation'!S277</f>
        <v>0</v>
      </c>
      <c r="T108" s="29">
        <f>'Capex &amp; Depreciation'!T277</f>
        <v>0</v>
      </c>
    </row>
    <row r="109" spans="2:20" x14ac:dyDescent="0.25">
      <c r="B109" s="23" t="str">
        <f>"P17  "&amp;Inputs!$E$639</f>
        <v>P17  Pipeline Project 2</v>
      </c>
      <c r="C109" s="28" t="s">
        <v>493</v>
      </c>
      <c r="H109" s="29">
        <f>'Capex &amp; Depreciation'!H278</f>
        <v>0</v>
      </c>
      <c r="I109" s="29">
        <f>'Capex &amp; Depreciation'!I278</f>
        <v>0</v>
      </c>
      <c r="J109" s="29">
        <f>'Capex &amp; Depreciation'!J278</f>
        <v>0</v>
      </c>
      <c r="K109" s="29">
        <f>'Capex &amp; Depreciation'!K278</f>
        <v>0</v>
      </c>
      <c r="L109" s="29">
        <f>'Capex &amp; Depreciation'!L278</f>
        <v>0</v>
      </c>
      <c r="M109" s="29">
        <f>'Capex &amp; Depreciation'!M278</f>
        <v>0</v>
      </c>
      <c r="N109" s="29">
        <f>'Capex &amp; Depreciation'!N278</f>
        <v>0</v>
      </c>
      <c r="O109" s="29">
        <f>'Capex &amp; Depreciation'!O278</f>
        <v>0</v>
      </c>
      <c r="P109" s="29">
        <f>'Capex &amp; Depreciation'!P278</f>
        <v>0</v>
      </c>
      <c r="Q109" s="29">
        <f>'Capex &amp; Depreciation'!Q278</f>
        <v>0</v>
      </c>
      <c r="R109" s="29">
        <f>'Capex &amp; Depreciation'!R278</f>
        <v>0</v>
      </c>
      <c r="S109" s="29">
        <f>'Capex &amp; Depreciation'!S278</f>
        <v>0</v>
      </c>
      <c r="T109" s="29">
        <f>'Capex &amp; Depreciation'!T278</f>
        <v>0</v>
      </c>
    </row>
    <row r="110" spans="2:20" x14ac:dyDescent="0.25">
      <c r="B110" s="23" t="str">
        <f>"P18  "&amp;Inputs!$E$673</f>
        <v>P18  Pipeline Project 3</v>
      </c>
      <c r="C110" s="28" t="s">
        <v>493</v>
      </c>
      <c r="H110" s="29">
        <f>'Capex &amp; Depreciation'!H279</f>
        <v>0</v>
      </c>
      <c r="I110" s="29">
        <f>'Capex &amp; Depreciation'!I279</f>
        <v>0</v>
      </c>
      <c r="J110" s="29">
        <f>'Capex &amp; Depreciation'!J279</f>
        <v>0</v>
      </c>
      <c r="K110" s="29">
        <f>'Capex &amp; Depreciation'!K279</f>
        <v>0</v>
      </c>
      <c r="L110" s="29">
        <f>'Capex &amp; Depreciation'!L279</f>
        <v>0</v>
      </c>
      <c r="M110" s="29">
        <f>'Capex &amp; Depreciation'!M279</f>
        <v>0</v>
      </c>
      <c r="N110" s="29">
        <f>'Capex &amp; Depreciation'!N279</f>
        <v>0</v>
      </c>
      <c r="O110" s="29">
        <f>'Capex &amp; Depreciation'!O279</f>
        <v>0</v>
      </c>
      <c r="P110" s="29">
        <f>'Capex &amp; Depreciation'!P279</f>
        <v>0</v>
      </c>
      <c r="Q110" s="29">
        <f>'Capex &amp; Depreciation'!Q279</f>
        <v>0</v>
      </c>
      <c r="R110" s="29">
        <f>'Capex &amp; Depreciation'!R279</f>
        <v>0</v>
      </c>
      <c r="S110" s="29">
        <f>'Capex &amp; Depreciation'!S279</f>
        <v>0</v>
      </c>
      <c r="T110" s="29">
        <f>'Capex &amp; Depreciation'!T279</f>
        <v>0</v>
      </c>
    </row>
    <row r="111" spans="2:20" x14ac:dyDescent="0.25">
      <c r="B111" s="23" t="s">
        <v>2050</v>
      </c>
      <c r="C111" s="28" t="s">
        <v>493</v>
      </c>
      <c r="H111" s="29">
        <f>'Capex &amp; Depreciation'!H280</f>
        <v>0</v>
      </c>
      <c r="I111" s="29">
        <f>'Capex &amp; Depreciation'!I280</f>
        <v>0</v>
      </c>
      <c r="J111" s="29">
        <f>'Capex &amp; Depreciation'!J280</f>
        <v>0</v>
      </c>
      <c r="K111" s="29">
        <f>'Capex &amp; Depreciation'!K280</f>
        <v>65.06</v>
      </c>
      <c r="L111" s="29">
        <f>'Capex &amp; Depreciation'!L280</f>
        <v>97.59</v>
      </c>
      <c r="M111" s="29">
        <f>'Capex &amp; Depreciation'!M280</f>
        <v>0</v>
      </c>
      <c r="N111" s="29">
        <f>'Capex &amp; Depreciation'!N280</f>
        <v>0</v>
      </c>
      <c r="O111" s="29">
        <f>'Capex &amp; Depreciation'!O280</f>
        <v>0</v>
      </c>
      <c r="P111" s="29">
        <f>'Capex &amp; Depreciation'!P280</f>
        <v>0</v>
      </c>
      <c r="Q111" s="29">
        <f>'Capex &amp; Depreciation'!Q280</f>
        <v>0</v>
      </c>
      <c r="R111" s="29">
        <f>'Capex &amp; Depreciation'!R280</f>
        <v>0</v>
      </c>
      <c r="S111" s="29">
        <f>'Capex &amp; Depreciation'!S280</f>
        <v>0</v>
      </c>
      <c r="T111" s="29">
        <f>'Capex &amp; Depreciation'!T280</f>
        <v>0</v>
      </c>
    </row>
    <row r="112" spans="2:20" x14ac:dyDescent="0.25">
      <c r="B112" s="23" t="s">
        <v>2736</v>
      </c>
      <c r="C112" s="28" t="s">
        <v>493</v>
      </c>
      <c r="H112" s="159">
        <f>'Capex &amp; Depreciation'!H283-SUM(H100:H111)</f>
        <v>0</v>
      </c>
      <c r="I112" s="159">
        <f>'Capex &amp; Depreciation'!I283-SUM(I100:I111)</f>
        <v>0</v>
      </c>
      <c r="J112" s="159">
        <f>'Capex &amp; Depreciation'!J283-SUM(J100:J111)</f>
        <v>0</v>
      </c>
      <c r="K112" s="159">
        <f>'Capex &amp; Depreciation'!K283-SUM(K100:K111)</f>
        <v>0</v>
      </c>
      <c r="L112" s="159">
        <f>'Capex &amp; Depreciation'!L283-SUM(L100:L111)</f>
        <v>0</v>
      </c>
      <c r="M112" s="159">
        <f>'Capex &amp; Depreciation'!M283-SUM(M100:M111)</f>
        <v>0</v>
      </c>
      <c r="N112" s="159">
        <f>'Capex &amp; Depreciation'!N283-SUM(N100:N111)</f>
        <v>0</v>
      </c>
      <c r="O112" s="159">
        <f>'Capex &amp; Depreciation'!O283-SUM(O100:O111)</f>
        <v>0</v>
      </c>
      <c r="P112" s="159">
        <f>'Capex &amp; Depreciation'!P283-SUM(P100:P111)</f>
        <v>0</v>
      </c>
      <c r="Q112" s="159">
        <f>'Capex &amp; Depreciation'!Q283-SUM(Q100:Q111)</f>
        <v>0</v>
      </c>
      <c r="R112" s="159">
        <f>'Capex &amp; Depreciation'!R283-SUM(R100:R111)</f>
        <v>0</v>
      </c>
      <c r="S112" s="159">
        <f>'Capex &amp; Depreciation'!S283-SUM(S100:S111)</f>
        <v>0</v>
      </c>
      <c r="T112" s="159">
        <f>'Capex &amp; Depreciation'!T283-SUM(T100:T111)</f>
        <v>0</v>
      </c>
    </row>
    <row r="113" spans="2:20" x14ac:dyDescent="0.25">
      <c r="B113" s="21" t="s">
        <v>2737</v>
      </c>
      <c r="C113" s="28" t="s">
        <v>493</v>
      </c>
      <c r="G113" s="157"/>
      <c r="H113" s="158">
        <f t="shared" ref="H113:T113" si="18">SUM(H100:H111)+H112</f>
        <v>125.24050000000001</v>
      </c>
      <c r="I113" s="158">
        <f t="shared" si="18"/>
        <v>14.638500000000001</v>
      </c>
      <c r="J113" s="158">
        <f t="shared" si="18"/>
        <v>419.77202976190472</v>
      </c>
      <c r="K113" s="158">
        <f t="shared" si="18"/>
        <v>225.06362499999994</v>
      </c>
      <c r="L113" s="158">
        <f t="shared" si="18"/>
        <v>97.59</v>
      </c>
      <c r="M113" s="158">
        <f t="shared" si="18"/>
        <v>0</v>
      </c>
      <c r="N113" s="158">
        <f t="shared" si="18"/>
        <v>0</v>
      </c>
      <c r="O113" s="158">
        <f t="shared" si="18"/>
        <v>0</v>
      </c>
      <c r="P113" s="158">
        <f t="shared" si="18"/>
        <v>0</v>
      </c>
      <c r="Q113" s="158">
        <f t="shared" si="18"/>
        <v>0</v>
      </c>
      <c r="R113" s="158">
        <f t="shared" si="18"/>
        <v>0</v>
      </c>
      <c r="S113" s="158">
        <f t="shared" si="18"/>
        <v>0</v>
      </c>
      <c r="T113" s="158">
        <f t="shared" si="18"/>
        <v>0</v>
      </c>
    </row>
    <row r="114" spans="2:20" x14ac:dyDescent="0.25">
      <c r="B114" s="154" t="s">
        <v>2738</v>
      </c>
    </row>
    <row r="115" spans="2:20" x14ac:dyDescent="0.25">
      <c r="B115" s="23" t="s">
        <v>2035</v>
      </c>
      <c r="C115" s="28" t="s">
        <v>493</v>
      </c>
      <c r="H115" s="159">
        <f>MAX(0,-'Project Cash Flows'!H115)</f>
        <v>37.409500000000008</v>
      </c>
      <c r="I115" s="159">
        <f>MAX(0,-'Project Cash Flows'!I115)</f>
        <v>0</v>
      </c>
      <c r="J115" s="159">
        <f>MAX(0,-'Project Cash Flows'!J115)</f>
        <v>0</v>
      </c>
      <c r="K115" s="159">
        <f>MAX(0,-'Project Cash Flows'!K115)</f>
        <v>0</v>
      </c>
      <c r="L115" s="159">
        <f>MAX(0,-'Project Cash Flows'!L115)</f>
        <v>0</v>
      </c>
      <c r="M115" s="159">
        <f>MAX(0,-'Project Cash Flows'!M115)</f>
        <v>0</v>
      </c>
      <c r="N115" s="159">
        <f>MAX(0,-'Project Cash Flows'!N115)</f>
        <v>0</v>
      </c>
      <c r="O115" s="159">
        <f>MAX(0,-'Project Cash Flows'!O115)</f>
        <v>0</v>
      </c>
      <c r="P115" s="159">
        <f>MAX(0,-'Project Cash Flows'!P115)</f>
        <v>0</v>
      </c>
      <c r="Q115" s="159">
        <f>MAX(0,-'Project Cash Flows'!Q115)</f>
        <v>0</v>
      </c>
      <c r="R115" s="159">
        <f>MAX(0,-'Project Cash Flows'!R115)</f>
        <v>0</v>
      </c>
      <c r="S115" s="159">
        <f>MAX(0,-'Project Cash Flows'!S115)</f>
        <v>0</v>
      </c>
      <c r="T115" s="159">
        <f>MAX(0,-'Project Cash Flows'!T115)</f>
        <v>0</v>
      </c>
    </row>
    <row r="116" spans="2:20" x14ac:dyDescent="0.25">
      <c r="B116" s="23" t="s">
        <v>2036</v>
      </c>
      <c r="C116" s="28" t="s">
        <v>493</v>
      </c>
      <c r="H116" s="159">
        <f>MAX(0,-'Project Cash Flows'!H128)</f>
        <v>87.831000000000003</v>
      </c>
      <c r="I116" s="159">
        <f>MAX(0,-'Project Cash Flows'!I128)</f>
        <v>0</v>
      </c>
      <c r="J116" s="159">
        <f>MAX(0,-'Project Cash Flows'!J128)</f>
        <v>0</v>
      </c>
      <c r="K116" s="159">
        <f>MAX(0,-'Project Cash Flows'!K128)</f>
        <v>0</v>
      </c>
      <c r="L116" s="159">
        <f>MAX(0,-'Project Cash Flows'!L128)</f>
        <v>0</v>
      </c>
      <c r="M116" s="159">
        <f>MAX(0,-'Project Cash Flows'!M128)</f>
        <v>0</v>
      </c>
      <c r="N116" s="159">
        <f>MAX(0,-'Project Cash Flows'!N128)</f>
        <v>0</v>
      </c>
      <c r="O116" s="159">
        <f>MAX(0,-'Project Cash Flows'!O128)</f>
        <v>0</v>
      </c>
      <c r="P116" s="159">
        <f>MAX(0,-'Project Cash Flows'!P128)</f>
        <v>0</v>
      </c>
      <c r="Q116" s="159">
        <f>MAX(0,-'Project Cash Flows'!Q128)</f>
        <v>0</v>
      </c>
      <c r="R116" s="159">
        <f>MAX(0,-'Project Cash Flows'!R128)</f>
        <v>0</v>
      </c>
      <c r="S116" s="159">
        <f>MAX(0,-'Project Cash Flows'!S128)</f>
        <v>0</v>
      </c>
      <c r="T116" s="159">
        <f>MAX(0,-'Project Cash Flows'!T128)</f>
        <v>0</v>
      </c>
    </row>
    <row r="117" spans="2:20" x14ac:dyDescent="0.25">
      <c r="B117" s="23" t="s">
        <v>2037</v>
      </c>
      <c r="C117" s="28" t="s">
        <v>493</v>
      </c>
      <c r="H117" s="159">
        <f>MAX(0,-'Project Cash Flows'!H141)</f>
        <v>0</v>
      </c>
      <c r="I117" s="159">
        <f>MAX(0,-'Project Cash Flows'!I141)</f>
        <v>0</v>
      </c>
      <c r="J117" s="159">
        <f>MAX(0,-'Project Cash Flows'!J141)</f>
        <v>97.990000000000052</v>
      </c>
      <c r="K117" s="159">
        <f>MAX(0,-'Project Cash Flows'!K141)</f>
        <v>0</v>
      </c>
      <c r="L117" s="159">
        <f>MAX(0,-'Project Cash Flows'!L141)</f>
        <v>0</v>
      </c>
      <c r="M117" s="159">
        <f>MAX(0,-'Project Cash Flows'!M141)</f>
        <v>0</v>
      </c>
      <c r="N117" s="159">
        <f>MAX(0,-'Project Cash Flows'!N141)</f>
        <v>0</v>
      </c>
      <c r="O117" s="159">
        <f>MAX(0,-'Project Cash Flows'!O141)</f>
        <v>0</v>
      </c>
      <c r="P117" s="159">
        <f>MAX(0,-'Project Cash Flows'!P141)</f>
        <v>0</v>
      </c>
      <c r="Q117" s="159">
        <f>MAX(0,-'Project Cash Flows'!Q141)</f>
        <v>0</v>
      </c>
      <c r="R117" s="159">
        <f>MAX(0,-'Project Cash Flows'!R141)</f>
        <v>0</v>
      </c>
      <c r="S117" s="159">
        <f>MAX(0,-'Project Cash Flows'!S141)</f>
        <v>0</v>
      </c>
      <c r="T117" s="159">
        <f>MAX(0,-'Project Cash Flows'!T141)</f>
        <v>0</v>
      </c>
    </row>
    <row r="118" spans="2:20" x14ac:dyDescent="0.25">
      <c r="B118" s="23" t="s">
        <v>2038</v>
      </c>
      <c r="C118" s="28" t="s">
        <v>493</v>
      </c>
      <c r="H118" s="159">
        <f>MAX(0,-'Project Cash Flows'!H154)</f>
        <v>0</v>
      </c>
      <c r="I118" s="159">
        <f>MAX(0,-'Project Cash Flows'!I154)</f>
        <v>0</v>
      </c>
      <c r="J118" s="159">
        <f>MAX(0,-'Project Cash Flows'!J154)</f>
        <v>61.193749999999952</v>
      </c>
      <c r="K118" s="159">
        <f>MAX(0,-'Project Cash Flows'!K154)</f>
        <v>0</v>
      </c>
      <c r="L118" s="159">
        <f>MAX(0,-'Project Cash Flows'!L154)</f>
        <v>0</v>
      </c>
      <c r="M118" s="159">
        <f>MAX(0,-'Project Cash Flows'!M154)</f>
        <v>0</v>
      </c>
      <c r="N118" s="159">
        <f>MAX(0,-'Project Cash Flows'!N154)</f>
        <v>0</v>
      </c>
      <c r="O118" s="159">
        <f>MAX(0,-'Project Cash Flows'!O154)</f>
        <v>0</v>
      </c>
      <c r="P118" s="159">
        <f>MAX(0,-'Project Cash Flows'!P154)</f>
        <v>0</v>
      </c>
      <c r="Q118" s="159">
        <f>MAX(0,-'Project Cash Flows'!Q154)</f>
        <v>0</v>
      </c>
      <c r="R118" s="159">
        <f>MAX(0,-'Project Cash Flows'!R154)</f>
        <v>0</v>
      </c>
      <c r="S118" s="159">
        <f>MAX(0,-'Project Cash Flows'!S154)</f>
        <v>0</v>
      </c>
      <c r="T118" s="159">
        <f>MAX(0,-'Project Cash Flows'!T154)</f>
        <v>0</v>
      </c>
    </row>
    <row r="119" spans="2:20" x14ac:dyDescent="0.25">
      <c r="B119" s="23" t="s">
        <v>2039</v>
      </c>
      <c r="C119" s="28" t="s">
        <v>493</v>
      </c>
      <c r="H119" s="159">
        <f>MAX(0,-'Project Cash Flows'!H167)</f>
        <v>0</v>
      </c>
      <c r="I119" s="159">
        <f>MAX(0,-'Project Cash Flows'!I167)</f>
        <v>0</v>
      </c>
      <c r="J119" s="159">
        <f>MAX(0,-'Project Cash Flows'!J167)</f>
        <v>89.365957627532325</v>
      </c>
      <c r="K119" s="159">
        <f>MAX(0,-'Project Cash Flows'!K167)</f>
        <v>0</v>
      </c>
      <c r="L119" s="159">
        <f>MAX(0,-'Project Cash Flows'!L167)</f>
        <v>0</v>
      </c>
      <c r="M119" s="159">
        <f>MAX(0,-'Project Cash Flows'!M167)</f>
        <v>0</v>
      </c>
      <c r="N119" s="159">
        <f>MAX(0,-'Project Cash Flows'!N167)</f>
        <v>0</v>
      </c>
      <c r="O119" s="159">
        <f>MAX(0,-'Project Cash Flows'!O167)</f>
        <v>0</v>
      </c>
      <c r="P119" s="159">
        <f>MAX(0,-'Project Cash Flows'!P167)</f>
        <v>0</v>
      </c>
      <c r="Q119" s="159">
        <f>MAX(0,-'Project Cash Flows'!Q167)</f>
        <v>0</v>
      </c>
      <c r="R119" s="159">
        <f>MAX(0,-'Project Cash Flows'!R167)</f>
        <v>0</v>
      </c>
      <c r="S119" s="159">
        <f>MAX(0,-'Project Cash Flows'!S167)</f>
        <v>0</v>
      </c>
      <c r="T119" s="159">
        <f>MAX(0,-'Project Cash Flows'!T167)</f>
        <v>0</v>
      </c>
    </row>
    <row r="120" spans="2:20" x14ac:dyDescent="0.25">
      <c r="B120" s="23" t="s">
        <v>2040</v>
      </c>
      <c r="C120" s="28" t="s">
        <v>493</v>
      </c>
      <c r="H120" s="159">
        <f>MAX(0,-'Project Cash Flows'!H180)</f>
        <v>0</v>
      </c>
      <c r="I120" s="159">
        <f>MAX(0,-'Project Cash Flows'!I180)</f>
        <v>0</v>
      </c>
      <c r="J120" s="159">
        <f>MAX(0,-'Project Cash Flows'!J180)</f>
        <v>40.862500000000026</v>
      </c>
      <c r="K120" s="159">
        <f>MAX(0,-'Project Cash Flows'!K180)</f>
        <v>40.862500000000026</v>
      </c>
      <c r="L120" s="159">
        <f>MAX(0,-'Project Cash Flows'!L180)</f>
        <v>0</v>
      </c>
      <c r="M120" s="159">
        <f>MAX(0,-'Project Cash Flows'!M180)</f>
        <v>0</v>
      </c>
      <c r="N120" s="159">
        <f>MAX(0,-'Project Cash Flows'!N180)</f>
        <v>0</v>
      </c>
      <c r="O120" s="159">
        <f>MAX(0,-'Project Cash Flows'!O180)</f>
        <v>0</v>
      </c>
      <c r="P120" s="159">
        <f>MAX(0,-'Project Cash Flows'!P180)</f>
        <v>0</v>
      </c>
      <c r="Q120" s="159">
        <f>MAX(0,-'Project Cash Flows'!Q180)</f>
        <v>0</v>
      </c>
      <c r="R120" s="159">
        <f>MAX(0,-'Project Cash Flows'!R180)</f>
        <v>0</v>
      </c>
      <c r="S120" s="159">
        <f>MAX(0,-'Project Cash Flows'!S180)</f>
        <v>0</v>
      </c>
      <c r="T120" s="159">
        <f>MAX(0,-'Project Cash Flows'!T180)</f>
        <v>0</v>
      </c>
    </row>
    <row r="121" spans="2:20" x14ac:dyDescent="0.25">
      <c r="B121" s="23" t="s">
        <v>2041</v>
      </c>
      <c r="C121" s="28" t="s">
        <v>493</v>
      </c>
      <c r="H121" s="159">
        <f>MAX(0,-'Project Cash Flows'!H193)</f>
        <v>0</v>
      </c>
      <c r="I121" s="159">
        <f>MAX(0,-'Project Cash Flows'!I193)</f>
        <v>0</v>
      </c>
      <c r="J121" s="159">
        <f>MAX(0,-'Project Cash Flows'!J193)</f>
        <v>114.6737224657534</v>
      </c>
      <c r="K121" s="159">
        <f>MAX(0,-'Project Cash Flows'!K193)</f>
        <v>107.34831995885881</v>
      </c>
      <c r="L121" s="159">
        <f>MAX(0,-'Project Cash Flows'!L193)</f>
        <v>0</v>
      </c>
      <c r="M121" s="159">
        <f>MAX(0,-'Project Cash Flows'!M193)</f>
        <v>0</v>
      </c>
      <c r="N121" s="159">
        <f>MAX(0,-'Project Cash Flows'!N193)</f>
        <v>0</v>
      </c>
      <c r="O121" s="159">
        <f>MAX(0,-'Project Cash Flows'!O193)</f>
        <v>0</v>
      </c>
      <c r="P121" s="159">
        <f>MAX(0,-'Project Cash Flows'!P193)</f>
        <v>0</v>
      </c>
      <c r="Q121" s="159">
        <f>MAX(0,-'Project Cash Flows'!Q193)</f>
        <v>0</v>
      </c>
      <c r="R121" s="159">
        <f>MAX(0,-'Project Cash Flows'!R193)</f>
        <v>0</v>
      </c>
      <c r="S121" s="159">
        <f>MAX(0,-'Project Cash Flows'!S193)</f>
        <v>0</v>
      </c>
      <c r="T121" s="159">
        <f>MAX(0,-'Project Cash Flows'!T193)</f>
        <v>0.45632245227936202</v>
      </c>
    </row>
    <row r="122" spans="2:20" x14ac:dyDescent="0.25">
      <c r="B122" s="23" t="s">
        <v>2049</v>
      </c>
      <c r="C122" s="28" t="s">
        <v>493</v>
      </c>
      <c r="H122" s="159">
        <f>MAX(0,-'Project Cash Flows'!H297)</f>
        <v>0</v>
      </c>
      <c r="I122" s="159">
        <f>MAX(0,-'Project Cash Flows'!I297)</f>
        <v>0</v>
      </c>
      <c r="J122" s="159">
        <f>MAX(0,-'Project Cash Flows'!J297)</f>
        <v>0</v>
      </c>
      <c r="K122" s="159">
        <f>MAX(0,-'Project Cash Flows'!K297)</f>
        <v>0</v>
      </c>
      <c r="L122" s="159">
        <f>MAX(0,-'Project Cash Flows'!L297)</f>
        <v>0</v>
      </c>
      <c r="M122" s="159">
        <f>MAX(0,-'Project Cash Flows'!M297)</f>
        <v>0</v>
      </c>
      <c r="N122" s="159">
        <f>MAX(0,-'Project Cash Flows'!N297)</f>
        <v>0</v>
      </c>
      <c r="O122" s="159">
        <f>MAX(0,-'Project Cash Flows'!O297)</f>
        <v>0</v>
      </c>
      <c r="P122" s="159">
        <f>MAX(0,-'Project Cash Flows'!P297)</f>
        <v>0</v>
      </c>
      <c r="Q122" s="159">
        <f>MAX(0,-'Project Cash Flows'!Q297)</f>
        <v>0</v>
      </c>
      <c r="R122" s="159">
        <f>MAX(0,-'Project Cash Flows'!R297)</f>
        <v>0</v>
      </c>
      <c r="S122" s="159">
        <f>MAX(0,-'Project Cash Flows'!S297)</f>
        <v>0</v>
      </c>
      <c r="T122" s="159">
        <f>MAX(0,-'Project Cash Flows'!T297)</f>
        <v>0</v>
      </c>
    </row>
    <row r="123" spans="2:20" x14ac:dyDescent="0.25">
      <c r="B123" s="23" t="str">
        <f>"P16  "&amp;Inputs!$E$605</f>
        <v>P16  Lampung</v>
      </c>
      <c r="C123" s="28" t="s">
        <v>493</v>
      </c>
      <c r="H123" s="159">
        <f>MAX(0,-'Project Cash Flows'!H310)</f>
        <v>0</v>
      </c>
      <c r="I123" s="159">
        <f>MAX(0,-'Project Cash Flows'!I310)</f>
        <v>0</v>
      </c>
      <c r="J123" s="159">
        <f>MAX(0,-'Project Cash Flows'!J310)</f>
        <v>0</v>
      </c>
      <c r="K123" s="159">
        <f>MAX(0,-'Project Cash Flows'!K310)</f>
        <v>0</v>
      </c>
      <c r="L123" s="159">
        <f>MAX(0,-'Project Cash Flows'!L310)</f>
        <v>0</v>
      </c>
      <c r="M123" s="159">
        <f>MAX(0,-'Project Cash Flows'!M310)</f>
        <v>0</v>
      </c>
      <c r="N123" s="159">
        <f>MAX(0,-'Project Cash Flows'!N310)</f>
        <v>0</v>
      </c>
      <c r="O123" s="159">
        <f>MAX(0,-'Project Cash Flows'!O310)</f>
        <v>0</v>
      </c>
      <c r="P123" s="159">
        <f>MAX(0,-'Project Cash Flows'!P310)</f>
        <v>0</v>
      </c>
      <c r="Q123" s="159">
        <f>MAX(0,-'Project Cash Flows'!Q310)</f>
        <v>0</v>
      </c>
      <c r="R123" s="159">
        <f>MAX(0,-'Project Cash Flows'!R310)</f>
        <v>0</v>
      </c>
      <c r="S123" s="159">
        <f>MAX(0,-'Project Cash Flows'!S310)</f>
        <v>0</v>
      </c>
      <c r="T123" s="159">
        <f>MAX(0,-'Project Cash Flows'!T310)</f>
        <v>0</v>
      </c>
    </row>
    <row r="124" spans="2:20" x14ac:dyDescent="0.25">
      <c r="B124" s="23" t="str">
        <f>"P17  "&amp;Inputs!$E$639</f>
        <v>P17  Pipeline Project 2</v>
      </c>
      <c r="C124" s="28" t="s">
        <v>493</v>
      </c>
      <c r="H124" s="159">
        <f>MAX(0,-'Project Cash Flows'!H323)</f>
        <v>0</v>
      </c>
      <c r="I124" s="159">
        <f>MAX(0,-'Project Cash Flows'!I323)</f>
        <v>0</v>
      </c>
      <c r="J124" s="159">
        <f>MAX(0,-'Project Cash Flows'!J323)</f>
        <v>0</v>
      </c>
      <c r="K124" s="159">
        <f>MAX(0,-'Project Cash Flows'!K323)</f>
        <v>0</v>
      </c>
      <c r="L124" s="159">
        <f>MAX(0,-'Project Cash Flows'!L323)</f>
        <v>0</v>
      </c>
      <c r="M124" s="159">
        <f>MAX(0,-'Project Cash Flows'!M323)</f>
        <v>0</v>
      </c>
      <c r="N124" s="159">
        <f>MAX(0,-'Project Cash Flows'!N323)</f>
        <v>0</v>
      </c>
      <c r="O124" s="159">
        <f>MAX(0,-'Project Cash Flows'!O323)</f>
        <v>0</v>
      </c>
      <c r="P124" s="159">
        <f>MAX(0,-'Project Cash Flows'!P323)</f>
        <v>0</v>
      </c>
      <c r="Q124" s="159">
        <f>MAX(0,-'Project Cash Flows'!Q323)</f>
        <v>0</v>
      </c>
      <c r="R124" s="159">
        <f>MAX(0,-'Project Cash Flows'!R323)</f>
        <v>0</v>
      </c>
      <c r="S124" s="159">
        <f>MAX(0,-'Project Cash Flows'!S323)</f>
        <v>0</v>
      </c>
      <c r="T124" s="159">
        <f>MAX(0,-'Project Cash Flows'!T323)</f>
        <v>0</v>
      </c>
    </row>
    <row r="125" spans="2:20" x14ac:dyDescent="0.25">
      <c r="B125" s="23" t="str">
        <f>"P18  "&amp;Inputs!$E$673</f>
        <v>P18  Pipeline Project 3</v>
      </c>
      <c r="C125" s="28" t="s">
        <v>493</v>
      </c>
      <c r="H125" s="159">
        <f>MAX(0,-'Project Cash Flows'!H336)</f>
        <v>0</v>
      </c>
      <c r="I125" s="159">
        <f>MAX(0,-'Project Cash Flows'!I336)</f>
        <v>0</v>
      </c>
      <c r="J125" s="159">
        <f>MAX(0,-'Project Cash Flows'!J336)</f>
        <v>0</v>
      </c>
      <c r="K125" s="159">
        <f>MAX(0,-'Project Cash Flows'!K336)</f>
        <v>0</v>
      </c>
      <c r="L125" s="159">
        <f>MAX(0,-'Project Cash Flows'!L336)</f>
        <v>0</v>
      </c>
      <c r="M125" s="159">
        <f>MAX(0,-'Project Cash Flows'!M336)</f>
        <v>0</v>
      </c>
      <c r="N125" s="159">
        <f>MAX(0,-'Project Cash Flows'!N336)</f>
        <v>0</v>
      </c>
      <c r="O125" s="159">
        <f>MAX(0,-'Project Cash Flows'!O336)</f>
        <v>0</v>
      </c>
      <c r="P125" s="159">
        <f>MAX(0,-'Project Cash Flows'!P336)</f>
        <v>0</v>
      </c>
      <c r="Q125" s="159">
        <f>MAX(0,-'Project Cash Flows'!Q336)</f>
        <v>0</v>
      </c>
      <c r="R125" s="159">
        <f>MAX(0,-'Project Cash Flows'!R336)</f>
        <v>0</v>
      </c>
      <c r="S125" s="159">
        <f>MAX(0,-'Project Cash Flows'!S336)</f>
        <v>0</v>
      </c>
      <c r="T125" s="159">
        <f>MAX(0,-'Project Cash Flows'!T336)</f>
        <v>0</v>
      </c>
    </row>
    <row r="126" spans="2:20" x14ac:dyDescent="0.25">
      <c r="B126" s="23" t="s">
        <v>2050</v>
      </c>
      <c r="C126" s="28" t="s">
        <v>493</v>
      </c>
      <c r="H126" s="159">
        <f>MAX(0,-'Project Cash Flows'!H349)</f>
        <v>0</v>
      </c>
      <c r="I126" s="159">
        <f>MAX(0,-'Project Cash Flows'!I349)</f>
        <v>0</v>
      </c>
      <c r="J126" s="159">
        <f>MAX(0,-'Project Cash Flows'!J349)</f>
        <v>0</v>
      </c>
      <c r="K126" s="159">
        <f>MAX(0,-'Project Cash Flows'!K349)</f>
        <v>65.06</v>
      </c>
      <c r="L126" s="159">
        <f>MAX(0,-'Project Cash Flows'!L349)</f>
        <v>99.09</v>
      </c>
      <c r="M126" s="159">
        <f>MAX(0,-'Project Cash Flows'!M349)</f>
        <v>0</v>
      </c>
      <c r="N126" s="159">
        <f>MAX(0,-'Project Cash Flows'!N349)</f>
        <v>0</v>
      </c>
      <c r="O126" s="159">
        <f>MAX(0,-'Project Cash Flows'!O349)</f>
        <v>0</v>
      </c>
      <c r="P126" s="159">
        <f>MAX(0,-'Project Cash Flows'!P349)</f>
        <v>0</v>
      </c>
      <c r="Q126" s="159">
        <f>MAX(0,-'Project Cash Flows'!Q349)</f>
        <v>0</v>
      </c>
      <c r="R126" s="159">
        <f>MAX(0,-'Project Cash Flows'!R349)</f>
        <v>0</v>
      </c>
      <c r="S126" s="159">
        <f>MAX(0,-'Project Cash Flows'!S349)</f>
        <v>0</v>
      </c>
      <c r="T126" s="159">
        <f>MAX(0,-'Project Cash Flows'!T349)</f>
        <v>0</v>
      </c>
    </row>
    <row r="127" spans="2:20" x14ac:dyDescent="0.25">
      <c r="B127" s="21" t="s">
        <v>2739</v>
      </c>
      <c r="C127" s="28" t="s">
        <v>493</v>
      </c>
      <c r="G127" s="157"/>
      <c r="H127" s="158">
        <f t="shared" ref="H127:T127" si="19">SUM(H115:H126)</f>
        <v>125.24050000000001</v>
      </c>
      <c r="I127" s="158">
        <f t="shared" si="19"/>
        <v>0</v>
      </c>
      <c r="J127" s="158">
        <f t="shared" si="19"/>
        <v>404.0859300932857</v>
      </c>
      <c r="K127" s="158">
        <f t="shared" si="19"/>
        <v>213.27081995885885</v>
      </c>
      <c r="L127" s="158">
        <f t="shared" si="19"/>
        <v>99.09</v>
      </c>
      <c r="M127" s="158">
        <f t="shared" si="19"/>
        <v>0</v>
      </c>
      <c r="N127" s="158">
        <f t="shared" si="19"/>
        <v>0</v>
      </c>
      <c r="O127" s="158">
        <f t="shared" si="19"/>
        <v>0</v>
      </c>
      <c r="P127" s="158">
        <f t="shared" si="19"/>
        <v>0</v>
      </c>
      <c r="Q127" s="158">
        <f t="shared" si="19"/>
        <v>0</v>
      </c>
      <c r="R127" s="158">
        <f t="shared" si="19"/>
        <v>0</v>
      </c>
      <c r="S127" s="158">
        <f t="shared" si="19"/>
        <v>0</v>
      </c>
      <c r="T127" s="158">
        <f t="shared" si="19"/>
        <v>0.45632245227936202</v>
      </c>
    </row>
    <row r="128" spans="2:20" x14ac:dyDescent="0.25">
      <c r="B128" s="21" t="s">
        <v>2740</v>
      </c>
      <c r="C128" s="28" t="s">
        <v>493</v>
      </c>
      <c r="H128" s="160">
        <f t="shared" ref="H128:T128" si="20">H54</f>
        <v>0</v>
      </c>
      <c r="I128" s="160">
        <f t="shared" si="20"/>
        <v>0</v>
      </c>
      <c r="J128" s="160">
        <f t="shared" si="20"/>
        <v>0</v>
      </c>
      <c r="K128" s="160">
        <f t="shared" si="20"/>
        <v>28.884162758641565</v>
      </c>
      <c r="L128" s="160">
        <f t="shared" si="20"/>
        <v>0</v>
      </c>
      <c r="M128" s="160">
        <f t="shared" si="20"/>
        <v>0</v>
      </c>
      <c r="N128" s="160">
        <f t="shared" si="20"/>
        <v>0</v>
      </c>
      <c r="O128" s="160">
        <f t="shared" si="20"/>
        <v>0</v>
      </c>
      <c r="P128" s="160">
        <f t="shared" si="20"/>
        <v>0</v>
      </c>
      <c r="Q128" s="160">
        <f t="shared" si="20"/>
        <v>0</v>
      </c>
      <c r="R128" s="160">
        <f t="shared" si="20"/>
        <v>0</v>
      </c>
      <c r="S128" s="160">
        <f t="shared" si="20"/>
        <v>0</v>
      </c>
      <c r="T128" s="160">
        <f t="shared" si="20"/>
        <v>0</v>
      </c>
    </row>
    <row r="129" spans="2:20" x14ac:dyDescent="0.25">
      <c r="B129" s="21" t="s">
        <v>2741</v>
      </c>
      <c r="C129" s="28" t="s">
        <v>493</v>
      </c>
      <c r="H129" s="160">
        <f t="shared" ref="H129:T129" si="21">H86</f>
        <v>0</v>
      </c>
      <c r="I129" s="160">
        <f t="shared" si="21"/>
        <v>0</v>
      </c>
      <c r="J129" s="160">
        <f t="shared" si="21"/>
        <v>0</v>
      </c>
      <c r="K129" s="160">
        <f t="shared" si="21"/>
        <v>76.665204077581919</v>
      </c>
      <c r="L129" s="160">
        <f t="shared" si="21"/>
        <v>0</v>
      </c>
      <c r="M129" s="160">
        <f t="shared" si="21"/>
        <v>0</v>
      </c>
      <c r="N129" s="160">
        <f t="shared" si="21"/>
        <v>0</v>
      </c>
      <c r="O129" s="160">
        <f t="shared" si="21"/>
        <v>0</v>
      </c>
      <c r="P129" s="160">
        <f t="shared" si="21"/>
        <v>0</v>
      </c>
      <c r="Q129" s="160">
        <f t="shared" si="21"/>
        <v>0</v>
      </c>
      <c r="R129" s="160">
        <f t="shared" si="21"/>
        <v>0</v>
      </c>
      <c r="S129" s="160">
        <f t="shared" si="21"/>
        <v>0</v>
      </c>
      <c r="T129" s="160">
        <f t="shared" si="21"/>
        <v>0</v>
      </c>
    </row>
    <row r="130" spans="2:20" x14ac:dyDescent="0.25">
      <c r="B130" s="145" t="s">
        <v>2742</v>
      </c>
    </row>
    <row r="132" spans="2:20" x14ac:dyDescent="0.25">
      <c r="B132" s="58" t="s">
        <v>2743</v>
      </c>
      <c r="C132" s="19"/>
      <c r="D132" s="19"/>
      <c r="E132" s="19"/>
      <c r="F132" s="19"/>
      <c r="G132" s="19"/>
      <c r="H132" s="19"/>
      <c r="I132" s="19"/>
      <c r="J132" s="19"/>
      <c r="K132" s="19"/>
      <c r="L132" s="19"/>
      <c r="M132" s="19"/>
      <c r="N132" s="19"/>
      <c r="O132" s="19"/>
      <c r="P132" s="19"/>
      <c r="Q132" s="19"/>
      <c r="R132" s="19"/>
      <c r="S132" s="19"/>
      <c r="T132" s="19"/>
    </row>
    <row r="133" spans="2:20" ht="26.25" customHeight="1" x14ac:dyDescent="0.25">
      <c r="B133" s="64" t="s">
        <v>2744</v>
      </c>
      <c r="C133" s="28" t="s">
        <v>493</v>
      </c>
      <c r="H133" s="29">
        <f>'Capex &amp; Depreciation'!H347</f>
        <v>0</v>
      </c>
      <c r="I133" s="29">
        <f>'Capex &amp; Depreciation'!I347</f>
        <v>0</v>
      </c>
      <c r="J133" s="29">
        <f>'Capex &amp; Depreciation'!J347</f>
        <v>0</v>
      </c>
      <c r="K133" s="29">
        <f>'Capex &amp; Depreciation'!K347</f>
        <v>0</v>
      </c>
      <c r="L133" s="29">
        <f>'Capex &amp; Depreciation'!L347</f>
        <v>0</v>
      </c>
      <c r="M133" s="29">
        <f>'Capex &amp; Depreciation'!M347</f>
        <v>0</v>
      </c>
      <c r="N133" s="29">
        <f>'Capex &amp; Depreciation'!N347</f>
        <v>0</v>
      </c>
      <c r="O133" s="29">
        <f>'Capex &amp; Depreciation'!O347</f>
        <v>0</v>
      </c>
      <c r="P133" s="29">
        <f>'Capex &amp; Depreciation'!P347</f>
        <v>0</v>
      </c>
      <c r="Q133" s="29">
        <f>'Capex &amp; Depreciation'!Q347</f>
        <v>0</v>
      </c>
      <c r="R133" s="29">
        <f>'Capex &amp; Depreciation'!R347</f>
        <v>0</v>
      </c>
      <c r="S133" s="29">
        <f>'Capex &amp; Depreciation'!S347</f>
        <v>0</v>
      </c>
      <c r="T133" s="29">
        <f>'Capex &amp; Depreciation'!T347</f>
        <v>0</v>
      </c>
    </row>
    <row r="134" spans="2:20" x14ac:dyDescent="0.25">
      <c r="B134" s="23" t="s">
        <v>2745</v>
      </c>
      <c r="C134" s="28" t="s">
        <v>493</v>
      </c>
      <c r="H134" s="159">
        <f>H133*Inputs!$E$584</f>
        <v>0</v>
      </c>
      <c r="I134" s="159">
        <f>I133*Inputs!$E$584</f>
        <v>0</v>
      </c>
      <c r="J134" s="159">
        <f>J133*Inputs!$E$584</f>
        <v>0</v>
      </c>
      <c r="K134" s="159">
        <f>K133*Inputs!$E$584</f>
        <v>0</v>
      </c>
      <c r="L134" s="159">
        <f>L133*Inputs!$E$584</f>
        <v>0</v>
      </c>
      <c r="M134" s="159">
        <f>M133*Inputs!$E$584</f>
        <v>0</v>
      </c>
      <c r="N134" s="159">
        <f>N133*Inputs!$E$584</f>
        <v>0</v>
      </c>
      <c r="O134" s="159">
        <f>O133*Inputs!$E$584</f>
        <v>0</v>
      </c>
      <c r="P134" s="159">
        <f>P133*Inputs!$E$584</f>
        <v>0</v>
      </c>
      <c r="Q134" s="159">
        <f>Q133*Inputs!$E$584</f>
        <v>0</v>
      </c>
      <c r="R134" s="159">
        <f>R133*Inputs!$E$584</f>
        <v>0</v>
      </c>
      <c r="S134" s="159">
        <f>S133*Inputs!$E$584</f>
        <v>0</v>
      </c>
      <c r="T134" s="159">
        <f>T133*Inputs!$E$584</f>
        <v>0</v>
      </c>
    </row>
    <row r="135" spans="2:20" x14ac:dyDescent="0.25">
      <c r="B135" s="23" t="s">
        <v>2746</v>
      </c>
      <c r="C135" s="28" t="s">
        <v>493</v>
      </c>
      <c r="H135" s="159">
        <f t="shared" ref="H135:T135" si="22">H133-H134</f>
        <v>0</v>
      </c>
      <c r="I135" s="159">
        <f t="shared" si="22"/>
        <v>0</v>
      </c>
      <c r="J135" s="159">
        <f t="shared" si="22"/>
        <v>0</v>
      </c>
      <c r="K135" s="159">
        <f t="shared" si="22"/>
        <v>0</v>
      </c>
      <c r="L135" s="159">
        <f t="shared" si="22"/>
        <v>0</v>
      </c>
      <c r="M135" s="159">
        <f t="shared" si="22"/>
        <v>0</v>
      </c>
      <c r="N135" s="159">
        <f t="shared" si="22"/>
        <v>0</v>
      </c>
      <c r="O135" s="159">
        <f t="shared" si="22"/>
        <v>0</v>
      </c>
      <c r="P135" s="159">
        <f t="shared" si="22"/>
        <v>0</v>
      </c>
      <c r="Q135" s="159">
        <f t="shared" si="22"/>
        <v>0</v>
      </c>
      <c r="R135" s="159">
        <f t="shared" si="22"/>
        <v>0</v>
      </c>
      <c r="S135" s="159">
        <f t="shared" si="22"/>
        <v>0</v>
      </c>
      <c r="T135" s="159">
        <f t="shared" si="22"/>
        <v>0</v>
      </c>
    </row>
    <row r="136" spans="2:20" x14ac:dyDescent="0.25">
      <c r="B136" s="23" t="str">
        <f>"F01  "&amp;IF(LEN(Inputs!$E$711&amp;"")=0,"(blank - contributes nothing)",Inputs!$E$711)&amp;" capex"</f>
        <v>F01  (blank - contributes nothing) capex</v>
      </c>
      <c r="C136" s="28" t="s">
        <v>493</v>
      </c>
      <c r="H136" s="29">
        <f>'Capex &amp; Depreciation'!H348</f>
        <v>0</v>
      </c>
      <c r="I136" s="29">
        <f>'Capex &amp; Depreciation'!I348</f>
        <v>0</v>
      </c>
      <c r="J136" s="29">
        <f>'Capex &amp; Depreciation'!J348</f>
        <v>0</v>
      </c>
      <c r="K136" s="29">
        <f>'Capex &amp; Depreciation'!K348</f>
        <v>0</v>
      </c>
      <c r="L136" s="29">
        <f>'Capex &amp; Depreciation'!L348</f>
        <v>0</v>
      </c>
      <c r="M136" s="29">
        <f>'Capex &amp; Depreciation'!M348</f>
        <v>0</v>
      </c>
      <c r="N136" s="29">
        <f>'Capex &amp; Depreciation'!N348</f>
        <v>0</v>
      </c>
      <c r="O136" s="29">
        <f>'Capex &amp; Depreciation'!O348</f>
        <v>0</v>
      </c>
      <c r="P136" s="29">
        <f>'Capex &amp; Depreciation'!P348</f>
        <v>0</v>
      </c>
      <c r="Q136" s="29">
        <f>'Capex &amp; Depreciation'!Q348</f>
        <v>0</v>
      </c>
      <c r="R136" s="29">
        <f>'Capex &amp; Depreciation'!R348</f>
        <v>0</v>
      </c>
      <c r="S136" s="29">
        <f>'Capex &amp; Depreciation'!S348</f>
        <v>0</v>
      </c>
      <c r="T136" s="29">
        <f>'Capex &amp; Depreciation'!T348</f>
        <v>0</v>
      </c>
    </row>
    <row r="137" spans="2:20" x14ac:dyDescent="0.25">
      <c r="B137" s="23" t="str">
        <f>"F02  "&amp;IF(LEN(Inputs!$E$716&amp;"")=0,"(blank - contributes nothing)",Inputs!$E$716)&amp;" capex"</f>
        <v>F02  (blank - contributes nothing) capex</v>
      </c>
      <c r="C137" s="28" t="s">
        <v>493</v>
      </c>
      <c r="H137" s="29">
        <f>'Capex &amp; Depreciation'!H349</f>
        <v>0</v>
      </c>
      <c r="I137" s="29">
        <f>'Capex &amp; Depreciation'!I349</f>
        <v>0</v>
      </c>
      <c r="J137" s="29">
        <f>'Capex &amp; Depreciation'!J349</f>
        <v>0</v>
      </c>
      <c r="K137" s="29">
        <f>'Capex &amp; Depreciation'!K349</f>
        <v>0</v>
      </c>
      <c r="L137" s="29">
        <f>'Capex &amp; Depreciation'!L349</f>
        <v>0</v>
      </c>
      <c r="M137" s="29">
        <f>'Capex &amp; Depreciation'!M349</f>
        <v>0</v>
      </c>
      <c r="N137" s="29">
        <f>'Capex &amp; Depreciation'!N349</f>
        <v>0</v>
      </c>
      <c r="O137" s="29">
        <f>'Capex &amp; Depreciation'!O349</f>
        <v>0</v>
      </c>
      <c r="P137" s="29">
        <f>'Capex &amp; Depreciation'!P349</f>
        <v>0</v>
      </c>
      <c r="Q137" s="29">
        <f>'Capex &amp; Depreciation'!Q349</f>
        <v>0</v>
      </c>
      <c r="R137" s="29">
        <f>'Capex &amp; Depreciation'!R349</f>
        <v>0</v>
      </c>
      <c r="S137" s="29">
        <f>'Capex &amp; Depreciation'!S349</f>
        <v>0</v>
      </c>
      <c r="T137" s="29">
        <f>'Capex &amp; Depreciation'!T349</f>
        <v>0</v>
      </c>
    </row>
    <row r="138" spans="2:20" x14ac:dyDescent="0.25">
      <c r="B138" s="23" t="str">
        <f>"F03  "&amp;IF(LEN(Inputs!$E$721&amp;"")=0,"(blank - contributes nothing)",Inputs!$E$721)&amp;" capex"</f>
        <v>F03  (blank - contributes nothing) capex</v>
      </c>
      <c r="C138" s="28" t="s">
        <v>493</v>
      </c>
      <c r="H138" s="29">
        <f>'Capex &amp; Depreciation'!H350</f>
        <v>0</v>
      </c>
      <c r="I138" s="29">
        <f>'Capex &amp; Depreciation'!I350</f>
        <v>0</v>
      </c>
      <c r="J138" s="29">
        <f>'Capex &amp; Depreciation'!J350</f>
        <v>0</v>
      </c>
      <c r="K138" s="29">
        <f>'Capex &amp; Depreciation'!K350</f>
        <v>0</v>
      </c>
      <c r="L138" s="29">
        <f>'Capex &amp; Depreciation'!L350</f>
        <v>0</v>
      </c>
      <c r="M138" s="29">
        <f>'Capex &amp; Depreciation'!M350</f>
        <v>0</v>
      </c>
      <c r="N138" s="29">
        <f>'Capex &amp; Depreciation'!N350</f>
        <v>0</v>
      </c>
      <c r="O138" s="29">
        <f>'Capex &amp; Depreciation'!O350</f>
        <v>0</v>
      </c>
      <c r="P138" s="29">
        <f>'Capex &amp; Depreciation'!P350</f>
        <v>0</v>
      </c>
      <c r="Q138" s="29">
        <f>'Capex &amp; Depreciation'!Q350</f>
        <v>0</v>
      </c>
      <c r="R138" s="29">
        <f>'Capex &amp; Depreciation'!R350</f>
        <v>0</v>
      </c>
      <c r="S138" s="29">
        <f>'Capex &amp; Depreciation'!S350</f>
        <v>0</v>
      </c>
      <c r="T138" s="29">
        <f>'Capex &amp; Depreciation'!T350</f>
        <v>0</v>
      </c>
    </row>
    <row r="139" spans="2:20" x14ac:dyDescent="0.25">
      <c r="B139" s="23" t="str">
        <f>"F04  "&amp;IF(LEN(Inputs!$E$726&amp;"")=0,"(blank - contributes nothing)",Inputs!$E$726)&amp;" capex"</f>
        <v>F04  (blank - contributes nothing) capex</v>
      </c>
      <c r="C139" s="28" t="s">
        <v>493</v>
      </c>
      <c r="H139" s="29">
        <f>'Capex &amp; Depreciation'!H351</f>
        <v>0</v>
      </c>
      <c r="I139" s="29">
        <f>'Capex &amp; Depreciation'!I351</f>
        <v>0</v>
      </c>
      <c r="J139" s="29">
        <f>'Capex &amp; Depreciation'!J351</f>
        <v>0</v>
      </c>
      <c r="K139" s="29">
        <f>'Capex &amp; Depreciation'!K351</f>
        <v>0</v>
      </c>
      <c r="L139" s="29">
        <f>'Capex &amp; Depreciation'!L351</f>
        <v>0</v>
      </c>
      <c r="M139" s="29">
        <f>'Capex &amp; Depreciation'!M351</f>
        <v>0</v>
      </c>
      <c r="N139" s="29">
        <f>'Capex &amp; Depreciation'!N351</f>
        <v>0</v>
      </c>
      <c r="O139" s="29">
        <f>'Capex &amp; Depreciation'!O351</f>
        <v>0</v>
      </c>
      <c r="P139" s="29">
        <f>'Capex &amp; Depreciation'!P351</f>
        <v>0</v>
      </c>
      <c r="Q139" s="29">
        <f>'Capex &amp; Depreciation'!Q351</f>
        <v>0</v>
      </c>
      <c r="R139" s="29">
        <f>'Capex &amp; Depreciation'!R351</f>
        <v>0</v>
      </c>
      <c r="S139" s="29">
        <f>'Capex &amp; Depreciation'!S351</f>
        <v>0</v>
      </c>
      <c r="T139" s="29">
        <f>'Capex &amp; Depreciation'!T351</f>
        <v>0</v>
      </c>
    </row>
    <row r="140" spans="2:20" x14ac:dyDescent="0.25">
      <c r="B140" s="23" t="str">
        <f>"F05  "&amp;IF(LEN(Inputs!$E$731&amp;"")=0,"(blank - contributes nothing)",Inputs!$E$731)&amp;" capex"</f>
        <v>F05  (blank - contributes nothing) capex</v>
      </c>
      <c r="C140" s="28" t="s">
        <v>493</v>
      </c>
      <c r="H140" s="29">
        <f>'Capex &amp; Depreciation'!H352</f>
        <v>0</v>
      </c>
      <c r="I140" s="29">
        <f>'Capex &amp; Depreciation'!I352</f>
        <v>0</v>
      </c>
      <c r="J140" s="29">
        <f>'Capex &amp; Depreciation'!J352</f>
        <v>0</v>
      </c>
      <c r="K140" s="29">
        <f>'Capex &amp; Depreciation'!K352</f>
        <v>0</v>
      </c>
      <c r="L140" s="29">
        <f>'Capex &amp; Depreciation'!L352</f>
        <v>0</v>
      </c>
      <c r="M140" s="29">
        <f>'Capex &amp; Depreciation'!M352</f>
        <v>0</v>
      </c>
      <c r="N140" s="29">
        <f>'Capex &amp; Depreciation'!N352</f>
        <v>0</v>
      </c>
      <c r="O140" s="29">
        <f>'Capex &amp; Depreciation'!O352</f>
        <v>0</v>
      </c>
      <c r="P140" s="29">
        <f>'Capex &amp; Depreciation'!P352</f>
        <v>0</v>
      </c>
      <c r="Q140" s="29">
        <f>'Capex &amp; Depreciation'!Q352</f>
        <v>0</v>
      </c>
      <c r="R140" s="29">
        <f>'Capex &amp; Depreciation'!R352</f>
        <v>0</v>
      </c>
      <c r="S140" s="29">
        <f>'Capex &amp; Depreciation'!S352</f>
        <v>0</v>
      </c>
      <c r="T140" s="29">
        <f>'Capex &amp; Depreciation'!T352</f>
        <v>0</v>
      </c>
    </row>
    <row r="141" spans="2:20" x14ac:dyDescent="0.25">
      <c r="B141" s="21" t="s">
        <v>2747</v>
      </c>
      <c r="C141" s="28" t="s">
        <v>493</v>
      </c>
      <c r="H141" s="160">
        <f t="shared" ref="H141:T141" si="23">SUM(H136:H140)</f>
        <v>0</v>
      </c>
      <c r="I141" s="160">
        <f t="shared" si="23"/>
        <v>0</v>
      </c>
      <c r="J141" s="160">
        <f t="shared" si="23"/>
        <v>0</v>
      </c>
      <c r="K141" s="160">
        <f t="shared" si="23"/>
        <v>0</v>
      </c>
      <c r="L141" s="160">
        <f t="shared" si="23"/>
        <v>0</v>
      </c>
      <c r="M141" s="160">
        <f t="shared" si="23"/>
        <v>0</v>
      </c>
      <c r="N141" s="160">
        <f t="shared" si="23"/>
        <v>0</v>
      </c>
      <c r="O141" s="160">
        <f t="shared" si="23"/>
        <v>0</v>
      </c>
      <c r="P141" s="160">
        <f t="shared" si="23"/>
        <v>0</v>
      </c>
      <c r="Q141" s="160">
        <f t="shared" si="23"/>
        <v>0</v>
      </c>
      <c r="R141" s="160">
        <f t="shared" si="23"/>
        <v>0</v>
      </c>
      <c r="S141" s="160">
        <f t="shared" si="23"/>
        <v>0</v>
      </c>
      <c r="T141" s="160">
        <f t="shared" si="23"/>
        <v>0</v>
      </c>
    </row>
    <row r="142" spans="2:20" x14ac:dyDescent="0.25">
      <c r="B142" s="23" t="s">
        <v>2748</v>
      </c>
      <c r="C142" s="28" t="s">
        <v>493</v>
      </c>
      <c r="H142" s="159">
        <f>H141*Inputs!$E$735</f>
        <v>0</v>
      </c>
      <c r="I142" s="159">
        <f>I141*Inputs!$E$735</f>
        <v>0</v>
      </c>
      <c r="J142" s="159">
        <f>J141*Inputs!$E$735</f>
        <v>0</v>
      </c>
      <c r="K142" s="159">
        <f>K141*Inputs!$E$735</f>
        <v>0</v>
      </c>
      <c r="L142" s="159">
        <f>L141*Inputs!$E$735</f>
        <v>0</v>
      </c>
      <c r="M142" s="159">
        <f>M141*Inputs!$E$735</f>
        <v>0</v>
      </c>
      <c r="N142" s="159">
        <f>N141*Inputs!$E$735</f>
        <v>0</v>
      </c>
      <c r="O142" s="159">
        <f>O141*Inputs!$E$735</f>
        <v>0</v>
      </c>
      <c r="P142" s="159">
        <f>P141*Inputs!$E$735</f>
        <v>0</v>
      </c>
      <c r="Q142" s="159">
        <f>Q141*Inputs!$E$735</f>
        <v>0</v>
      </c>
      <c r="R142" s="159">
        <f>R141*Inputs!$E$735</f>
        <v>0</v>
      </c>
      <c r="S142" s="159">
        <f>S141*Inputs!$E$735</f>
        <v>0</v>
      </c>
      <c r="T142" s="159">
        <f>T141*Inputs!$E$735</f>
        <v>0</v>
      </c>
    </row>
    <row r="143" spans="2:20" x14ac:dyDescent="0.25">
      <c r="B143" s="23" t="s">
        <v>2749</v>
      </c>
      <c r="C143" s="28" t="s">
        <v>493</v>
      </c>
      <c r="H143" s="159">
        <f t="shared" ref="H143:T143" si="24">H141-H142</f>
        <v>0</v>
      </c>
      <c r="I143" s="159">
        <f t="shared" si="24"/>
        <v>0</v>
      </c>
      <c r="J143" s="159">
        <f t="shared" si="24"/>
        <v>0</v>
      </c>
      <c r="K143" s="159">
        <f t="shared" si="24"/>
        <v>0</v>
      </c>
      <c r="L143" s="159">
        <f t="shared" si="24"/>
        <v>0</v>
      </c>
      <c r="M143" s="159">
        <f t="shared" si="24"/>
        <v>0</v>
      </c>
      <c r="N143" s="159">
        <f t="shared" si="24"/>
        <v>0</v>
      </c>
      <c r="O143" s="159">
        <f t="shared" si="24"/>
        <v>0</v>
      </c>
      <c r="P143" s="159">
        <f t="shared" si="24"/>
        <v>0</v>
      </c>
      <c r="Q143" s="159">
        <f t="shared" si="24"/>
        <v>0</v>
      </c>
      <c r="R143" s="159">
        <f t="shared" si="24"/>
        <v>0</v>
      </c>
      <c r="S143" s="159">
        <f t="shared" si="24"/>
        <v>0</v>
      </c>
      <c r="T143" s="159">
        <f t="shared" si="24"/>
        <v>0</v>
      </c>
    </row>
    <row r="144" spans="2:20" x14ac:dyDescent="0.25">
      <c r="B144" s="21" t="s">
        <v>2750</v>
      </c>
      <c r="C144" s="28" t="s">
        <v>493</v>
      </c>
      <c r="G144" s="157"/>
      <c r="H144" s="158">
        <f t="shared" ref="H144:T144" si="25">H133+H141</f>
        <v>0</v>
      </c>
      <c r="I144" s="158">
        <f t="shared" si="25"/>
        <v>0</v>
      </c>
      <c r="J144" s="158">
        <f t="shared" si="25"/>
        <v>0</v>
      </c>
      <c r="K144" s="158">
        <f t="shared" si="25"/>
        <v>0</v>
      </c>
      <c r="L144" s="158">
        <f t="shared" si="25"/>
        <v>0</v>
      </c>
      <c r="M144" s="158">
        <f t="shared" si="25"/>
        <v>0</v>
      </c>
      <c r="N144" s="158">
        <f t="shared" si="25"/>
        <v>0</v>
      </c>
      <c r="O144" s="158">
        <f t="shared" si="25"/>
        <v>0</v>
      </c>
      <c r="P144" s="158">
        <f t="shared" si="25"/>
        <v>0</v>
      </c>
      <c r="Q144" s="158">
        <f t="shared" si="25"/>
        <v>0</v>
      </c>
      <c r="R144" s="158">
        <f t="shared" si="25"/>
        <v>0</v>
      </c>
      <c r="S144" s="158">
        <f t="shared" si="25"/>
        <v>0</v>
      </c>
      <c r="T144" s="158">
        <f t="shared" si="25"/>
        <v>0</v>
      </c>
    </row>
    <row r="145" spans="2:20" x14ac:dyDescent="0.25">
      <c r="B145" s="23" t="s">
        <v>2751</v>
      </c>
      <c r="C145" s="28" t="s">
        <v>493</v>
      </c>
      <c r="H145" s="159">
        <f t="shared" ref="H145:T145" si="26">H134+H142</f>
        <v>0</v>
      </c>
      <c r="I145" s="159">
        <f t="shared" si="26"/>
        <v>0</v>
      </c>
      <c r="J145" s="159">
        <f t="shared" si="26"/>
        <v>0</v>
      </c>
      <c r="K145" s="159">
        <f t="shared" si="26"/>
        <v>0</v>
      </c>
      <c r="L145" s="159">
        <f t="shared" si="26"/>
        <v>0</v>
      </c>
      <c r="M145" s="159">
        <f t="shared" si="26"/>
        <v>0</v>
      </c>
      <c r="N145" s="159">
        <f t="shared" si="26"/>
        <v>0</v>
      </c>
      <c r="O145" s="159">
        <f t="shared" si="26"/>
        <v>0</v>
      </c>
      <c r="P145" s="159">
        <f t="shared" si="26"/>
        <v>0</v>
      </c>
      <c r="Q145" s="159">
        <f t="shared" si="26"/>
        <v>0</v>
      </c>
      <c r="R145" s="159">
        <f t="shared" si="26"/>
        <v>0</v>
      </c>
      <c r="S145" s="159">
        <f t="shared" si="26"/>
        <v>0</v>
      </c>
      <c r="T145" s="159">
        <f t="shared" si="26"/>
        <v>0</v>
      </c>
    </row>
    <row r="146" spans="2:20" x14ac:dyDescent="0.25">
      <c r="B146" s="21" t="s">
        <v>2752</v>
      </c>
      <c r="C146" s="28" t="s">
        <v>493</v>
      </c>
      <c r="H146" s="160">
        <f t="shared" ref="H146:T146" si="27">H135+H143</f>
        <v>0</v>
      </c>
      <c r="I146" s="160">
        <f t="shared" si="27"/>
        <v>0</v>
      </c>
      <c r="J146" s="160">
        <f t="shared" si="27"/>
        <v>0</v>
      </c>
      <c r="K146" s="160">
        <f t="shared" si="27"/>
        <v>0</v>
      </c>
      <c r="L146" s="160">
        <f t="shared" si="27"/>
        <v>0</v>
      </c>
      <c r="M146" s="160">
        <f t="shared" si="27"/>
        <v>0</v>
      </c>
      <c r="N146" s="160">
        <f t="shared" si="27"/>
        <v>0</v>
      </c>
      <c r="O146" s="160">
        <f t="shared" si="27"/>
        <v>0</v>
      </c>
      <c r="P146" s="160">
        <f t="shared" si="27"/>
        <v>0</v>
      </c>
      <c r="Q146" s="160">
        <f t="shared" si="27"/>
        <v>0</v>
      </c>
      <c r="R146" s="160">
        <f t="shared" si="27"/>
        <v>0</v>
      </c>
      <c r="S146" s="160">
        <f t="shared" si="27"/>
        <v>0</v>
      </c>
      <c r="T146" s="160">
        <f t="shared" si="27"/>
        <v>0</v>
      </c>
    </row>
    <row r="147" spans="2:20" x14ac:dyDescent="0.25">
      <c r="B147" s="23" t="s">
        <v>2753</v>
      </c>
      <c r="C147" s="28" t="s">
        <v>493</v>
      </c>
      <c r="H147" s="161">
        <f>ROUND(H144-'Capex &amp; Depreciation'!H354,6)</f>
        <v>0</v>
      </c>
      <c r="I147" s="161">
        <f>ROUND(I144-'Capex &amp; Depreciation'!I354,6)</f>
        <v>0</v>
      </c>
      <c r="J147" s="161">
        <f>ROUND(J144-'Capex &amp; Depreciation'!J354,6)</f>
        <v>0</v>
      </c>
      <c r="K147" s="161">
        <f>ROUND(K144-'Capex &amp; Depreciation'!K354,6)</f>
        <v>0</v>
      </c>
      <c r="L147" s="161">
        <f>ROUND(L144-'Capex &amp; Depreciation'!L354,6)</f>
        <v>0</v>
      </c>
      <c r="M147" s="161">
        <f>ROUND(M144-'Capex &amp; Depreciation'!M354,6)</f>
        <v>0</v>
      </c>
      <c r="N147" s="161">
        <f>ROUND(N144-'Capex &amp; Depreciation'!N354,6)</f>
        <v>0</v>
      </c>
      <c r="O147" s="161">
        <f>ROUND(O144-'Capex &amp; Depreciation'!O354,6)</f>
        <v>0</v>
      </c>
      <c r="P147" s="161">
        <f>ROUND(P144-'Capex &amp; Depreciation'!P354,6)</f>
        <v>0</v>
      </c>
      <c r="Q147" s="161">
        <f>ROUND(Q144-'Capex &amp; Depreciation'!Q354,6)</f>
        <v>0</v>
      </c>
      <c r="R147" s="161">
        <f>ROUND(R144-'Capex &amp; Depreciation'!R354,6)</f>
        <v>0</v>
      </c>
      <c r="S147" s="161">
        <f>ROUND(S144-'Capex &amp; Depreciation'!S354,6)</f>
        <v>0</v>
      </c>
      <c r="T147" s="161">
        <f>ROUND(T144-'Capex &amp; Depreciation'!T354,6)</f>
        <v>0</v>
      </c>
    </row>
    <row r="148" spans="2:20" x14ac:dyDescent="0.25">
      <c r="B148" s="145" t="s">
        <v>2754</v>
      </c>
    </row>
    <row r="150" spans="2:20" x14ac:dyDescent="0.25">
      <c r="B150" s="58" t="s">
        <v>2755</v>
      </c>
      <c r="C150" s="19"/>
      <c r="D150" s="19"/>
      <c r="E150" s="19"/>
      <c r="F150" s="19"/>
      <c r="G150" s="19"/>
      <c r="H150" s="19"/>
      <c r="I150" s="19"/>
      <c r="J150" s="19"/>
      <c r="K150" s="19"/>
      <c r="L150" s="19"/>
      <c r="M150" s="19"/>
      <c r="N150" s="19"/>
      <c r="O150" s="19"/>
      <c r="P150" s="19"/>
      <c r="Q150" s="19"/>
      <c r="R150" s="19"/>
      <c r="S150" s="19"/>
      <c r="T150" s="19"/>
    </row>
    <row r="151" spans="2:20" x14ac:dyDescent="0.25">
      <c r="B151" s="154" t="s">
        <v>2509</v>
      </c>
    </row>
    <row r="152" spans="2:20" ht="26.25" customHeight="1" x14ac:dyDescent="0.25">
      <c r="B152" s="64" t="s">
        <v>2756</v>
      </c>
      <c r="C152" s="28" t="s">
        <v>493</v>
      </c>
      <c r="H152" s="29">
        <f>Financing!H61</f>
        <v>0</v>
      </c>
      <c r="I152" s="29">
        <f>Financing!I61</f>
        <v>0</v>
      </c>
      <c r="J152" s="29">
        <f>Financing!J61</f>
        <v>0</v>
      </c>
      <c r="K152" s="29">
        <f>Financing!K61</f>
        <v>28.884162758641565</v>
      </c>
      <c r="L152" s="29">
        <f>Financing!L61</f>
        <v>0</v>
      </c>
      <c r="M152" s="29">
        <f>Financing!M61</f>
        <v>0</v>
      </c>
      <c r="N152" s="29">
        <f>Financing!N61</f>
        <v>0</v>
      </c>
      <c r="O152" s="29">
        <f>Financing!O61</f>
        <v>0</v>
      </c>
      <c r="P152" s="29">
        <f>Financing!P61</f>
        <v>0</v>
      </c>
      <c r="Q152" s="29">
        <f>Financing!Q61</f>
        <v>0</v>
      </c>
      <c r="R152" s="29">
        <f>Financing!R61</f>
        <v>0</v>
      </c>
      <c r="S152" s="29">
        <f>Financing!S61</f>
        <v>0</v>
      </c>
      <c r="T152" s="29">
        <f>Financing!T61</f>
        <v>0</v>
      </c>
    </row>
    <row r="153" spans="2:20" x14ac:dyDescent="0.25">
      <c r="B153" s="23" t="s">
        <v>2757</v>
      </c>
      <c r="C153" s="28" t="s">
        <v>493</v>
      </c>
      <c r="H153" s="159">
        <f t="shared" ref="H153:T153" si="28">H146</f>
        <v>0</v>
      </c>
      <c r="I153" s="159">
        <f t="shared" si="28"/>
        <v>0</v>
      </c>
      <c r="J153" s="159">
        <f t="shared" si="28"/>
        <v>0</v>
      </c>
      <c r="K153" s="159">
        <f t="shared" si="28"/>
        <v>0</v>
      </c>
      <c r="L153" s="159">
        <f t="shared" si="28"/>
        <v>0</v>
      </c>
      <c r="M153" s="159">
        <f t="shared" si="28"/>
        <v>0</v>
      </c>
      <c r="N153" s="159">
        <f t="shared" si="28"/>
        <v>0</v>
      </c>
      <c r="O153" s="159">
        <f t="shared" si="28"/>
        <v>0</v>
      </c>
      <c r="P153" s="159">
        <f t="shared" si="28"/>
        <v>0</v>
      </c>
      <c r="Q153" s="159">
        <f t="shared" si="28"/>
        <v>0</v>
      </c>
      <c r="R153" s="159">
        <f t="shared" si="28"/>
        <v>0</v>
      </c>
      <c r="S153" s="159">
        <f t="shared" si="28"/>
        <v>0</v>
      </c>
      <c r="T153" s="159">
        <f t="shared" si="28"/>
        <v>0</v>
      </c>
    </row>
    <row r="154" spans="2:20" x14ac:dyDescent="0.25">
      <c r="B154" s="21" t="s">
        <v>2758</v>
      </c>
      <c r="C154" s="28" t="s">
        <v>493</v>
      </c>
      <c r="G154" s="157"/>
      <c r="H154" s="158">
        <f t="shared" ref="H154:T154" si="29">H152+H153</f>
        <v>0</v>
      </c>
      <c r="I154" s="158">
        <f t="shared" si="29"/>
        <v>0</v>
      </c>
      <c r="J154" s="158">
        <f t="shared" si="29"/>
        <v>0</v>
      </c>
      <c r="K154" s="158">
        <f t="shared" si="29"/>
        <v>28.884162758641565</v>
      </c>
      <c r="L154" s="158">
        <f t="shared" si="29"/>
        <v>0</v>
      </c>
      <c r="M154" s="158">
        <f t="shared" si="29"/>
        <v>0</v>
      </c>
      <c r="N154" s="158">
        <f t="shared" si="29"/>
        <v>0</v>
      </c>
      <c r="O154" s="158">
        <f t="shared" si="29"/>
        <v>0</v>
      </c>
      <c r="P154" s="158">
        <f t="shared" si="29"/>
        <v>0</v>
      </c>
      <c r="Q154" s="158">
        <f t="shared" si="29"/>
        <v>0</v>
      </c>
      <c r="R154" s="158">
        <f t="shared" si="29"/>
        <v>0</v>
      </c>
      <c r="S154" s="158">
        <f t="shared" si="29"/>
        <v>0</v>
      </c>
      <c r="T154" s="158">
        <f t="shared" si="29"/>
        <v>0</v>
      </c>
    </row>
    <row r="155" spans="2:20" x14ac:dyDescent="0.25">
      <c r="B155" s="23" t="s">
        <v>2759</v>
      </c>
      <c r="C155" s="28" t="s">
        <v>806</v>
      </c>
      <c r="H155" s="159">
        <f>H154*1000/Inputs!H95</f>
        <v>0</v>
      </c>
      <c r="I155" s="159">
        <f>I154*1000/Inputs!I95</f>
        <v>0</v>
      </c>
      <c r="J155" s="159">
        <f>J154*1000/Inputs!J95</f>
        <v>0</v>
      </c>
      <c r="K155" s="159">
        <f>K154*1000/Inputs!K95</f>
        <v>1.7758476949672037</v>
      </c>
      <c r="L155" s="159">
        <f>L154*1000/Inputs!L95</f>
        <v>0</v>
      </c>
      <c r="M155" s="159">
        <f>M154*1000/Inputs!M95</f>
        <v>0</v>
      </c>
      <c r="N155" s="159">
        <f>N154*1000/Inputs!N95</f>
        <v>0</v>
      </c>
      <c r="O155" s="159">
        <f>O154*1000/Inputs!O95</f>
        <v>0</v>
      </c>
      <c r="P155" s="159">
        <f>P154*1000/Inputs!P95</f>
        <v>0</v>
      </c>
      <c r="Q155" s="159">
        <f>Q154*1000/Inputs!Q95</f>
        <v>0</v>
      </c>
      <c r="R155" s="159">
        <f>R154*1000/Inputs!R95</f>
        <v>0</v>
      </c>
      <c r="S155" s="159">
        <f>S154*1000/Inputs!S95</f>
        <v>0</v>
      </c>
      <c r="T155" s="159">
        <f>T154*1000/Inputs!T95</f>
        <v>0</v>
      </c>
    </row>
    <row r="156" spans="2:20" x14ac:dyDescent="0.25">
      <c r="B156" s="23" t="s">
        <v>2760</v>
      </c>
      <c r="C156" s="28" t="s">
        <v>493</v>
      </c>
      <c r="G156" s="159">
        <v>0</v>
      </c>
      <c r="H156" s="159">
        <f t="shared" ref="H156:T156" si="30">G156+H154</f>
        <v>0</v>
      </c>
      <c r="I156" s="159">
        <f t="shared" si="30"/>
        <v>0</v>
      </c>
      <c r="J156" s="159">
        <f t="shared" si="30"/>
        <v>0</v>
      </c>
      <c r="K156" s="159">
        <f t="shared" si="30"/>
        <v>28.884162758641565</v>
      </c>
      <c r="L156" s="159">
        <f t="shared" si="30"/>
        <v>28.884162758641565</v>
      </c>
      <c r="M156" s="159">
        <f t="shared" si="30"/>
        <v>28.884162758641565</v>
      </c>
      <c r="N156" s="159">
        <f t="shared" si="30"/>
        <v>28.884162758641565</v>
      </c>
      <c r="O156" s="159">
        <f t="shared" si="30"/>
        <v>28.884162758641565</v>
      </c>
      <c r="P156" s="159">
        <f t="shared" si="30"/>
        <v>28.884162758641565</v>
      </c>
      <c r="Q156" s="159">
        <f t="shared" si="30"/>
        <v>28.884162758641565</v>
      </c>
      <c r="R156" s="159">
        <f t="shared" si="30"/>
        <v>28.884162758641565</v>
      </c>
      <c r="S156" s="159">
        <f t="shared" si="30"/>
        <v>28.884162758641565</v>
      </c>
      <c r="T156" s="159">
        <f t="shared" si="30"/>
        <v>28.884162758641565</v>
      </c>
    </row>
    <row r="157" spans="2:20" ht="26.25" customHeight="1" x14ac:dyDescent="0.25">
      <c r="B157" s="64" t="s">
        <v>2761</v>
      </c>
      <c r="C157" s="28" t="s">
        <v>493</v>
      </c>
      <c r="H157" s="159">
        <f>MIN(H154,H146+Inputs!$H$82*MAX(0,'Capex &amp; Depreciation'!H75-Financing!H48))</f>
        <v>0</v>
      </c>
      <c r="I157" s="159">
        <f>MIN(I154,I146+Inputs!$H$82*MAX(0,'Capex &amp; Depreciation'!I75-Financing!I48))</f>
        <v>0</v>
      </c>
      <c r="J157" s="159">
        <f>MIN(J154,J146+Inputs!$H$82*MAX(0,'Capex &amp; Depreciation'!J75-Financing!J48))</f>
        <v>0</v>
      </c>
      <c r="K157" s="159">
        <f>MIN(K154,K146+Inputs!$H$82*MAX(0,'Capex &amp; Depreciation'!K75-Financing!K48))</f>
        <v>28.884162758641565</v>
      </c>
      <c r="L157" s="159">
        <f>MIN(L154,L146+Inputs!$H$82*MAX(0,'Capex &amp; Depreciation'!L75-Financing!L48))</f>
        <v>0</v>
      </c>
      <c r="M157" s="159">
        <f>MIN(M154,M146+Inputs!$H$82*MAX(0,'Capex &amp; Depreciation'!M75-Financing!M48))</f>
        <v>0</v>
      </c>
      <c r="N157" s="159">
        <f>MIN(N154,N146+Inputs!$H$82*MAX(0,'Capex &amp; Depreciation'!N75-Financing!N48))</f>
        <v>0</v>
      </c>
      <c r="O157" s="159">
        <f>MIN(O154,O146+Inputs!$H$82*MAX(0,'Capex &amp; Depreciation'!O75-Financing!O48))</f>
        <v>0</v>
      </c>
      <c r="P157" s="159">
        <f>MIN(P154,P146+Inputs!$H$82*MAX(0,'Capex &amp; Depreciation'!P75-Financing!P48))</f>
        <v>0</v>
      </c>
      <c r="Q157" s="159">
        <f>MIN(Q154,Q146+Inputs!$H$82*MAX(0,'Capex &amp; Depreciation'!Q75-Financing!Q48))</f>
        <v>0</v>
      </c>
      <c r="R157" s="159">
        <f>MIN(R154,R146+Inputs!$H$82*MAX(0,'Capex &amp; Depreciation'!R75-Financing!R48))</f>
        <v>0</v>
      </c>
      <c r="S157" s="159">
        <f>MIN(S154,S146+Inputs!$H$82*MAX(0,'Capex &amp; Depreciation'!S75-Financing!S48))</f>
        <v>0</v>
      </c>
      <c r="T157" s="159">
        <f>MIN(T154,T146+Inputs!$H$82*MAX(0,'Capex &amp; Depreciation'!T75-Financing!T48))</f>
        <v>0</v>
      </c>
    </row>
    <row r="158" spans="2:20" x14ac:dyDescent="0.25">
      <c r="B158" s="23" t="s">
        <v>2762</v>
      </c>
      <c r="C158" s="28" t="s">
        <v>493</v>
      </c>
      <c r="H158" s="159">
        <f>'Capex &amp; Depreciation'!H81+'Capex &amp; Depreciation'!H210+H144</f>
        <v>125.24050000000001</v>
      </c>
      <c r="I158" s="159">
        <f>'Capex &amp; Depreciation'!I81+'Capex &amp; Depreciation'!I210+I144</f>
        <v>14.638500000000001</v>
      </c>
      <c r="J158" s="159">
        <f>'Capex &amp; Depreciation'!J81+'Capex &amp; Depreciation'!J210+J144</f>
        <v>419.77202976190472</v>
      </c>
      <c r="K158" s="159">
        <f>'Capex &amp; Depreciation'!K81+'Capex &amp; Depreciation'!K210+K144</f>
        <v>225.06362499999994</v>
      </c>
      <c r="L158" s="159">
        <f>'Capex &amp; Depreciation'!L81+'Capex &amp; Depreciation'!L210+L144</f>
        <v>97.59</v>
      </c>
      <c r="M158" s="159">
        <f>'Capex &amp; Depreciation'!M81+'Capex &amp; Depreciation'!M210+M144</f>
        <v>0</v>
      </c>
      <c r="N158" s="159">
        <f>'Capex &amp; Depreciation'!N81+'Capex &amp; Depreciation'!N210+N144</f>
        <v>0</v>
      </c>
      <c r="O158" s="159">
        <f>'Capex &amp; Depreciation'!O81+'Capex &amp; Depreciation'!O210+O144</f>
        <v>0</v>
      </c>
      <c r="P158" s="159">
        <f>'Capex &amp; Depreciation'!P81+'Capex &amp; Depreciation'!P210+P144</f>
        <v>0</v>
      </c>
      <c r="Q158" s="159">
        <f>'Capex &amp; Depreciation'!Q81+'Capex &amp; Depreciation'!Q210+Q144</f>
        <v>0</v>
      </c>
      <c r="R158" s="159">
        <f>'Capex &amp; Depreciation'!R81+'Capex &amp; Depreciation'!R210+R144</f>
        <v>0</v>
      </c>
      <c r="S158" s="159">
        <f>'Capex &amp; Depreciation'!S81+'Capex &amp; Depreciation'!S210+S144</f>
        <v>0</v>
      </c>
      <c r="T158" s="159">
        <f>'Capex &amp; Depreciation'!T81+'Capex &amp; Depreciation'!T210+T144</f>
        <v>0</v>
      </c>
    </row>
    <row r="159" spans="2:20" x14ac:dyDescent="0.25">
      <c r="B159" s="23" t="s">
        <v>2763</v>
      </c>
      <c r="C159" s="28" t="s">
        <v>493</v>
      </c>
      <c r="H159" s="159">
        <f>Financing!H31+Financing!H52+H145</f>
        <v>0</v>
      </c>
      <c r="I159" s="159">
        <f>Financing!I31+Financing!I52+I145</f>
        <v>0</v>
      </c>
      <c r="J159" s="159">
        <f>Financing!J31+Financing!J52+J145</f>
        <v>0</v>
      </c>
      <c r="K159" s="159">
        <f>Financing!K31+Financing!K52+K145</f>
        <v>32.53</v>
      </c>
      <c r="L159" s="159">
        <f>Financing!L31+Financing!L52+L145</f>
        <v>48.795000000000002</v>
      </c>
      <c r="M159" s="159">
        <f>Financing!M31+Financing!M52+M145</f>
        <v>0</v>
      </c>
      <c r="N159" s="159">
        <f>Financing!N31+Financing!N52+N145</f>
        <v>0</v>
      </c>
      <c r="O159" s="159">
        <f>Financing!O31+Financing!O52+O145</f>
        <v>0</v>
      </c>
      <c r="P159" s="159">
        <f>Financing!P31+Financing!P52+P145</f>
        <v>0</v>
      </c>
      <c r="Q159" s="159">
        <f>Financing!Q31+Financing!Q52+Q145</f>
        <v>0</v>
      </c>
      <c r="R159" s="159">
        <f>Financing!R31+Financing!R52+R145</f>
        <v>0</v>
      </c>
      <c r="S159" s="159">
        <f>Financing!S31+Financing!S52+S145</f>
        <v>0</v>
      </c>
      <c r="T159" s="159">
        <f>Financing!T31+Financing!T52+T145</f>
        <v>0</v>
      </c>
    </row>
    <row r="160" spans="2:20" x14ac:dyDescent="0.25">
      <c r="B160" s="154" t="s">
        <v>2517</v>
      </c>
    </row>
    <row r="161" spans="2:20" ht="26.25" customHeight="1" x14ac:dyDescent="0.25">
      <c r="B161" s="64" t="s">
        <v>2756</v>
      </c>
      <c r="C161" s="28" t="s">
        <v>493</v>
      </c>
      <c r="H161" s="29">
        <f>Financing!H90</f>
        <v>0</v>
      </c>
      <c r="I161" s="29">
        <f>Financing!I90</f>
        <v>0</v>
      </c>
      <c r="J161" s="29">
        <f>Financing!J90</f>
        <v>0</v>
      </c>
      <c r="K161" s="29">
        <f>Financing!K90</f>
        <v>76.665204077581919</v>
      </c>
      <c r="L161" s="29">
        <f>Financing!L90</f>
        <v>0</v>
      </c>
      <c r="M161" s="29">
        <f>Financing!M90</f>
        <v>0</v>
      </c>
      <c r="N161" s="29">
        <f>Financing!N90</f>
        <v>0</v>
      </c>
      <c r="O161" s="29">
        <f>Financing!O90</f>
        <v>0</v>
      </c>
      <c r="P161" s="29">
        <f>Financing!P90</f>
        <v>0</v>
      </c>
      <c r="Q161" s="29">
        <f>Financing!Q90</f>
        <v>0</v>
      </c>
      <c r="R161" s="29">
        <f>Financing!R90</f>
        <v>0</v>
      </c>
      <c r="S161" s="29">
        <f>Financing!S90</f>
        <v>0</v>
      </c>
      <c r="T161" s="29">
        <f>Financing!T90</f>
        <v>0</v>
      </c>
    </row>
    <row r="162" spans="2:20" x14ac:dyDescent="0.25">
      <c r="B162" s="23" t="s">
        <v>2757</v>
      </c>
      <c r="C162" s="28" t="s">
        <v>493</v>
      </c>
      <c r="H162" s="159">
        <f t="shared" ref="H162:T162" si="31">H146</f>
        <v>0</v>
      </c>
      <c r="I162" s="159">
        <f t="shared" si="31"/>
        <v>0</v>
      </c>
      <c r="J162" s="159">
        <f t="shared" si="31"/>
        <v>0</v>
      </c>
      <c r="K162" s="159">
        <f t="shared" si="31"/>
        <v>0</v>
      </c>
      <c r="L162" s="159">
        <f t="shared" si="31"/>
        <v>0</v>
      </c>
      <c r="M162" s="159">
        <f t="shared" si="31"/>
        <v>0</v>
      </c>
      <c r="N162" s="159">
        <f t="shared" si="31"/>
        <v>0</v>
      </c>
      <c r="O162" s="159">
        <f t="shared" si="31"/>
        <v>0</v>
      </c>
      <c r="P162" s="159">
        <f t="shared" si="31"/>
        <v>0</v>
      </c>
      <c r="Q162" s="159">
        <f t="shared" si="31"/>
        <v>0</v>
      </c>
      <c r="R162" s="159">
        <f t="shared" si="31"/>
        <v>0</v>
      </c>
      <c r="S162" s="159">
        <f t="shared" si="31"/>
        <v>0</v>
      </c>
      <c r="T162" s="159">
        <f t="shared" si="31"/>
        <v>0</v>
      </c>
    </row>
    <row r="163" spans="2:20" x14ac:dyDescent="0.25">
      <c r="B163" s="21" t="s">
        <v>2758</v>
      </c>
      <c r="C163" s="28" t="s">
        <v>493</v>
      </c>
      <c r="G163" s="157"/>
      <c r="H163" s="158">
        <f t="shared" ref="H163:T163" si="32">H161+H162</f>
        <v>0</v>
      </c>
      <c r="I163" s="158">
        <f t="shared" si="32"/>
        <v>0</v>
      </c>
      <c r="J163" s="158">
        <f t="shared" si="32"/>
        <v>0</v>
      </c>
      <c r="K163" s="158">
        <f t="shared" si="32"/>
        <v>76.665204077581919</v>
      </c>
      <c r="L163" s="158">
        <f t="shared" si="32"/>
        <v>0</v>
      </c>
      <c r="M163" s="158">
        <f t="shared" si="32"/>
        <v>0</v>
      </c>
      <c r="N163" s="158">
        <f t="shared" si="32"/>
        <v>0</v>
      </c>
      <c r="O163" s="158">
        <f t="shared" si="32"/>
        <v>0</v>
      </c>
      <c r="P163" s="158">
        <f t="shared" si="32"/>
        <v>0</v>
      </c>
      <c r="Q163" s="158">
        <f t="shared" si="32"/>
        <v>0</v>
      </c>
      <c r="R163" s="158">
        <f t="shared" si="32"/>
        <v>0</v>
      </c>
      <c r="S163" s="158">
        <f t="shared" si="32"/>
        <v>0</v>
      </c>
      <c r="T163" s="158">
        <f t="shared" si="32"/>
        <v>0</v>
      </c>
    </row>
    <row r="164" spans="2:20" x14ac:dyDescent="0.25">
      <c r="B164" s="23" t="s">
        <v>2759</v>
      </c>
      <c r="C164" s="28" t="s">
        <v>806</v>
      </c>
      <c r="H164" s="159">
        <f>H163*1000/Inputs!H95</f>
        <v>0</v>
      </c>
      <c r="I164" s="159">
        <f>I163*1000/Inputs!I95</f>
        <v>0</v>
      </c>
      <c r="J164" s="159">
        <f>J163*1000/Inputs!J95</f>
        <v>0</v>
      </c>
      <c r="K164" s="159">
        <f>K163*1000/Inputs!K95</f>
        <v>4.713507782206082</v>
      </c>
      <c r="L164" s="159">
        <f>L163*1000/Inputs!L95</f>
        <v>0</v>
      </c>
      <c r="M164" s="159">
        <f>M163*1000/Inputs!M95</f>
        <v>0</v>
      </c>
      <c r="N164" s="159">
        <f>N163*1000/Inputs!N95</f>
        <v>0</v>
      </c>
      <c r="O164" s="159">
        <f>O163*1000/Inputs!O95</f>
        <v>0</v>
      </c>
      <c r="P164" s="159">
        <f>P163*1000/Inputs!P95</f>
        <v>0</v>
      </c>
      <c r="Q164" s="159">
        <f>Q163*1000/Inputs!Q95</f>
        <v>0</v>
      </c>
      <c r="R164" s="159">
        <f>R163*1000/Inputs!R95</f>
        <v>0</v>
      </c>
      <c r="S164" s="159">
        <f>S163*1000/Inputs!S95</f>
        <v>0</v>
      </c>
      <c r="T164" s="159">
        <f>T163*1000/Inputs!T95</f>
        <v>0</v>
      </c>
    </row>
    <row r="165" spans="2:20" x14ac:dyDescent="0.25">
      <c r="B165" s="23" t="s">
        <v>2760</v>
      </c>
      <c r="C165" s="28" t="s">
        <v>493</v>
      </c>
      <c r="G165" s="159">
        <v>0</v>
      </c>
      <c r="H165" s="159">
        <f t="shared" ref="H165:T165" si="33">G165+H163</f>
        <v>0</v>
      </c>
      <c r="I165" s="159">
        <f t="shared" si="33"/>
        <v>0</v>
      </c>
      <c r="J165" s="159">
        <f t="shared" si="33"/>
        <v>0</v>
      </c>
      <c r="K165" s="159">
        <f t="shared" si="33"/>
        <v>76.665204077581919</v>
      </c>
      <c r="L165" s="159">
        <f t="shared" si="33"/>
        <v>76.665204077581919</v>
      </c>
      <c r="M165" s="159">
        <f t="shared" si="33"/>
        <v>76.665204077581919</v>
      </c>
      <c r="N165" s="159">
        <f t="shared" si="33"/>
        <v>76.665204077581919</v>
      </c>
      <c r="O165" s="159">
        <f t="shared" si="33"/>
        <v>76.665204077581919</v>
      </c>
      <c r="P165" s="159">
        <f t="shared" si="33"/>
        <v>76.665204077581919</v>
      </c>
      <c r="Q165" s="159">
        <f t="shared" si="33"/>
        <v>76.665204077581919</v>
      </c>
      <c r="R165" s="159">
        <f t="shared" si="33"/>
        <v>76.665204077581919</v>
      </c>
      <c r="S165" s="159">
        <f t="shared" si="33"/>
        <v>76.665204077581919</v>
      </c>
      <c r="T165" s="159">
        <f t="shared" si="33"/>
        <v>76.665204077581919</v>
      </c>
    </row>
    <row r="166" spans="2:20" ht="26.25" customHeight="1" x14ac:dyDescent="0.25">
      <c r="B166" s="64" t="s">
        <v>2761</v>
      </c>
      <c r="C166" s="28" t="s">
        <v>493</v>
      </c>
      <c r="H166" s="159">
        <f>MIN(H163,H146+Inputs!$H$82*MAX(0,'Capex &amp; Depreciation'!H75-Financing!H48))</f>
        <v>0</v>
      </c>
      <c r="I166" s="159">
        <f>MIN(I163,I146+Inputs!$H$82*MAX(0,'Capex &amp; Depreciation'!I75-Financing!I48))</f>
        <v>0</v>
      </c>
      <c r="J166" s="159">
        <f>MIN(J163,J146+Inputs!$H$82*MAX(0,'Capex &amp; Depreciation'!J75-Financing!J48))</f>
        <v>0</v>
      </c>
      <c r="K166" s="159">
        <f>MIN(K163,K146+Inputs!$H$82*MAX(0,'Capex &amp; Depreciation'!K75-Financing!K48))</f>
        <v>32.53</v>
      </c>
      <c r="L166" s="159">
        <f>MIN(L163,L146+Inputs!$H$82*MAX(0,'Capex &amp; Depreciation'!L75-Financing!L48))</f>
        <v>0</v>
      </c>
      <c r="M166" s="159">
        <f>MIN(M163,M146+Inputs!$H$82*MAX(0,'Capex &amp; Depreciation'!M75-Financing!M48))</f>
        <v>0</v>
      </c>
      <c r="N166" s="159">
        <f>MIN(N163,N146+Inputs!$H$82*MAX(0,'Capex &amp; Depreciation'!N75-Financing!N48))</f>
        <v>0</v>
      </c>
      <c r="O166" s="159">
        <f>MIN(O163,O146+Inputs!$H$82*MAX(0,'Capex &amp; Depreciation'!O75-Financing!O48))</f>
        <v>0</v>
      </c>
      <c r="P166" s="159">
        <f>MIN(P163,P146+Inputs!$H$82*MAX(0,'Capex &amp; Depreciation'!P75-Financing!P48))</f>
        <v>0</v>
      </c>
      <c r="Q166" s="159">
        <f>MIN(Q163,Q146+Inputs!$H$82*MAX(0,'Capex &amp; Depreciation'!Q75-Financing!Q48))</f>
        <v>0</v>
      </c>
      <c r="R166" s="159">
        <f>MIN(R163,R146+Inputs!$H$82*MAX(0,'Capex &amp; Depreciation'!R75-Financing!R48))</f>
        <v>0</v>
      </c>
      <c r="S166" s="159">
        <f>MIN(S163,S146+Inputs!$H$82*MAX(0,'Capex &amp; Depreciation'!S75-Financing!S48))</f>
        <v>0</v>
      </c>
      <c r="T166" s="159">
        <f>MIN(T163,T146+Inputs!$H$82*MAX(0,'Capex &amp; Depreciation'!T75-Financing!T48))</f>
        <v>0</v>
      </c>
    </row>
    <row r="167" spans="2:20" x14ac:dyDescent="0.25">
      <c r="B167" s="23" t="s">
        <v>2762</v>
      </c>
      <c r="C167" s="28" t="s">
        <v>493</v>
      </c>
      <c r="H167" s="159">
        <f>'Capex &amp; Depreciation'!H80+'Capex &amp; Depreciation'!H210+H144</f>
        <v>125.24050000000001</v>
      </c>
      <c r="I167" s="159">
        <f>'Capex &amp; Depreciation'!I80+'Capex &amp; Depreciation'!I210+I144</f>
        <v>14.638500000000001</v>
      </c>
      <c r="J167" s="159">
        <f>'Capex &amp; Depreciation'!J80+'Capex &amp; Depreciation'!J210+J144</f>
        <v>419.77202976190472</v>
      </c>
      <c r="K167" s="159">
        <f>'Capex &amp; Depreciation'!K80+'Capex &amp; Depreciation'!K210+K144</f>
        <v>225.06362499999994</v>
      </c>
      <c r="L167" s="159">
        <f>'Capex &amp; Depreciation'!L80+'Capex &amp; Depreciation'!L210+L144</f>
        <v>97.59</v>
      </c>
      <c r="M167" s="159">
        <f>'Capex &amp; Depreciation'!M80+'Capex &amp; Depreciation'!M210+M144</f>
        <v>0</v>
      </c>
      <c r="N167" s="159">
        <f>'Capex &amp; Depreciation'!N80+'Capex &amp; Depreciation'!N210+N144</f>
        <v>0</v>
      </c>
      <c r="O167" s="159">
        <f>'Capex &amp; Depreciation'!O80+'Capex &amp; Depreciation'!O210+O144</f>
        <v>0</v>
      </c>
      <c r="P167" s="159">
        <f>'Capex &amp; Depreciation'!P80+'Capex &amp; Depreciation'!P210+P144</f>
        <v>0</v>
      </c>
      <c r="Q167" s="159">
        <f>'Capex &amp; Depreciation'!Q80+'Capex &amp; Depreciation'!Q210+Q144</f>
        <v>0</v>
      </c>
      <c r="R167" s="159">
        <f>'Capex &amp; Depreciation'!R80+'Capex &amp; Depreciation'!R210+R144</f>
        <v>0</v>
      </c>
      <c r="S167" s="159">
        <f>'Capex &amp; Depreciation'!S80+'Capex &amp; Depreciation'!S210+S144</f>
        <v>0</v>
      </c>
      <c r="T167" s="159">
        <f>'Capex &amp; Depreciation'!T80+'Capex &amp; Depreciation'!T210+T144</f>
        <v>0</v>
      </c>
    </row>
    <row r="168" spans="2:20" x14ac:dyDescent="0.25">
      <c r="B168" s="23" t="s">
        <v>2763</v>
      </c>
      <c r="C168" s="28" t="s">
        <v>493</v>
      </c>
      <c r="H168" s="159">
        <f>Financing!H39+Financing!H52+H145</f>
        <v>0</v>
      </c>
      <c r="I168" s="159">
        <f>Financing!I39+Financing!I52+I145</f>
        <v>0</v>
      </c>
      <c r="J168" s="159">
        <f>Financing!J39+Financing!J52+J145</f>
        <v>0</v>
      </c>
      <c r="K168" s="159">
        <f>Financing!K39+Financing!K52+K145</f>
        <v>32.53</v>
      </c>
      <c r="L168" s="159">
        <f>Financing!L39+Financing!L52+L145</f>
        <v>48.795000000000002</v>
      </c>
      <c r="M168" s="159">
        <f>Financing!M39+Financing!M52+M145</f>
        <v>0</v>
      </c>
      <c r="N168" s="159">
        <f>Financing!N39+Financing!N52+N145</f>
        <v>0</v>
      </c>
      <c r="O168" s="159">
        <f>Financing!O39+Financing!O52+O145</f>
        <v>0</v>
      </c>
      <c r="P168" s="159">
        <f>Financing!P39+Financing!P52+P145</f>
        <v>0</v>
      </c>
      <c r="Q168" s="159">
        <f>Financing!Q39+Financing!Q52+Q145</f>
        <v>0</v>
      </c>
      <c r="R168" s="159">
        <f>Financing!R39+Financing!R52+R145</f>
        <v>0</v>
      </c>
      <c r="S168" s="159">
        <f>Financing!S39+Financing!S52+S145</f>
        <v>0</v>
      </c>
      <c r="T168" s="159">
        <f>Financing!T39+Financing!T52+T145</f>
        <v>0</v>
      </c>
    </row>
    <row r="169" spans="2:20" x14ac:dyDescent="0.25">
      <c r="B169" s="145" t="s">
        <v>2764</v>
      </c>
    </row>
  </sheetData>
  <mergeCells count="1">
    <mergeCell ref="E8:F8"/>
  </mergeCells>
  <hyperlinks>
    <hyperlink ref="C3" location="'Model Flow'!A1" display="Model Flow" xr:uid="{00000000-0004-0000-0900-000000000000}"/>
    <hyperlink ref="D3" location="Inputs!A1" display="Inputs" xr:uid="{00000000-0004-0000-0900-000001000000}"/>
    <hyperlink ref="E3" location="'FS Data Request'!A1" display="FS Request" xr:uid="{00000000-0004-0000-0900-000002000000}"/>
    <hyperlink ref="F3" location="'Revenue Calculation'!A1" display="Revenue" xr:uid="{00000000-0004-0000-0900-000003000000}"/>
    <hyperlink ref="G3" location="'Cost Calculation'!A1" display="Costs" xr:uid="{00000000-0004-0000-0900-000004000000}"/>
    <hyperlink ref="H3" location="'BUMN Synergy Calculation'!A1" display="BUMN Synergy" xr:uid="{00000000-0004-0000-0900-000005000000}"/>
    <hyperlink ref="I3" location="'Capex &amp; Depreciation'!A1" display="Capex" xr:uid="{00000000-0004-0000-0900-000006000000}"/>
    <hyperlink ref="J3" location="'Working Capital'!A1" display="Work. cap." xr:uid="{00000000-0004-0000-0900-000007000000}"/>
    <hyperlink ref="K3" location="Financing!A1" display="Financing" xr:uid="{00000000-0004-0000-0900-000008000000}"/>
    <hyperlink ref="M3" location="'FSL Output - Without BUMN'!A1" display="Out: w/o BUMN" xr:uid="{00000000-0004-0000-0900-000009000000}"/>
    <hyperlink ref="N3" location="'FSL Output - With BUMN'!A1" display="Out: With BUMN" xr:uid="{00000000-0004-0000-0900-00000A000000}"/>
    <hyperlink ref="O3" location="'Valuation — Without BUMN'!A1" display="Val: w/o BUMN" xr:uid="{00000000-0004-0000-0900-00000B000000}"/>
    <hyperlink ref="P3" location="'Valuation — With BUMN'!A1" display="Val: With BUMN" xr:uid="{00000000-0004-0000-0900-00000C000000}"/>
    <hyperlink ref="Q3" location="'Project Cash Flows'!A1" display="Proj. CF" xr:uid="{00000000-0004-0000-0900-00000D000000}"/>
    <hyperlink ref="R3" location="'Project Summary'!A1" display="Proj. Summary" xr:uid="{00000000-0004-0000-0900-00000E000000}"/>
    <hyperlink ref="S3" location="'Checks &amp; Reconciliation'!A1" display="Checks" xr:uid="{00000000-0004-0000-0900-00000F000000}"/>
    <hyperlink ref="T3" location="'Source Data'!A1" display="Source Data" xr:uid="{00000000-0004-0000-0900-000010000000}"/>
  </hyperlinks>
  <pageMargins left="0.4" right="0.4" top="0.5" bottom="0.5" header="0.511811023622047" footer="0.5"/>
  <pageSetup paperSize="9" fitToHeight="0" orientation="landscape" horizontalDpi="300" verticalDpi="300"/>
  <headerFooter>
    <oddFooter>&amp;L&amp;A&amp;RPage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E5C8A"/>
    <pageSetUpPr fitToPage="1"/>
  </sheetPr>
  <dimension ref="B1:U254"/>
  <sheetViews>
    <sheetView showGridLines="0" zoomScale="85" zoomScaleNormal="85" workbookViewId="0">
      <pane xSplit="6" ySplit="6" topLeftCell="G7" activePane="bottomRight" state="frozen"/>
      <selection pane="topRight" activeCell="G1" sqref="G1"/>
      <selection pane="bottomLeft" activeCell="A7" sqref="A7"/>
      <selection pane="bottomRight"/>
    </sheetView>
  </sheetViews>
  <sheetFormatPr defaultColWidth="8.7109375" defaultRowHeight="15" x14ac:dyDescent="0.25"/>
  <cols>
    <col min="1" max="1" width="1.5703125" customWidth="1"/>
    <col min="2" max="2" width="62" customWidth="1"/>
    <col min="3" max="3" width="10" customWidth="1"/>
    <col min="4" max="6" width="13" customWidth="1"/>
    <col min="7" max="20" width="10.5703125" customWidth="1"/>
    <col min="21" max="21" width="55" customWidth="1"/>
  </cols>
  <sheetData>
    <row r="1" spans="2:21" ht="18" x14ac:dyDescent="0.25">
      <c r="B1" s="13" t="s">
        <v>2765</v>
      </c>
    </row>
    <row r="2" spans="2:21" x14ac:dyDescent="0.25">
      <c r="B2" s="14" t="s">
        <v>2766</v>
      </c>
    </row>
    <row r="3" spans="2:21" x14ac:dyDescent="0.25">
      <c r="B3" s="15" t="s">
        <v>2</v>
      </c>
      <c r="C3" s="17" t="s">
        <v>422</v>
      </c>
      <c r="D3" s="17" t="s">
        <v>4</v>
      </c>
      <c r="E3" s="17" t="s">
        <v>5</v>
      </c>
      <c r="F3" s="17" t="s">
        <v>6</v>
      </c>
      <c r="G3" s="17" t="s">
        <v>7</v>
      </c>
      <c r="H3" s="17" t="s">
        <v>8</v>
      </c>
      <c r="I3" s="17" t="s">
        <v>9</v>
      </c>
      <c r="J3" s="17" t="s">
        <v>10</v>
      </c>
      <c r="K3" s="17" t="s">
        <v>11</v>
      </c>
      <c r="L3" s="17" t="s">
        <v>12</v>
      </c>
      <c r="M3" s="16" t="s">
        <v>2767</v>
      </c>
      <c r="N3" s="17" t="s">
        <v>14</v>
      </c>
      <c r="O3" s="17" t="s">
        <v>15</v>
      </c>
      <c r="P3" s="17" t="s">
        <v>16</v>
      </c>
      <c r="Q3" s="17" t="s">
        <v>17</v>
      </c>
      <c r="R3" s="17" t="s">
        <v>18</v>
      </c>
      <c r="S3" s="17" t="s">
        <v>19</v>
      </c>
      <c r="T3" s="17" t="s">
        <v>20</v>
      </c>
    </row>
    <row r="4" spans="2:21" x14ac:dyDescent="0.25">
      <c r="G4" s="77" t="s">
        <v>1878</v>
      </c>
      <c r="H4" s="77" t="s">
        <v>1879</v>
      </c>
      <c r="I4" s="77" t="s">
        <v>1879</v>
      </c>
      <c r="J4" s="77" t="s">
        <v>1879</v>
      </c>
      <c r="K4" s="77" t="s">
        <v>1879</v>
      </c>
      <c r="L4" s="77" t="s">
        <v>1879</v>
      </c>
      <c r="M4" s="77" t="s">
        <v>1879</v>
      </c>
      <c r="N4" s="77" t="s">
        <v>1879</v>
      </c>
      <c r="O4" s="77" t="s">
        <v>1879</v>
      </c>
      <c r="P4" s="77" t="s">
        <v>1879</v>
      </c>
      <c r="Q4" s="77" t="s">
        <v>1879</v>
      </c>
      <c r="R4" s="77" t="s">
        <v>1879</v>
      </c>
      <c r="S4" s="77" t="s">
        <v>1879</v>
      </c>
      <c r="T4" s="77" t="s">
        <v>1879</v>
      </c>
    </row>
    <row r="5" spans="2:21" x14ac:dyDescent="0.25">
      <c r="B5" s="150" t="s">
        <v>493</v>
      </c>
      <c r="C5" s="150" t="s">
        <v>466</v>
      </c>
      <c r="D5" s="59" t="s">
        <v>1881</v>
      </c>
      <c r="E5" s="59" t="s">
        <v>468</v>
      </c>
      <c r="F5" s="60"/>
      <c r="G5" s="151">
        <v>2023</v>
      </c>
      <c r="H5" s="152">
        <v>2024</v>
      </c>
      <c r="I5" s="152">
        <v>2025</v>
      </c>
      <c r="J5" s="152">
        <v>2026</v>
      </c>
      <c r="K5" s="152">
        <v>2027</v>
      </c>
      <c r="L5" s="152">
        <v>2028</v>
      </c>
      <c r="M5" s="152">
        <v>2029</v>
      </c>
      <c r="N5" s="152">
        <v>2030</v>
      </c>
      <c r="O5" s="152">
        <v>2031</v>
      </c>
      <c r="P5" s="152">
        <v>2032</v>
      </c>
      <c r="Q5" s="152">
        <v>2033</v>
      </c>
      <c r="R5" s="152">
        <v>2034</v>
      </c>
      <c r="S5" s="152">
        <v>2035</v>
      </c>
      <c r="T5" s="152">
        <v>2036</v>
      </c>
      <c r="U5" s="59" t="s">
        <v>1882</v>
      </c>
    </row>
    <row r="6" spans="2:21" x14ac:dyDescent="0.25">
      <c r="B6" s="186" t="str">
        <f>"Case in force: scenario "&amp;Inputs!$E$56&amp;" | projects in the valuation: "&amp;(Inputs!$H$88-Inputs!$I$88)&amp;" (Inputs register) - P12-P14 always excluded here"&amp;" | LT loan repaid FY"&amp;YEAR(Inputs!$E$494)&amp;" | equity basis "&amp;Inputs!$E$44&amp;" | "&amp;Inputs!$G$753</f>
        <v>Case in force: scenario 1 | projects in the valuation: 12 (Inputs register) - P12-P14 always excluded here | LT loan repaid FY2027 | equity basis 1 | Corrections ON: none</v>
      </c>
    </row>
    <row r="8" spans="2:21" x14ac:dyDescent="0.25">
      <c r="B8" s="58" t="s">
        <v>2768</v>
      </c>
      <c r="C8" s="19"/>
      <c r="D8" s="19"/>
      <c r="E8" s="19"/>
      <c r="F8" s="19"/>
      <c r="G8" s="19"/>
      <c r="H8" s="19"/>
      <c r="I8" s="19"/>
      <c r="J8" s="19"/>
      <c r="K8" s="19"/>
      <c r="L8" s="19"/>
      <c r="M8" s="19"/>
      <c r="N8" s="19"/>
      <c r="O8" s="19"/>
      <c r="P8" s="19"/>
      <c r="Q8" s="19"/>
      <c r="R8" s="19"/>
      <c r="S8" s="19"/>
      <c r="T8" s="19"/>
    </row>
    <row r="9" spans="2:21" x14ac:dyDescent="0.25">
      <c r="B9" s="21" t="s">
        <v>2769</v>
      </c>
      <c r="C9" s="28" t="s">
        <v>493</v>
      </c>
      <c r="H9" s="26">
        <f>'Revenue Calculation'!H214</f>
        <v>305.28863657531394</v>
      </c>
      <c r="I9" s="26">
        <f>'Revenue Calculation'!I214</f>
        <v>427.60286647031643</v>
      </c>
      <c r="J9" s="26">
        <f>'Revenue Calculation'!J214</f>
        <v>494.5710789383395</v>
      </c>
      <c r="K9" s="26">
        <f>'Revenue Calculation'!K214</f>
        <v>619.9263584366729</v>
      </c>
      <c r="L9" s="26">
        <f>'Revenue Calculation'!L214</f>
        <v>702.02908072202558</v>
      </c>
      <c r="M9" s="26">
        <f>'Revenue Calculation'!M214</f>
        <v>804.94933230341962</v>
      </c>
      <c r="N9" s="26">
        <f>'Revenue Calculation'!N214</f>
        <v>847.58023325860461</v>
      </c>
      <c r="O9" s="26">
        <f>'Revenue Calculation'!O214</f>
        <v>912.56713833723211</v>
      </c>
      <c r="P9" s="26">
        <f>'Revenue Calculation'!P214</f>
        <v>957.04967478467086</v>
      </c>
      <c r="Q9" s="26">
        <f>'Revenue Calculation'!Q214</f>
        <v>1020.571003271239</v>
      </c>
      <c r="R9" s="26">
        <f>'Revenue Calculation'!R214</f>
        <v>1040.4225308410098</v>
      </c>
      <c r="S9" s="26">
        <f>'Revenue Calculation'!S214</f>
        <v>1053.0588613636462</v>
      </c>
      <c r="T9" s="26">
        <f>'Revenue Calculation'!T214</f>
        <v>1089.1435003447618</v>
      </c>
    </row>
    <row r="10" spans="2:21" x14ac:dyDescent="0.25">
      <c r="B10" s="23" t="s">
        <v>2770</v>
      </c>
      <c r="C10" s="28" t="s">
        <v>493</v>
      </c>
      <c r="H10" s="29">
        <f>'Revenue Calculation'!H212</f>
        <v>305.28863657531394</v>
      </c>
      <c r="I10" s="29">
        <f>'Revenue Calculation'!I212</f>
        <v>295.79065737412441</v>
      </c>
      <c r="J10" s="29">
        <f>'Revenue Calculation'!J212</f>
        <v>310.70450356926176</v>
      </c>
      <c r="K10" s="29">
        <f>'Revenue Calculation'!K212</f>
        <v>332.87685856755922</v>
      </c>
      <c r="L10" s="29">
        <f>'Revenue Calculation'!L212</f>
        <v>347.2219600190042</v>
      </c>
      <c r="M10" s="29">
        <f>'Revenue Calculation'!M212</f>
        <v>374.0276763507361</v>
      </c>
      <c r="N10" s="29">
        <f>'Revenue Calculation'!N212</f>
        <v>390.2801222577998</v>
      </c>
      <c r="O10" s="29">
        <f>'Revenue Calculation'!O212</f>
        <v>411.78209785796975</v>
      </c>
      <c r="P10" s="29">
        <f>'Revenue Calculation'!P212</f>
        <v>436.06889279615575</v>
      </c>
      <c r="Q10" s="29">
        <f>'Revenue Calculation'!Q212</f>
        <v>460.32797497157696</v>
      </c>
      <c r="R10" s="29">
        <f>'Revenue Calculation'!R212</f>
        <v>460.48262553247434</v>
      </c>
      <c r="S10" s="29">
        <f>'Revenue Calculation'!S212</f>
        <v>477.71385188568161</v>
      </c>
      <c r="T10" s="29">
        <f>'Revenue Calculation'!T212</f>
        <v>495.64989737428641</v>
      </c>
    </row>
    <row r="11" spans="2:21" x14ac:dyDescent="0.25">
      <c r="B11" s="23" t="s">
        <v>2771</v>
      </c>
      <c r="C11" s="28" t="s">
        <v>493</v>
      </c>
      <c r="H11" s="29">
        <f>'Revenue Calculation'!H213</f>
        <v>0</v>
      </c>
      <c r="I11" s="29">
        <f>'Revenue Calculation'!I213</f>
        <v>131.81220909619202</v>
      </c>
      <c r="J11" s="29">
        <f>'Revenue Calculation'!J213</f>
        <v>183.86657536907776</v>
      </c>
      <c r="K11" s="29">
        <f>'Revenue Calculation'!K213</f>
        <v>287.04949986911362</v>
      </c>
      <c r="L11" s="29">
        <f>'Revenue Calculation'!L213</f>
        <v>354.80712070302144</v>
      </c>
      <c r="M11" s="29">
        <f>'Revenue Calculation'!M213</f>
        <v>430.92165595268347</v>
      </c>
      <c r="N11" s="29">
        <f>'Revenue Calculation'!N213</f>
        <v>457.3001110008048</v>
      </c>
      <c r="O11" s="29">
        <f>'Revenue Calculation'!O213</f>
        <v>500.78504047926242</v>
      </c>
      <c r="P11" s="29">
        <f>'Revenue Calculation'!P213</f>
        <v>520.9807819885151</v>
      </c>
      <c r="Q11" s="29">
        <f>'Revenue Calculation'!Q213</f>
        <v>560.243028299662</v>
      </c>
      <c r="R11" s="29">
        <f>'Revenue Calculation'!R213</f>
        <v>579.93990530853546</v>
      </c>
      <c r="S11" s="29">
        <f>'Revenue Calculation'!S213</f>
        <v>575.3450094779646</v>
      </c>
      <c r="T11" s="29">
        <f>'Revenue Calculation'!T213</f>
        <v>593.49360297047531</v>
      </c>
    </row>
    <row r="12" spans="2:21" x14ac:dyDescent="0.25">
      <c r="B12" s="23" t="s">
        <v>2772</v>
      </c>
      <c r="C12" s="28" t="s">
        <v>493</v>
      </c>
      <c r="H12" s="159">
        <f>-'Cost Calculation'!H241</f>
        <v>-122.54305842795951</v>
      </c>
      <c r="I12" s="159">
        <f>-'Cost Calculation'!I241</f>
        <v>-114.65876282442217</v>
      </c>
      <c r="J12" s="159">
        <f>-'Cost Calculation'!J241</f>
        <v>-112.22496672828655</v>
      </c>
      <c r="K12" s="159">
        <f>-'Cost Calculation'!K241</f>
        <v>-124.58113550223146</v>
      </c>
      <c r="L12" s="159">
        <f>-'Cost Calculation'!L241</f>
        <v>-146.73492706822378</v>
      </c>
      <c r="M12" s="159">
        <f>-'Cost Calculation'!M241</f>
        <v>-173.05160050601611</v>
      </c>
      <c r="N12" s="159">
        <f>-'Cost Calculation'!N241</f>
        <v>-184.81062796545601</v>
      </c>
      <c r="O12" s="159">
        <f>-'Cost Calculation'!O241</f>
        <v>-197.60013237363654</v>
      </c>
      <c r="P12" s="159">
        <f>-'Cost Calculation'!P241</f>
        <v>-209.02274581390924</v>
      </c>
      <c r="Q12" s="159">
        <f>-'Cost Calculation'!Q241</f>
        <v>-220.49042788366614</v>
      </c>
      <c r="R12" s="159">
        <f>-'Cost Calculation'!R241</f>
        <v>-216.34688659428522</v>
      </c>
      <c r="S12" s="159">
        <f>-'Cost Calculation'!S241</f>
        <v>-225.29721772791021</v>
      </c>
      <c r="T12" s="159">
        <f>-'Cost Calculation'!T241</f>
        <v>-235.8188925048529</v>
      </c>
    </row>
    <row r="13" spans="2:21" x14ac:dyDescent="0.25">
      <c r="B13" s="21" t="s">
        <v>2773</v>
      </c>
      <c r="C13" s="28" t="s">
        <v>493</v>
      </c>
      <c r="G13" s="157"/>
      <c r="H13" s="158">
        <f t="shared" ref="H13:T13" si="0">H9+H12</f>
        <v>182.74557814735442</v>
      </c>
      <c r="I13" s="158">
        <f t="shared" si="0"/>
        <v>312.94410364589424</v>
      </c>
      <c r="J13" s="158">
        <f t="shared" si="0"/>
        <v>382.34611221005298</v>
      </c>
      <c r="K13" s="158">
        <f t="shared" si="0"/>
        <v>495.34522293444144</v>
      </c>
      <c r="L13" s="158">
        <f t="shared" si="0"/>
        <v>555.2941536538018</v>
      </c>
      <c r="M13" s="158">
        <f t="shared" si="0"/>
        <v>631.89773179740348</v>
      </c>
      <c r="N13" s="158">
        <f t="shared" si="0"/>
        <v>662.76960529314863</v>
      </c>
      <c r="O13" s="158">
        <f t="shared" si="0"/>
        <v>714.96700596359551</v>
      </c>
      <c r="P13" s="158">
        <f t="shared" si="0"/>
        <v>748.02692897076167</v>
      </c>
      <c r="Q13" s="158">
        <f t="shared" si="0"/>
        <v>800.08057538757282</v>
      </c>
      <c r="R13" s="158">
        <f t="shared" si="0"/>
        <v>824.07564424672455</v>
      </c>
      <c r="S13" s="158">
        <f t="shared" si="0"/>
        <v>827.76164363573594</v>
      </c>
      <c r="T13" s="158">
        <f t="shared" si="0"/>
        <v>853.32460783990894</v>
      </c>
    </row>
    <row r="14" spans="2:21" x14ac:dyDescent="0.25">
      <c r="B14" s="23" t="s">
        <v>2774</v>
      </c>
      <c r="C14" s="28" t="s">
        <v>493</v>
      </c>
      <c r="H14" s="159">
        <f>-'Cost Calculation'!H268</f>
        <v>-28.510102744491377</v>
      </c>
      <c r="I14" s="159">
        <f>-'Cost Calculation'!I268</f>
        <v>-49.385569867169949</v>
      </c>
      <c r="J14" s="159">
        <f>-'Cost Calculation'!J268</f>
        <v>-73.173997228735644</v>
      </c>
      <c r="K14" s="159">
        <f>-'Cost Calculation'!K268</f>
        <v>-106.54848458027581</v>
      </c>
      <c r="L14" s="159">
        <f>-'Cost Calculation'!L268</f>
        <v>-121.22399388216016</v>
      </c>
      <c r="M14" s="159">
        <f>-'Cost Calculation'!M268</f>
        <v>-130.51099903438086</v>
      </c>
      <c r="N14" s="159">
        <f>-'Cost Calculation'!N268</f>
        <v>-135.46014150120965</v>
      </c>
      <c r="O14" s="159">
        <f>-'Cost Calculation'!O268</f>
        <v>-142.4294124856342</v>
      </c>
      <c r="P14" s="159">
        <f>-'Cost Calculation'!P268</f>
        <v>-146.89863081691368</v>
      </c>
      <c r="Q14" s="159">
        <f>-'Cost Calculation'!Q268</f>
        <v>-154.164628028404</v>
      </c>
      <c r="R14" s="159">
        <f>-'Cost Calculation'!R268</f>
        <v>-159.03972661262833</v>
      </c>
      <c r="S14" s="159">
        <f>-'Cost Calculation'!S268</f>
        <v>-165.70099574239049</v>
      </c>
      <c r="T14" s="159">
        <f>-'Cost Calculation'!T268</f>
        <v>-170.61906490294865</v>
      </c>
    </row>
    <row r="15" spans="2:21" ht="26.25" customHeight="1" x14ac:dyDescent="0.25">
      <c r="B15" s="64" t="s">
        <v>2775</v>
      </c>
      <c r="C15" s="28" t="s">
        <v>493</v>
      </c>
      <c r="H15" s="159">
        <f>-'Cost Calculation'!H299</f>
        <v>0</v>
      </c>
      <c r="I15" s="159">
        <f>-'Cost Calculation'!I299</f>
        <v>0</v>
      </c>
      <c r="J15" s="159">
        <f>-'Cost Calculation'!J299</f>
        <v>0</v>
      </c>
      <c r="K15" s="159">
        <f>-'Cost Calculation'!K299</f>
        <v>0</v>
      </c>
      <c r="L15" s="159">
        <f>-'Cost Calculation'!L299</f>
        <v>0</v>
      </c>
      <c r="M15" s="159">
        <f>-'Cost Calculation'!M299</f>
        <v>0</v>
      </c>
      <c r="N15" s="159">
        <f>-'Cost Calculation'!N299</f>
        <v>0</v>
      </c>
      <c r="O15" s="159">
        <f>-'Cost Calculation'!O299</f>
        <v>0</v>
      </c>
      <c r="P15" s="159">
        <f>-'Cost Calculation'!P299</f>
        <v>0</v>
      </c>
      <c r="Q15" s="159">
        <f>-'Cost Calculation'!Q299</f>
        <v>0</v>
      </c>
      <c r="R15" s="159">
        <f>-'Cost Calculation'!R299</f>
        <v>0</v>
      </c>
      <c r="S15" s="159">
        <f>-'Cost Calculation'!S299</f>
        <v>0</v>
      </c>
      <c r="T15" s="159">
        <f>-'Cost Calculation'!T299</f>
        <v>0</v>
      </c>
    </row>
    <row r="16" spans="2:21" x14ac:dyDescent="0.25">
      <c r="B16" s="21" t="s">
        <v>2776</v>
      </c>
      <c r="C16" s="28" t="s">
        <v>493</v>
      </c>
      <c r="G16" s="157"/>
      <c r="H16" s="158">
        <f t="shared" ref="H16:T16" si="1">H13+H14+H15</f>
        <v>154.23547540286305</v>
      </c>
      <c r="I16" s="158">
        <f t="shared" si="1"/>
        <v>263.55853377872427</v>
      </c>
      <c r="J16" s="158">
        <f t="shared" si="1"/>
        <v>309.17211498131735</v>
      </c>
      <c r="K16" s="158">
        <f t="shared" si="1"/>
        <v>388.79673835416565</v>
      </c>
      <c r="L16" s="158">
        <f t="shared" si="1"/>
        <v>434.07015977164167</v>
      </c>
      <c r="M16" s="158">
        <f t="shared" si="1"/>
        <v>501.38673276302262</v>
      </c>
      <c r="N16" s="158">
        <f t="shared" si="1"/>
        <v>527.30946379193892</v>
      </c>
      <c r="O16" s="158">
        <f t="shared" si="1"/>
        <v>572.53759347796131</v>
      </c>
      <c r="P16" s="158">
        <f t="shared" si="1"/>
        <v>601.12829815384794</v>
      </c>
      <c r="Q16" s="158">
        <f t="shared" si="1"/>
        <v>645.91594735916885</v>
      </c>
      <c r="R16" s="158">
        <f t="shared" si="1"/>
        <v>665.03591763409622</v>
      </c>
      <c r="S16" s="158">
        <f t="shared" si="1"/>
        <v>662.0606478933455</v>
      </c>
      <c r="T16" s="158">
        <f t="shared" si="1"/>
        <v>682.70554293696023</v>
      </c>
    </row>
    <row r="17" spans="2:20" x14ac:dyDescent="0.25">
      <c r="B17" s="23" t="s">
        <v>2777</v>
      </c>
      <c r="C17" s="28" t="s">
        <v>493</v>
      </c>
      <c r="H17" s="159">
        <f>-'Capex &amp; Depreciation'!H254</f>
        <v>-88.373062408935311</v>
      </c>
      <c r="I17" s="159">
        <f>-'Capex &amp; Depreciation'!I254</f>
        <v>-113.59968518200155</v>
      </c>
      <c r="J17" s="159">
        <f>-'Capex &amp; Depreciation'!J254</f>
        <v>-134.96780390311255</v>
      </c>
      <c r="K17" s="159">
        <f>-'Capex &amp; Depreciation'!K254</f>
        <v>-136.94134168720865</v>
      </c>
      <c r="L17" s="159">
        <f>-'Capex &amp; Depreciation'!L254</f>
        <v>-144.19843006333596</v>
      </c>
      <c r="M17" s="159">
        <f>-'Capex &amp; Depreciation'!M254</f>
        <v>-157.58486920695159</v>
      </c>
      <c r="N17" s="159">
        <f>-'Capex &amp; Depreciation'!N254</f>
        <v>-157.59377594247448</v>
      </c>
      <c r="O17" s="159">
        <f>-'Capex &amp; Depreciation'!O254</f>
        <v>-157.60286081270777</v>
      </c>
      <c r="P17" s="159">
        <f>-'Capex &amp; Depreciation'!P254</f>
        <v>-159.64329918048264</v>
      </c>
      <c r="Q17" s="159">
        <f>-'Capex &amp; Depreciation'!Q254</f>
        <v>-159.62157927933652</v>
      </c>
      <c r="R17" s="159">
        <f>-'Capex &amp; Depreciation'!R254</f>
        <v>-154.09337497821181</v>
      </c>
      <c r="S17" s="159">
        <f>-'Capex &amp; Depreciation'!S254</f>
        <v>-154.10320873392178</v>
      </c>
      <c r="T17" s="159">
        <f>-'Capex &amp; Depreciation'!T254</f>
        <v>-154.14441096488284</v>
      </c>
    </row>
    <row r="18" spans="2:20" x14ac:dyDescent="0.25">
      <c r="B18" s="21" t="s">
        <v>2778</v>
      </c>
      <c r="C18" s="28" t="s">
        <v>493</v>
      </c>
      <c r="G18" s="157"/>
      <c r="H18" s="158">
        <f t="shared" ref="H18:T18" si="2">H16+H17</f>
        <v>65.862412993927734</v>
      </c>
      <c r="I18" s="158">
        <f t="shared" si="2"/>
        <v>149.9588485967227</v>
      </c>
      <c r="J18" s="158">
        <f t="shared" si="2"/>
        <v>174.2043110782048</v>
      </c>
      <c r="K18" s="158">
        <f t="shared" si="2"/>
        <v>251.85539666695701</v>
      </c>
      <c r="L18" s="158">
        <f t="shared" si="2"/>
        <v>289.87172970830568</v>
      </c>
      <c r="M18" s="158">
        <f t="shared" si="2"/>
        <v>343.801863556071</v>
      </c>
      <c r="N18" s="158">
        <f t="shared" si="2"/>
        <v>369.71568784946442</v>
      </c>
      <c r="O18" s="158">
        <f t="shared" si="2"/>
        <v>414.93473266525353</v>
      </c>
      <c r="P18" s="158">
        <f t="shared" si="2"/>
        <v>441.48499897336529</v>
      </c>
      <c r="Q18" s="158">
        <f t="shared" si="2"/>
        <v>486.29436807983234</v>
      </c>
      <c r="R18" s="158">
        <f t="shared" si="2"/>
        <v>510.94254265588438</v>
      </c>
      <c r="S18" s="158">
        <f t="shared" si="2"/>
        <v>507.95743915942376</v>
      </c>
      <c r="T18" s="158">
        <f t="shared" si="2"/>
        <v>528.56113197207742</v>
      </c>
    </row>
    <row r="19" spans="2:20" ht="26.25" customHeight="1" x14ac:dyDescent="0.25">
      <c r="B19" s="64" t="s">
        <v>2779</v>
      </c>
      <c r="C19" s="28" t="s">
        <v>493</v>
      </c>
      <c r="H19" s="159">
        <f>-'Capex &amp; Depreciation'!H316</f>
        <v>0</v>
      </c>
      <c r="I19" s="159">
        <f>-'Capex &amp; Depreciation'!I316</f>
        <v>0</v>
      </c>
      <c r="J19" s="159">
        <f>-'Capex &amp; Depreciation'!J316</f>
        <v>0</v>
      </c>
      <c r="K19" s="159">
        <f>-'Capex &amp; Depreciation'!K316</f>
        <v>0</v>
      </c>
      <c r="L19" s="159">
        <f>-'Capex &amp; Depreciation'!L316</f>
        <v>0</v>
      </c>
      <c r="M19" s="159">
        <f>-'Capex &amp; Depreciation'!M316</f>
        <v>0</v>
      </c>
      <c r="N19" s="159">
        <f>-'Capex &amp; Depreciation'!N316</f>
        <v>0</v>
      </c>
      <c r="O19" s="159">
        <f>-'Capex &amp; Depreciation'!O316</f>
        <v>0</v>
      </c>
      <c r="P19" s="159">
        <f>-'Capex &amp; Depreciation'!P316</f>
        <v>0</v>
      </c>
      <c r="Q19" s="159">
        <f>-'Capex &amp; Depreciation'!Q316</f>
        <v>0</v>
      </c>
      <c r="R19" s="159">
        <f>-'Capex &amp; Depreciation'!R316</f>
        <v>0</v>
      </c>
      <c r="S19" s="159">
        <f>-'Capex &amp; Depreciation'!S316</f>
        <v>0</v>
      </c>
      <c r="T19" s="159">
        <f>-'Capex &amp; Depreciation'!T316</f>
        <v>0</v>
      </c>
    </row>
    <row r="20" spans="2:20" ht="26.25" customHeight="1" x14ac:dyDescent="0.25">
      <c r="B20" s="64" t="s">
        <v>2780</v>
      </c>
      <c r="C20" s="28" t="s">
        <v>493</v>
      </c>
      <c r="H20" s="159">
        <f>-(Financing!H24+Financing!H42+Financing!H54)</f>
        <v>-5.4709055176610004</v>
      </c>
      <c r="I20" s="159">
        <f>-(Financing!I24+Financing!I42+Financing!I54)</f>
        <v>-15.273450177769661</v>
      </c>
      <c r="J20" s="159">
        <f>-(Financing!J24+Financing!J42+Financing!J54)</f>
        <v>-15.273450177769659</v>
      </c>
      <c r="K20" s="159">
        <f>-(Financing!K24+Financing!K42+Financing!K54)</f>
        <v>-7.5739574854145442</v>
      </c>
      <c r="L20" s="159">
        <f>-(Financing!L24+Financing!L42+Financing!L54)</f>
        <v>-3.4156499999999999</v>
      </c>
      <c r="M20" s="159">
        <f>-(Financing!M24+Financing!M42+Financing!M54)</f>
        <v>-8.5391250000000003</v>
      </c>
      <c r="N20" s="159">
        <f>-(Financing!N24+Financing!N42+Financing!N54)</f>
        <v>-8.5391250000000003</v>
      </c>
      <c r="O20" s="159">
        <f>-(Financing!O24+Financing!O42+Financing!O54)</f>
        <v>-7.8559950000000001</v>
      </c>
      <c r="P20" s="159">
        <f>-(Financing!P24+Financing!P42+Financing!P54)</f>
        <v>-6.1481700000000004</v>
      </c>
      <c r="Q20" s="159">
        <f>-(Financing!Q24+Financing!Q42+Financing!Q54)</f>
        <v>-4.4403449999999998</v>
      </c>
      <c r="R20" s="159">
        <f>-(Financing!R24+Financing!R42+Financing!R54)</f>
        <v>-2.7325200000000001</v>
      </c>
      <c r="S20" s="159">
        <f>-(Financing!S24+Financing!S42+Financing!S54)</f>
        <v>-1.0246949999999999</v>
      </c>
      <c r="T20" s="159">
        <f>-(Financing!T24+Financing!T42+Financing!T54)</f>
        <v>0</v>
      </c>
    </row>
    <row r="21" spans="2:20" x14ac:dyDescent="0.25">
      <c r="B21" s="23" t="s">
        <v>2781</v>
      </c>
      <c r="C21" s="28" t="s">
        <v>493</v>
      </c>
      <c r="H21" s="159">
        <f>-Financing!H43</f>
        <v>0</v>
      </c>
      <c r="I21" s="159">
        <f>-Financing!I43</f>
        <v>0</v>
      </c>
      <c r="J21" s="159">
        <f>-Financing!J43</f>
        <v>0</v>
      </c>
      <c r="K21" s="159">
        <f>-Financing!K43</f>
        <v>0</v>
      </c>
      <c r="L21" s="159">
        <f>-Financing!L43</f>
        <v>0</v>
      </c>
      <c r="M21" s="159">
        <f>-Financing!M43</f>
        <v>0</v>
      </c>
      <c r="N21" s="159">
        <f>-Financing!N43</f>
        <v>0</v>
      </c>
      <c r="O21" s="159">
        <f>-Financing!O43</f>
        <v>0</v>
      </c>
      <c r="P21" s="159">
        <f>-Financing!P43</f>
        <v>0</v>
      </c>
      <c r="Q21" s="159">
        <f>-Financing!Q43</f>
        <v>0</v>
      </c>
      <c r="R21" s="159">
        <f>-Financing!R43</f>
        <v>0</v>
      </c>
      <c r="S21" s="159">
        <f>-Financing!S43</f>
        <v>0</v>
      </c>
      <c r="T21" s="159">
        <f>-Financing!T43</f>
        <v>0</v>
      </c>
    </row>
    <row r="22" spans="2:20" x14ac:dyDescent="0.25">
      <c r="B22" s="23" t="s">
        <v>2782</v>
      </c>
      <c r="C22" s="28" t="s">
        <v>493</v>
      </c>
      <c r="H22" s="29">
        <f>Financing!H89</f>
        <v>0</v>
      </c>
      <c r="I22" s="29">
        <f>Financing!I89</f>
        <v>0</v>
      </c>
      <c r="J22" s="29">
        <f>Financing!J89</f>
        <v>0</v>
      </c>
      <c r="K22" s="29">
        <f>Financing!K89</f>
        <v>0</v>
      </c>
      <c r="L22" s="29">
        <f>Financing!L89</f>
        <v>0</v>
      </c>
      <c r="M22" s="29">
        <f>Financing!M89</f>
        <v>0</v>
      </c>
      <c r="N22" s="29">
        <f>Financing!N89</f>
        <v>0</v>
      </c>
      <c r="O22" s="29">
        <f>Financing!O89</f>
        <v>0</v>
      </c>
      <c r="P22" s="29">
        <f>Financing!P89</f>
        <v>0</v>
      </c>
      <c r="Q22" s="29">
        <f>Financing!Q89</f>
        <v>0</v>
      </c>
      <c r="R22" s="29">
        <f>Financing!R89</f>
        <v>0</v>
      </c>
      <c r="S22" s="29">
        <f>Financing!S89</f>
        <v>0</v>
      </c>
      <c r="T22" s="29">
        <f>Financing!T89</f>
        <v>0</v>
      </c>
    </row>
    <row r="23" spans="2:20" x14ac:dyDescent="0.25">
      <c r="B23" s="23" t="s">
        <v>2783</v>
      </c>
      <c r="C23" s="28" t="s">
        <v>493</v>
      </c>
      <c r="H23" s="159">
        <f t="shared" ref="H23:T23" si="3">H19+H20+H21+H22</f>
        <v>-5.4709055176610004</v>
      </c>
      <c r="I23" s="159">
        <f t="shared" si="3"/>
        <v>-15.273450177769661</v>
      </c>
      <c r="J23" s="159">
        <f t="shared" si="3"/>
        <v>-15.273450177769659</v>
      </c>
      <c r="K23" s="159">
        <f t="shared" si="3"/>
        <v>-7.5739574854145442</v>
      </c>
      <c r="L23" s="159">
        <f t="shared" si="3"/>
        <v>-3.4156499999999999</v>
      </c>
      <c r="M23" s="159">
        <f t="shared" si="3"/>
        <v>-8.5391250000000003</v>
      </c>
      <c r="N23" s="159">
        <f t="shared" si="3"/>
        <v>-8.5391250000000003</v>
      </c>
      <c r="O23" s="159">
        <f t="shared" si="3"/>
        <v>-7.8559950000000001</v>
      </c>
      <c r="P23" s="159">
        <f t="shared" si="3"/>
        <v>-6.1481700000000004</v>
      </c>
      <c r="Q23" s="159">
        <f t="shared" si="3"/>
        <v>-4.4403449999999998</v>
      </c>
      <c r="R23" s="159">
        <f t="shared" si="3"/>
        <v>-2.7325200000000001</v>
      </c>
      <c r="S23" s="159">
        <f t="shared" si="3"/>
        <v>-1.0246949999999999</v>
      </c>
      <c r="T23" s="159">
        <f t="shared" si="3"/>
        <v>0</v>
      </c>
    </row>
    <row r="24" spans="2:20" x14ac:dyDescent="0.25">
      <c r="B24" s="21" t="s">
        <v>2784</v>
      </c>
      <c r="C24" s="28" t="s">
        <v>493</v>
      </c>
      <c r="G24" s="157"/>
      <c r="H24" s="158">
        <f t="shared" ref="H24:T24" si="4">H18+H23</f>
        <v>60.391507476266732</v>
      </c>
      <c r="I24" s="158">
        <f t="shared" si="4"/>
        <v>134.68539841895304</v>
      </c>
      <c r="J24" s="158">
        <f t="shared" si="4"/>
        <v>158.93086090043514</v>
      </c>
      <c r="K24" s="158">
        <f t="shared" si="4"/>
        <v>244.28143918154245</v>
      </c>
      <c r="L24" s="158">
        <f t="shared" si="4"/>
        <v>286.45607970830565</v>
      </c>
      <c r="M24" s="158">
        <f t="shared" si="4"/>
        <v>335.26273855607099</v>
      </c>
      <c r="N24" s="158">
        <f t="shared" si="4"/>
        <v>361.1765628494644</v>
      </c>
      <c r="O24" s="158">
        <f t="shared" si="4"/>
        <v>407.07873766525353</v>
      </c>
      <c r="P24" s="158">
        <f t="shared" si="4"/>
        <v>435.3368289733653</v>
      </c>
      <c r="Q24" s="158">
        <f t="shared" si="4"/>
        <v>481.85402307983236</v>
      </c>
      <c r="R24" s="158">
        <f t="shared" si="4"/>
        <v>508.21002265588436</v>
      </c>
      <c r="S24" s="158">
        <f t="shared" si="4"/>
        <v>506.93274415942375</v>
      </c>
      <c r="T24" s="158">
        <f t="shared" si="4"/>
        <v>528.56113197207742</v>
      </c>
    </row>
    <row r="25" spans="2:20" x14ac:dyDescent="0.25">
      <c r="B25" s="23" t="s">
        <v>2785</v>
      </c>
      <c r="C25" s="28" t="s">
        <v>493</v>
      </c>
      <c r="H25" s="159">
        <f t="shared" ref="H25:T25" si="5">-H179</f>
        <v>-19.962283512427824</v>
      </c>
      <c r="I25" s="159">
        <f t="shared" si="5"/>
        <v>-34.011742338910175</v>
      </c>
      <c r="J25" s="159">
        <f t="shared" si="5"/>
        <v>-39.45657020237433</v>
      </c>
      <c r="K25" s="159">
        <f t="shared" si="5"/>
        <v>-55.735174975903888</v>
      </c>
      <c r="L25" s="159">
        <f t="shared" si="5"/>
        <v>-65.69938941623991</v>
      </c>
      <c r="M25" s="159">
        <f t="shared" si="5"/>
        <v>-75.495776591622914</v>
      </c>
      <c r="N25" s="159">
        <f t="shared" si="5"/>
        <v>-79.487612997543067</v>
      </c>
      <c r="O25" s="159">
        <f t="shared" si="5"/>
        <v>-89.557322286355799</v>
      </c>
      <c r="P25" s="159">
        <f t="shared" si="5"/>
        <v>-95.774102374140355</v>
      </c>
      <c r="Q25" s="159">
        <f t="shared" si="5"/>
        <v>-106.0078850775631</v>
      </c>
      <c r="R25" s="159">
        <f t="shared" si="5"/>
        <v>-111.80620498429455</v>
      </c>
      <c r="S25" s="159">
        <f t="shared" si="5"/>
        <v>-111.52520371507319</v>
      </c>
      <c r="T25" s="159">
        <f t="shared" si="5"/>
        <v>-116.28344903385702</v>
      </c>
    </row>
    <row r="26" spans="2:20" x14ac:dyDescent="0.25">
      <c r="B26" s="21" t="s">
        <v>2786</v>
      </c>
      <c r="C26" s="28" t="s">
        <v>493</v>
      </c>
      <c r="G26" s="157"/>
      <c r="H26" s="158">
        <f t="shared" ref="H26:T26" si="6">H24+H25</f>
        <v>40.429223963838908</v>
      </c>
      <c r="I26" s="158">
        <f t="shared" si="6"/>
        <v>100.67365608004286</v>
      </c>
      <c r="J26" s="158">
        <f t="shared" si="6"/>
        <v>119.4742906980608</v>
      </c>
      <c r="K26" s="158">
        <f t="shared" si="6"/>
        <v>188.54626420563858</v>
      </c>
      <c r="L26" s="158">
        <f t="shared" si="6"/>
        <v>220.75669029206574</v>
      </c>
      <c r="M26" s="158">
        <f t="shared" si="6"/>
        <v>259.76696196444806</v>
      </c>
      <c r="N26" s="158">
        <f t="shared" si="6"/>
        <v>281.68894985192134</v>
      </c>
      <c r="O26" s="158">
        <f t="shared" si="6"/>
        <v>317.5214153788977</v>
      </c>
      <c r="P26" s="158">
        <f t="shared" si="6"/>
        <v>339.56272659922496</v>
      </c>
      <c r="Q26" s="158">
        <f t="shared" si="6"/>
        <v>375.84613800226924</v>
      </c>
      <c r="R26" s="158">
        <f t="shared" si="6"/>
        <v>396.40381767158982</v>
      </c>
      <c r="S26" s="158">
        <f t="shared" si="6"/>
        <v>395.40754044435056</v>
      </c>
      <c r="T26" s="158">
        <f t="shared" si="6"/>
        <v>412.27768293822038</v>
      </c>
    </row>
    <row r="27" spans="2:20" ht="38.25" customHeight="1" x14ac:dyDescent="0.25">
      <c r="B27" s="64" t="s">
        <v>2787</v>
      </c>
      <c r="C27" s="28" t="s">
        <v>493</v>
      </c>
      <c r="H27" s="159">
        <f t="shared" ref="H27:T27" si="7">H184</f>
        <v>19.320215534431458</v>
      </c>
      <c r="I27" s="159">
        <f t="shared" si="7"/>
        <v>20.112614152622385</v>
      </c>
      <c r="J27" s="159">
        <f t="shared" si="7"/>
        <v>20.642073731027939</v>
      </c>
      <c r="K27" s="159">
        <f t="shared" si="7"/>
        <v>21.59259302255342</v>
      </c>
      <c r="L27" s="159">
        <f t="shared" si="7"/>
        <v>22.437855456660099</v>
      </c>
      <c r="M27" s="159">
        <f t="shared" si="7"/>
        <v>24.505559766473279</v>
      </c>
      <c r="N27" s="159">
        <f t="shared" si="7"/>
        <v>25.427215126870422</v>
      </c>
      <c r="O27" s="159">
        <f t="shared" si="7"/>
        <v>26.365961171581958</v>
      </c>
      <c r="P27" s="159">
        <f t="shared" si="7"/>
        <v>28.714577961146951</v>
      </c>
      <c r="Q27" s="159">
        <f t="shared" si="7"/>
        <v>29.737252621197715</v>
      </c>
      <c r="R27" s="159">
        <f t="shared" si="7"/>
        <v>30.778030468287895</v>
      </c>
      <c r="S27" s="159">
        <f t="shared" si="7"/>
        <v>31.836698539112952</v>
      </c>
      <c r="T27" s="159">
        <f t="shared" si="7"/>
        <v>32.912991498073275</v>
      </c>
    </row>
    <row r="28" spans="2:20" ht="26.25" customHeight="1" x14ac:dyDescent="0.25">
      <c r="B28" s="133" t="s">
        <v>2788</v>
      </c>
      <c r="C28" s="28" t="s">
        <v>493</v>
      </c>
      <c r="H28" s="160">
        <f t="shared" ref="H28:T28" si="8">H26-H27</f>
        <v>21.109008429407449</v>
      </c>
      <c r="I28" s="160">
        <f t="shared" si="8"/>
        <v>80.561041927420476</v>
      </c>
      <c r="J28" s="160">
        <f t="shared" si="8"/>
        <v>98.832216967032863</v>
      </c>
      <c r="K28" s="160">
        <f t="shared" si="8"/>
        <v>166.95367118308516</v>
      </c>
      <c r="L28" s="160">
        <f t="shared" si="8"/>
        <v>198.31883483540565</v>
      </c>
      <c r="M28" s="160">
        <f t="shared" si="8"/>
        <v>235.26140219797477</v>
      </c>
      <c r="N28" s="160">
        <f t="shared" si="8"/>
        <v>256.26173472505093</v>
      </c>
      <c r="O28" s="160">
        <f t="shared" si="8"/>
        <v>291.15545420731576</v>
      </c>
      <c r="P28" s="160">
        <f t="shared" si="8"/>
        <v>310.84814863807799</v>
      </c>
      <c r="Q28" s="160">
        <f t="shared" si="8"/>
        <v>346.1088853810715</v>
      </c>
      <c r="R28" s="160">
        <f t="shared" si="8"/>
        <v>365.62578720330191</v>
      </c>
      <c r="S28" s="160">
        <f t="shared" si="8"/>
        <v>363.57084190523761</v>
      </c>
      <c r="T28" s="160">
        <f t="shared" si="8"/>
        <v>379.36469144014711</v>
      </c>
    </row>
    <row r="29" spans="2:20" x14ac:dyDescent="0.25">
      <c r="B29" s="154" t="s">
        <v>2789</v>
      </c>
    </row>
    <row r="30" spans="2:20" x14ac:dyDescent="0.25">
      <c r="B30" s="23" t="s">
        <v>2790</v>
      </c>
      <c r="C30" s="28" t="s">
        <v>292</v>
      </c>
      <c r="H30" s="105">
        <f t="shared" ref="H30:T30" si="9">IF(H9=0,0,H16/H9)</f>
        <v>0.50521197622373193</v>
      </c>
      <c r="I30" s="105">
        <f t="shared" si="9"/>
        <v>0.6163628788419736</v>
      </c>
      <c r="J30" s="105">
        <f t="shared" si="9"/>
        <v>0.6251318124889047</v>
      </c>
      <c r="K30" s="105">
        <f t="shared" si="9"/>
        <v>0.62716600619246332</v>
      </c>
      <c r="L30" s="105">
        <f t="shared" si="9"/>
        <v>0.61830794719387905</v>
      </c>
      <c r="M30" s="105">
        <f t="shared" si="9"/>
        <v>0.62287986664734407</v>
      </c>
      <c r="N30" s="105">
        <f t="shared" si="9"/>
        <v>0.62213515971773714</v>
      </c>
      <c r="O30" s="105">
        <f t="shared" si="9"/>
        <v>0.62739229742719982</v>
      </c>
      <c r="P30" s="105">
        <f t="shared" si="9"/>
        <v>0.62810563964623611</v>
      </c>
      <c r="Q30" s="105">
        <f t="shared" si="9"/>
        <v>0.6328966287390223</v>
      </c>
      <c r="R30" s="105">
        <f t="shared" si="9"/>
        <v>0.63919791999941078</v>
      </c>
      <c r="S30" s="105">
        <f t="shared" si="9"/>
        <v>0.62870241368656055</v>
      </c>
      <c r="T30" s="105">
        <f t="shared" si="9"/>
        <v>0.6268279090136919</v>
      </c>
    </row>
    <row r="31" spans="2:20" x14ac:dyDescent="0.25">
      <c r="B31" s="23" t="s">
        <v>2791</v>
      </c>
      <c r="C31" s="28" t="s">
        <v>292</v>
      </c>
      <c r="H31" s="105">
        <f t="shared" ref="H31:T31" si="10">IF(H9=0,0,H26/H9)</f>
        <v>0.13242950807920137</v>
      </c>
      <c r="I31" s="105">
        <f t="shared" si="10"/>
        <v>0.23543728065029582</v>
      </c>
      <c r="J31" s="105">
        <f t="shared" si="10"/>
        <v>0.24157152689665506</v>
      </c>
      <c r="K31" s="105">
        <f t="shared" si="10"/>
        <v>0.30414300285781293</v>
      </c>
      <c r="L31" s="105">
        <f t="shared" si="10"/>
        <v>0.3144551933162385</v>
      </c>
      <c r="M31" s="105">
        <f t="shared" si="10"/>
        <v>0.32271219012146574</v>
      </c>
      <c r="N31" s="105">
        <f t="shared" si="10"/>
        <v>0.33234487874845875</v>
      </c>
      <c r="O31" s="105">
        <f t="shared" si="10"/>
        <v>0.34794307403775931</v>
      </c>
      <c r="P31" s="105">
        <f t="shared" si="10"/>
        <v>0.35480156939149904</v>
      </c>
      <c r="Q31" s="105">
        <f t="shared" si="10"/>
        <v>0.36827044546393012</v>
      </c>
      <c r="R31" s="105">
        <f t="shared" si="10"/>
        <v>0.38100272333699153</v>
      </c>
      <c r="S31" s="105">
        <f t="shared" si="10"/>
        <v>0.37548474729353892</v>
      </c>
      <c r="T31" s="105">
        <f t="shared" si="10"/>
        <v>0.37853385050520555</v>
      </c>
    </row>
    <row r="32" spans="2:20" x14ac:dyDescent="0.25">
      <c r="B32" s="23" t="s">
        <v>2792</v>
      </c>
      <c r="C32" s="28" t="s">
        <v>806</v>
      </c>
      <c r="H32" s="159">
        <f>H16/Inputs!H95*1000</f>
        <v>9.4826606457339722</v>
      </c>
      <c r="I32" s="159">
        <f>I16/Inputs!I95*1000</f>
        <v>16.204029128725747</v>
      </c>
      <c r="J32" s="159">
        <f>J16/Inputs!J95*1000</f>
        <v>19.008430063407154</v>
      </c>
      <c r="K32" s="159">
        <f>K16/Inputs!K95*1000</f>
        <v>23.903888002100565</v>
      </c>
      <c r="L32" s="159">
        <f>L16/Inputs!L95*1000</f>
        <v>26.687375331794755</v>
      </c>
      <c r="M32" s="159">
        <f>M16/Inputs!M95*1000</f>
        <v>30.826113296220267</v>
      </c>
      <c r="N32" s="159">
        <f>N16/Inputs!N95*1000</f>
        <v>32.419887106789972</v>
      </c>
      <c r="O32" s="159">
        <f>O16/Inputs!O95*1000</f>
        <v>35.200589823422156</v>
      </c>
      <c r="P32" s="159">
        <f>P16/Inputs!P95*1000</f>
        <v>36.958395213885517</v>
      </c>
      <c r="Q32" s="159">
        <f>Q16/Inputs!Q95*1000</f>
        <v>39.712016437698672</v>
      </c>
      <c r="R32" s="159">
        <f>R16/Inputs!R95*1000</f>
        <v>40.887544889892169</v>
      </c>
      <c r="S32" s="159">
        <f>S16/Inputs!S95*1000</f>
        <v>40.704620220925023</v>
      </c>
      <c r="T32" s="159">
        <f>T16/Inputs!T95*1000</f>
        <v>41.973903654285905</v>
      </c>
    </row>
    <row r="34" spans="2:20" x14ac:dyDescent="0.25">
      <c r="B34" s="58" t="s">
        <v>2793</v>
      </c>
      <c r="C34" s="19"/>
      <c r="D34" s="19"/>
      <c r="E34" s="19"/>
      <c r="F34" s="19"/>
      <c r="G34" s="19"/>
      <c r="H34" s="19"/>
      <c r="I34" s="19"/>
      <c r="J34" s="19"/>
      <c r="K34" s="19"/>
      <c r="L34" s="19"/>
      <c r="M34" s="19"/>
      <c r="N34" s="19"/>
      <c r="O34" s="19"/>
      <c r="P34" s="19"/>
      <c r="Q34" s="19"/>
      <c r="R34" s="19"/>
      <c r="S34" s="19"/>
      <c r="T34" s="19"/>
    </row>
    <row r="35" spans="2:20" x14ac:dyDescent="0.25">
      <c r="B35" s="154" t="s">
        <v>2794</v>
      </c>
    </row>
    <row r="36" spans="2:20" x14ac:dyDescent="0.25">
      <c r="B36" s="23" t="s">
        <v>2795</v>
      </c>
      <c r="C36" s="28" t="s">
        <v>493</v>
      </c>
      <c r="H36" s="159">
        <f>('Cost Calculation'!H35-'Capex &amp; Depreciation'!H231)</f>
        <v>70.770020272642711</v>
      </c>
      <c r="I36" s="159">
        <f>('Cost Calculation'!I35-'Capex &amp; Depreciation'!I231)</f>
        <v>73.672579313635111</v>
      </c>
      <c r="J36" s="159">
        <f>('Cost Calculation'!J35-'Capex &amp; Depreciation'!J231)</f>
        <v>75.611991688747025</v>
      </c>
      <c r="K36" s="159">
        <f>('Cost Calculation'!K35-'Capex &amp; Depreciation'!K231)</f>
        <v>78.630877999813691</v>
      </c>
      <c r="L36" s="159">
        <f>('Cost Calculation'!L35-'Capex &amp; Depreciation'!L231)</f>
        <v>81.707847712079456</v>
      </c>
      <c r="M36" s="159">
        <f>('Cost Calculation'!M35-'Capex &amp; Depreciation'!M231)</f>
        <v>89.262049602465197</v>
      </c>
      <c r="N36" s="159">
        <f>('Cost Calculation'!N35-'Capex &amp; Depreciation'!N231)</f>
        <v>92.617675796044423</v>
      </c>
      <c r="O36" s="159">
        <f>('Cost Calculation'!O35-'Capex &amp; Depreciation'!O231)</f>
        <v>96.035293205843075</v>
      </c>
      <c r="P36" s="159">
        <f>('Cost Calculation'!P35-'Capex &amp; Depreciation'!P231)</f>
        <v>104.61664193468332</v>
      </c>
      <c r="Q36" s="159">
        <f>('Cost Calculation'!Q35-'Capex &amp; Depreciation'!Q231)</f>
        <v>108.34041049095224</v>
      </c>
      <c r="R36" s="159">
        <f>('Cost Calculation'!R35-'Capex &amp; Depreciation'!R231)</f>
        <v>112.12982231357182</v>
      </c>
      <c r="S36" s="159">
        <f>('Cost Calculation'!S35-'Capex &amp; Depreciation'!S231)</f>
        <v>115.98407725395487</v>
      </c>
      <c r="T36" s="159">
        <f>('Cost Calculation'!T35-'Capex &amp; Depreciation'!T231)</f>
        <v>119.9021827217088</v>
      </c>
    </row>
    <row r="37" spans="2:20" x14ac:dyDescent="0.25">
      <c r="B37" s="23" t="s">
        <v>2796</v>
      </c>
      <c r="C37" s="28" t="s">
        <v>493</v>
      </c>
      <c r="H37" s="159">
        <f t="shared" ref="H37:T37" si="11">H36</f>
        <v>70.770020272642711</v>
      </c>
      <c r="I37" s="159">
        <f t="shared" si="11"/>
        <v>73.672579313635111</v>
      </c>
      <c r="J37" s="159">
        <f t="shared" si="11"/>
        <v>75.611991688747025</v>
      </c>
      <c r="K37" s="159">
        <f t="shared" si="11"/>
        <v>78.630877999813691</v>
      </c>
      <c r="L37" s="159">
        <f t="shared" si="11"/>
        <v>81.707847712079456</v>
      </c>
      <c r="M37" s="159">
        <f t="shared" si="11"/>
        <v>89.262049602465197</v>
      </c>
      <c r="N37" s="159">
        <f t="shared" si="11"/>
        <v>92.617675796044423</v>
      </c>
      <c r="O37" s="159">
        <f t="shared" si="11"/>
        <v>96.035293205843075</v>
      </c>
      <c r="P37" s="159">
        <f t="shared" si="11"/>
        <v>104.61664193468332</v>
      </c>
      <c r="Q37" s="159">
        <f t="shared" si="11"/>
        <v>108.34041049095224</v>
      </c>
      <c r="R37" s="159">
        <f t="shared" si="11"/>
        <v>112.12982231357182</v>
      </c>
      <c r="S37" s="159">
        <f t="shared" si="11"/>
        <v>115.98407725395487</v>
      </c>
      <c r="T37" s="159">
        <f t="shared" si="11"/>
        <v>119.9021827217088</v>
      </c>
    </row>
    <row r="38" spans="2:20" x14ac:dyDescent="0.25">
      <c r="B38" s="23" t="s">
        <v>2797</v>
      </c>
      <c r="C38" s="28" t="s">
        <v>493</v>
      </c>
      <c r="H38" s="159">
        <f>Inputs!H522*MAX(0,H37)</f>
        <v>15.569404459981396</v>
      </c>
      <c r="I38" s="159">
        <f>Inputs!I522*MAX(0,I37)</f>
        <v>16.207967448999725</v>
      </c>
      <c r="J38" s="159">
        <f>Inputs!J522*MAX(0,J37)</f>
        <v>16.634638171524347</v>
      </c>
      <c r="K38" s="159">
        <f>Inputs!K522*MAX(0,K37)</f>
        <v>17.298793159959011</v>
      </c>
      <c r="L38" s="159">
        <f>Inputs!L522*MAX(0,L37)</f>
        <v>17.975726496657479</v>
      </c>
      <c r="M38" s="159">
        <f>Inputs!M522*MAX(0,M37)</f>
        <v>19.637650912542345</v>
      </c>
      <c r="N38" s="159">
        <f>Inputs!N522*MAX(0,N37)</f>
        <v>20.375888675129772</v>
      </c>
      <c r="O38" s="159">
        <f>Inputs!O522*MAX(0,O37)</f>
        <v>21.127764505285477</v>
      </c>
      <c r="P38" s="159">
        <f>Inputs!P522*MAX(0,P37)</f>
        <v>23.015661225630328</v>
      </c>
      <c r="Q38" s="159">
        <f>Inputs!Q522*MAX(0,Q37)</f>
        <v>23.834890308009491</v>
      </c>
      <c r="R38" s="159">
        <f>Inputs!R522*MAX(0,R37)</f>
        <v>24.6685609089858</v>
      </c>
      <c r="S38" s="159">
        <f>Inputs!S522*MAX(0,S37)</f>
        <v>25.516496995870071</v>
      </c>
      <c r="T38" s="159">
        <f>Inputs!T522*MAX(0,T37)</f>
        <v>26.378480198775936</v>
      </c>
    </row>
    <row r="39" spans="2:20" x14ac:dyDescent="0.25">
      <c r="B39" s="23" t="s">
        <v>2798</v>
      </c>
      <c r="C39" s="28" t="s">
        <v>493</v>
      </c>
      <c r="H39" s="159">
        <f>Inputs!H522*MAX(0,H36)</f>
        <v>15.569404459981396</v>
      </c>
      <c r="I39" s="159">
        <f>Inputs!I522*MAX(0,I36)</f>
        <v>16.207967448999725</v>
      </c>
      <c r="J39" s="159">
        <f>Inputs!J522*MAX(0,J36)</f>
        <v>16.634638171524347</v>
      </c>
      <c r="K39" s="159">
        <f>Inputs!K522*MAX(0,K36)</f>
        <v>17.298793159959011</v>
      </c>
      <c r="L39" s="159">
        <f>Inputs!L522*MAX(0,L36)</f>
        <v>17.975726496657479</v>
      </c>
      <c r="M39" s="159">
        <f>Inputs!M522*MAX(0,M36)</f>
        <v>19.637650912542345</v>
      </c>
      <c r="N39" s="159">
        <f>Inputs!N522*MAX(0,N36)</f>
        <v>20.375888675129772</v>
      </c>
      <c r="O39" s="159">
        <f>Inputs!O522*MAX(0,O36)</f>
        <v>21.127764505285477</v>
      </c>
      <c r="P39" s="159">
        <f>Inputs!P522*MAX(0,P36)</f>
        <v>23.015661225630328</v>
      </c>
      <c r="Q39" s="159">
        <f>Inputs!Q522*MAX(0,Q36)</f>
        <v>23.834890308009491</v>
      </c>
      <c r="R39" s="159">
        <f>Inputs!R522*MAX(0,R36)</f>
        <v>24.6685609089858</v>
      </c>
      <c r="S39" s="159">
        <f>Inputs!S522*MAX(0,S36)</f>
        <v>25.516496995870071</v>
      </c>
      <c r="T39" s="159">
        <f>Inputs!T522*MAX(0,T36)</f>
        <v>26.378480198775936</v>
      </c>
    </row>
    <row r="40" spans="2:20" x14ac:dyDescent="0.25">
      <c r="B40" s="23" t="s">
        <v>2799</v>
      </c>
      <c r="C40" s="28" t="s">
        <v>493</v>
      </c>
      <c r="H40" s="159">
        <f t="shared" ref="H40:T40" si="12">H37-H38</f>
        <v>55.200615812661312</v>
      </c>
      <c r="I40" s="159">
        <f t="shared" si="12"/>
        <v>57.464611864635387</v>
      </c>
      <c r="J40" s="159">
        <f t="shared" si="12"/>
        <v>58.977353517222681</v>
      </c>
      <c r="K40" s="159">
        <f t="shared" si="12"/>
        <v>61.33208483985468</v>
      </c>
      <c r="L40" s="159">
        <f t="shared" si="12"/>
        <v>63.732121215421977</v>
      </c>
      <c r="M40" s="159">
        <f t="shared" si="12"/>
        <v>69.624398689922856</v>
      </c>
      <c r="N40" s="159">
        <f t="shared" si="12"/>
        <v>72.241787120914651</v>
      </c>
      <c r="O40" s="159">
        <f t="shared" si="12"/>
        <v>74.907528700557606</v>
      </c>
      <c r="P40" s="159">
        <f t="shared" si="12"/>
        <v>81.60098070905299</v>
      </c>
      <c r="Q40" s="159">
        <f t="shared" si="12"/>
        <v>84.505520182942746</v>
      </c>
      <c r="R40" s="159">
        <f t="shared" si="12"/>
        <v>87.461261404586025</v>
      </c>
      <c r="S40" s="159">
        <f t="shared" si="12"/>
        <v>90.467580258084794</v>
      </c>
      <c r="T40" s="159">
        <f t="shared" si="12"/>
        <v>93.523702522932865</v>
      </c>
    </row>
    <row r="41" spans="2:20" x14ac:dyDescent="0.25">
      <c r="B41" s="23" t="s">
        <v>2800</v>
      </c>
      <c r="C41" s="28" t="s">
        <v>493</v>
      </c>
      <c r="H41" s="159">
        <f>('Cost Calculation'!H149-'Capex &amp; Depreciation'!H238)</f>
        <v>0</v>
      </c>
      <c r="I41" s="159">
        <f>('Cost Calculation'!I149-'Capex &amp; Depreciation'!I238)</f>
        <v>0</v>
      </c>
      <c r="J41" s="159">
        <f>('Cost Calculation'!J149-'Capex &amp; Depreciation'!J238)</f>
        <v>0</v>
      </c>
      <c r="K41" s="159">
        <f>('Cost Calculation'!K149-'Capex &amp; Depreciation'!K238)</f>
        <v>9.0070281250000033</v>
      </c>
      <c r="L41" s="159">
        <f>('Cost Calculation'!L149-'Capex &amp; Depreciation'!L238)</f>
        <v>9.0070281250000033</v>
      </c>
      <c r="M41" s="159">
        <f>('Cost Calculation'!M149-'Capex &amp; Depreciation'!M238)</f>
        <v>9.0070281250000033</v>
      </c>
      <c r="N41" s="159">
        <f>('Cost Calculation'!N149-'Capex &amp; Depreciation'!N238)</f>
        <v>9.0070281250000033</v>
      </c>
      <c r="O41" s="159">
        <f>('Cost Calculation'!O149-'Capex &amp; Depreciation'!O238)</f>
        <v>9.0070281250000033</v>
      </c>
      <c r="P41" s="159">
        <f>('Cost Calculation'!P149-'Capex &amp; Depreciation'!P238)</f>
        <v>9.0070281250000033</v>
      </c>
      <c r="Q41" s="159">
        <f>('Cost Calculation'!Q149-'Capex &amp; Depreciation'!Q238)</f>
        <v>9.0070281250000033</v>
      </c>
      <c r="R41" s="159">
        <f>('Cost Calculation'!R149-'Capex &amp; Depreciation'!R238)</f>
        <v>9.0070281250000033</v>
      </c>
      <c r="S41" s="159">
        <f>('Cost Calculation'!S149-'Capex &amp; Depreciation'!S238)</f>
        <v>9.0070281250000033</v>
      </c>
      <c r="T41" s="159">
        <f>('Cost Calculation'!T149-'Capex &amp; Depreciation'!T238)</f>
        <v>9.0070281250000033</v>
      </c>
    </row>
    <row r="42" spans="2:20" x14ac:dyDescent="0.25">
      <c r="B42" s="23" t="s">
        <v>2801</v>
      </c>
      <c r="C42" s="28" t="s">
        <v>493</v>
      </c>
      <c r="H42" s="159">
        <f t="shared" ref="H42:T42" si="13">H41</f>
        <v>0</v>
      </c>
      <c r="I42" s="159">
        <f t="shared" si="13"/>
        <v>0</v>
      </c>
      <c r="J42" s="159">
        <f t="shared" si="13"/>
        <v>0</v>
      </c>
      <c r="K42" s="159">
        <f t="shared" si="13"/>
        <v>9.0070281250000033</v>
      </c>
      <c r="L42" s="159">
        <f t="shared" si="13"/>
        <v>9.0070281250000033</v>
      </c>
      <c r="M42" s="159">
        <f t="shared" si="13"/>
        <v>9.0070281250000033</v>
      </c>
      <c r="N42" s="159">
        <f t="shared" si="13"/>
        <v>9.0070281250000033</v>
      </c>
      <c r="O42" s="159">
        <f t="shared" si="13"/>
        <v>9.0070281250000033</v>
      </c>
      <c r="P42" s="159">
        <f t="shared" si="13"/>
        <v>9.0070281250000033</v>
      </c>
      <c r="Q42" s="159">
        <f t="shared" si="13"/>
        <v>9.0070281250000033</v>
      </c>
      <c r="R42" s="159">
        <f t="shared" si="13"/>
        <v>9.0070281250000033</v>
      </c>
      <c r="S42" s="159">
        <f t="shared" si="13"/>
        <v>9.0070281250000033</v>
      </c>
      <c r="T42" s="159">
        <f t="shared" si="13"/>
        <v>9.0070281250000033</v>
      </c>
    </row>
    <row r="43" spans="2:20" x14ac:dyDescent="0.25">
      <c r="B43" s="23" t="s">
        <v>2802</v>
      </c>
      <c r="C43" s="28" t="s">
        <v>493</v>
      </c>
      <c r="H43" s="159">
        <f>Inputs!H522*MAX(0,H42)</f>
        <v>0</v>
      </c>
      <c r="I43" s="159">
        <f>Inputs!I522*MAX(0,I42)</f>
        <v>0</v>
      </c>
      <c r="J43" s="159">
        <f>Inputs!J522*MAX(0,J42)</f>
        <v>0</v>
      </c>
      <c r="K43" s="159">
        <f>Inputs!K522*MAX(0,K42)</f>
        <v>1.9815461875000007</v>
      </c>
      <c r="L43" s="159">
        <f>Inputs!L522*MAX(0,L42)</f>
        <v>1.9815461875000007</v>
      </c>
      <c r="M43" s="159">
        <f>Inputs!M522*MAX(0,M42)</f>
        <v>1.9815461875000007</v>
      </c>
      <c r="N43" s="159">
        <f>Inputs!N522*MAX(0,N42)</f>
        <v>1.9815461875000007</v>
      </c>
      <c r="O43" s="159">
        <f>Inputs!O522*MAX(0,O42)</f>
        <v>1.9815461875000007</v>
      </c>
      <c r="P43" s="159">
        <f>Inputs!P522*MAX(0,P42)</f>
        <v>1.9815461875000007</v>
      </c>
      <c r="Q43" s="159">
        <f>Inputs!Q522*MAX(0,Q42)</f>
        <v>1.9815461875000007</v>
      </c>
      <c r="R43" s="159">
        <f>Inputs!R522*MAX(0,R42)</f>
        <v>1.9815461875000007</v>
      </c>
      <c r="S43" s="159">
        <f>Inputs!S522*MAX(0,S42)</f>
        <v>1.9815461875000007</v>
      </c>
      <c r="T43" s="159">
        <f>Inputs!T522*MAX(0,T42)</f>
        <v>1.9815461875000007</v>
      </c>
    </row>
    <row r="44" spans="2:20" x14ac:dyDescent="0.25">
      <c r="B44" s="23" t="s">
        <v>2803</v>
      </c>
      <c r="C44" s="28" t="s">
        <v>493</v>
      </c>
      <c r="H44" s="159">
        <f>Inputs!H522*MAX(0,H41)</f>
        <v>0</v>
      </c>
      <c r="I44" s="159">
        <f>Inputs!I522*MAX(0,I41)</f>
        <v>0</v>
      </c>
      <c r="J44" s="159">
        <f>Inputs!J522*MAX(0,J41)</f>
        <v>0</v>
      </c>
      <c r="K44" s="159">
        <f>Inputs!K522*MAX(0,K41)</f>
        <v>1.9815461875000007</v>
      </c>
      <c r="L44" s="159">
        <f>Inputs!L522*MAX(0,L41)</f>
        <v>1.9815461875000007</v>
      </c>
      <c r="M44" s="159">
        <f>Inputs!M522*MAX(0,M41)</f>
        <v>1.9815461875000007</v>
      </c>
      <c r="N44" s="159">
        <f>Inputs!N522*MAX(0,N41)</f>
        <v>1.9815461875000007</v>
      </c>
      <c r="O44" s="159">
        <f>Inputs!O522*MAX(0,O41)</f>
        <v>1.9815461875000007</v>
      </c>
      <c r="P44" s="159">
        <f>Inputs!P522*MAX(0,P41)</f>
        <v>1.9815461875000007</v>
      </c>
      <c r="Q44" s="159">
        <f>Inputs!Q522*MAX(0,Q41)</f>
        <v>1.9815461875000007</v>
      </c>
      <c r="R44" s="159">
        <f>Inputs!R522*MAX(0,R41)</f>
        <v>1.9815461875000007</v>
      </c>
      <c r="S44" s="159">
        <f>Inputs!S522*MAX(0,S41)</f>
        <v>1.9815461875000007</v>
      </c>
      <c r="T44" s="159">
        <f>Inputs!T522*MAX(0,T41)</f>
        <v>1.9815461875000007</v>
      </c>
    </row>
    <row r="45" spans="2:20" x14ac:dyDescent="0.25">
      <c r="B45" s="23" t="s">
        <v>2804</v>
      </c>
      <c r="C45" s="28" t="s">
        <v>493</v>
      </c>
      <c r="H45" s="159">
        <f t="shared" ref="H45:T45" si="14">H42-H43</f>
        <v>0</v>
      </c>
      <c r="I45" s="159">
        <f t="shared" si="14"/>
        <v>0</v>
      </c>
      <c r="J45" s="159">
        <f t="shared" si="14"/>
        <v>0</v>
      </c>
      <c r="K45" s="159">
        <f t="shared" si="14"/>
        <v>7.0254819375000022</v>
      </c>
      <c r="L45" s="159">
        <f t="shared" si="14"/>
        <v>7.0254819375000022</v>
      </c>
      <c r="M45" s="159">
        <f t="shared" si="14"/>
        <v>7.0254819375000022</v>
      </c>
      <c r="N45" s="159">
        <f t="shared" si="14"/>
        <v>7.0254819375000022</v>
      </c>
      <c r="O45" s="159">
        <f t="shared" si="14"/>
        <v>7.0254819375000022</v>
      </c>
      <c r="P45" s="159">
        <f t="shared" si="14"/>
        <v>7.0254819375000022</v>
      </c>
      <c r="Q45" s="159">
        <f t="shared" si="14"/>
        <v>7.0254819375000022</v>
      </c>
      <c r="R45" s="159">
        <f t="shared" si="14"/>
        <v>7.0254819375000022</v>
      </c>
      <c r="S45" s="159">
        <f t="shared" si="14"/>
        <v>7.0254819375000022</v>
      </c>
      <c r="T45" s="159">
        <f t="shared" si="14"/>
        <v>7.0254819375000022</v>
      </c>
    </row>
    <row r="46" spans="2:20" x14ac:dyDescent="0.25">
      <c r="B46" s="23" t="s">
        <v>2805</v>
      </c>
      <c r="C46" s="28" t="s">
        <v>493</v>
      </c>
      <c r="H46" s="159">
        <f>('Cost Calculation'!H153-'Capex &amp; Depreciation'!H239)</f>
        <v>0</v>
      </c>
      <c r="I46" s="159">
        <f>('Cost Calculation'!I153-'Capex &amp; Depreciation'!I239)</f>
        <v>0</v>
      </c>
      <c r="J46" s="159">
        <f>('Cost Calculation'!J153-'Capex &amp; Depreciation'!J239)</f>
        <v>16.890265050924867</v>
      </c>
      <c r="K46" s="159">
        <f>('Cost Calculation'!K153-'Capex &amp; Depreciation'!K239)</f>
        <v>16.378591047467374</v>
      </c>
      <c r="L46" s="159">
        <f>('Cost Calculation'!L153-'Capex &amp; Depreciation'!L239)</f>
        <v>15.854125193923464</v>
      </c>
      <c r="M46" s="159">
        <f>('Cost Calculation'!M153-'Capex &amp; Depreciation'!M239)</f>
        <v>18.188870434615083</v>
      </c>
      <c r="N46" s="159">
        <f>('Cost Calculation'!N153-'Capex &amp; Depreciation'!N239)</f>
        <v>17.19077202670934</v>
      </c>
      <c r="O46" s="159">
        <f>('Cost Calculation'!O153-'Capex &amp; Depreciation'!O239)</f>
        <v>16.835712240642728</v>
      </c>
      <c r="P46" s="159">
        <f>('Cost Calculation'!P153-'Capex &amp; Depreciation'!P239)</f>
        <v>16.247287153666193</v>
      </c>
      <c r="Q46" s="159">
        <f>('Cost Calculation'!Q153-'Capex &amp; Depreciation'!Q239)</f>
        <v>18.693971198331248</v>
      </c>
      <c r="R46" s="159">
        <f>('Cost Calculation'!R153-'Capex &amp; Depreciation'!R239)</f>
        <v>23.603307985592185</v>
      </c>
      <c r="S46" s="159">
        <f>('Cost Calculation'!S153-'Capex &amp; Depreciation'!S239)</f>
        <v>22.520899204446547</v>
      </c>
      <c r="T46" s="159">
        <f>('Cost Calculation'!T153-'Capex &amp; Depreciation'!T239)</f>
        <v>22.254941370425133</v>
      </c>
    </row>
    <row r="47" spans="2:20" x14ac:dyDescent="0.25">
      <c r="B47" s="23" t="s">
        <v>2806</v>
      </c>
      <c r="C47" s="28" t="s">
        <v>493</v>
      </c>
      <c r="H47" s="159">
        <f t="shared" ref="H47:T47" si="15">H46</f>
        <v>0</v>
      </c>
      <c r="I47" s="159">
        <f t="shared" si="15"/>
        <v>0</v>
      </c>
      <c r="J47" s="159">
        <f t="shared" si="15"/>
        <v>16.890265050924867</v>
      </c>
      <c r="K47" s="159">
        <f t="shared" si="15"/>
        <v>16.378591047467374</v>
      </c>
      <c r="L47" s="159">
        <f t="shared" si="15"/>
        <v>15.854125193923464</v>
      </c>
      <c r="M47" s="159">
        <f t="shared" si="15"/>
        <v>18.188870434615083</v>
      </c>
      <c r="N47" s="159">
        <f t="shared" si="15"/>
        <v>17.19077202670934</v>
      </c>
      <c r="O47" s="159">
        <f t="shared" si="15"/>
        <v>16.835712240642728</v>
      </c>
      <c r="P47" s="159">
        <f t="shared" si="15"/>
        <v>16.247287153666193</v>
      </c>
      <c r="Q47" s="159">
        <f t="shared" si="15"/>
        <v>18.693971198331248</v>
      </c>
      <c r="R47" s="159">
        <f t="shared" si="15"/>
        <v>23.603307985592185</v>
      </c>
      <c r="S47" s="159">
        <f t="shared" si="15"/>
        <v>22.520899204446547</v>
      </c>
      <c r="T47" s="159">
        <f t="shared" si="15"/>
        <v>22.254941370425133</v>
      </c>
    </row>
    <row r="48" spans="2:20" x14ac:dyDescent="0.25">
      <c r="B48" s="23" t="s">
        <v>2807</v>
      </c>
      <c r="C48" s="28" t="s">
        <v>493</v>
      </c>
      <c r="H48" s="159">
        <f>Inputs!H522*MAX(0,H47)</f>
        <v>0</v>
      </c>
      <c r="I48" s="159">
        <f>Inputs!I522*MAX(0,I47)</f>
        <v>0</v>
      </c>
      <c r="J48" s="159">
        <f>Inputs!J522*MAX(0,J47)</f>
        <v>3.7158583112034709</v>
      </c>
      <c r="K48" s="159">
        <f>Inputs!K522*MAX(0,K47)</f>
        <v>3.6032900304428224</v>
      </c>
      <c r="L48" s="159">
        <f>Inputs!L522*MAX(0,L47)</f>
        <v>3.4879075426631618</v>
      </c>
      <c r="M48" s="159">
        <f>Inputs!M522*MAX(0,M47)</f>
        <v>4.0015514956153186</v>
      </c>
      <c r="N48" s="159">
        <f>Inputs!N522*MAX(0,N47)</f>
        <v>3.7819698458760547</v>
      </c>
      <c r="O48" s="159">
        <f>Inputs!O522*MAX(0,O47)</f>
        <v>3.7038566929414003</v>
      </c>
      <c r="P48" s="159">
        <f>Inputs!P522*MAX(0,P47)</f>
        <v>3.5744031738065623</v>
      </c>
      <c r="Q48" s="159">
        <f>Inputs!Q522*MAX(0,Q47)</f>
        <v>4.1126736636328749</v>
      </c>
      <c r="R48" s="159">
        <f>Inputs!R522*MAX(0,R47)</f>
        <v>5.1927277568302808</v>
      </c>
      <c r="S48" s="159">
        <f>Inputs!S522*MAX(0,S47)</f>
        <v>4.9545978249782401</v>
      </c>
      <c r="T48" s="159">
        <f>Inputs!T522*MAX(0,T47)</f>
        <v>4.8960871014935297</v>
      </c>
    </row>
    <row r="49" spans="2:20" x14ac:dyDescent="0.25">
      <c r="B49" s="23" t="s">
        <v>2808</v>
      </c>
      <c r="C49" s="28" t="s">
        <v>493</v>
      </c>
      <c r="H49" s="159">
        <f>Inputs!H522*MAX(0,H46)</f>
        <v>0</v>
      </c>
      <c r="I49" s="159">
        <f>Inputs!I522*MAX(0,I46)</f>
        <v>0</v>
      </c>
      <c r="J49" s="159">
        <f>Inputs!J522*MAX(0,J46)</f>
        <v>3.7158583112034709</v>
      </c>
      <c r="K49" s="159">
        <f>Inputs!K522*MAX(0,K46)</f>
        <v>3.6032900304428224</v>
      </c>
      <c r="L49" s="159">
        <f>Inputs!L522*MAX(0,L46)</f>
        <v>3.4879075426631618</v>
      </c>
      <c r="M49" s="159">
        <f>Inputs!M522*MAX(0,M46)</f>
        <v>4.0015514956153186</v>
      </c>
      <c r="N49" s="159">
        <f>Inputs!N522*MAX(0,N46)</f>
        <v>3.7819698458760547</v>
      </c>
      <c r="O49" s="159">
        <f>Inputs!O522*MAX(0,O46)</f>
        <v>3.7038566929414003</v>
      </c>
      <c r="P49" s="159">
        <f>Inputs!P522*MAX(0,P46)</f>
        <v>3.5744031738065623</v>
      </c>
      <c r="Q49" s="159">
        <f>Inputs!Q522*MAX(0,Q46)</f>
        <v>4.1126736636328749</v>
      </c>
      <c r="R49" s="159">
        <f>Inputs!R522*MAX(0,R46)</f>
        <v>5.1927277568302808</v>
      </c>
      <c r="S49" s="159">
        <f>Inputs!S522*MAX(0,S46)</f>
        <v>4.9545978249782401</v>
      </c>
      <c r="T49" s="159">
        <f>Inputs!T522*MAX(0,T46)</f>
        <v>4.8960871014935297</v>
      </c>
    </row>
    <row r="50" spans="2:20" x14ac:dyDescent="0.25">
      <c r="B50" s="23" t="s">
        <v>2809</v>
      </c>
      <c r="C50" s="28" t="s">
        <v>493</v>
      </c>
      <c r="H50" s="159">
        <f t="shared" ref="H50:T50" si="16">H47-H48</f>
        <v>0</v>
      </c>
      <c r="I50" s="159">
        <f t="shared" si="16"/>
        <v>0</v>
      </c>
      <c r="J50" s="159">
        <f t="shared" si="16"/>
        <v>13.174406739721396</v>
      </c>
      <c r="K50" s="159">
        <f t="shared" si="16"/>
        <v>12.775301017024551</v>
      </c>
      <c r="L50" s="159">
        <f t="shared" si="16"/>
        <v>12.366217651260301</v>
      </c>
      <c r="M50" s="159">
        <f t="shared" si="16"/>
        <v>14.187318938999764</v>
      </c>
      <c r="N50" s="159">
        <f t="shared" si="16"/>
        <v>13.408802180833284</v>
      </c>
      <c r="O50" s="159">
        <f t="shared" si="16"/>
        <v>13.131855547701328</v>
      </c>
      <c r="P50" s="159">
        <f t="shared" si="16"/>
        <v>12.67288397985963</v>
      </c>
      <c r="Q50" s="159">
        <f t="shared" si="16"/>
        <v>14.581297534698372</v>
      </c>
      <c r="R50" s="159">
        <f t="shared" si="16"/>
        <v>18.410580228761905</v>
      </c>
      <c r="S50" s="159">
        <f t="shared" si="16"/>
        <v>17.566301379468307</v>
      </c>
      <c r="T50" s="159">
        <f t="shared" si="16"/>
        <v>17.358854268931601</v>
      </c>
    </row>
    <row r="51" spans="2:20" x14ac:dyDescent="0.25">
      <c r="B51" s="23" t="s">
        <v>2810</v>
      </c>
      <c r="C51" s="28" t="s">
        <v>493</v>
      </c>
      <c r="H51" s="159">
        <f>('Cost Calculation'!H165-'Capex &amp; Depreciation'!H242)</f>
        <v>0</v>
      </c>
      <c r="I51" s="159">
        <f>('Cost Calculation'!I165-'Capex &amp; Depreciation'!I242)</f>
        <v>0</v>
      </c>
      <c r="J51" s="159">
        <f>('Cost Calculation'!J165-'Capex &amp; Depreciation'!J242)</f>
        <v>0</v>
      </c>
      <c r="K51" s="159">
        <f>('Cost Calculation'!K165-'Capex &amp; Depreciation'!K242)</f>
        <v>0.46286933554682441</v>
      </c>
      <c r="L51" s="159">
        <f>('Cost Calculation'!L165-'Capex &amp; Depreciation'!L242)</f>
        <v>0.4820990156132291</v>
      </c>
      <c r="M51" s="159">
        <f>('Cost Calculation'!M165-'Capex &amp; Depreciation'!M242)</f>
        <v>0.50190558608162605</v>
      </c>
      <c r="N51" s="159">
        <f>('Cost Calculation'!N165-'Capex &amp; Depreciation'!N242)</f>
        <v>0.52230635366407485</v>
      </c>
      <c r="O51" s="159">
        <f>('Cost Calculation'!O165-'Capex &amp; Depreciation'!O242)</f>
        <v>0.54331914427399719</v>
      </c>
      <c r="P51" s="159">
        <f>('Cost Calculation'!P165-'Capex &amp; Depreciation'!P242)</f>
        <v>0.56496231860221702</v>
      </c>
      <c r="Q51" s="159">
        <f>('Cost Calculation'!Q165-'Capex &amp; Depreciation'!Q242)</f>
        <v>0.58725478816028354</v>
      </c>
      <c r="R51" s="159">
        <f>('Cost Calculation'!R165-'Capex &amp; Depreciation'!R242)</f>
        <v>0.6102160318050921</v>
      </c>
      <c r="S51" s="159">
        <f>('Cost Calculation'!S165-'Capex &amp; Depreciation'!S242)</f>
        <v>0.63386611275924476</v>
      </c>
      <c r="T51" s="159">
        <f>('Cost Calculation'!T165-'Capex &amp; Depreciation'!T242)</f>
        <v>0.65822569614202209</v>
      </c>
    </row>
    <row r="52" spans="2:20" x14ac:dyDescent="0.25">
      <c r="B52" s="23" t="s">
        <v>2811</v>
      </c>
      <c r="C52" s="28" t="s">
        <v>493</v>
      </c>
      <c r="H52" s="159">
        <f t="shared" ref="H52:T52" si="17">H51</f>
        <v>0</v>
      </c>
      <c r="I52" s="159">
        <f t="shared" si="17"/>
        <v>0</v>
      </c>
      <c r="J52" s="159">
        <f t="shared" si="17"/>
        <v>0</v>
      </c>
      <c r="K52" s="159">
        <f t="shared" si="17"/>
        <v>0.46286933554682441</v>
      </c>
      <c r="L52" s="159">
        <f t="shared" si="17"/>
        <v>0.4820990156132291</v>
      </c>
      <c r="M52" s="159">
        <f t="shared" si="17"/>
        <v>0.50190558608162605</v>
      </c>
      <c r="N52" s="159">
        <f t="shared" si="17"/>
        <v>0.52230635366407485</v>
      </c>
      <c r="O52" s="159">
        <f t="shared" si="17"/>
        <v>0.54331914427399719</v>
      </c>
      <c r="P52" s="159">
        <f t="shared" si="17"/>
        <v>0.56496231860221702</v>
      </c>
      <c r="Q52" s="159">
        <f t="shared" si="17"/>
        <v>0.58725478816028354</v>
      </c>
      <c r="R52" s="159">
        <f t="shared" si="17"/>
        <v>0.6102160318050921</v>
      </c>
      <c r="S52" s="159">
        <f t="shared" si="17"/>
        <v>0.63386611275924476</v>
      </c>
      <c r="T52" s="159">
        <f t="shared" si="17"/>
        <v>0.65822569614202209</v>
      </c>
    </row>
    <row r="53" spans="2:20" x14ac:dyDescent="0.25">
      <c r="B53" s="23" t="s">
        <v>2812</v>
      </c>
      <c r="C53" s="28" t="s">
        <v>493</v>
      </c>
      <c r="H53" s="159">
        <f>Inputs!H522*MAX(0,H52)</f>
        <v>0</v>
      </c>
      <c r="I53" s="159">
        <f>Inputs!I522*MAX(0,I52)</f>
        <v>0</v>
      </c>
      <c r="J53" s="159">
        <f>Inputs!J522*MAX(0,J52)</f>
        <v>0</v>
      </c>
      <c r="K53" s="159">
        <f>Inputs!K522*MAX(0,K52)</f>
        <v>0.10183125382030137</v>
      </c>
      <c r="L53" s="159">
        <f>Inputs!L522*MAX(0,L52)</f>
        <v>0.10606178343491041</v>
      </c>
      <c r="M53" s="159">
        <f>Inputs!M522*MAX(0,M52)</f>
        <v>0.11041922893795773</v>
      </c>
      <c r="N53" s="159">
        <f>Inputs!N522*MAX(0,N52)</f>
        <v>0.11490739780609646</v>
      </c>
      <c r="O53" s="159">
        <f>Inputs!O522*MAX(0,O52)</f>
        <v>0.11953021174027938</v>
      </c>
      <c r="P53" s="159">
        <f>Inputs!P522*MAX(0,P52)</f>
        <v>0.12429171009248774</v>
      </c>
      <c r="Q53" s="159">
        <f>Inputs!Q522*MAX(0,Q52)</f>
        <v>0.12919605339526238</v>
      </c>
      <c r="R53" s="159">
        <f>Inputs!R522*MAX(0,R52)</f>
        <v>0.13424752699712025</v>
      </c>
      <c r="S53" s="159">
        <f>Inputs!S522*MAX(0,S52)</f>
        <v>0.13945054480703384</v>
      </c>
      <c r="T53" s="159">
        <f>Inputs!T522*MAX(0,T52)</f>
        <v>0.14480965315124486</v>
      </c>
    </row>
    <row r="54" spans="2:20" x14ac:dyDescent="0.25">
      <c r="B54" s="23" t="s">
        <v>2813</v>
      </c>
      <c r="C54" s="28" t="s">
        <v>493</v>
      </c>
      <c r="H54" s="159">
        <f>Inputs!H522*MAX(0,H51)</f>
        <v>0</v>
      </c>
      <c r="I54" s="159">
        <f>Inputs!I522*MAX(0,I51)</f>
        <v>0</v>
      </c>
      <c r="J54" s="159">
        <f>Inputs!J522*MAX(0,J51)</f>
        <v>0</v>
      </c>
      <c r="K54" s="159">
        <f>Inputs!K522*MAX(0,K51)</f>
        <v>0.10183125382030137</v>
      </c>
      <c r="L54" s="159">
        <f>Inputs!L522*MAX(0,L51)</f>
        <v>0.10606178343491041</v>
      </c>
      <c r="M54" s="159">
        <f>Inputs!M522*MAX(0,M51)</f>
        <v>0.11041922893795773</v>
      </c>
      <c r="N54" s="159">
        <f>Inputs!N522*MAX(0,N51)</f>
        <v>0.11490739780609646</v>
      </c>
      <c r="O54" s="159">
        <f>Inputs!O522*MAX(0,O51)</f>
        <v>0.11953021174027938</v>
      </c>
      <c r="P54" s="159">
        <f>Inputs!P522*MAX(0,P51)</f>
        <v>0.12429171009248774</v>
      </c>
      <c r="Q54" s="159">
        <f>Inputs!Q522*MAX(0,Q51)</f>
        <v>0.12919605339526238</v>
      </c>
      <c r="R54" s="159">
        <f>Inputs!R522*MAX(0,R51)</f>
        <v>0.13424752699712025</v>
      </c>
      <c r="S54" s="159">
        <f>Inputs!S522*MAX(0,S51)</f>
        <v>0.13945054480703384</v>
      </c>
      <c r="T54" s="159">
        <f>Inputs!T522*MAX(0,T51)</f>
        <v>0.14480965315124486</v>
      </c>
    </row>
    <row r="55" spans="2:20" x14ac:dyDescent="0.25">
      <c r="B55" s="23" t="s">
        <v>2814</v>
      </c>
      <c r="C55" s="28" t="s">
        <v>493</v>
      </c>
      <c r="H55" s="159">
        <f t="shared" ref="H55:T55" si="18">H52-H53</f>
        <v>0</v>
      </c>
      <c r="I55" s="159">
        <f t="shared" si="18"/>
        <v>0</v>
      </c>
      <c r="J55" s="159">
        <f t="shared" si="18"/>
        <v>0</v>
      </c>
      <c r="K55" s="159">
        <f t="shared" si="18"/>
        <v>0.36103808172652307</v>
      </c>
      <c r="L55" s="159">
        <f t="shared" si="18"/>
        <v>0.37603723217831869</v>
      </c>
      <c r="M55" s="159">
        <f t="shared" si="18"/>
        <v>0.39148635714366831</v>
      </c>
      <c r="N55" s="159">
        <f t="shared" si="18"/>
        <v>0.40739895585797836</v>
      </c>
      <c r="O55" s="159">
        <f t="shared" si="18"/>
        <v>0.4237889325337178</v>
      </c>
      <c r="P55" s="159">
        <f t="shared" si="18"/>
        <v>0.44067060850972928</v>
      </c>
      <c r="Q55" s="159">
        <f t="shared" si="18"/>
        <v>0.45805873476502112</v>
      </c>
      <c r="R55" s="159">
        <f t="shared" si="18"/>
        <v>0.47596850480797182</v>
      </c>
      <c r="S55" s="159">
        <f t="shared" si="18"/>
        <v>0.49441556795221092</v>
      </c>
      <c r="T55" s="159">
        <f t="shared" si="18"/>
        <v>0.51341604299077725</v>
      </c>
    </row>
    <row r="56" spans="2:20" x14ac:dyDescent="0.25">
      <c r="B56" s="23" t="s">
        <v>2815</v>
      </c>
      <c r="C56" s="28" t="s">
        <v>493</v>
      </c>
      <c r="H56" s="159">
        <f>('Cost Calculation'!H66-'Capex &amp; Depreciation'!H232)</f>
        <v>-24.875239335289663</v>
      </c>
      <c r="I56" s="159">
        <f>('Cost Calculation'!I66-'Capex &amp; Depreciation'!I232)</f>
        <v>-17.971258935505318</v>
      </c>
      <c r="J56" s="159">
        <f>('Cost Calculation'!J66-'Capex &amp; Depreciation'!J232)</f>
        <v>-18.475014015223913</v>
      </c>
      <c r="K56" s="159">
        <f>('Cost Calculation'!K66-'Capex &amp; Depreciation'!K232)</f>
        <v>-8.0971610515423507</v>
      </c>
      <c r="L56" s="159">
        <f>('Cost Calculation'!L66-'Capex &amp; Depreciation'!L232)</f>
        <v>-7.261858547330263</v>
      </c>
      <c r="M56" s="159">
        <f>('Cost Calculation'!M66-'Capex &amp; Depreciation'!M232)</f>
        <v>-1.1808002649764759</v>
      </c>
      <c r="N56" s="159">
        <f>('Cost Calculation'!N66-'Capex &amp; Depreciation'!N232)</f>
        <v>-0.13076895754939954</v>
      </c>
      <c r="O56" s="159">
        <f>('Cost Calculation'!O66-'Capex &amp; Depreciation'!O232)</f>
        <v>5.3248962907882671</v>
      </c>
      <c r="P56" s="159">
        <f>('Cost Calculation'!P66-'Capex &amp; Depreciation'!P232)</f>
        <v>5.510457726058533</v>
      </c>
      <c r="Q56" s="159">
        <f>('Cost Calculation'!Q66-'Capex &amp; Depreciation'!Q232)</f>
        <v>11.684824857319974</v>
      </c>
      <c r="R56" s="159">
        <f>('Cost Calculation'!R66-'Capex &amp; Depreciation'!R232)</f>
        <v>13.09583543364959</v>
      </c>
      <c r="S56" s="159">
        <f>('Cost Calculation'!S66-'Capex &amp; Depreciation'!S232)</f>
        <v>14.533170313202611</v>
      </c>
      <c r="T56" s="159">
        <f>('Cost Calculation'!T66-'Capex &amp; Depreciation'!T232)</f>
        <v>15.996721083491309</v>
      </c>
    </row>
    <row r="57" spans="2:20" x14ac:dyDescent="0.25">
      <c r="B57" s="23" t="s">
        <v>2816</v>
      </c>
      <c r="C57" s="28" t="s">
        <v>493</v>
      </c>
      <c r="H57" s="159">
        <f>H56-Financing!H22</f>
        <v>-30.346144852950665</v>
      </c>
      <c r="I57" s="159">
        <f>I56-Financing!I22</f>
        <v>-19.913430394274979</v>
      </c>
      <c r="J57" s="159">
        <f>J56-Financing!J22</f>
        <v>-20.417185473993563</v>
      </c>
      <c r="K57" s="159">
        <f>K56-Financing!K22</f>
        <v>-9.0602652543842854</v>
      </c>
      <c r="L57" s="159">
        <f>L56-Financing!L22</f>
        <v>-7.261858547330263</v>
      </c>
      <c r="M57" s="159">
        <f>M56-Financing!M22</f>
        <v>-1.1808002649764759</v>
      </c>
      <c r="N57" s="159">
        <f>N56-Financing!N22</f>
        <v>-0.13076895754939954</v>
      </c>
      <c r="O57" s="159">
        <f>O56-Financing!O22</f>
        <v>5.3248962907882671</v>
      </c>
      <c r="P57" s="159">
        <f>P56-Financing!P22</f>
        <v>5.510457726058533</v>
      </c>
      <c r="Q57" s="159">
        <f>Q56-Financing!Q22</f>
        <v>11.684824857319974</v>
      </c>
      <c r="R57" s="159">
        <f>R56-Financing!R22</f>
        <v>13.09583543364959</v>
      </c>
      <c r="S57" s="159">
        <f>S56-Financing!S22</f>
        <v>14.533170313202611</v>
      </c>
      <c r="T57" s="159">
        <f>T56-Financing!T22</f>
        <v>15.996721083491309</v>
      </c>
    </row>
    <row r="58" spans="2:20" x14ac:dyDescent="0.25">
      <c r="B58" s="23" t="s">
        <v>2817</v>
      </c>
      <c r="C58" s="28" t="s">
        <v>493</v>
      </c>
      <c r="H58" s="159">
        <f>Inputs!H522*MAX(0,H57)</f>
        <v>0</v>
      </c>
      <c r="I58" s="159">
        <f>Inputs!I522*MAX(0,I57)</f>
        <v>0</v>
      </c>
      <c r="J58" s="159">
        <f>Inputs!J522*MAX(0,J57)</f>
        <v>0</v>
      </c>
      <c r="K58" s="159">
        <f>Inputs!K522*MAX(0,K57)</f>
        <v>0</v>
      </c>
      <c r="L58" s="159">
        <f>Inputs!L522*MAX(0,L57)</f>
        <v>0</v>
      </c>
      <c r="M58" s="159">
        <f>Inputs!M522*MAX(0,M57)</f>
        <v>0</v>
      </c>
      <c r="N58" s="159">
        <f>Inputs!N522*MAX(0,N57)</f>
        <v>0</v>
      </c>
      <c r="O58" s="159">
        <f>Inputs!O522*MAX(0,O57)</f>
        <v>1.1714771839734188</v>
      </c>
      <c r="P58" s="159">
        <f>Inputs!P522*MAX(0,P57)</f>
        <v>1.2123006997328774</v>
      </c>
      <c r="Q58" s="159">
        <f>Inputs!Q522*MAX(0,Q57)</f>
        <v>2.5706614686103944</v>
      </c>
      <c r="R58" s="159">
        <f>Inputs!R522*MAX(0,R57)</f>
        <v>2.88108379540291</v>
      </c>
      <c r="S58" s="159">
        <f>Inputs!S522*MAX(0,S57)</f>
        <v>3.1972974689045746</v>
      </c>
      <c r="T58" s="159">
        <f>Inputs!T522*MAX(0,T57)</f>
        <v>3.5192786383680881</v>
      </c>
    </row>
    <row r="59" spans="2:20" x14ac:dyDescent="0.25">
      <c r="B59" s="23" t="s">
        <v>2818</v>
      </c>
      <c r="C59" s="28" t="s">
        <v>493</v>
      </c>
      <c r="H59" s="159">
        <f>Inputs!H522*MAX(0,H56)</f>
        <v>0</v>
      </c>
      <c r="I59" s="159">
        <f>Inputs!I522*MAX(0,I56)</f>
        <v>0</v>
      </c>
      <c r="J59" s="159">
        <f>Inputs!J522*MAX(0,J56)</f>
        <v>0</v>
      </c>
      <c r="K59" s="159">
        <f>Inputs!K522*MAX(0,K56)</f>
        <v>0</v>
      </c>
      <c r="L59" s="159">
        <f>Inputs!L522*MAX(0,L56)</f>
        <v>0</v>
      </c>
      <c r="M59" s="159">
        <f>Inputs!M522*MAX(0,M56)</f>
        <v>0</v>
      </c>
      <c r="N59" s="159">
        <f>Inputs!N522*MAX(0,N56)</f>
        <v>0</v>
      </c>
      <c r="O59" s="159">
        <f>Inputs!O522*MAX(0,O56)</f>
        <v>1.1714771839734188</v>
      </c>
      <c r="P59" s="159">
        <f>Inputs!P522*MAX(0,P56)</f>
        <v>1.2123006997328774</v>
      </c>
      <c r="Q59" s="159">
        <f>Inputs!Q522*MAX(0,Q56)</f>
        <v>2.5706614686103944</v>
      </c>
      <c r="R59" s="159">
        <f>Inputs!R522*MAX(0,R56)</f>
        <v>2.88108379540291</v>
      </c>
      <c r="S59" s="159">
        <f>Inputs!S522*MAX(0,S56)</f>
        <v>3.1972974689045746</v>
      </c>
      <c r="T59" s="159">
        <f>Inputs!T522*MAX(0,T56)</f>
        <v>3.5192786383680881</v>
      </c>
    </row>
    <row r="60" spans="2:20" x14ac:dyDescent="0.25">
      <c r="B60" s="23" t="s">
        <v>2819</v>
      </c>
      <c r="C60" s="28" t="s">
        <v>493</v>
      </c>
      <c r="H60" s="159">
        <f t="shared" ref="H60:T60" si="19">H57-H58</f>
        <v>-30.346144852950665</v>
      </c>
      <c r="I60" s="159">
        <f t="shared" si="19"/>
        <v>-19.913430394274979</v>
      </c>
      <c r="J60" s="159">
        <f t="shared" si="19"/>
        <v>-20.417185473993563</v>
      </c>
      <c r="K60" s="159">
        <f t="shared" si="19"/>
        <v>-9.0602652543842854</v>
      </c>
      <c r="L60" s="159">
        <f t="shared" si="19"/>
        <v>-7.261858547330263</v>
      </c>
      <c r="M60" s="159">
        <f t="shared" si="19"/>
        <v>-1.1808002649764759</v>
      </c>
      <c r="N60" s="159">
        <f t="shared" si="19"/>
        <v>-0.13076895754939954</v>
      </c>
      <c r="O60" s="159">
        <f t="shared" si="19"/>
        <v>4.153419106814848</v>
      </c>
      <c r="P60" s="159">
        <f t="shared" si="19"/>
        <v>4.2981570263256561</v>
      </c>
      <c r="Q60" s="159">
        <f t="shared" si="19"/>
        <v>9.1141633887095796</v>
      </c>
      <c r="R60" s="159">
        <f t="shared" si="19"/>
        <v>10.21475163824668</v>
      </c>
      <c r="S60" s="159">
        <f t="shared" si="19"/>
        <v>11.335872844298036</v>
      </c>
      <c r="T60" s="159">
        <f t="shared" si="19"/>
        <v>12.47744244512322</v>
      </c>
    </row>
    <row r="61" spans="2:20" x14ac:dyDescent="0.25">
      <c r="B61" s="23" t="s">
        <v>2820</v>
      </c>
      <c r="C61" s="28" t="s">
        <v>493</v>
      </c>
      <c r="H61" s="159">
        <f>('Cost Calculation'!H137-'Capex &amp; Depreciation'!H235)</f>
        <v>0</v>
      </c>
      <c r="I61" s="159">
        <f>('Cost Calculation'!I137-'Capex &amp; Depreciation'!I235)</f>
        <v>52.936288697450891</v>
      </c>
      <c r="J61" s="159">
        <f>('Cost Calculation'!J137-'Capex &amp; Depreciation'!J235)</f>
        <v>54.827716168331904</v>
      </c>
      <c r="K61" s="159">
        <f>('Cost Calculation'!K137-'Capex &amp; Depreciation'!K235)</f>
        <v>73.787335658747878</v>
      </c>
      <c r="L61" s="159">
        <f>('Cost Calculation'!L137-'Capex &amp; Depreciation'!L235)</f>
        <v>76.271430550328972</v>
      </c>
      <c r="M61" s="159">
        <f>('Cost Calculation'!M137-'Capex &amp; Depreciation'!M235)</f>
        <v>89.650718854843646</v>
      </c>
      <c r="N61" s="159">
        <f>('Cost Calculation'!N137-'Capex &amp; Depreciation'!N235)</f>
        <v>92.57372653412564</v>
      </c>
      <c r="O61" s="159">
        <f>('Cost Calculation'!O137-'Capex &amp; Depreciation'!O235)</f>
        <v>103.1533595670714</v>
      </c>
      <c r="P61" s="159">
        <f>('Cost Calculation'!P137-'Capex &amp; Depreciation'!P235)</f>
        <v>106.43981535079088</v>
      </c>
      <c r="Q61" s="159">
        <f>('Cost Calculation'!Q137-'Capex &amp; Depreciation'!Q235)</f>
        <v>118.33652178905685</v>
      </c>
      <c r="R61" s="159">
        <f>('Cost Calculation'!R137-'Capex &amp; Depreciation'!R235)</f>
        <v>122.03161625056181</v>
      </c>
      <c r="S61" s="159">
        <f>('Cost Calculation'!S137-'Capex &amp; Depreciation'!S235)</f>
        <v>125.81197421436697</v>
      </c>
      <c r="T61" s="159">
        <f>('Cost Calculation'!T137-'Capex &amp; Depreciation'!T235)</f>
        <v>129.67859519525038</v>
      </c>
    </row>
    <row r="62" spans="2:20" x14ac:dyDescent="0.25">
      <c r="B62" s="23" t="s">
        <v>2821</v>
      </c>
      <c r="C62" s="28" t="s">
        <v>493</v>
      </c>
      <c r="H62" s="159">
        <f>H61-Financing!H23</f>
        <v>0</v>
      </c>
      <c r="I62" s="159">
        <f>I61-Financing!I23</f>
        <v>39.605009978450894</v>
      </c>
      <c r="J62" s="159">
        <f>J61-Financing!J23</f>
        <v>41.496437449331893</v>
      </c>
      <c r="K62" s="159">
        <f>K61-Financing!K23</f>
        <v>67.176482376175272</v>
      </c>
      <c r="L62" s="159">
        <f>L61-Financing!L23</f>
        <v>76.271430550328972</v>
      </c>
      <c r="M62" s="159">
        <f>M61-Financing!M23</f>
        <v>89.650718854843646</v>
      </c>
      <c r="N62" s="159">
        <f>N61-Financing!N23</f>
        <v>92.57372653412564</v>
      </c>
      <c r="O62" s="159">
        <f>O61-Financing!O23</f>
        <v>103.1533595670714</v>
      </c>
      <c r="P62" s="159">
        <f>P61-Financing!P23</f>
        <v>106.43981535079088</v>
      </c>
      <c r="Q62" s="159">
        <f>Q61-Financing!Q23</f>
        <v>118.33652178905685</v>
      </c>
      <c r="R62" s="159">
        <f>R61-Financing!R23</f>
        <v>122.03161625056181</v>
      </c>
      <c r="S62" s="159">
        <f>S61-Financing!S23</f>
        <v>125.81197421436697</v>
      </c>
      <c r="T62" s="159">
        <f>T61-Financing!T23</f>
        <v>129.67859519525038</v>
      </c>
    </row>
    <row r="63" spans="2:20" x14ac:dyDescent="0.25">
      <c r="B63" s="23" t="s">
        <v>2822</v>
      </c>
      <c r="C63" s="28" t="s">
        <v>493</v>
      </c>
      <c r="H63" s="159">
        <f>Inputs!H522*MAX(0,H62)</f>
        <v>0</v>
      </c>
      <c r="I63" s="159">
        <f>Inputs!I522*MAX(0,I62)</f>
        <v>8.7131021952591965</v>
      </c>
      <c r="J63" s="159">
        <f>Inputs!J522*MAX(0,J62)</f>
        <v>9.1292162388530169</v>
      </c>
      <c r="K63" s="159">
        <f>Inputs!K522*MAX(0,K62)</f>
        <v>14.778826122758559</v>
      </c>
      <c r="L63" s="159">
        <f>Inputs!L522*MAX(0,L62)</f>
        <v>16.779714721072374</v>
      </c>
      <c r="M63" s="159">
        <f>Inputs!M522*MAX(0,M62)</f>
        <v>19.723158148065604</v>
      </c>
      <c r="N63" s="159">
        <f>Inputs!N522*MAX(0,N62)</f>
        <v>20.366219837507639</v>
      </c>
      <c r="O63" s="159">
        <f>Inputs!O522*MAX(0,O62)</f>
        <v>22.693739104755711</v>
      </c>
      <c r="P63" s="159">
        <f>Inputs!P522*MAX(0,P62)</f>
        <v>23.416759377173992</v>
      </c>
      <c r="Q63" s="159">
        <f>Inputs!Q522*MAX(0,Q62)</f>
        <v>26.034034793592507</v>
      </c>
      <c r="R63" s="159">
        <f>Inputs!R522*MAX(0,R62)</f>
        <v>26.846955575123598</v>
      </c>
      <c r="S63" s="159">
        <f>Inputs!S522*MAX(0,S62)</f>
        <v>27.678634327160733</v>
      </c>
      <c r="T63" s="159">
        <f>Inputs!T522*MAX(0,T62)</f>
        <v>28.529290942955082</v>
      </c>
    </row>
    <row r="64" spans="2:20" x14ac:dyDescent="0.25">
      <c r="B64" s="23" t="s">
        <v>2823</v>
      </c>
      <c r="C64" s="28" t="s">
        <v>493</v>
      </c>
      <c r="H64" s="159">
        <f>Inputs!H522*MAX(0,H61)</f>
        <v>0</v>
      </c>
      <c r="I64" s="159">
        <f>Inputs!I522*MAX(0,I61)</f>
        <v>11.645983513439196</v>
      </c>
      <c r="J64" s="159">
        <f>Inputs!J522*MAX(0,J61)</f>
        <v>12.062097557033018</v>
      </c>
      <c r="K64" s="159">
        <f>Inputs!K522*MAX(0,K61)</f>
        <v>16.233213844924535</v>
      </c>
      <c r="L64" s="159">
        <f>Inputs!L522*MAX(0,L61)</f>
        <v>16.779714721072374</v>
      </c>
      <c r="M64" s="159">
        <f>Inputs!M522*MAX(0,M61)</f>
        <v>19.723158148065604</v>
      </c>
      <c r="N64" s="159">
        <f>Inputs!N522*MAX(0,N61)</f>
        <v>20.366219837507639</v>
      </c>
      <c r="O64" s="159">
        <f>Inputs!O522*MAX(0,O61)</f>
        <v>22.693739104755711</v>
      </c>
      <c r="P64" s="159">
        <f>Inputs!P522*MAX(0,P61)</f>
        <v>23.416759377173992</v>
      </c>
      <c r="Q64" s="159">
        <f>Inputs!Q522*MAX(0,Q61)</f>
        <v>26.034034793592507</v>
      </c>
      <c r="R64" s="159">
        <f>Inputs!R522*MAX(0,R61)</f>
        <v>26.846955575123598</v>
      </c>
      <c r="S64" s="159">
        <f>Inputs!S522*MAX(0,S61)</f>
        <v>27.678634327160733</v>
      </c>
      <c r="T64" s="159">
        <f>Inputs!T522*MAX(0,T61)</f>
        <v>28.529290942955082</v>
      </c>
    </row>
    <row r="65" spans="2:20" x14ac:dyDescent="0.25">
      <c r="B65" s="23" t="s">
        <v>2824</v>
      </c>
      <c r="C65" s="28" t="s">
        <v>493</v>
      </c>
      <c r="H65" s="159">
        <f t="shared" ref="H65:T65" si="20">H62-H63</f>
        <v>0</v>
      </c>
      <c r="I65" s="159">
        <f t="shared" si="20"/>
        <v>30.891907783191698</v>
      </c>
      <c r="J65" s="159">
        <f t="shared" si="20"/>
        <v>32.367221210478874</v>
      </c>
      <c r="K65" s="159">
        <f t="shared" si="20"/>
        <v>52.397656253416713</v>
      </c>
      <c r="L65" s="159">
        <f t="shared" si="20"/>
        <v>59.491715829256599</v>
      </c>
      <c r="M65" s="159">
        <f t="shared" si="20"/>
        <v>69.927560706778038</v>
      </c>
      <c r="N65" s="159">
        <f t="shared" si="20"/>
        <v>72.207506696617997</v>
      </c>
      <c r="O65" s="159">
        <f t="shared" si="20"/>
        <v>80.459620462315698</v>
      </c>
      <c r="P65" s="159">
        <f t="shared" si="20"/>
        <v>83.023055973616891</v>
      </c>
      <c r="Q65" s="159">
        <f t="shared" si="20"/>
        <v>92.302486995464335</v>
      </c>
      <c r="R65" s="159">
        <f t="shared" si="20"/>
        <v>95.184660675438209</v>
      </c>
      <c r="S65" s="159">
        <f t="shared" si="20"/>
        <v>98.133339887206233</v>
      </c>
      <c r="T65" s="159">
        <f t="shared" si="20"/>
        <v>101.14930425229529</v>
      </c>
    </row>
    <row r="66" spans="2:20" x14ac:dyDescent="0.25">
      <c r="B66" s="23" t="s">
        <v>2825</v>
      </c>
      <c r="C66" s="28" t="s">
        <v>493</v>
      </c>
      <c r="H66" s="159">
        <f>('Cost Calculation'!H141-'Capex &amp; Depreciation'!H236)</f>
        <v>0</v>
      </c>
      <c r="I66" s="159">
        <f>('Cost Calculation'!I141-'Capex &amp; Depreciation'!I236)</f>
        <v>21.652856044176946</v>
      </c>
      <c r="J66" s="159">
        <f>('Cost Calculation'!J141-'Capex &amp; Depreciation'!J236)</f>
        <v>22.489665723401945</v>
      </c>
      <c r="K66" s="159">
        <f>('Cost Calculation'!K141-'Capex &amp; Depreciation'!K236)</f>
        <v>23.348236612091739</v>
      </c>
      <c r="L66" s="159">
        <f>('Cost Calculation'!L141-'Capex &amp; Depreciation'!L236)</f>
        <v>24.229017952902755</v>
      </c>
      <c r="M66" s="159">
        <f>('Cost Calculation'!M141-'Capex &amp; Depreciation'!M236)</f>
        <v>25.132460066919151</v>
      </c>
      <c r="N66" s="159">
        <f>('Cost Calculation'!N141-'Capex &amp; Depreciation'!N236)</f>
        <v>26.059013630915651</v>
      </c>
      <c r="O66" s="159">
        <f>('Cost Calculation'!O141-'Capex &amp; Depreciation'!O236)</f>
        <v>27.009128886953128</v>
      </c>
      <c r="P66" s="159">
        <f>('Cost Calculation'!P141-'Capex &amp; Depreciation'!P236)</f>
        <v>27.983254779476702</v>
      </c>
      <c r="Q66" s="159">
        <f>('Cost Calculation'!Q141-'Capex &amp; Depreciation'!Q236)</f>
        <v>28.981838014770155</v>
      </c>
      <c r="R66" s="159">
        <f>('Cost Calculation'!R141-'Capex &amp; Depreciation'!R236)</f>
        <v>30.005322037285644</v>
      </c>
      <c r="S66" s="159">
        <f>('Cost Calculation'!S141-'Capex &amp; Depreciation'!S236)</f>
        <v>31.054145917010764</v>
      </c>
      <c r="T66" s="159">
        <f>('Cost Calculation'!T141-'Capex &amp; Depreciation'!T236)</f>
        <v>32.128743141656741</v>
      </c>
    </row>
    <row r="67" spans="2:20" x14ac:dyDescent="0.25">
      <c r="B67" s="23" t="s">
        <v>2826</v>
      </c>
      <c r="C67" s="28" t="s">
        <v>493</v>
      </c>
      <c r="H67" s="159">
        <f t="shared" ref="H67:T67" si="21">H66</f>
        <v>0</v>
      </c>
      <c r="I67" s="159">
        <f t="shared" si="21"/>
        <v>21.652856044176946</v>
      </c>
      <c r="J67" s="159">
        <f t="shared" si="21"/>
        <v>22.489665723401945</v>
      </c>
      <c r="K67" s="159">
        <f t="shared" si="21"/>
        <v>23.348236612091739</v>
      </c>
      <c r="L67" s="159">
        <f t="shared" si="21"/>
        <v>24.229017952902755</v>
      </c>
      <c r="M67" s="159">
        <f t="shared" si="21"/>
        <v>25.132460066919151</v>
      </c>
      <c r="N67" s="159">
        <f t="shared" si="21"/>
        <v>26.059013630915651</v>
      </c>
      <c r="O67" s="159">
        <f t="shared" si="21"/>
        <v>27.009128886953128</v>
      </c>
      <c r="P67" s="159">
        <f t="shared" si="21"/>
        <v>27.983254779476702</v>
      </c>
      <c r="Q67" s="159">
        <f t="shared" si="21"/>
        <v>28.981838014770155</v>
      </c>
      <c r="R67" s="159">
        <f t="shared" si="21"/>
        <v>30.005322037285644</v>
      </c>
      <c r="S67" s="159">
        <f t="shared" si="21"/>
        <v>31.054145917010764</v>
      </c>
      <c r="T67" s="159">
        <f t="shared" si="21"/>
        <v>32.128743141656741</v>
      </c>
    </row>
    <row r="68" spans="2:20" x14ac:dyDescent="0.25">
      <c r="B68" s="23" t="s">
        <v>2827</v>
      </c>
      <c r="C68" s="28" t="s">
        <v>493</v>
      </c>
      <c r="H68" s="159">
        <f>Inputs!H522*MAX(0,H67)</f>
        <v>0</v>
      </c>
      <c r="I68" s="159">
        <f>Inputs!I522*MAX(0,I67)</f>
        <v>4.7636283297189284</v>
      </c>
      <c r="J68" s="159">
        <f>Inputs!J522*MAX(0,J67)</f>
        <v>4.947726459148428</v>
      </c>
      <c r="K68" s="159">
        <f>Inputs!K522*MAX(0,K67)</f>
        <v>5.1366120546601826</v>
      </c>
      <c r="L68" s="159">
        <f>Inputs!L522*MAX(0,L67)</f>
        <v>5.3303839496386063</v>
      </c>
      <c r="M68" s="159">
        <f>Inputs!M522*MAX(0,M67)</f>
        <v>5.5291412147222134</v>
      </c>
      <c r="N68" s="159">
        <f>Inputs!N522*MAX(0,N67)</f>
        <v>5.7329829988014431</v>
      </c>
      <c r="O68" s="159">
        <f>Inputs!O522*MAX(0,O67)</f>
        <v>5.9420083551296878</v>
      </c>
      <c r="P68" s="159">
        <f>Inputs!P522*MAX(0,P67)</f>
        <v>6.1563160514848745</v>
      </c>
      <c r="Q68" s="159">
        <f>Inputs!Q522*MAX(0,Q67)</f>
        <v>6.3760043632494341</v>
      </c>
      <c r="R68" s="159">
        <f>Inputs!R522*MAX(0,R67)</f>
        <v>6.6011708482028419</v>
      </c>
      <c r="S68" s="159">
        <f>Inputs!S522*MAX(0,S67)</f>
        <v>6.8319121017423683</v>
      </c>
      <c r="T68" s="159">
        <f>Inputs!T522*MAX(0,T67)</f>
        <v>7.0683234911644828</v>
      </c>
    </row>
    <row r="69" spans="2:20" x14ac:dyDescent="0.25">
      <c r="B69" s="23" t="s">
        <v>2828</v>
      </c>
      <c r="C69" s="28" t="s">
        <v>493</v>
      </c>
      <c r="H69" s="159">
        <f>Inputs!H522*MAX(0,H66)</f>
        <v>0</v>
      </c>
      <c r="I69" s="159">
        <f>Inputs!I522*MAX(0,I66)</f>
        <v>4.7636283297189284</v>
      </c>
      <c r="J69" s="159">
        <f>Inputs!J522*MAX(0,J66)</f>
        <v>4.947726459148428</v>
      </c>
      <c r="K69" s="159">
        <f>Inputs!K522*MAX(0,K66)</f>
        <v>5.1366120546601826</v>
      </c>
      <c r="L69" s="159">
        <f>Inputs!L522*MAX(0,L66)</f>
        <v>5.3303839496386063</v>
      </c>
      <c r="M69" s="159">
        <f>Inputs!M522*MAX(0,M66)</f>
        <v>5.5291412147222134</v>
      </c>
      <c r="N69" s="159">
        <f>Inputs!N522*MAX(0,N66)</f>
        <v>5.7329829988014431</v>
      </c>
      <c r="O69" s="159">
        <f>Inputs!O522*MAX(0,O66)</f>
        <v>5.9420083551296878</v>
      </c>
      <c r="P69" s="159">
        <f>Inputs!P522*MAX(0,P66)</f>
        <v>6.1563160514848745</v>
      </c>
      <c r="Q69" s="159">
        <f>Inputs!Q522*MAX(0,Q66)</f>
        <v>6.3760043632494341</v>
      </c>
      <c r="R69" s="159">
        <f>Inputs!R522*MAX(0,R66)</f>
        <v>6.6011708482028419</v>
      </c>
      <c r="S69" s="159">
        <f>Inputs!S522*MAX(0,S66)</f>
        <v>6.8319121017423683</v>
      </c>
      <c r="T69" s="159">
        <f>Inputs!T522*MAX(0,T66)</f>
        <v>7.0683234911644828</v>
      </c>
    </row>
    <row r="70" spans="2:20" x14ac:dyDescent="0.25">
      <c r="B70" s="23" t="s">
        <v>2829</v>
      </c>
      <c r="C70" s="28" t="s">
        <v>493</v>
      </c>
      <c r="H70" s="159">
        <f t="shared" ref="H70:T70" si="22">H67-H68</f>
        <v>0</v>
      </c>
      <c r="I70" s="159">
        <f t="shared" si="22"/>
        <v>16.889227714458016</v>
      </c>
      <c r="J70" s="159">
        <f t="shared" si="22"/>
        <v>17.541939264253518</v>
      </c>
      <c r="K70" s="159">
        <f t="shared" si="22"/>
        <v>18.211624557431556</v>
      </c>
      <c r="L70" s="159">
        <f t="shared" si="22"/>
        <v>18.898634003264149</v>
      </c>
      <c r="M70" s="159">
        <f t="shared" si="22"/>
        <v>19.603318852196939</v>
      </c>
      <c r="N70" s="159">
        <f t="shared" si="22"/>
        <v>20.326030632114207</v>
      </c>
      <c r="O70" s="159">
        <f t="shared" si="22"/>
        <v>21.067120531823441</v>
      </c>
      <c r="P70" s="159">
        <f t="shared" si="22"/>
        <v>21.826938727991827</v>
      </c>
      <c r="Q70" s="159">
        <f t="shared" si="22"/>
        <v>22.605833651520719</v>
      </c>
      <c r="R70" s="159">
        <f t="shared" si="22"/>
        <v>23.404151189082803</v>
      </c>
      <c r="S70" s="159">
        <f t="shared" si="22"/>
        <v>24.222233815268396</v>
      </c>
      <c r="T70" s="159">
        <f t="shared" si="22"/>
        <v>25.060419650492257</v>
      </c>
    </row>
    <row r="71" spans="2:20" x14ac:dyDescent="0.25">
      <c r="B71" s="23" t="s">
        <v>2830</v>
      </c>
      <c r="C71" s="28" t="s">
        <v>493</v>
      </c>
      <c r="H71" s="159">
        <f>0</f>
        <v>0</v>
      </c>
      <c r="I71" s="159">
        <f>0</f>
        <v>0</v>
      </c>
      <c r="J71" s="159">
        <f>0</f>
        <v>0</v>
      </c>
      <c r="K71" s="159">
        <f>0</f>
        <v>0</v>
      </c>
      <c r="L71" s="159">
        <f>0</f>
        <v>0</v>
      </c>
      <c r="M71" s="159">
        <f>0</f>
        <v>0</v>
      </c>
      <c r="N71" s="159">
        <f>0</f>
        <v>0</v>
      </c>
      <c r="O71" s="159">
        <f>0</f>
        <v>0</v>
      </c>
      <c r="P71" s="159">
        <f>0</f>
        <v>0</v>
      </c>
      <c r="Q71" s="159">
        <f>0</f>
        <v>0</v>
      </c>
      <c r="R71" s="159">
        <f>0</f>
        <v>0</v>
      </c>
      <c r="S71" s="159">
        <f>0</f>
        <v>0</v>
      </c>
      <c r="T71" s="159">
        <f>0</f>
        <v>0</v>
      </c>
    </row>
    <row r="72" spans="2:20" x14ac:dyDescent="0.25">
      <c r="B72" s="23" t="s">
        <v>2831</v>
      </c>
      <c r="C72" s="28" t="s">
        <v>493</v>
      </c>
      <c r="H72" s="159">
        <f t="shared" ref="H72:T72" si="23">H71</f>
        <v>0</v>
      </c>
      <c r="I72" s="159">
        <f t="shared" si="23"/>
        <v>0</v>
      </c>
      <c r="J72" s="159">
        <f t="shared" si="23"/>
        <v>0</v>
      </c>
      <c r="K72" s="159">
        <f t="shared" si="23"/>
        <v>0</v>
      </c>
      <c r="L72" s="159">
        <f t="shared" si="23"/>
        <v>0</v>
      </c>
      <c r="M72" s="159">
        <f t="shared" si="23"/>
        <v>0</v>
      </c>
      <c r="N72" s="159">
        <f t="shared" si="23"/>
        <v>0</v>
      </c>
      <c r="O72" s="159">
        <f t="shared" si="23"/>
        <v>0</v>
      </c>
      <c r="P72" s="159">
        <f t="shared" si="23"/>
        <v>0</v>
      </c>
      <c r="Q72" s="159">
        <f t="shared" si="23"/>
        <v>0</v>
      </c>
      <c r="R72" s="159">
        <f t="shared" si="23"/>
        <v>0</v>
      </c>
      <c r="S72" s="159">
        <f t="shared" si="23"/>
        <v>0</v>
      </c>
      <c r="T72" s="159">
        <f t="shared" si="23"/>
        <v>0</v>
      </c>
    </row>
    <row r="73" spans="2:20" x14ac:dyDescent="0.25">
      <c r="B73" s="23" t="s">
        <v>2832</v>
      </c>
      <c r="C73" s="28" t="s">
        <v>493</v>
      </c>
      <c r="H73" s="159">
        <f>Inputs!H522*MAX(0,H72)</f>
        <v>0</v>
      </c>
      <c r="I73" s="159">
        <f>Inputs!I522*MAX(0,I72)</f>
        <v>0</v>
      </c>
      <c r="J73" s="159">
        <f>Inputs!J522*MAX(0,J72)</f>
        <v>0</v>
      </c>
      <c r="K73" s="159">
        <f>Inputs!K522*MAX(0,K72)</f>
        <v>0</v>
      </c>
      <c r="L73" s="159">
        <f>Inputs!L522*MAX(0,L72)</f>
        <v>0</v>
      </c>
      <c r="M73" s="159">
        <f>Inputs!M522*MAX(0,M72)</f>
        <v>0</v>
      </c>
      <c r="N73" s="159">
        <f>Inputs!N522*MAX(0,N72)</f>
        <v>0</v>
      </c>
      <c r="O73" s="159">
        <f>Inputs!O522*MAX(0,O72)</f>
        <v>0</v>
      </c>
      <c r="P73" s="159">
        <f>Inputs!P522*MAX(0,P72)</f>
        <v>0</v>
      </c>
      <c r="Q73" s="159">
        <f>Inputs!Q522*MAX(0,Q72)</f>
        <v>0</v>
      </c>
      <c r="R73" s="159">
        <f>Inputs!R522*MAX(0,R72)</f>
        <v>0</v>
      </c>
      <c r="S73" s="159">
        <f>Inputs!S522*MAX(0,S72)</f>
        <v>0</v>
      </c>
      <c r="T73" s="159">
        <f>Inputs!T522*MAX(0,T72)</f>
        <v>0</v>
      </c>
    </row>
    <row r="74" spans="2:20" x14ac:dyDescent="0.25">
      <c r="B74" s="23" t="s">
        <v>2833</v>
      </c>
      <c r="C74" s="28" t="s">
        <v>493</v>
      </c>
      <c r="H74" s="159">
        <f>Inputs!H522*MAX(0,H71)</f>
        <v>0</v>
      </c>
      <c r="I74" s="159">
        <f>Inputs!I522*MAX(0,I71)</f>
        <v>0</v>
      </c>
      <c r="J74" s="159">
        <f>Inputs!J522*MAX(0,J71)</f>
        <v>0</v>
      </c>
      <c r="K74" s="159">
        <f>Inputs!K522*MAX(0,K71)</f>
        <v>0</v>
      </c>
      <c r="L74" s="159">
        <f>Inputs!L522*MAX(0,L71)</f>
        <v>0</v>
      </c>
      <c r="M74" s="159">
        <f>Inputs!M522*MAX(0,M71)</f>
        <v>0</v>
      </c>
      <c r="N74" s="159">
        <f>Inputs!N522*MAX(0,N71)</f>
        <v>0</v>
      </c>
      <c r="O74" s="159">
        <f>Inputs!O522*MAX(0,O71)</f>
        <v>0</v>
      </c>
      <c r="P74" s="159">
        <f>Inputs!P522*MAX(0,P71)</f>
        <v>0</v>
      </c>
      <c r="Q74" s="159">
        <f>Inputs!Q522*MAX(0,Q71)</f>
        <v>0</v>
      </c>
      <c r="R74" s="159">
        <f>Inputs!R522*MAX(0,R71)</f>
        <v>0</v>
      </c>
      <c r="S74" s="159">
        <f>Inputs!S522*MAX(0,S71)</f>
        <v>0</v>
      </c>
      <c r="T74" s="159">
        <f>Inputs!T522*MAX(0,T71)</f>
        <v>0</v>
      </c>
    </row>
    <row r="75" spans="2:20" x14ac:dyDescent="0.25">
      <c r="B75" s="23" t="s">
        <v>2834</v>
      </c>
      <c r="C75" s="28" t="s">
        <v>493</v>
      </c>
      <c r="H75" s="159">
        <f t="shared" ref="H75:T75" si="24">H72-H73</f>
        <v>0</v>
      </c>
      <c r="I75" s="159">
        <f t="shared" si="24"/>
        <v>0</v>
      </c>
      <c r="J75" s="159">
        <f t="shared" si="24"/>
        <v>0</v>
      </c>
      <c r="K75" s="159">
        <f t="shared" si="24"/>
        <v>0</v>
      </c>
      <c r="L75" s="159">
        <f t="shared" si="24"/>
        <v>0</v>
      </c>
      <c r="M75" s="159">
        <f t="shared" si="24"/>
        <v>0</v>
      </c>
      <c r="N75" s="159">
        <f t="shared" si="24"/>
        <v>0</v>
      </c>
      <c r="O75" s="159">
        <f t="shared" si="24"/>
        <v>0</v>
      </c>
      <c r="P75" s="159">
        <f t="shared" si="24"/>
        <v>0</v>
      </c>
      <c r="Q75" s="159">
        <f t="shared" si="24"/>
        <v>0</v>
      </c>
      <c r="R75" s="159">
        <f t="shared" si="24"/>
        <v>0</v>
      </c>
      <c r="S75" s="159">
        <f t="shared" si="24"/>
        <v>0</v>
      </c>
      <c r="T75" s="159">
        <f t="shared" si="24"/>
        <v>0</v>
      </c>
    </row>
    <row r="76" spans="2:20" x14ac:dyDescent="0.25">
      <c r="B76" s="23" t="s">
        <v>2835</v>
      </c>
      <c r="C76" s="28" t="s">
        <v>493</v>
      </c>
      <c r="H76" s="159">
        <f>('Cost Calculation'!H145-'Capex &amp; Depreciation'!H237)</f>
        <v>0</v>
      </c>
      <c r="I76" s="159">
        <f>('Cost Calculation'!I145-'Capex &amp; Depreciation'!I237)</f>
        <v>0</v>
      </c>
      <c r="J76" s="159">
        <f>('Cost Calculation'!J145-'Capex &amp; Depreciation'!J237)</f>
        <v>0</v>
      </c>
      <c r="K76" s="159">
        <f>('Cost Calculation'!K145-'Capex &amp; Depreciation'!K237)</f>
        <v>21.209512799999999</v>
      </c>
      <c r="L76" s="159">
        <f>('Cost Calculation'!L145-'Capex &amp; Depreciation'!L237)</f>
        <v>21.845798184</v>
      </c>
      <c r="M76" s="159">
        <f>('Cost Calculation'!M145-'Capex &amp; Depreciation'!M237)</f>
        <v>22.501172129520004</v>
      </c>
      <c r="N76" s="159">
        <f>('Cost Calculation'!N145-'Capex &amp; Depreciation'!N237)</f>
        <v>23.176207293405596</v>
      </c>
      <c r="O76" s="159">
        <f>('Cost Calculation'!O145-'Capex &amp; Depreciation'!O237)</f>
        <v>23.871493512207774</v>
      </c>
      <c r="P76" s="159">
        <f>('Cost Calculation'!P145-'Capex &amp; Depreciation'!P237)</f>
        <v>24.587638317574005</v>
      </c>
      <c r="Q76" s="159">
        <f>('Cost Calculation'!Q145-'Capex &amp; Depreciation'!Q237)</f>
        <v>25.325267467101231</v>
      </c>
      <c r="R76" s="159">
        <f>('Cost Calculation'!R145-'Capex &amp; Depreciation'!R237)</f>
        <v>26.085025491114259</v>
      </c>
      <c r="S76" s="159">
        <f>('Cost Calculation'!S145-'Capex &amp; Depreciation'!S237)</f>
        <v>26.867576255847695</v>
      </c>
      <c r="T76" s="159">
        <f>('Cost Calculation'!T145-'Capex &amp; Depreciation'!T237)</f>
        <v>27.673603543523122</v>
      </c>
    </row>
    <row r="77" spans="2:20" x14ac:dyDescent="0.25">
      <c r="B77" s="23" t="s">
        <v>2836</v>
      </c>
      <c r="C77" s="28" t="s">
        <v>493</v>
      </c>
      <c r="H77" s="159">
        <f t="shared" ref="H77:T77" si="25">H76</f>
        <v>0</v>
      </c>
      <c r="I77" s="159">
        <f t="shared" si="25"/>
        <v>0</v>
      </c>
      <c r="J77" s="159">
        <f t="shared" si="25"/>
        <v>0</v>
      </c>
      <c r="K77" s="159">
        <f t="shared" si="25"/>
        <v>21.209512799999999</v>
      </c>
      <c r="L77" s="159">
        <f t="shared" si="25"/>
        <v>21.845798184</v>
      </c>
      <c r="M77" s="159">
        <f t="shared" si="25"/>
        <v>22.501172129520004</v>
      </c>
      <c r="N77" s="159">
        <f t="shared" si="25"/>
        <v>23.176207293405596</v>
      </c>
      <c r="O77" s="159">
        <f t="shared" si="25"/>
        <v>23.871493512207774</v>
      </c>
      <c r="P77" s="159">
        <f t="shared" si="25"/>
        <v>24.587638317574005</v>
      </c>
      <c r="Q77" s="159">
        <f t="shared" si="25"/>
        <v>25.325267467101231</v>
      </c>
      <c r="R77" s="159">
        <f t="shared" si="25"/>
        <v>26.085025491114259</v>
      </c>
      <c r="S77" s="159">
        <f t="shared" si="25"/>
        <v>26.867576255847695</v>
      </c>
      <c r="T77" s="159">
        <f t="shared" si="25"/>
        <v>27.673603543523122</v>
      </c>
    </row>
    <row r="78" spans="2:20" x14ac:dyDescent="0.25">
      <c r="B78" s="23" t="s">
        <v>2837</v>
      </c>
      <c r="C78" s="28" t="s">
        <v>493</v>
      </c>
      <c r="H78" s="159">
        <f>Inputs!H522*MAX(0,H77)</f>
        <v>0</v>
      </c>
      <c r="I78" s="159">
        <f>Inputs!I522*MAX(0,I77)</f>
        <v>0</v>
      </c>
      <c r="J78" s="159">
        <f>Inputs!J522*MAX(0,J77)</f>
        <v>0</v>
      </c>
      <c r="K78" s="159">
        <f>Inputs!K522*MAX(0,K77)</f>
        <v>4.6660928159999999</v>
      </c>
      <c r="L78" s="159">
        <f>Inputs!L522*MAX(0,L77)</f>
        <v>4.8060756004799998</v>
      </c>
      <c r="M78" s="159">
        <f>Inputs!M522*MAX(0,M77)</f>
        <v>4.9502578684944005</v>
      </c>
      <c r="N78" s="159">
        <f>Inputs!N522*MAX(0,N77)</f>
        <v>5.0987656045492313</v>
      </c>
      <c r="O78" s="159">
        <f>Inputs!O522*MAX(0,O77)</f>
        <v>5.2517285726857104</v>
      </c>
      <c r="P78" s="159">
        <f>Inputs!P522*MAX(0,P77)</f>
        <v>5.4092804298662811</v>
      </c>
      <c r="Q78" s="159">
        <f>Inputs!Q522*MAX(0,Q77)</f>
        <v>5.5715588427622711</v>
      </c>
      <c r="R78" s="159">
        <f>Inputs!R522*MAX(0,R77)</f>
        <v>5.7387056080451373</v>
      </c>
      <c r="S78" s="159">
        <f>Inputs!S522*MAX(0,S77)</f>
        <v>5.9108667762864933</v>
      </c>
      <c r="T78" s="159">
        <f>Inputs!T522*MAX(0,T77)</f>
        <v>6.0881927795750865</v>
      </c>
    </row>
    <row r="79" spans="2:20" x14ac:dyDescent="0.25">
      <c r="B79" s="23" t="s">
        <v>2838</v>
      </c>
      <c r="C79" s="28" t="s">
        <v>493</v>
      </c>
      <c r="H79" s="159">
        <f>Inputs!H522*MAX(0,H76)</f>
        <v>0</v>
      </c>
      <c r="I79" s="159">
        <f>Inputs!I522*MAX(0,I76)</f>
        <v>0</v>
      </c>
      <c r="J79" s="159">
        <f>Inputs!J522*MAX(0,J76)</f>
        <v>0</v>
      </c>
      <c r="K79" s="159">
        <f>Inputs!K522*MAX(0,K76)</f>
        <v>4.6660928159999999</v>
      </c>
      <c r="L79" s="159">
        <f>Inputs!L522*MAX(0,L76)</f>
        <v>4.8060756004799998</v>
      </c>
      <c r="M79" s="159">
        <f>Inputs!M522*MAX(0,M76)</f>
        <v>4.9502578684944005</v>
      </c>
      <c r="N79" s="159">
        <f>Inputs!N522*MAX(0,N76)</f>
        <v>5.0987656045492313</v>
      </c>
      <c r="O79" s="159">
        <f>Inputs!O522*MAX(0,O76)</f>
        <v>5.2517285726857104</v>
      </c>
      <c r="P79" s="159">
        <f>Inputs!P522*MAX(0,P76)</f>
        <v>5.4092804298662811</v>
      </c>
      <c r="Q79" s="159">
        <f>Inputs!Q522*MAX(0,Q76)</f>
        <v>5.5715588427622711</v>
      </c>
      <c r="R79" s="159">
        <f>Inputs!R522*MAX(0,R76)</f>
        <v>5.7387056080451373</v>
      </c>
      <c r="S79" s="159">
        <f>Inputs!S522*MAX(0,S76)</f>
        <v>5.9108667762864933</v>
      </c>
      <c r="T79" s="159">
        <f>Inputs!T522*MAX(0,T76)</f>
        <v>6.0881927795750865</v>
      </c>
    </row>
    <row r="80" spans="2:20" x14ac:dyDescent="0.25">
      <c r="B80" s="23" t="s">
        <v>2839</v>
      </c>
      <c r="C80" s="28" t="s">
        <v>493</v>
      </c>
      <c r="H80" s="159">
        <f t="shared" ref="H80:T80" si="26">H77-H78</f>
        <v>0</v>
      </c>
      <c r="I80" s="159">
        <f t="shared" si="26"/>
        <v>0</v>
      </c>
      <c r="J80" s="159">
        <f t="shared" si="26"/>
        <v>0</v>
      </c>
      <c r="K80" s="159">
        <f t="shared" si="26"/>
        <v>16.543419984</v>
      </c>
      <c r="L80" s="159">
        <f t="shared" si="26"/>
        <v>17.03972258352</v>
      </c>
      <c r="M80" s="159">
        <f t="shared" si="26"/>
        <v>17.550914261025603</v>
      </c>
      <c r="N80" s="159">
        <f t="shared" si="26"/>
        <v>18.077441688856364</v>
      </c>
      <c r="O80" s="159">
        <f t="shared" si="26"/>
        <v>18.619764939522064</v>
      </c>
      <c r="P80" s="159">
        <f t="shared" si="26"/>
        <v>19.178357887707723</v>
      </c>
      <c r="Q80" s="159">
        <f t="shared" si="26"/>
        <v>19.753708624338959</v>
      </c>
      <c r="R80" s="159">
        <f t="shared" si="26"/>
        <v>20.346319883069121</v>
      </c>
      <c r="S80" s="159">
        <f t="shared" si="26"/>
        <v>20.956709479561201</v>
      </c>
      <c r="T80" s="159">
        <f t="shared" si="26"/>
        <v>21.585410763948033</v>
      </c>
    </row>
    <row r="81" spans="2:20" x14ac:dyDescent="0.25">
      <c r="B81" s="23" t="s">
        <v>2840</v>
      </c>
      <c r="C81" s="28" t="s">
        <v>493</v>
      </c>
      <c r="H81" s="159">
        <f>('Cost Calculation'!H168-'Capex &amp; Depreciation'!H243)</f>
        <v>0</v>
      </c>
      <c r="I81" s="159">
        <f>('Cost Calculation'!I168-'Capex &amp; Depreciation'!I243)</f>
        <v>0</v>
      </c>
      <c r="J81" s="159">
        <f>('Cost Calculation'!J168-'Capex &amp; Depreciation'!J243)</f>
        <v>0</v>
      </c>
      <c r="K81" s="159">
        <f>('Cost Calculation'!K168-'Capex &amp; Depreciation'!K243)</f>
        <v>1.1182113248000001</v>
      </c>
      <c r="L81" s="159">
        <f>('Cost Calculation'!L168-'Capex &amp; Depreciation'!L243)</f>
        <v>1.1556612645440003</v>
      </c>
      <c r="M81" s="159">
        <f>('Cost Calculation'!M168-'Capex &amp; Depreciation'!M243)</f>
        <v>1.1942347024803202</v>
      </c>
      <c r="N81" s="159">
        <f>('Cost Calculation'!N168-'Capex &amp; Depreciation'!N243)</f>
        <v>1.2339653435547298</v>
      </c>
      <c r="O81" s="159">
        <f>('Cost Calculation'!O168-'Capex &amp; Depreciation'!O243)</f>
        <v>1.2748879038613719</v>
      </c>
      <c r="P81" s="159">
        <f>('Cost Calculation'!P168-'Capex &amp; Depreciation'!P243)</f>
        <v>1.3170381409772129</v>
      </c>
      <c r="Q81" s="159">
        <f>('Cost Calculation'!Q168-'Capex &amp; Depreciation'!Q243)</f>
        <v>1.3604528852065292</v>
      </c>
      <c r="R81" s="159">
        <f>('Cost Calculation'!R168-'Capex &amp; Depreciation'!R243)</f>
        <v>1.4051700717627251</v>
      </c>
      <c r="S81" s="159">
        <f>('Cost Calculation'!S168-'Capex &amp; Depreciation'!S243)</f>
        <v>1.4512287739156069</v>
      </c>
      <c r="T81" s="159">
        <f>('Cost Calculation'!T168-'Capex &amp; Depreciation'!T243)</f>
        <v>1.4986692371330752</v>
      </c>
    </row>
    <row r="82" spans="2:20" x14ac:dyDescent="0.25">
      <c r="B82" s="23" t="s">
        <v>2841</v>
      </c>
      <c r="C82" s="28" t="s">
        <v>493</v>
      </c>
      <c r="H82" s="159">
        <f t="shared" ref="H82:T82" si="27">H81</f>
        <v>0</v>
      </c>
      <c r="I82" s="159">
        <f t="shared" si="27"/>
        <v>0</v>
      </c>
      <c r="J82" s="159">
        <f t="shared" si="27"/>
        <v>0</v>
      </c>
      <c r="K82" s="159">
        <f t="shared" si="27"/>
        <v>1.1182113248000001</v>
      </c>
      <c r="L82" s="159">
        <f t="shared" si="27"/>
        <v>1.1556612645440003</v>
      </c>
      <c r="M82" s="159">
        <f t="shared" si="27"/>
        <v>1.1942347024803202</v>
      </c>
      <c r="N82" s="159">
        <f t="shared" si="27"/>
        <v>1.2339653435547298</v>
      </c>
      <c r="O82" s="159">
        <f t="shared" si="27"/>
        <v>1.2748879038613719</v>
      </c>
      <c r="P82" s="159">
        <f t="shared" si="27"/>
        <v>1.3170381409772129</v>
      </c>
      <c r="Q82" s="159">
        <f t="shared" si="27"/>
        <v>1.3604528852065292</v>
      </c>
      <c r="R82" s="159">
        <f t="shared" si="27"/>
        <v>1.4051700717627251</v>
      </c>
      <c r="S82" s="159">
        <f t="shared" si="27"/>
        <v>1.4512287739156069</v>
      </c>
      <c r="T82" s="159">
        <f t="shared" si="27"/>
        <v>1.4986692371330752</v>
      </c>
    </row>
    <row r="83" spans="2:20" x14ac:dyDescent="0.25">
      <c r="B83" s="23" t="s">
        <v>2842</v>
      </c>
      <c r="C83" s="28" t="s">
        <v>493</v>
      </c>
      <c r="H83" s="159">
        <f>Inputs!H522*MAX(0,H82)</f>
        <v>0</v>
      </c>
      <c r="I83" s="159">
        <f>Inputs!I522*MAX(0,I82)</f>
        <v>0</v>
      </c>
      <c r="J83" s="159">
        <f>Inputs!J522*MAX(0,J82)</f>
        <v>0</v>
      </c>
      <c r="K83" s="159">
        <f>Inputs!K522*MAX(0,K82)</f>
        <v>0.24600649145600001</v>
      </c>
      <c r="L83" s="159">
        <f>Inputs!L522*MAX(0,L82)</f>
        <v>0.25424547819968008</v>
      </c>
      <c r="M83" s="159">
        <f>Inputs!M522*MAX(0,M82)</f>
        <v>0.26273163454567044</v>
      </c>
      <c r="N83" s="159">
        <f>Inputs!N522*MAX(0,N82)</f>
        <v>0.27147237558204057</v>
      </c>
      <c r="O83" s="159">
        <f>Inputs!O522*MAX(0,O82)</f>
        <v>0.28047533884950182</v>
      </c>
      <c r="P83" s="159">
        <f>Inputs!P522*MAX(0,P82)</f>
        <v>0.28974839101498684</v>
      </c>
      <c r="Q83" s="159">
        <f>Inputs!Q522*MAX(0,Q82)</f>
        <v>0.29929963474543642</v>
      </c>
      <c r="R83" s="159">
        <f>Inputs!R522*MAX(0,R82)</f>
        <v>0.30913741578779952</v>
      </c>
      <c r="S83" s="159">
        <f>Inputs!S522*MAX(0,S82)</f>
        <v>0.31927033026143353</v>
      </c>
      <c r="T83" s="159">
        <f>Inputs!T522*MAX(0,T82)</f>
        <v>0.32970723216927655</v>
      </c>
    </row>
    <row r="84" spans="2:20" x14ac:dyDescent="0.25">
      <c r="B84" s="23" t="s">
        <v>2843</v>
      </c>
      <c r="C84" s="28" t="s">
        <v>493</v>
      </c>
      <c r="H84" s="159">
        <f>Inputs!H522*MAX(0,H81)</f>
        <v>0</v>
      </c>
      <c r="I84" s="159">
        <f>Inputs!I522*MAX(0,I81)</f>
        <v>0</v>
      </c>
      <c r="J84" s="159">
        <f>Inputs!J522*MAX(0,J81)</f>
        <v>0</v>
      </c>
      <c r="K84" s="159">
        <f>Inputs!K522*MAX(0,K81)</f>
        <v>0.24600649145600001</v>
      </c>
      <c r="L84" s="159">
        <f>Inputs!L522*MAX(0,L81)</f>
        <v>0.25424547819968008</v>
      </c>
      <c r="M84" s="159">
        <f>Inputs!M522*MAX(0,M81)</f>
        <v>0.26273163454567044</v>
      </c>
      <c r="N84" s="159">
        <f>Inputs!N522*MAX(0,N81)</f>
        <v>0.27147237558204057</v>
      </c>
      <c r="O84" s="159">
        <f>Inputs!O522*MAX(0,O81)</f>
        <v>0.28047533884950182</v>
      </c>
      <c r="P84" s="159">
        <f>Inputs!P522*MAX(0,P81)</f>
        <v>0.28974839101498684</v>
      </c>
      <c r="Q84" s="159">
        <f>Inputs!Q522*MAX(0,Q81)</f>
        <v>0.29929963474543642</v>
      </c>
      <c r="R84" s="159">
        <f>Inputs!R522*MAX(0,R81)</f>
        <v>0.30913741578779952</v>
      </c>
      <c r="S84" s="159">
        <f>Inputs!S522*MAX(0,S81)</f>
        <v>0.31927033026143353</v>
      </c>
      <c r="T84" s="159">
        <f>Inputs!T522*MAX(0,T81)</f>
        <v>0.32970723216927655</v>
      </c>
    </row>
    <row r="85" spans="2:20" x14ac:dyDescent="0.25">
      <c r="B85" s="23" t="s">
        <v>2844</v>
      </c>
      <c r="C85" s="28" t="s">
        <v>493</v>
      </c>
      <c r="H85" s="159">
        <f t="shared" ref="H85:T85" si="28">H82-H83</f>
        <v>0</v>
      </c>
      <c r="I85" s="159">
        <f t="shared" si="28"/>
        <v>0</v>
      </c>
      <c r="J85" s="159">
        <f t="shared" si="28"/>
        <v>0</v>
      </c>
      <c r="K85" s="159">
        <f t="shared" si="28"/>
        <v>0.87220483334400001</v>
      </c>
      <c r="L85" s="159">
        <f t="shared" si="28"/>
        <v>0.90141578634432018</v>
      </c>
      <c r="M85" s="159">
        <f t="shared" si="28"/>
        <v>0.93150306793464965</v>
      </c>
      <c r="N85" s="159">
        <f t="shared" si="28"/>
        <v>0.96249296797268924</v>
      </c>
      <c r="O85" s="159">
        <f t="shared" si="28"/>
        <v>0.99441256501187003</v>
      </c>
      <c r="P85" s="159">
        <f t="shared" si="28"/>
        <v>1.0272897499622262</v>
      </c>
      <c r="Q85" s="159">
        <f t="shared" si="28"/>
        <v>1.0611532504610928</v>
      </c>
      <c r="R85" s="159">
        <f t="shared" si="28"/>
        <v>1.0960326559749256</v>
      </c>
      <c r="S85" s="159">
        <f t="shared" si="28"/>
        <v>1.1319584436541734</v>
      </c>
      <c r="T85" s="159">
        <f t="shared" si="28"/>
        <v>1.1689620049637988</v>
      </c>
    </row>
    <row r="86" spans="2:20" x14ac:dyDescent="0.25">
      <c r="B86" s="23" t="s">
        <v>2845</v>
      </c>
      <c r="C86" s="28" t="s">
        <v>493</v>
      </c>
      <c r="H86" s="159">
        <f>('Cost Calculation'!H157-'Capex &amp; Depreciation'!H240)</f>
        <v>0</v>
      </c>
      <c r="I86" s="159">
        <f>('Cost Calculation'!I157-'Capex &amp; Depreciation'!I240)</f>
        <v>0</v>
      </c>
      <c r="J86" s="159">
        <f>('Cost Calculation'!J157-'Capex &amp; Depreciation'!J240)</f>
        <v>0</v>
      </c>
      <c r="K86" s="159">
        <f>('Cost Calculation'!K157-'Capex &amp; Depreciation'!K240)</f>
        <v>0</v>
      </c>
      <c r="L86" s="159">
        <f>('Cost Calculation'!L157-'Capex &amp; Depreciation'!L240)</f>
        <v>25.955081932767591</v>
      </c>
      <c r="M86" s="159">
        <f>('Cost Calculation'!M157-'Capex &amp; Depreciation'!M240)</f>
        <v>39.320207794090699</v>
      </c>
      <c r="N86" s="159">
        <f>('Cost Calculation'!N157-'Capex &amp; Depreciation'!N240)</f>
        <v>43.729687846797951</v>
      </c>
      <c r="O86" s="159">
        <f>('Cost Calculation'!O157-'Capex &amp; Depreciation'!O240)</f>
        <v>56.443051453044326</v>
      </c>
      <c r="P86" s="159">
        <f>('Cost Calculation'!P157-'Capex &amp; Depreciation'!P240)</f>
        <v>59.906601095884589</v>
      </c>
      <c r="Q86" s="159">
        <f>('Cost Calculation'!Q157-'Capex &amp; Depreciation'!Q240)</f>
        <v>70.495735986530491</v>
      </c>
      <c r="R86" s="159">
        <f>('Cost Calculation'!R157-'Capex &amp; Depreciation'!R240)</f>
        <v>74.788333104942708</v>
      </c>
      <c r="S86" s="159">
        <f>('Cost Calculation'!S157-'Capex &amp; Depreciation'!S240)</f>
        <v>84.491412246498896</v>
      </c>
      <c r="T86" s="159">
        <f>('Cost Calculation'!T157-'Capex &amp; Depreciation'!T240)</f>
        <v>89.525654573726428</v>
      </c>
    </row>
    <row r="87" spans="2:20" x14ac:dyDescent="0.25">
      <c r="B87" s="23" t="s">
        <v>2846</v>
      </c>
      <c r="C87" s="28" t="s">
        <v>493</v>
      </c>
      <c r="H87" s="159">
        <f t="shared" ref="H87:T87" si="29">H86</f>
        <v>0</v>
      </c>
      <c r="I87" s="159">
        <f t="shared" si="29"/>
        <v>0</v>
      </c>
      <c r="J87" s="159">
        <f t="shared" si="29"/>
        <v>0</v>
      </c>
      <c r="K87" s="159">
        <f t="shared" si="29"/>
        <v>0</v>
      </c>
      <c r="L87" s="159">
        <f t="shared" si="29"/>
        <v>25.955081932767591</v>
      </c>
      <c r="M87" s="159">
        <f t="shared" si="29"/>
        <v>39.320207794090699</v>
      </c>
      <c r="N87" s="159">
        <f t="shared" si="29"/>
        <v>43.729687846797951</v>
      </c>
      <c r="O87" s="159">
        <f t="shared" si="29"/>
        <v>56.443051453044326</v>
      </c>
      <c r="P87" s="159">
        <f t="shared" si="29"/>
        <v>59.906601095884589</v>
      </c>
      <c r="Q87" s="159">
        <f t="shared" si="29"/>
        <v>70.495735986530491</v>
      </c>
      <c r="R87" s="159">
        <f t="shared" si="29"/>
        <v>74.788333104942708</v>
      </c>
      <c r="S87" s="159">
        <f t="shared" si="29"/>
        <v>84.491412246498896</v>
      </c>
      <c r="T87" s="159">
        <f t="shared" si="29"/>
        <v>89.525654573726428</v>
      </c>
    </row>
    <row r="88" spans="2:20" x14ac:dyDescent="0.25">
      <c r="B88" s="23" t="s">
        <v>2847</v>
      </c>
      <c r="C88" s="28" t="s">
        <v>493</v>
      </c>
      <c r="H88" s="159">
        <f>Inputs!H522*MAX(0,H87)</f>
        <v>0</v>
      </c>
      <c r="I88" s="159">
        <f>Inputs!I522*MAX(0,I87)</f>
        <v>0</v>
      </c>
      <c r="J88" s="159">
        <f>Inputs!J522*MAX(0,J87)</f>
        <v>0</v>
      </c>
      <c r="K88" s="159">
        <f>Inputs!K522*MAX(0,K87)</f>
        <v>0</v>
      </c>
      <c r="L88" s="159">
        <f>Inputs!L522*MAX(0,L87)</f>
        <v>5.7101180252088701</v>
      </c>
      <c r="M88" s="159">
        <f>Inputs!M522*MAX(0,M87)</f>
        <v>8.6504457146999538</v>
      </c>
      <c r="N88" s="159">
        <f>Inputs!N522*MAX(0,N87)</f>
        <v>9.6205313262955485</v>
      </c>
      <c r="O88" s="159">
        <f>Inputs!O522*MAX(0,O87)</f>
        <v>12.417471319669751</v>
      </c>
      <c r="P88" s="159">
        <f>Inputs!P522*MAX(0,P87)</f>
        <v>13.17945224109461</v>
      </c>
      <c r="Q88" s="159">
        <f>Inputs!Q522*MAX(0,Q87)</f>
        <v>15.509061917036709</v>
      </c>
      <c r="R88" s="159">
        <f>Inputs!R522*MAX(0,R87)</f>
        <v>16.453433283087396</v>
      </c>
      <c r="S88" s="159">
        <f>Inputs!S522*MAX(0,S87)</f>
        <v>18.588110694229758</v>
      </c>
      <c r="T88" s="159">
        <f>Inputs!T522*MAX(0,T87)</f>
        <v>19.695644006219815</v>
      </c>
    </row>
    <row r="89" spans="2:20" x14ac:dyDescent="0.25">
      <c r="B89" s="23" t="s">
        <v>2848</v>
      </c>
      <c r="C89" s="28" t="s">
        <v>493</v>
      </c>
      <c r="H89" s="159">
        <f>Inputs!H522*MAX(0,H86)</f>
        <v>0</v>
      </c>
      <c r="I89" s="159">
        <f>Inputs!I522*MAX(0,I86)</f>
        <v>0</v>
      </c>
      <c r="J89" s="159">
        <f>Inputs!J522*MAX(0,J86)</f>
        <v>0</v>
      </c>
      <c r="K89" s="159">
        <f>Inputs!K522*MAX(0,K86)</f>
        <v>0</v>
      </c>
      <c r="L89" s="159">
        <f>Inputs!L522*MAX(0,L86)</f>
        <v>5.7101180252088701</v>
      </c>
      <c r="M89" s="159">
        <f>Inputs!M522*MAX(0,M86)</f>
        <v>8.6504457146999538</v>
      </c>
      <c r="N89" s="159">
        <f>Inputs!N522*MAX(0,N86)</f>
        <v>9.6205313262955485</v>
      </c>
      <c r="O89" s="159">
        <f>Inputs!O522*MAX(0,O86)</f>
        <v>12.417471319669751</v>
      </c>
      <c r="P89" s="159">
        <f>Inputs!P522*MAX(0,P86)</f>
        <v>13.17945224109461</v>
      </c>
      <c r="Q89" s="159">
        <f>Inputs!Q522*MAX(0,Q86)</f>
        <v>15.509061917036709</v>
      </c>
      <c r="R89" s="159">
        <f>Inputs!R522*MAX(0,R86)</f>
        <v>16.453433283087396</v>
      </c>
      <c r="S89" s="159">
        <f>Inputs!S522*MAX(0,S86)</f>
        <v>18.588110694229758</v>
      </c>
      <c r="T89" s="159">
        <f>Inputs!T522*MAX(0,T86)</f>
        <v>19.695644006219815</v>
      </c>
    </row>
    <row r="90" spans="2:20" x14ac:dyDescent="0.25">
      <c r="B90" s="23" t="s">
        <v>2849</v>
      </c>
      <c r="C90" s="28" t="s">
        <v>493</v>
      </c>
      <c r="H90" s="159">
        <f t="shared" ref="H90:T90" si="30">H87-H88</f>
        <v>0</v>
      </c>
      <c r="I90" s="159">
        <f t="shared" si="30"/>
        <v>0</v>
      </c>
      <c r="J90" s="159">
        <f t="shared" si="30"/>
        <v>0</v>
      </c>
      <c r="K90" s="159">
        <f t="shared" si="30"/>
        <v>0</v>
      </c>
      <c r="L90" s="159">
        <f t="shared" si="30"/>
        <v>20.24496390755872</v>
      </c>
      <c r="M90" s="159">
        <f t="shared" si="30"/>
        <v>30.669762079390743</v>
      </c>
      <c r="N90" s="159">
        <f t="shared" si="30"/>
        <v>34.109156520502403</v>
      </c>
      <c r="O90" s="159">
        <f t="shared" si="30"/>
        <v>44.025580133374575</v>
      </c>
      <c r="P90" s="159">
        <f t="shared" si="30"/>
        <v>46.727148854789981</v>
      </c>
      <c r="Q90" s="159">
        <f t="shared" si="30"/>
        <v>54.98667406949378</v>
      </c>
      <c r="R90" s="159">
        <f t="shared" si="30"/>
        <v>58.334899821855316</v>
      </c>
      <c r="S90" s="159">
        <f t="shared" si="30"/>
        <v>65.903301552269141</v>
      </c>
      <c r="T90" s="159">
        <f t="shared" si="30"/>
        <v>69.830010567506605</v>
      </c>
    </row>
    <row r="91" spans="2:20" x14ac:dyDescent="0.25">
      <c r="B91" s="23" t="s">
        <v>2850</v>
      </c>
      <c r="C91" s="28" t="s">
        <v>493</v>
      </c>
      <c r="H91" s="159">
        <f>('Cost Calculation'!H171-'Capex &amp; Depreciation'!H244)</f>
        <v>0</v>
      </c>
      <c r="I91" s="159">
        <f>('Cost Calculation'!I171-'Capex &amp; Depreciation'!I244)</f>
        <v>0</v>
      </c>
      <c r="J91" s="159">
        <f>('Cost Calculation'!J171-'Capex &amp; Depreciation'!J244)</f>
        <v>0</v>
      </c>
      <c r="K91" s="159">
        <f>('Cost Calculation'!K171-'Capex &amp; Depreciation'!K244)</f>
        <v>0</v>
      </c>
      <c r="L91" s="159">
        <f>('Cost Calculation'!L171-'Capex &amp; Depreciation'!L244)</f>
        <v>0.27361000000000002</v>
      </c>
      <c r="M91" s="159">
        <f>('Cost Calculation'!M171-'Capex &amp; Depreciation'!M244)</f>
        <v>0.31073000000000006</v>
      </c>
      <c r="N91" s="159">
        <f>('Cost Calculation'!N171-'Capex &amp; Depreciation'!N244)</f>
        <v>0.3515620000000001</v>
      </c>
      <c r="O91" s="159">
        <f>('Cost Calculation'!O171-'Capex &amp; Depreciation'!O244)</f>
        <v>0.39647720000000009</v>
      </c>
      <c r="P91" s="159">
        <f>('Cost Calculation'!P171-'Capex &amp; Depreciation'!P244)</f>
        <v>0.42612123200000024</v>
      </c>
      <c r="Q91" s="159">
        <f>('Cost Calculation'!Q171-'Capex &amp; Depreciation'!Q244)</f>
        <v>0.45754390592000022</v>
      </c>
      <c r="R91" s="159">
        <f>('Cost Calculation'!R171-'Capex &amp; Depreciation'!R244)</f>
        <v>0.49085194027520024</v>
      </c>
      <c r="S91" s="159">
        <f>('Cost Calculation'!S171-'Capex &amp; Depreciation'!S244)</f>
        <v>0.52615845669171235</v>
      </c>
      <c r="T91" s="159">
        <f>('Cost Calculation'!T171-'Capex &amp; Depreciation'!T244)</f>
        <v>0.56358336409321519</v>
      </c>
    </row>
    <row r="92" spans="2:20" x14ac:dyDescent="0.25">
      <c r="B92" s="23" t="s">
        <v>2851</v>
      </c>
      <c r="C92" s="28" t="s">
        <v>493</v>
      </c>
      <c r="H92" s="159">
        <f t="shared" ref="H92:T92" si="31">H91</f>
        <v>0</v>
      </c>
      <c r="I92" s="159">
        <f t="shared" si="31"/>
        <v>0</v>
      </c>
      <c r="J92" s="159">
        <f t="shared" si="31"/>
        <v>0</v>
      </c>
      <c r="K92" s="159">
        <f t="shared" si="31"/>
        <v>0</v>
      </c>
      <c r="L92" s="159">
        <f t="shared" si="31"/>
        <v>0.27361000000000002</v>
      </c>
      <c r="M92" s="159">
        <f t="shared" si="31"/>
        <v>0.31073000000000006</v>
      </c>
      <c r="N92" s="159">
        <f t="shared" si="31"/>
        <v>0.3515620000000001</v>
      </c>
      <c r="O92" s="159">
        <f t="shared" si="31"/>
        <v>0.39647720000000009</v>
      </c>
      <c r="P92" s="159">
        <f t="shared" si="31"/>
        <v>0.42612123200000024</v>
      </c>
      <c r="Q92" s="159">
        <f t="shared" si="31"/>
        <v>0.45754390592000022</v>
      </c>
      <c r="R92" s="159">
        <f t="shared" si="31"/>
        <v>0.49085194027520024</v>
      </c>
      <c r="S92" s="159">
        <f t="shared" si="31"/>
        <v>0.52615845669171235</v>
      </c>
      <c r="T92" s="159">
        <f t="shared" si="31"/>
        <v>0.56358336409321519</v>
      </c>
    </row>
    <row r="93" spans="2:20" x14ac:dyDescent="0.25">
      <c r="B93" s="23" t="s">
        <v>2852</v>
      </c>
      <c r="C93" s="28" t="s">
        <v>493</v>
      </c>
      <c r="H93" s="159">
        <f>Inputs!H522*MAX(0,H92)</f>
        <v>0</v>
      </c>
      <c r="I93" s="159">
        <f>Inputs!I522*MAX(0,I92)</f>
        <v>0</v>
      </c>
      <c r="J93" s="159">
        <f>Inputs!J522*MAX(0,J92)</f>
        <v>0</v>
      </c>
      <c r="K93" s="159">
        <f>Inputs!K522*MAX(0,K92)</f>
        <v>0</v>
      </c>
      <c r="L93" s="159">
        <f>Inputs!L522*MAX(0,L92)</f>
        <v>6.0194200000000003E-2</v>
      </c>
      <c r="M93" s="159">
        <f>Inputs!M522*MAX(0,M92)</f>
        <v>6.8360600000000007E-2</v>
      </c>
      <c r="N93" s="159">
        <f>Inputs!N522*MAX(0,N92)</f>
        <v>7.7343640000000019E-2</v>
      </c>
      <c r="O93" s="159">
        <f>Inputs!O522*MAX(0,O92)</f>
        <v>8.7224984000000019E-2</v>
      </c>
      <c r="P93" s="159">
        <f>Inputs!P522*MAX(0,P92)</f>
        <v>9.3746671040000049E-2</v>
      </c>
      <c r="Q93" s="159">
        <f>Inputs!Q522*MAX(0,Q92)</f>
        <v>0.10065965930240005</v>
      </c>
      <c r="R93" s="159">
        <f>Inputs!R522*MAX(0,R92)</f>
        <v>0.10798742686054405</v>
      </c>
      <c r="S93" s="159">
        <f>Inputs!S522*MAX(0,S92)</f>
        <v>0.11575486047217672</v>
      </c>
      <c r="T93" s="159">
        <f>Inputs!T522*MAX(0,T92)</f>
        <v>0.12398834010050734</v>
      </c>
    </row>
    <row r="94" spans="2:20" x14ac:dyDescent="0.25">
      <c r="B94" s="23" t="s">
        <v>2853</v>
      </c>
      <c r="C94" s="28" t="s">
        <v>493</v>
      </c>
      <c r="H94" s="159">
        <f>Inputs!H522*MAX(0,H91)</f>
        <v>0</v>
      </c>
      <c r="I94" s="159">
        <f>Inputs!I522*MAX(0,I91)</f>
        <v>0</v>
      </c>
      <c r="J94" s="159">
        <f>Inputs!J522*MAX(0,J91)</f>
        <v>0</v>
      </c>
      <c r="K94" s="159">
        <f>Inputs!K522*MAX(0,K91)</f>
        <v>0</v>
      </c>
      <c r="L94" s="159">
        <f>Inputs!L522*MAX(0,L91)</f>
        <v>6.0194200000000003E-2</v>
      </c>
      <c r="M94" s="159">
        <f>Inputs!M522*MAX(0,M91)</f>
        <v>6.8360600000000007E-2</v>
      </c>
      <c r="N94" s="159">
        <f>Inputs!N522*MAX(0,N91)</f>
        <v>7.7343640000000019E-2</v>
      </c>
      <c r="O94" s="159">
        <f>Inputs!O522*MAX(0,O91)</f>
        <v>8.7224984000000019E-2</v>
      </c>
      <c r="P94" s="159">
        <f>Inputs!P522*MAX(0,P91)</f>
        <v>9.3746671040000049E-2</v>
      </c>
      <c r="Q94" s="159">
        <f>Inputs!Q522*MAX(0,Q91)</f>
        <v>0.10065965930240005</v>
      </c>
      <c r="R94" s="159">
        <f>Inputs!R522*MAX(0,R91)</f>
        <v>0.10798742686054405</v>
      </c>
      <c r="S94" s="159">
        <f>Inputs!S522*MAX(0,S91)</f>
        <v>0.11575486047217672</v>
      </c>
      <c r="T94" s="159">
        <f>Inputs!T522*MAX(0,T91)</f>
        <v>0.12398834010050734</v>
      </c>
    </row>
    <row r="95" spans="2:20" x14ac:dyDescent="0.25">
      <c r="B95" s="23" t="s">
        <v>2854</v>
      </c>
      <c r="C95" s="28" t="s">
        <v>493</v>
      </c>
      <c r="H95" s="159">
        <f t="shared" ref="H95:T95" si="32">H92-H93</f>
        <v>0</v>
      </c>
      <c r="I95" s="159">
        <f t="shared" si="32"/>
        <v>0</v>
      </c>
      <c r="J95" s="159">
        <f t="shared" si="32"/>
        <v>0</v>
      </c>
      <c r="K95" s="159">
        <f t="shared" si="32"/>
        <v>0</v>
      </c>
      <c r="L95" s="159">
        <f t="shared" si="32"/>
        <v>0.21341580000000002</v>
      </c>
      <c r="M95" s="159">
        <f t="shared" si="32"/>
        <v>0.24236940000000007</v>
      </c>
      <c r="N95" s="159">
        <f t="shared" si="32"/>
        <v>0.27421836000000011</v>
      </c>
      <c r="O95" s="159">
        <f t="shared" si="32"/>
        <v>0.30925221600000008</v>
      </c>
      <c r="P95" s="159">
        <f t="shared" si="32"/>
        <v>0.33237456096000018</v>
      </c>
      <c r="Q95" s="159">
        <f t="shared" si="32"/>
        <v>0.35688424661760015</v>
      </c>
      <c r="R95" s="159">
        <f t="shared" si="32"/>
        <v>0.38286451341465622</v>
      </c>
      <c r="S95" s="159">
        <f t="shared" si="32"/>
        <v>0.41040359621953565</v>
      </c>
      <c r="T95" s="159">
        <f t="shared" si="32"/>
        <v>0.43959502399270783</v>
      </c>
    </row>
    <row r="96" spans="2:20" x14ac:dyDescent="0.25">
      <c r="B96" s="23" t="s">
        <v>2855</v>
      </c>
      <c r="C96" s="28" t="s">
        <v>493</v>
      </c>
      <c r="H96" s="159">
        <f>('Cost Calculation'!H94-'Capex &amp; Depreciation'!H233)+('Cost Calculation'!H161-'Capex &amp; Depreciation'!H241)</f>
        <v>5.9116309505207232</v>
      </c>
      <c r="I96" s="159">
        <f>('Cost Calculation'!I94-'Capex &amp; Depreciation'!I233)+('Cost Calculation'!I161-'Capex &amp; Depreciation'!I241)</f>
        <v>6.162107249004829</v>
      </c>
      <c r="J96" s="159">
        <f>('Cost Calculation'!J94-'Capex &amp; Depreciation'!J233)+('Cost Calculation'!J161-'Capex &amp; Depreciation'!J241)</f>
        <v>6.57390149654168</v>
      </c>
      <c r="K96" s="159">
        <f>('Cost Calculation'!K94-'Capex &amp; Depreciation'!K233)+('Cost Calculation'!K161-'Capex &amp; Depreciation'!K241)</f>
        <v>17.787814606907077</v>
      </c>
      <c r="L96" s="159">
        <f>('Cost Calculation'!L94-'Capex &amp; Depreciation'!L233)+('Cost Calculation'!L161-'Capex &amp; Depreciation'!L241)</f>
        <v>21.767436888584861</v>
      </c>
      <c r="M96" s="159">
        <f>('Cost Calculation'!M94-'Capex &amp; Depreciation'!M233)+('Cost Calculation'!M161-'Capex &amp; Depreciation'!M241)</f>
        <v>25.988363681565016</v>
      </c>
      <c r="N96" s="159">
        <f>('Cost Calculation'!N94-'Capex &amp; Depreciation'!N233)+('Cost Calculation'!N161-'Capex &amp; Depreciation'!N241)</f>
        <v>30.46337294461479</v>
      </c>
      <c r="O96" s="159">
        <f>('Cost Calculation'!O94-'Capex &amp; Depreciation'!O233)+('Cost Calculation'!O161-'Capex &amp; Depreciation'!O241)</f>
        <v>35.205906933997319</v>
      </c>
      <c r="P96" s="159">
        <f>('Cost Calculation'!P94-'Capex &amp; Depreciation'!P233)+('Cost Calculation'!P161-'Capex &amp; Depreciation'!P241)</f>
        <v>40.230107555857636</v>
      </c>
      <c r="Q96" s="159">
        <f>('Cost Calculation'!Q94-'Capex &amp; Depreciation'!Q233)+('Cost Calculation'!Q161-'Capex &amp; Depreciation'!Q241)</f>
        <v>45.550853667752655</v>
      </c>
      <c r="R96" s="159">
        <f>('Cost Calculation'!R94-'Capex &amp; Depreciation'!R233)+('Cost Calculation'!R161-'Capex &amp; Depreciation'!R241)</f>
        <v>51.18380044037464</v>
      </c>
      <c r="S96" s="159">
        <f>('Cost Calculation'!S94-'Capex &amp; Depreciation'!S233)+('Cost Calculation'!S161-'Capex &amp; Depreciation'!S241)</f>
        <v>26.828529718454128</v>
      </c>
      <c r="T96" s="159">
        <f>('Cost Calculation'!T94-'Capex &amp; Depreciation'!T233)+('Cost Calculation'!T161-'Capex &amp; Depreciation'!T241)</f>
        <v>29.625819872109076</v>
      </c>
    </row>
    <row r="97" spans="2:20" x14ac:dyDescent="0.25">
      <c r="B97" s="23" t="s">
        <v>2856</v>
      </c>
      <c r="C97" s="28" t="s">
        <v>493</v>
      </c>
      <c r="H97" s="159">
        <f t="shared" ref="H97:T97" si="33">H96</f>
        <v>5.9116309505207232</v>
      </c>
      <c r="I97" s="159">
        <f t="shared" si="33"/>
        <v>6.162107249004829</v>
      </c>
      <c r="J97" s="159">
        <f t="shared" si="33"/>
        <v>6.57390149654168</v>
      </c>
      <c r="K97" s="159">
        <f t="shared" si="33"/>
        <v>17.787814606907077</v>
      </c>
      <c r="L97" s="159">
        <f t="shared" si="33"/>
        <v>21.767436888584861</v>
      </c>
      <c r="M97" s="159">
        <f t="shared" si="33"/>
        <v>25.988363681565016</v>
      </c>
      <c r="N97" s="159">
        <f t="shared" si="33"/>
        <v>30.46337294461479</v>
      </c>
      <c r="O97" s="159">
        <f t="shared" si="33"/>
        <v>35.205906933997319</v>
      </c>
      <c r="P97" s="159">
        <f t="shared" si="33"/>
        <v>40.230107555857636</v>
      </c>
      <c r="Q97" s="159">
        <f t="shared" si="33"/>
        <v>45.550853667752655</v>
      </c>
      <c r="R97" s="159">
        <f t="shared" si="33"/>
        <v>51.18380044037464</v>
      </c>
      <c r="S97" s="159">
        <f t="shared" si="33"/>
        <v>26.828529718454128</v>
      </c>
      <c r="T97" s="159">
        <f t="shared" si="33"/>
        <v>29.625819872109076</v>
      </c>
    </row>
    <row r="98" spans="2:20" x14ac:dyDescent="0.25">
      <c r="B98" s="23" t="s">
        <v>2857</v>
      </c>
      <c r="C98" s="28" t="s">
        <v>493</v>
      </c>
      <c r="H98" s="159">
        <f>Inputs!H522*MAX(0,H97)</f>
        <v>1.300558809114559</v>
      </c>
      <c r="I98" s="159">
        <f>Inputs!I522*MAX(0,I97)</f>
        <v>1.3556635947810625</v>
      </c>
      <c r="J98" s="159">
        <f>Inputs!J522*MAX(0,J97)</f>
        <v>1.4462583292391695</v>
      </c>
      <c r="K98" s="159">
        <f>Inputs!K522*MAX(0,K97)</f>
        <v>3.9133192135195567</v>
      </c>
      <c r="L98" s="159">
        <f>Inputs!L522*MAX(0,L97)</f>
        <v>4.7888361154886692</v>
      </c>
      <c r="M98" s="159">
        <f>Inputs!M522*MAX(0,M97)</f>
        <v>5.7174400099443039</v>
      </c>
      <c r="N98" s="159">
        <f>Inputs!N522*MAX(0,N97)</f>
        <v>6.7019420478152538</v>
      </c>
      <c r="O98" s="159">
        <f>Inputs!O522*MAX(0,O97)</f>
        <v>7.7452995254794104</v>
      </c>
      <c r="P98" s="159">
        <f>Inputs!P522*MAX(0,P97)</f>
        <v>8.8506236622886796</v>
      </c>
      <c r="Q98" s="159">
        <f>Inputs!Q522*MAX(0,Q97)</f>
        <v>10.021187806905584</v>
      </c>
      <c r="R98" s="159">
        <f>Inputs!R522*MAX(0,R97)</f>
        <v>11.260436096882421</v>
      </c>
      <c r="S98" s="159">
        <f>Inputs!S522*MAX(0,S97)</f>
        <v>5.9022765380599083</v>
      </c>
      <c r="T98" s="159">
        <f>Inputs!T522*MAX(0,T97)</f>
        <v>6.5176803718639968</v>
      </c>
    </row>
    <row r="99" spans="2:20" x14ac:dyDescent="0.25">
      <c r="B99" s="23" t="s">
        <v>2858</v>
      </c>
      <c r="C99" s="28" t="s">
        <v>493</v>
      </c>
      <c r="H99" s="159">
        <f>Inputs!H522*MAX(0,H96)</f>
        <v>1.300558809114559</v>
      </c>
      <c r="I99" s="159">
        <f>Inputs!I522*MAX(0,I96)</f>
        <v>1.3556635947810625</v>
      </c>
      <c r="J99" s="159">
        <f>Inputs!J522*MAX(0,J96)</f>
        <v>1.4462583292391695</v>
      </c>
      <c r="K99" s="159">
        <f>Inputs!K522*MAX(0,K96)</f>
        <v>3.9133192135195567</v>
      </c>
      <c r="L99" s="159">
        <f>Inputs!L522*MAX(0,L96)</f>
        <v>4.7888361154886692</v>
      </c>
      <c r="M99" s="159">
        <f>Inputs!M522*MAX(0,M96)</f>
        <v>5.7174400099443039</v>
      </c>
      <c r="N99" s="159">
        <f>Inputs!N522*MAX(0,N96)</f>
        <v>6.7019420478152538</v>
      </c>
      <c r="O99" s="159">
        <f>Inputs!O522*MAX(0,O96)</f>
        <v>7.7452995254794104</v>
      </c>
      <c r="P99" s="159">
        <f>Inputs!P522*MAX(0,P96)</f>
        <v>8.8506236622886796</v>
      </c>
      <c r="Q99" s="159">
        <f>Inputs!Q522*MAX(0,Q96)</f>
        <v>10.021187806905584</v>
      </c>
      <c r="R99" s="159">
        <f>Inputs!R522*MAX(0,R96)</f>
        <v>11.260436096882421</v>
      </c>
      <c r="S99" s="159">
        <f>Inputs!S522*MAX(0,S96)</f>
        <v>5.9022765380599083</v>
      </c>
      <c r="T99" s="159">
        <f>Inputs!T522*MAX(0,T96)</f>
        <v>6.5176803718639968</v>
      </c>
    </row>
    <row r="100" spans="2:20" x14ac:dyDescent="0.25">
      <c r="B100" s="23" t="s">
        <v>2859</v>
      </c>
      <c r="C100" s="28" t="s">
        <v>493</v>
      </c>
      <c r="H100" s="159">
        <f t="shared" ref="H100:T100" si="34">H97-H98</f>
        <v>4.6110721414061642</v>
      </c>
      <c r="I100" s="159">
        <f t="shared" si="34"/>
        <v>4.8064436542237665</v>
      </c>
      <c r="J100" s="159">
        <f t="shared" si="34"/>
        <v>5.1276431673025105</v>
      </c>
      <c r="K100" s="159">
        <f t="shared" si="34"/>
        <v>13.874495393387519</v>
      </c>
      <c r="L100" s="159">
        <f t="shared" si="34"/>
        <v>16.97860077309619</v>
      </c>
      <c r="M100" s="159">
        <f t="shared" si="34"/>
        <v>20.270923671620711</v>
      </c>
      <c r="N100" s="159">
        <f t="shared" si="34"/>
        <v>23.761430896799535</v>
      </c>
      <c r="O100" s="159">
        <f t="shared" si="34"/>
        <v>27.460607408517909</v>
      </c>
      <c r="P100" s="159">
        <f t="shared" si="34"/>
        <v>31.379483893568956</v>
      </c>
      <c r="Q100" s="159">
        <f t="shared" si="34"/>
        <v>35.529665860847075</v>
      </c>
      <c r="R100" s="159">
        <f t="shared" si="34"/>
        <v>39.923364343492217</v>
      </c>
      <c r="S100" s="159">
        <f t="shared" si="34"/>
        <v>20.92625318039422</v>
      </c>
      <c r="T100" s="159">
        <f t="shared" si="34"/>
        <v>23.10813950024508</v>
      </c>
    </row>
    <row r="101" spans="2:20" x14ac:dyDescent="0.25">
      <c r="B101" s="23" t="s">
        <v>2860</v>
      </c>
      <c r="C101" s="28" t="s">
        <v>493</v>
      </c>
      <c r="H101" s="159">
        <f>('Cost Calculation'!H174-'Capex &amp; Depreciation'!H245)</f>
        <v>0</v>
      </c>
      <c r="I101" s="159">
        <f>('Cost Calculation'!I174-'Capex &amp; Depreciation'!I245)</f>
        <v>0</v>
      </c>
      <c r="J101" s="159">
        <f>('Cost Calculation'!J174-'Capex &amp; Depreciation'!J245)</f>
        <v>0</v>
      </c>
      <c r="K101" s="159">
        <f>('Cost Calculation'!K174-'Capex &amp; Depreciation'!K245)</f>
        <v>0.23047990999999995</v>
      </c>
      <c r="L101" s="159">
        <f>('Cost Calculation'!L174-'Capex &amp; Depreciation'!L245)</f>
        <v>0.24129790730000006</v>
      </c>
      <c r="M101" s="159">
        <f>('Cost Calculation'!M174-'Capex &amp; Depreciation'!M245)</f>
        <v>0.25244044451900005</v>
      </c>
      <c r="N101" s="159">
        <f>('Cost Calculation'!N174-'Capex &amp; Depreciation'!N245)</f>
        <v>0.26391725785457004</v>
      </c>
      <c r="O101" s="159">
        <f>('Cost Calculation'!O174-'Capex &amp; Depreciation'!O245)</f>
        <v>0.2757383755902072</v>
      </c>
      <c r="P101" s="159">
        <f>('Cost Calculation'!P174-'Capex &amp; Depreciation'!P245)</f>
        <v>0.2879141268579134</v>
      </c>
      <c r="Q101" s="159">
        <f>('Cost Calculation'!Q174-'Capex &amp; Depreciation'!Q245)</f>
        <v>0.30045515066365075</v>
      </c>
      <c r="R101" s="159">
        <f>('Cost Calculation'!R174-'Capex &amp; Depreciation'!R245)</f>
        <v>0.3133724051835603</v>
      </c>
      <c r="S101" s="159">
        <f>('Cost Calculation'!S174-'Capex &amp; Depreciation'!S245)</f>
        <v>0.32667717733906715</v>
      </c>
      <c r="T101" s="159">
        <f>('Cost Calculation'!T174-'Capex &amp; Depreciation'!T245)</f>
        <v>0.34038109265923927</v>
      </c>
    </row>
    <row r="102" spans="2:20" x14ac:dyDescent="0.25">
      <c r="B102" s="23" t="s">
        <v>2861</v>
      </c>
      <c r="C102" s="28" t="s">
        <v>493</v>
      </c>
      <c r="H102" s="159">
        <f t="shared" ref="H102:T102" si="35">H101</f>
        <v>0</v>
      </c>
      <c r="I102" s="159">
        <f t="shared" si="35"/>
        <v>0</v>
      </c>
      <c r="J102" s="159">
        <f t="shared" si="35"/>
        <v>0</v>
      </c>
      <c r="K102" s="159">
        <f t="shared" si="35"/>
        <v>0.23047990999999995</v>
      </c>
      <c r="L102" s="159">
        <f t="shared" si="35"/>
        <v>0.24129790730000006</v>
      </c>
      <c r="M102" s="159">
        <f t="shared" si="35"/>
        <v>0.25244044451900005</v>
      </c>
      <c r="N102" s="159">
        <f t="shared" si="35"/>
        <v>0.26391725785457004</v>
      </c>
      <c r="O102" s="159">
        <f t="shared" si="35"/>
        <v>0.2757383755902072</v>
      </c>
      <c r="P102" s="159">
        <f t="shared" si="35"/>
        <v>0.2879141268579134</v>
      </c>
      <c r="Q102" s="159">
        <f t="shared" si="35"/>
        <v>0.30045515066365075</v>
      </c>
      <c r="R102" s="159">
        <f t="shared" si="35"/>
        <v>0.3133724051835603</v>
      </c>
      <c r="S102" s="159">
        <f t="shared" si="35"/>
        <v>0.32667717733906715</v>
      </c>
      <c r="T102" s="159">
        <f t="shared" si="35"/>
        <v>0.34038109265923927</v>
      </c>
    </row>
    <row r="103" spans="2:20" x14ac:dyDescent="0.25">
      <c r="B103" s="23" t="s">
        <v>2862</v>
      </c>
      <c r="C103" s="28" t="s">
        <v>493</v>
      </c>
      <c r="H103" s="159">
        <f>Inputs!H522*MAX(0,H102)</f>
        <v>0</v>
      </c>
      <c r="I103" s="159">
        <f>Inputs!I522*MAX(0,I102)</f>
        <v>0</v>
      </c>
      <c r="J103" s="159">
        <f>Inputs!J522*MAX(0,J102)</f>
        <v>0</v>
      </c>
      <c r="K103" s="159">
        <f>Inputs!K522*MAX(0,K102)</f>
        <v>5.0705580199999989E-2</v>
      </c>
      <c r="L103" s="159">
        <f>Inputs!L522*MAX(0,L102)</f>
        <v>5.3085539606000015E-2</v>
      </c>
      <c r="M103" s="159">
        <f>Inputs!M522*MAX(0,M102)</f>
        <v>5.5536897794180008E-2</v>
      </c>
      <c r="N103" s="159">
        <f>Inputs!N522*MAX(0,N102)</f>
        <v>5.8061796728005412E-2</v>
      </c>
      <c r="O103" s="159">
        <f>Inputs!O522*MAX(0,O102)</f>
        <v>6.0662442629845582E-2</v>
      </c>
      <c r="P103" s="159">
        <f>Inputs!P522*MAX(0,P102)</f>
        <v>6.3341107908740951E-2</v>
      </c>
      <c r="Q103" s="159">
        <f>Inputs!Q522*MAX(0,Q102)</f>
        <v>6.6100133146003159E-2</v>
      </c>
      <c r="R103" s="159">
        <f>Inputs!R522*MAX(0,R102)</f>
        <v>6.894192914038326E-2</v>
      </c>
      <c r="S103" s="159">
        <f>Inputs!S522*MAX(0,S102)</f>
        <v>7.1868979014594769E-2</v>
      </c>
      <c r="T103" s="159">
        <f>Inputs!T522*MAX(0,T102)</f>
        <v>7.4883840385032638E-2</v>
      </c>
    </row>
    <row r="104" spans="2:20" x14ac:dyDescent="0.25">
      <c r="B104" s="23" t="s">
        <v>2863</v>
      </c>
      <c r="C104" s="28" t="s">
        <v>493</v>
      </c>
      <c r="H104" s="159">
        <f>Inputs!H522*MAX(0,H101)</f>
        <v>0</v>
      </c>
      <c r="I104" s="159">
        <f>Inputs!I522*MAX(0,I101)</f>
        <v>0</v>
      </c>
      <c r="J104" s="159">
        <f>Inputs!J522*MAX(0,J101)</f>
        <v>0</v>
      </c>
      <c r="K104" s="159">
        <f>Inputs!K522*MAX(0,K101)</f>
        <v>5.0705580199999989E-2</v>
      </c>
      <c r="L104" s="159">
        <f>Inputs!L522*MAX(0,L101)</f>
        <v>5.3085539606000015E-2</v>
      </c>
      <c r="M104" s="159">
        <f>Inputs!M522*MAX(0,M101)</f>
        <v>5.5536897794180008E-2</v>
      </c>
      <c r="N104" s="159">
        <f>Inputs!N522*MAX(0,N101)</f>
        <v>5.8061796728005412E-2</v>
      </c>
      <c r="O104" s="159">
        <f>Inputs!O522*MAX(0,O101)</f>
        <v>6.0662442629845582E-2</v>
      </c>
      <c r="P104" s="159">
        <f>Inputs!P522*MAX(0,P101)</f>
        <v>6.3341107908740951E-2</v>
      </c>
      <c r="Q104" s="159">
        <f>Inputs!Q522*MAX(0,Q101)</f>
        <v>6.6100133146003159E-2</v>
      </c>
      <c r="R104" s="159">
        <f>Inputs!R522*MAX(0,R101)</f>
        <v>6.894192914038326E-2</v>
      </c>
      <c r="S104" s="159">
        <f>Inputs!S522*MAX(0,S101)</f>
        <v>7.1868979014594769E-2</v>
      </c>
      <c r="T104" s="159">
        <f>Inputs!T522*MAX(0,T101)</f>
        <v>7.4883840385032638E-2</v>
      </c>
    </row>
    <row r="105" spans="2:20" x14ac:dyDescent="0.25">
      <c r="B105" s="23" t="s">
        <v>2864</v>
      </c>
      <c r="C105" s="28" t="s">
        <v>493</v>
      </c>
      <c r="H105" s="159">
        <f t="shared" ref="H105:T105" si="36">H102-H103</f>
        <v>0</v>
      </c>
      <c r="I105" s="159">
        <f t="shared" si="36"/>
        <v>0</v>
      </c>
      <c r="J105" s="159">
        <f t="shared" si="36"/>
        <v>0</v>
      </c>
      <c r="K105" s="159">
        <f t="shared" si="36"/>
        <v>0.17977432979999997</v>
      </c>
      <c r="L105" s="159">
        <f t="shared" si="36"/>
        <v>0.18821236769400004</v>
      </c>
      <c r="M105" s="159">
        <f t="shared" si="36"/>
        <v>0.19690354672482005</v>
      </c>
      <c r="N105" s="159">
        <f t="shared" si="36"/>
        <v>0.20585546112656464</v>
      </c>
      <c r="O105" s="159">
        <f t="shared" si="36"/>
        <v>0.21507593296036162</v>
      </c>
      <c r="P105" s="159">
        <f t="shared" si="36"/>
        <v>0.22457301894917245</v>
      </c>
      <c r="Q105" s="159">
        <f t="shared" si="36"/>
        <v>0.23435501751764759</v>
      </c>
      <c r="R105" s="159">
        <f t="shared" si="36"/>
        <v>0.24443047604317703</v>
      </c>
      <c r="S105" s="159">
        <f t="shared" si="36"/>
        <v>0.25480819832447238</v>
      </c>
      <c r="T105" s="159">
        <f t="shared" si="36"/>
        <v>0.26549725227420662</v>
      </c>
    </row>
    <row r="106" spans="2:20" x14ac:dyDescent="0.25">
      <c r="B106" s="23" t="s">
        <v>2865</v>
      </c>
      <c r="C106" s="28" t="s">
        <v>493</v>
      </c>
      <c r="H106" s="159">
        <f>('Cost Calculation'!H131-'Capex &amp; Depreciation'!H234)</f>
        <v>14.056001106053959</v>
      </c>
      <c r="I106" s="159">
        <f>('Cost Calculation'!I131-'Capex &amp; Depreciation'!I234)</f>
        <v>13.506276227960301</v>
      </c>
      <c r="J106" s="159">
        <f>('Cost Calculation'!J131-'Capex &amp; Depreciation'!J234)</f>
        <v>16.285784965481337</v>
      </c>
      <c r="K106" s="159">
        <f>('Cost Calculation'!K131-'Capex &amp; Depreciation'!K234)</f>
        <v>17.991600298124762</v>
      </c>
      <c r="L106" s="159">
        <f>('Cost Calculation'!L131-'Capex &amp; Depreciation'!L234)</f>
        <v>19.843153528591625</v>
      </c>
      <c r="M106" s="159">
        <f>('Cost Calculation'!M131-'Capex &amp; Depreciation'!M234)</f>
        <v>21.852439448913419</v>
      </c>
      <c r="N106" s="159">
        <f>('Cost Calculation'!N131-'Capex &amp; Depreciation'!N234)</f>
        <v>24.032428704292943</v>
      </c>
      <c r="O106" s="159">
        <f>('Cost Calculation'!O131-'Capex &amp; Depreciation'!O234)</f>
        <v>26.397146875945854</v>
      </c>
      <c r="P106" s="159">
        <f>('Cost Calculation'!P131-'Capex &amp; Depreciation'!P234)</f>
        <v>28.961759966038734</v>
      </c>
      <c r="Q106" s="159">
        <f>('Cost Calculation'!Q131-'Capex &amp; Depreciation'!Q234)</f>
        <v>31.74266680303273</v>
      </c>
      <c r="R106" s="159">
        <f>('Cost Calculation'!R131-'Capex &amp; Depreciation'!R234)</f>
        <v>30.763298074730912</v>
      </c>
      <c r="S106" s="159">
        <f>('Cost Calculation'!S131-'Capex &amp; Depreciation'!S234)</f>
        <v>32.491152439901335</v>
      </c>
      <c r="T106" s="159">
        <f>('Cost Calculation'!T131-'Capex &amp; Depreciation'!T234)</f>
        <v>34.308611805261592</v>
      </c>
    </row>
    <row r="107" spans="2:20" x14ac:dyDescent="0.25">
      <c r="B107" s="23" t="s">
        <v>2866</v>
      </c>
      <c r="C107" s="28" t="s">
        <v>493</v>
      </c>
      <c r="H107" s="159">
        <f t="shared" ref="H107:T107" si="37">H106</f>
        <v>14.056001106053959</v>
      </c>
      <c r="I107" s="159">
        <f t="shared" si="37"/>
        <v>13.506276227960301</v>
      </c>
      <c r="J107" s="159">
        <f t="shared" si="37"/>
        <v>16.285784965481337</v>
      </c>
      <c r="K107" s="159">
        <f t="shared" si="37"/>
        <v>17.991600298124762</v>
      </c>
      <c r="L107" s="159">
        <f t="shared" si="37"/>
        <v>19.843153528591625</v>
      </c>
      <c r="M107" s="159">
        <f t="shared" si="37"/>
        <v>21.852439448913419</v>
      </c>
      <c r="N107" s="159">
        <f t="shared" si="37"/>
        <v>24.032428704292943</v>
      </c>
      <c r="O107" s="159">
        <f t="shared" si="37"/>
        <v>26.397146875945854</v>
      </c>
      <c r="P107" s="159">
        <f t="shared" si="37"/>
        <v>28.961759966038734</v>
      </c>
      <c r="Q107" s="159">
        <f t="shared" si="37"/>
        <v>31.74266680303273</v>
      </c>
      <c r="R107" s="159">
        <f t="shared" si="37"/>
        <v>30.763298074730912</v>
      </c>
      <c r="S107" s="159">
        <f t="shared" si="37"/>
        <v>32.491152439901335</v>
      </c>
      <c r="T107" s="159">
        <f t="shared" si="37"/>
        <v>34.308611805261592</v>
      </c>
    </row>
    <row r="108" spans="2:20" x14ac:dyDescent="0.25">
      <c r="B108" s="23" t="s">
        <v>2867</v>
      </c>
      <c r="C108" s="28" t="s">
        <v>493</v>
      </c>
      <c r="H108" s="159">
        <f>Inputs!H522*MAX(0,H107)</f>
        <v>3.0923202433318711</v>
      </c>
      <c r="I108" s="159">
        <f>Inputs!I522*MAX(0,I107)</f>
        <v>2.9713807701512662</v>
      </c>
      <c r="J108" s="159">
        <f>Inputs!J522*MAX(0,J107)</f>
        <v>3.582872692405894</v>
      </c>
      <c r="K108" s="159">
        <f>Inputs!K522*MAX(0,K107)</f>
        <v>3.9581520655874476</v>
      </c>
      <c r="L108" s="159">
        <f>Inputs!L522*MAX(0,L107)</f>
        <v>4.3654937762901573</v>
      </c>
      <c r="M108" s="159">
        <f>Inputs!M522*MAX(0,M107)</f>
        <v>4.8075366787609521</v>
      </c>
      <c r="N108" s="159">
        <f>Inputs!N522*MAX(0,N107)</f>
        <v>5.2871343149444474</v>
      </c>
      <c r="O108" s="159">
        <f>Inputs!O522*MAX(0,O107)</f>
        <v>5.8073723127080878</v>
      </c>
      <c r="P108" s="159">
        <f>Inputs!P522*MAX(0,P107)</f>
        <v>6.3715871925285219</v>
      </c>
      <c r="Q108" s="159">
        <f>Inputs!Q522*MAX(0,Q107)</f>
        <v>6.9833866966672007</v>
      </c>
      <c r="R108" s="159">
        <f>Inputs!R522*MAX(0,R107)</f>
        <v>6.7679255764408008</v>
      </c>
      <c r="S108" s="159">
        <f>Inputs!S522*MAX(0,S107)</f>
        <v>7.1480535367782938</v>
      </c>
      <c r="T108" s="159">
        <f>Inputs!T522*MAX(0,T107)</f>
        <v>7.5478945971575504</v>
      </c>
    </row>
    <row r="109" spans="2:20" x14ac:dyDescent="0.25">
      <c r="B109" s="23" t="s">
        <v>2868</v>
      </c>
      <c r="C109" s="28" t="s">
        <v>493</v>
      </c>
      <c r="H109" s="159">
        <f>Inputs!H522*MAX(0,H106)</f>
        <v>3.0923202433318711</v>
      </c>
      <c r="I109" s="159">
        <f>Inputs!I522*MAX(0,I106)</f>
        <v>2.9713807701512662</v>
      </c>
      <c r="J109" s="159">
        <f>Inputs!J522*MAX(0,J106)</f>
        <v>3.582872692405894</v>
      </c>
      <c r="K109" s="159">
        <f>Inputs!K522*MAX(0,K106)</f>
        <v>3.9581520655874476</v>
      </c>
      <c r="L109" s="159">
        <f>Inputs!L522*MAX(0,L106)</f>
        <v>4.3654937762901573</v>
      </c>
      <c r="M109" s="159">
        <f>Inputs!M522*MAX(0,M106)</f>
        <v>4.8075366787609521</v>
      </c>
      <c r="N109" s="159">
        <f>Inputs!N522*MAX(0,N106)</f>
        <v>5.2871343149444474</v>
      </c>
      <c r="O109" s="159">
        <f>Inputs!O522*MAX(0,O106)</f>
        <v>5.8073723127080878</v>
      </c>
      <c r="P109" s="159">
        <f>Inputs!P522*MAX(0,P106)</f>
        <v>6.3715871925285219</v>
      </c>
      <c r="Q109" s="159">
        <f>Inputs!Q522*MAX(0,Q106)</f>
        <v>6.9833866966672007</v>
      </c>
      <c r="R109" s="159">
        <f>Inputs!R522*MAX(0,R106)</f>
        <v>6.7679255764408008</v>
      </c>
      <c r="S109" s="159">
        <f>Inputs!S522*MAX(0,S106)</f>
        <v>7.1480535367782938</v>
      </c>
      <c r="T109" s="159">
        <f>Inputs!T522*MAX(0,T106)</f>
        <v>7.5478945971575504</v>
      </c>
    </row>
    <row r="110" spans="2:20" x14ac:dyDescent="0.25">
      <c r="B110" s="23" t="s">
        <v>2869</v>
      </c>
      <c r="C110" s="28" t="s">
        <v>493</v>
      </c>
      <c r="H110" s="159">
        <f t="shared" ref="H110:T110" si="38">H107-H108</f>
        <v>10.963680862722088</v>
      </c>
      <c r="I110" s="159">
        <f t="shared" si="38"/>
        <v>10.534895457809036</v>
      </c>
      <c r="J110" s="159">
        <f t="shared" si="38"/>
        <v>12.702912273075443</v>
      </c>
      <c r="K110" s="159">
        <f t="shared" si="38"/>
        <v>14.033448232537314</v>
      </c>
      <c r="L110" s="159">
        <f t="shared" si="38"/>
        <v>15.477659752301467</v>
      </c>
      <c r="M110" s="159">
        <f t="shared" si="38"/>
        <v>17.044902770152468</v>
      </c>
      <c r="N110" s="159">
        <f t="shared" si="38"/>
        <v>18.745294389348494</v>
      </c>
      <c r="O110" s="159">
        <f t="shared" si="38"/>
        <v>20.589774563237768</v>
      </c>
      <c r="P110" s="159">
        <f t="shared" si="38"/>
        <v>22.590172773510211</v>
      </c>
      <c r="Q110" s="159">
        <f t="shared" si="38"/>
        <v>24.75928010636553</v>
      </c>
      <c r="R110" s="159">
        <f t="shared" si="38"/>
        <v>23.995372498290109</v>
      </c>
      <c r="S110" s="159">
        <f t="shared" si="38"/>
        <v>25.343098903123042</v>
      </c>
      <c r="T110" s="159">
        <f t="shared" si="38"/>
        <v>26.76071720810404</v>
      </c>
    </row>
    <row r="111" spans="2:20" x14ac:dyDescent="0.25">
      <c r="B111" s="23" t="s">
        <v>2870</v>
      </c>
      <c r="C111" s="28" t="s">
        <v>493</v>
      </c>
      <c r="H111" s="159">
        <f>('Cost Calculation'!H178-'Capex &amp; Depreciation'!H249)</f>
        <v>0</v>
      </c>
      <c r="I111" s="159">
        <f>('Cost Calculation'!I178-'Capex &amp; Depreciation'!I249)</f>
        <v>0</v>
      </c>
      <c r="J111" s="159">
        <f>('Cost Calculation'!J178-'Capex &amp; Depreciation'!J249)</f>
        <v>0</v>
      </c>
      <c r="K111" s="159">
        <f>('Cost Calculation'!K178-'Capex &amp; Depreciation'!K249)</f>
        <v>0</v>
      </c>
      <c r="L111" s="159">
        <f>('Cost Calculation'!L178-'Capex &amp; Depreciation'!L249)</f>
        <v>0</v>
      </c>
      <c r="M111" s="159">
        <f>('Cost Calculation'!M178-'Capex &amp; Depreciation'!M249)</f>
        <v>0</v>
      </c>
      <c r="N111" s="159">
        <f>('Cost Calculation'!N178-'Capex &amp; Depreciation'!N249)</f>
        <v>0</v>
      </c>
      <c r="O111" s="159">
        <f>('Cost Calculation'!O178-'Capex &amp; Depreciation'!O249)</f>
        <v>0</v>
      </c>
      <c r="P111" s="159">
        <f>('Cost Calculation'!P178-'Capex &amp; Depreciation'!P249)</f>
        <v>0</v>
      </c>
      <c r="Q111" s="159">
        <f>('Cost Calculation'!Q178-'Capex &amp; Depreciation'!Q249)</f>
        <v>0</v>
      </c>
      <c r="R111" s="159">
        <f>('Cost Calculation'!R178-'Capex &amp; Depreciation'!R249)</f>
        <v>0</v>
      </c>
      <c r="S111" s="159">
        <f>('Cost Calculation'!S178-'Capex &amp; Depreciation'!S249)</f>
        <v>0</v>
      </c>
      <c r="T111" s="159">
        <f>('Cost Calculation'!T178-'Capex &amp; Depreciation'!T249)</f>
        <v>0</v>
      </c>
    </row>
    <row r="112" spans="2:20" x14ac:dyDescent="0.25">
      <c r="B112" s="23" t="s">
        <v>2871</v>
      </c>
      <c r="C112" s="28" t="s">
        <v>493</v>
      </c>
      <c r="H112" s="159">
        <f t="shared" ref="H112:T112" si="39">H111</f>
        <v>0</v>
      </c>
      <c r="I112" s="159">
        <f t="shared" si="39"/>
        <v>0</v>
      </c>
      <c r="J112" s="159">
        <f t="shared" si="39"/>
        <v>0</v>
      </c>
      <c r="K112" s="159">
        <f t="shared" si="39"/>
        <v>0</v>
      </c>
      <c r="L112" s="159">
        <f t="shared" si="39"/>
        <v>0</v>
      </c>
      <c r="M112" s="159">
        <f t="shared" si="39"/>
        <v>0</v>
      </c>
      <c r="N112" s="159">
        <f t="shared" si="39"/>
        <v>0</v>
      </c>
      <c r="O112" s="159">
        <f t="shared" si="39"/>
        <v>0</v>
      </c>
      <c r="P112" s="159">
        <f t="shared" si="39"/>
        <v>0</v>
      </c>
      <c r="Q112" s="159">
        <f t="shared" si="39"/>
        <v>0</v>
      </c>
      <c r="R112" s="159">
        <f t="shared" si="39"/>
        <v>0</v>
      </c>
      <c r="S112" s="159">
        <f t="shared" si="39"/>
        <v>0</v>
      </c>
      <c r="T112" s="159">
        <f t="shared" si="39"/>
        <v>0</v>
      </c>
    </row>
    <row r="113" spans="2:20" x14ac:dyDescent="0.25">
      <c r="B113" s="23" t="s">
        <v>2872</v>
      </c>
      <c r="C113" s="28" t="s">
        <v>493</v>
      </c>
      <c r="H113" s="159">
        <f>Inputs!H522*MAX(0,H112)</f>
        <v>0</v>
      </c>
      <c r="I113" s="159">
        <f>Inputs!I522*MAX(0,I112)</f>
        <v>0</v>
      </c>
      <c r="J113" s="159">
        <f>Inputs!J522*MAX(0,J112)</f>
        <v>0</v>
      </c>
      <c r="K113" s="159">
        <f>Inputs!K522*MAX(0,K112)</f>
        <v>0</v>
      </c>
      <c r="L113" s="159">
        <f>Inputs!L522*MAX(0,L112)</f>
        <v>0</v>
      </c>
      <c r="M113" s="159">
        <f>Inputs!M522*MAX(0,M112)</f>
        <v>0</v>
      </c>
      <c r="N113" s="159">
        <f>Inputs!N522*MAX(0,N112)</f>
        <v>0</v>
      </c>
      <c r="O113" s="159">
        <f>Inputs!O522*MAX(0,O112)</f>
        <v>0</v>
      </c>
      <c r="P113" s="159">
        <f>Inputs!P522*MAX(0,P112)</f>
        <v>0</v>
      </c>
      <c r="Q113" s="159">
        <f>Inputs!Q522*MAX(0,Q112)</f>
        <v>0</v>
      </c>
      <c r="R113" s="159">
        <f>Inputs!R522*MAX(0,R112)</f>
        <v>0</v>
      </c>
      <c r="S113" s="159">
        <f>Inputs!S522*MAX(0,S112)</f>
        <v>0</v>
      </c>
      <c r="T113" s="159">
        <f>Inputs!T522*MAX(0,T112)</f>
        <v>0</v>
      </c>
    </row>
    <row r="114" spans="2:20" x14ac:dyDescent="0.25">
      <c r="B114" s="23" t="s">
        <v>2873</v>
      </c>
      <c r="C114" s="28" t="s">
        <v>493</v>
      </c>
      <c r="H114" s="159">
        <f>Inputs!H522*MAX(0,H111)</f>
        <v>0</v>
      </c>
      <c r="I114" s="159">
        <f>Inputs!I522*MAX(0,I111)</f>
        <v>0</v>
      </c>
      <c r="J114" s="159">
        <f>Inputs!J522*MAX(0,J111)</f>
        <v>0</v>
      </c>
      <c r="K114" s="159">
        <f>Inputs!K522*MAX(0,K111)</f>
        <v>0</v>
      </c>
      <c r="L114" s="159">
        <f>Inputs!L522*MAX(0,L111)</f>
        <v>0</v>
      </c>
      <c r="M114" s="159">
        <f>Inputs!M522*MAX(0,M111)</f>
        <v>0</v>
      </c>
      <c r="N114" s="159">
        <f>Inputs!N522*MAX(0,N111)</f>
        <v>0</v>
      </c>
      <c r="O114" s="159">
        <f>Inputs!O522*MAX(0,O111)</f>
        <v>0</v>
      </c>
      <c r="P114" s="159">
        <f>Inputs!P522*MAX(0,P111)</f>
        <v>0</v>
      </c>
      <c r="Q114" s="159">
        <f>Inputs!Q522*MAX(0,Q111)</f>
        <v>0</v>
      </c>
      <c r="R114" s="159">
        <f>Inputs!R522*MAX(0,R111)</f>
        <v>0</v>
      </c>
      <c r="S114" s="159">
        <f>Inputs!S522*MAX(0,S111)</f>
        <v>0</v>
      </c>
      <c r="T114" s="159">
        <f>Inputs!T522*MAX(0,T111)</f>
        <v>0</v>
      </c>
    </row>
    <row r="115" spans="2:20" x14ac:dyDescent="0.25">
      <c r="B115" s="23" t="s">
        <v>2874</v>
      </c>
      <c r="C115" s="28" t="s">
        <v>493</v>
      </c>
      <c r="H115" s="159">
        <f t="shared" ref="H115:T115" si="40">H112-H113</f>
        <v>0</v>
      </c>
      <c r="I115" s="159">
        <f t="shared" si="40"/>
        <v>0</v>
      </c>
      <c r="J115" s="159">
        <f t="shared" si="40"/>
        <v>0</v>
      </c>
      <c r="K115" s="159">
        <f t="shared" si="40"/>
        <v>0</v>
      </c>
      <c r="L115" s="159">
        <f t="shared" si="40"/>
        <v>0</v>
      </c>
      <c r="M115" s="159">
        <f t="shared" si="40"/>
        <v>0</v>
      </c>
      <c r="N115" s="159">
        <f t="shared" si="40"/>
        <v>0</v>
      </c>
      <c r="O115" s="159">
        <f t="shared" si="40"/>
        <v>0</v>
      </c>
      <c r="P115" s="159">
        <f t="shared" si="40"/>
        <v>0</v>
      </c>
      <c r="Q115" s="159">
        <f t="shared" si="40"/>
        <v>0</v>
      </c>
      <c r="R115" s="159">
        <f t="shared" si="40"/>
        <v>0</v>
      </c>
      <c r="S115" s="159">
        <f t="shared" si="40"/>
        <v>0</v>
      </c>
      <c r="T115" s="159">
        <f t="shared" si="40"/>
        <v>0</v>
      </c>
    </row>
    <row r="116" spans="2:20" x14ac:dyDescent="0.25">
      <c r="B116" s="23" t="str">
        <f>"P16  "&amp;Inputs!$E$605&amp;" - EBIT (placeholder line, not in v29; taxed like a v29 line)"</f>
        <v>P16  Lampung - EBIT (placeholder line, not in v29; taxed like a v29 line)</v>
      </c>
      <c r="C116" s="28" t="s">
        <v>493</v>
      </c>
      <c r="H116" s="159">
        <f>'Cost Calculation'!H186-'Capex &amp; Depreciation'!H250</f>
        <v>0</v>
      </c>
      <c r="I116" s="159">
        <f>'Cost Calculation'!I186-'Capex &amp; Depreciation'!I250</f>
        <v>0</v>
      </c>
      <c r="J116" s="159">
        <f>'Cost Calculation'!J186-'Capex &amp; Depreciation'!J250</f>
        <v>0</v>
      </c>
      <c r="K116" s="159">
        <f>'Cost Calculation'!K186-'Capex &amp; Depreciation'!K250</f>
        <v>0</v>
      </c>
      <c r="L116" s="159">
        <f>'Cost Calculation'!L186-'Capex &amp; Depreciation'!L250</f>
        <v>0</v>
      </c>
      <c r="M116" s="159">
        <f>'Cost Calculation'!M186-'Capex &amp; Depreciation'!M250</f>
        <v>0</v>
      </c>
      <c r="N116" s="159">
        <f>'Cost Calculation'!N186-'Capex &amp; Depreciation'!N250</f>
        <v>0</v>
      </c>
      <c r="O116" s="159">
        <f>'Cost Calculation'!O186-'Capex &amp; Depreciation'!O250</f>
        <v>0</v>
      </c>
      <c r="P116" s="159">
        <f>'Cost Calculation'!P186-'Capex &amp; Depreciation'!P250</f>
        <v>0</v>
      </c>
      <c r="Q116" s="159">
        <f>'Cost Calculation'!Q186-'Capex &amp; Depreciation'!Q250</f>
        <v>0</v>
      </c>
      <c r="R116" s="159">
        <f>'Cost Calculation'!R186-'Capex &amp; Depreciation'!R250</f>
        <v>0</v>
      </c>
      <c r="S116" s="159">
        <f>'Cost Calculation'!S186-'Capex &amp; Depreciation'!S250</f>
        <v>0</v>
      </c>
      <c r="T116" s="159">
        <f>'Cost Calculation'!T186-'Capex &amp; Depreciation'!T250</f>
        <v>0</v>
      </c>
    </row>
    <row r="117" spans="2:20" x14ac:dyDescent="0.25">
      <c r="B117" s="23" t="s">
        <v>2875</v>
      </c>
      <c r="C117" s="28" t="s">
        <v>493</v>
      </c>
      <c r="H117" s="159">
        <f t="shared" ref="H117:T117" si="41">H116</f>
        <v>0</v>
      </c>
      <c r="I117" s="159">
        <f t="shared" si="41"/>
        <v>0</v>
      </c>
      <c r="J117" s="159">
        <f t="shared" si="41"/>
        <v>0</v>
      </c>
      <c r="K117" s="159">
        <f t="shared" si="41"/>
        <v>0</v>
      </c>
      <c r="L117" s="159">
        <f t="shared" si="41"/>
        <v>0</v>
      </c>
      <c r="M117" s="159">
        <f t="shared" si="41"/>
        <v>0</v>
      </c>
      <c r="N117" s="159">
        <f t="shared" si="41"/>
        <v>0</v>
      </c>
      <c r="O117" s="159">
        <f t="shared" si="41"/>
        <v>0</v>
      </c>
      <c r="P117" s="159">
        <f t="shared" si="41"/>
        <v>0</v>
      </c>
      <c r="Q117" s="159">
        <f t="shared" si="41"/>
        <v>0</v>
      </c>
      <c r="R117" s="159">
        <f t="shared" si="41"/>
        <v>0</v>
      </c>
      <c r="S117" s="159">
        <f t="shared" si="41"/>
        <v>0</v>
      </c>
      <c r="T117" s="159">
        <f t="shared" si="41"/>
        <v>0</v>
      </c>
    </row>
    <row r="118" spans="2:20" x14ac:dyDescent="0.25">
      <c r="B118" s="23" t="s">
        <v>2876</v>
      </c>
      <c r="C118" s="28" t="s">
        <v>493</v>
      </c>
      <c r="H118" s="159">
        <f>Inputs!H522*MAX(0,H117)</f>
        <v>0</v>
      </c>
      <c r="I118" s="159">
        <f>Inputs!I522*MAX(0,I117)</f>
        <v>0</v>
      </c>
      <c r="J118" s="159">
        <f>Inputs!J522*MAX(0,J117)</f>
        <v>0</v>
      </c>
      <c r="K118" s="159">
        <f>Inputs!K522*MAX(0,K117)</f>
        <v>0</v>
      </c>
      <c r="L118" s="159">
        <f>Inputs!L522*MAX(0,L117)</f>
        <v>0</v>
      </c>
      <c r="M118" s="159">
        <f>Inputs!M522*MAX(0,M117)</f>
        <v>0</v>
      </c>
      <c r="N118" s="159">
        <f>Inputs!N522*MAX(0,N117)</f>
        <v>0</v>
      </c>
      <c r="O118" s="159">
        <f>Inputs!O522*MAX(0,O117)</f>
        <v>0</v>
      </c>
      <c r="P118" s="159">
        <f>Inputs!P522*MAX(0,P117)</f>
        <v>0</v>
      </c>
      <c r="Q118" s="159">
        <f>Inputs!Q522*MAX(0,Q117)</f>
        <v>0</v>
      </c>
      <c r="R118" s="159">
        <f>Inputs!R522*MAX(0,R117)</f>
        <v>0</v>
      </c>
      <c r="S118" s="159">
        <f>Inputs!S522*MAX(0,S117)</f>
        <v>0</v>
      </c>
      <c r="T118" s="159">
        <f>Inputs!T522*MAX(0,T117)</f>
        <v>0</v>
      </c>
    </row>
    <row r="119" spans="2:20" x14ac:dyDescent="0.25">
      <c r="B119" s="23" t="s">
        <v>2877</v>
      </c>
      <c r="C119" s="28" t="s">
        <v>493</v>
      </c>
      <c r="H119" s="159">
        <f>Inputs!H522*MAX(0,H116)</f>
        <v>0</v>
      </c>
      <c r="I119" s="159">
        <f>Inputs!I522*MAX(0,I116)</f>
        <v>0</v>
      </c>
      <c r="J119" s="159">
        <f>Inputs!J522*MAX(0,J116)</f>
        <v>0</v>
      </c>
      <c r="K119" s="159">
        <f>Inputs!K522*MAX(0,K116)</f>
        <v>0</v>
      </c>
      <c r="L119" s="159">
        <f>Inputs!L522*MAX(0,L116)</f>
        <v>0</v>
      </c>
      <c r="M119" s="159">
        <f>Inputs!M522*MAX(0,M116)</f>
        <v>0</v>
      </c>
      <c r="N119" s="159">
        <f>Inputs!N522*MAX(0,N116)</f>
        <v>0</v>
      </c>
      <c r="O119" s="159">
        <f>Inputs!O522*MAX(0,O116)</f>
        <v>0</v>
      </c>
      <c r="P119" s="159">
        <f>Inputs!P522*MAX(0,P116)</f>
        <v>0</v>
      </c>
      <c r="Q119" s="159">
        <f>Inputs!Q522*MAX(0,Q116)</f>
        <v>0</v>
      </c>
      <c r="R119" s="159">
        <f>Inputs!R522*MAX(0,R116)</f>
        <v>0</v>
      </c>
      <c r="S119" s="159">
        <f>Inputs!S522*MAX(0,S116)</f>
        <v>0</v>
      </c>
      <c r="T119" s="159">
        <f>Inputs!T522*MAX(0,T116)</f>
        <v>0</v>
      </c>
    </row>
    <row r="120" spans="2:20" x14ac:dyDescent="0.25">
      <c r="B120" s="23" t="s">
        <v>2878</v>
      </c>
      <c r="C120" s="28" t="s">
        <v>493</v>
      </c>
      <c r="H120" s="159">
        <f t="shared" ref="H120:T120" si="42">H117-H118</f>
        <v>0</v>
      </c>
      <c r="I120" s="159">
        <f t="shared" si="42"/>
        <v>0</v>
      </c>
      <c r="J120" s="159">
        <f t="shared" si="42"/>
        <v>0</v>
      </c>
      <c r="K120" s="159">
        <f t="shared" si="42"/>
        <v>0</v>
      </c>
      <c r="L120" s="159">
        <f t="shared" si="42"/>
        <v>0</v>
      </c>
      <c r="M120" s="159">
        <f t="shared" si="42"/>
        <v>0</v>
      </c>
      <c r="N120" s="159">
        <f t="shared" si="42"/>
        <v>0</v>
      </c>
      <c r="O120" s="159">
        <f t="shared" si="42"/>
        <v>0</v>
      </c>
      <c r="P120" s="159">
        <f t="shared" si="42"/>
        <v>0</v>
      </c>
      <c r="Q120" s="159">
        <f t="shared" si="42"/>
        <v>0</v>
      </c>
      <c r="R120" s="159">
        <f t="shared" si="42"/>
        <v>0</v>
      </c>
      <c r="S120" s="159">
        <f t="shared" si="42"/>
        <v>0</v>
      </c>
      <c r="T120" s="159">
        <f t="shared" si="42"/>
        <v>0</v>
      </c>
    </row>
    <row r="121" spans="2:20" x14ac:dyDescent="0.25">
      <c r="B121" s="23" t="str">
        <f>"P17  "&amp;Inputs!$E$639&amp;" - EBIT (placeholder line, not in v29; taxed like a v29 line)"</f>
        <v>P17  Pipeline Project 2 - EBIT (placeholder line, not in v29; taxed like a v29 line)</v>
      </c>
      <c r="C121" s="28" t="s">
        <v>493</v>
      </c>
      <c r="H121" s="159">
        <f>'Cost Calculation'!H192-'Capex &amp; Depreciation'!H251</f>
        <v>0</v>
      </c>
      <c r="I121" s="159">
        <f>'Cost Calculation'!I192-'Capex &amp; Depreciation'!I251</f>
        <v>0</v>
      </c>
      <c r="J121" s="159">
        <f>'Cost Calculation'!J192-'Capex &amp; Depreciation'!J251</f>
        <v>0</v>
      </c>
      <c r="K121" s="159">
        <f>'Cost Calculation'!K192-'Capex &amp; Depreciation'!K251</f>
        <v>0</v>
      </c>
      <c r="L121" s="159">
        <f>'Cost Calculation'!L192-'Capex &amp; Depreciation'!L251</f>
        <v>0</v>
      </c>
      <c r="M121" s="159">
        <f>'Cost Calculation'!M192-'Capex &amp; Depreciation'!M251</f>
        <v>0</v>
      </c>
      <c r="N121" s="159">
        <f>'Cost Calculation'!N192-'Capex &amp; Depreciation'!N251</f>
        <v>0</v>
      </c>
      <c r="O121" s="159">
        <f>'Cost Calculation'!O192-'Capex &amp; Depreciation'!O251</f>
        <v>0</v>
      </c>
      <c r="P121" s="159">
        <f>'Cost Calculation'!P192-'Capex &amp; Depreciation'!P251</f>
        <v>0</v>
      </c>
      <c r="Q121" s="159">
        <f>'Cost Calculation'!Q192-'Capex &amp; Depreciation'!Q251</f>
        <v>0</v>
      </c>
      <c r="R121" s="159">
        <f>'Cost Calculation'!R192-'Capex &amp; Depreciation'!R251</f>
        <v>0</v>
      </c>
      <c r="S121" s="159">
        <f>'Cost Calculation'!S192-'Capex &amp; Depreciation'!S251</f>
        <v>0</v>
      </c>
      <c r="T121" s="159">
        <f>'Cost Calculation'!T192-'Capex &amp; Depreciation'!T251</f>
        <v>0</v>
      </c>
    </row>
    <row r="122" spans="2:20" x14ac:dyDescent="0.25">
      <c r="B122" s="23" t="s">
        <v>2879</v>
      </c>
      <c r="C122" s="28" t="s">
        <v>493</v>
      </c>
      <c r="H122" s="159">
        <f t="shared" ref="H122:T122" si="43">H121</f>
        <v>0</v>
      </c>
      <c r="I122" s="159">
        <f t="shared" si="43"/>
        <v>0</v>
      </c>
      <c r="J122" s="159">
        <f t="shared" si="43"/>
        <v>0</v>
      </c>
      <c r="K122" s="159">
        <f t="shared" si="43"/>
        <v>0</v>
      </c>
      <c r="L122" s="159">
        <f t="shared" si="43"/>
        <v>0</v>
      </c>
      <c r="M122" s="159">
        <f t="shared" si="43"/>
        <v>0</v>
      </c>
      <c r="N122" s="159">
        <f t="shared" si="43"/>
        <v>0</v>
      </c>
      <c r="O122" s="159">
        <f t="shared" si="43"/>
        <v>0</v>
      </c>
      <c r="P122" s="159">
        <f t="shared" si="43"/>
        <v>0</v>
      </c>
      <c r="Q122" s="159">
        <f t="shared" si="43"/>
        <v>0</v>
      </c>
      <c r="R122" s="159">
        <f t="shared" si="43"/>
        <v>0</v>
      </c>
      <c r="S122" s="159">
        <f t="shared" si="43"/>
        <v>0</v>
      </c>
      <c r="T122" s="159">
        <f t="shared" si="43"/>
        <v>0</v>
      </c>
    </row>
    <row r="123" spans="2:20" x14ac:dyDescent="0.25">
      <c r="B123" s="23" t="s">
        <v>2880</v>
      </c>
      <c r="C123" s="28" t="s">
        <v>493</v>
      </c>
      <c r="H123" s="159">
        <f>Inputs!H522*MAX(0,H122)</f>
        <v>0</v>
      </c>
      <c r="I123" s="159">
        <f>Inputs!I522*MAX(0,I122)</f>
        <v>0</v>
      </c>
      <c r="J123" s="159">
        <f>Inputs!J522*MAX(0,J122)</f>
        <v>0</v>
      </c>
      <c r="K123" s="159">
        <f>Inputs!K522*MAX(0,K122)</f>
        <v>0</v>
      </c>
      <c r="L123" s="159">
        <f>Inputs!L522*MAX(0,L122)</f>
        <v>0</v>
      </c>
      <c r="M123" s="159">
        <f>Inputs!M522*MAX(0,M122)</f>
        <v>0</v>
      </c>
      <c r="N123" s="159">
        <f>Inputs!N522*MAX(0,N122)</f>
        <v>0</v>
      </c>
      <c r="O123" s="159">
        <f>Inputs!O522*MAX(0,O122)</f>
        <v>0</v>
      </c>
      <c r="P123" s="159">
        <f>Inputs!P522*MAX(0,P122)</f>
        <v>0</v>
      </c>
      <c r="Q123" s="159">
        <f>Inputs!Q522*MAX(0,Q122)</f>
        <v>0</v>
      </c>
      <c r="R123" s="159">
        <f>Inputs!R522*MAX(0,R122)</f>
        <v>0</v>
      </c>
      <c r="S123" s="159">
        <f>Inputs!S522*MAX(0,S122)</f>
        <v>0</v>
      </c>
      <c r="T123" s="159">
        <f>Inputs!T522*MAX(0,T122)</f>
        <v>0</v>
      </c>
    </row>
    <row r="124" spans="2:20" x14ac:dyDescent="0.25">
      <c r="B124" s="23" t="s">
        <v>2881</v>
      </c>
      <c r="C124" s="28" t="s">
        <v>493</v>
      </c>
      <c r="H124" s="159">
        <f>Inputs!H522*MAX(0,H121)</f>
        <v>0</v>
      </c>
      <c r="I124" s="159">
        <f>Inputs!I522*MAX(0,I121)</f>
        <v>0</v>
      </c>
      <c r="J124" s="159">
        <f>Inputs!J522*MAX(0,J121)</f>
        <v>0</v>
      </c>
      <c r="K124" s="159">
        <f>Inputs!K522*MAX(0,K121)</f>
        <v>0</v>
      </c>
      <c r="L124" s="159">
        <f>Inputs!L522*MAX(0,L121)</f>
        <v>0</v>
      </c>
      <c r="M124" s="159">
        <f>Inputs!M522*MAX(0,M121)</f>
        <v>0</v>
      </c>
      <c r="N124" s="159">
        <f>Inputs!N522*MAX(0,N121)</f>
        <v>0</v>
      </c>
      <c r="O124" s="159">
        <f>Inputs!O522*MAX(0,O121)</f>
        <v>0</v>
      </c>
      <c r="P124" s="159">
        <f>Inputs!P522*MAX(0,P121)</f>
        <v>0</v>
      </c>
      <c r="Q124" s="159">
        <f>Inputs!Q522*MAX(0,Q121)</f>
        <v>0</v>
      </c>
      <c r="R124" s="159">
        <f>Inputs!R522*MAX(0,R121)</f>
        <v>0</v>
      </c>
      <c r="S124" s="159">
        <f>Inputs!S522*MAX(0,S121)</f>
        <v>0</v>
      </c>
      <c r="T124" s="159">
        <f>Inputs!T522*MAX(0,T121)</f>
        <v>0</v>
      </c>
    </row>
    <row r="125" spans="2:20" x14ac:dyDescent="0.25">
      <c r="B125" s="23" t="s">
        <v>2882</v>
      </c>
      <c r="C125" s="28" t="s">
        <v>493</v>
      </c>
      <c r="H125" s="159">
        <f t="shared" ref="H125:T125" si="44">H122-H123</f>
        <v>0</v>
      </c>
      <c r="I125" s="159">
        <f t="shared" si="44"/>
        <v>0</v>
      </c>
      <c r="J125" s="159">
        <f t="shared" si="44"/>
        <v>0</v>
      </c>
      <c r="K125" s="159">
        <f t="shared" si="44"/>
        <v>0</v>
      </c>
      <c r="L125" s="159">
        <f t="shared" si="44"/>
        <v>0</v>
      </c>
      <c r="M125" s="159">
        <f t="shared" si="44"/>
        <v>0</v>
      </c>
      <c r="N125" s="159">
        <f t="shared" si="44"/>
        <v>0</v>
      </c>
      <c r="O125" s="159">
        <f t="shared" si="44"/>
        <v>0</v>
      </c>
      <c r="P125" s="159">
        <f t="shared" si="44"/>
        <v>0</v>
      </c>
      <c r="Q125" s="159">
        <f t="shared" si="44"/>
        <v>0</v>
      </c>
      <c r="R125" s="159">
        <f t="shared" si="44"/>
        <v>0</v>
      </c>
      <c r="S125" s="159">
        <f t="shared" si="44"/>
        <v>0</v>
      </c>
      <c r="T125" s="159">
        <f t="shared" si="44"/>
        <v>0</v>
      </c>
    </row>
    <row r="126" spans="2:20" x14ac:dyDescent="0.25">
      <c r="B126" s="23" t="str">
        <f>"P18  "&amp;Inputs!$E$673&amp;" - EBIT (placeholder line, not in v29; taxed like a v29 line)"</f>
        <v>P18  Pipeline Project 3 - EBIT (placeholder line, not in v29; taxed like a v29 line)</v>
      </c>
      <c r="C126" s="28" t="s">
        <v>493</v>
      </c>
      <c r="H126" s="159">
        <f>'Cost Calculation'!H198-'Capex &amp; Depreciation'!H252</f>
        <v>0</v>
      </c>
      <c r="I126" s="159">
        <f>'Cost Calculation'!I198-'Capex &amp; Depreciation'!I252</f>
        <v>0</v>
      </c>
      <c r="J126" s="159">
        <f>'Cost Calculation'!J198-'Capex &amp; Depreciation'!J252</f>
        <v>0</v>
      </c>
      <c r="K126" s="159">
        <f>'Cost Calculation'!K198-'Capex &amp; Depreciation'!K252</f>
        <v>0</v>
      </c>
      <c r="L126" s="159">
        <f>'Cost Calculation'!L198-'Capex &amp; Depreciation'!L252</f>
        <v>0</v>
      </c>
      <c r="M126" s="159">
        <f>'Cost Calculation'!M198-'Capex &amp; Depreciation'!M252</f>
        <v>0</v>
      </c>
      <c r="N126" s="159">
        <f>'Cost Calculation'!N198-'Capex &amp; Depreciation'!N252</f>
        <v>0</v>
      </c>
      <c r="O126" s="159">
        <f>'Cost Calculation'!O198-'Capex &amp; Depreciation'!O252</f>
        <v>0</v>
      </c>
      <c r="P126" s="159">
        <f>'Cost Calculation'!P198-'Capex &amp; Depreciation'!P252</f>
        <v>0</v>
      </c>
      <c r="Q126" s="159">
        <f>'Cost Calculation'!Q198-'Capex &amp; Depreciation'!Q252</f>
        <v>0</v>
      </c>
      <c r="R126" s="159">
        <f>'Cost Calculation'!R198-'Capex &amp; Depreciation'!R252</f>
        <v>0</v>
      </c>
      <c r="S126" s="159">
        <f>'Cost Calculation'!S198-'Capex &amp; Depreciation'!S252</f>
        <v>0</v>
      </c>
      <c r="T126" s="159">
        <f>'Cost Calculation'!T198-'Capex &amp; Depreciation'!T252</f>
        <v>0</v>
      </c>
    </row>
    <row r="127" spans="2:20" x14ac:dyDescent="0.25">
      <c r="B127" s="23" t="s">
        <v>2883</v>
      </c>
      <c r="C127" s="28" t="s">
        <v>493</v>
      </c>
      <c r="H127" s="159">
        <f t="shared" ref="H127:T127" si="45">H126</f>
        <v>0</v>
      </c>
      <c r="I127" s="159">
        <f t="shared" si="45"/>
        <v>0</v>
      </c>
      <c r="J127" s="159">
        <f t="shared" si="45"/>
        <v>0</v>
      </c>
      <c r="K127" s="159">
        <f t="shared" si="45"/>
        <v>0</v>
      </c>
      <c r="L127" s="159">
        <f t="shared" si="45"/>
        <v>0</v>
      </c>
      <c r="M127" s="159">
        <f t="shared" si="45"/>
        <v>0</v>
      </c>
      <c r="N127" s="159">
        <f t="shared" si="45"/>
        <v>0</v>
      </c>
      <c r="O127" s="159">
        <f t="shared" si="45"/>
        <v>0</v>
      </c>
      <c r="P127" s="159">
        <f t="shared" si="45"/>
        <v>0</v>
      </c>
      <c r="Q127" s="159">
        <f t="shared" si="45"/>
        <v>0</v>
      </c>
      <c r="R127" s="159">
        <f t="shared" si="45"/>
        <v>0</v>
      </c>
      <c r="S127" s="159">
        <f t="shared" si="45"/>
        <v>0</v>
      </c>
      <c r="T127" s="159">
        <f t="shared" si="45"/>
        <v>0</v>
      </c>
    </row>
    <row r="128" spans="2:20" x14ac:dyDescent="0.25">
      <c r="B128" s="23" t="s">
        <v>2884</v>
      </c>
      <c r="C128" s="28" t="s">
        <v>493</v>
      </c>
      <c r="H128" s="159">
        <f>Inputs!H522*MAX(0,H127)</f>
        <v>0</v>
      </c>
      <c r="I128" s="159">
        <f>Inputs!I522*MAX(0,I127)</f>
        <v>0</v>
      </c>
      <c r="J128" s="159">
        <f>Inputs!J522*MAX(0,J127)</f>
        <v>0</v>
      </c>
      <c r="K128" s="159">
        <f>Inputs!K522*MAX(0,K127)</f>
        <v>0</v>
      </c>
      <c r="L128" s="159">
        <f>Inputs!L522*MAX(0,L127)</f>
        <v>0</v>
      </c>
      <c r="M128" s="159">
        <f>Inputs!M522*MAX(0,M127)</f>
        <v>0</v>
      </c>
      <c r="N128" s="159">
        <f>Inputs!N522*MAX(0,N127)</f>
        <v>0</v>
      </c>
      <c r="O128" s="159">
        <f>Inputs!O522*MAX(0,O127)</f>
        <v>0</v>
      </c>
      <c r="P128" s="159">
        <f>Inputs!P522*MAX(0,P127)</f>
        <v>0</v>
      </c>
      <c r="Q128" s="159">
        <f>Inputs!Q522*MAX(0,Q127)</f>
        <v>0</v>
      </c>
      <c r="R128" s="159">
        <f>Inputs!R522*MAX(0,R127)</f>
        <v>0</v>
      </c>
      <c r="S128" s="159">
        <f>Inputs!S522*MAX(0,S127)</f>
        <v>0</v>
      </c>
      <c r="T128" s="159">
        <f>Inputs!T522*MAX(0,T127)</f>
        <v>0</v>
      </c>
    </row>
    <row r="129" spans="2:20" x14ac:dyDescent="0.25">
      <c r="B129" s="23" t="s">
        <v>2885</v>
      </c>
      <c r="C129" s="28" t="s">
        <v>493</v>
      </c>
      <c r="H129" s="159">
        <f>Inputs!H522*MAX(0,H126)</f>
        <v>0</v>
      </c>
      <c r="I129" s="159">
        <f>Inputs!I522*MAX(0,I126)</f>
        <v>0</v>
      </c>
      <c r="J129" s="159">
        <f>Inputs!J522*MAX(0,J126)</f>
        <v>0</v>
      </c>
      <c r="K129" s="159">
        <f>Inputs!K522*MAX(0,K126)</f>
        <v>0</v>
      </c>
      <c r="L129" s="159">
        <f>Inputs!L522*MAX(0,L126)</f>
        <v>0</v>
      </c>
      <c r="M129" s="159">
        <f>Inputs!M522*MAX(0,M126)</f>
        <v>0</v>
      </c>
      <c r="N129" s="159">
        <f>Inputs!N522*MAX(0,N126)</f>
        <v>0</v>
      </c>
      <c r="O129" s="159">
        <f>Inputs!O522*MAX(0,O126)</f>
        <v>0</v>
      </c>
      <c r="P129" s="159">
        <f>Inputs!P522*MAX(0,P126)</f>
        <v>0</v>
      </c>
      <c r="Q129" s="159">
        <f>Inputs!Q522*MAX(0,Q126)</f>
        <v>0</v>
      </c>
      <c r="R129" s="159">
        <f>Inputs!R522*MAX(0,R126)</f>
        <v>0</v>
      </c>
      <c r="S129" s="159">
        <f>Inputs!S522*MAX(0,S126)</f>
        <v>0</v>
      </c>
      <c r="T129" s="159">
        <f>Inputs!T522*MAX(0,T126)</f>
        <v>0</v>
      </c>
    </row>
    <row r="130" spans="2:20" x14ac:dyDescent="0.25">
      <c r="B130" s="23" t="s">
        <v>2886</v>
      </c>
      <c r="C130" s="28" t="s">
        <v>493</v>
      </c>
      <c r="H130" s="159">
        <f t="shared" ref="H130:T130" si="46">H127-H128</f>
        <v>0</v>
      </c>
      <c r="I130" s="159">
        <f t="shared" si="46"/>
        <v>0</v>
      </c>
      <c r="J130" s="159">
        <f t="shared" si="46"/>
        <v>0</v>
      </c>
      <c r="K130" s="159">
        <f t="shared" si="46"/>
        <v>0</v>
      </c>
      <c r="L130" s="159">
        <f t="shared" si="46"/>
        <v>0</v>
      </c>
      <c r="M130" s="159">
        <f t="shared" si="46"/>
        <v>0</v>
      </c>
      <c r="N130" s="159">
        <f t="shared" si="46"/>
        <v>0</v>
      </c>
      <c r="O130" s="159">
        <f t="shared" si="46"/>
        <v>0</v>
      </c>
      <c r="P130" s="159">
        <f t="shared" si="46"/>
        <v>0</v>
      </c>
      <c r="Q130" s="159">
        <f t="shared" si="46"/>
        <v>0</v>
      </c>
      <c r="R130" s="159">
        <f t="shared" si="46"/>
        <v>0</v>
      </c>
      <c r="S130" s="159">
        <f t="shared" si="46"/>
        <v>0</v>
      </c>
      <c r="T130" s="159">
        <f t="shared" si="46"/>
        <v>0</v>
      </c>
    </row>
    <row r="131" spans="2:20" ht="26.25" customHeight="1" x14ac:dyDescent="0.25">
      <c r="B131" s="64" t="s">
        <v>2887</v>
      </c>
      <c r="C131" s="28" t="s">
        <v>493</v>
      </c>
      <c r="H131" s="159">
        <f>'Cost Calculation'!H214-'Capex &amp; Depreciation'!H253</f>
        <v>0</v>
      </c>
      <c r="I131" s="159">
        <f>'Cost Calculation'!I214-'Capex &amp; Depreciation'!I253</f>
        <v>0</v>
      </c>
      <c r="J131" s="159">
        <f>'Cost Calculation'!J214-'Capex &amp; Depreciation'!J253</f>
        <v>0</v>
      </c>
      <c r="K131" s="159">
        <f>'Cost Calculation'!K214-'Capex &amp; Depreciation'!K253</f>
        <v>0</v>
      </c>
      <c r="L131" s="159">
        <f>'Cost Calculation'!L214-'Capex &amp; Depreciation'!L253</f>
        <v>-1.5</v>
      </c>
      <c r="M131" s="159">
        <f>'Cost Calculation'!M214-'Capex &amp; Depreciation'!M253</f>
        <v>1.8200429500342192</v>
      </c>
      <c r="N131" s="159">
        <f>'Cost Calculation'!N214-'Capex &amp; Depreciation'!N253</f>
        <v>8.6247929500342195</v>
      </c>
      <c r="O131" s="159">
        <f>'Cost Calculation'!O214-'Capex &amp; Depreciation'!O253</f>
        <v>13.161292950034222</v>
      </c>
      <c r="P131" s="159">
        <f>'Cost Calculation'!P214-'Capex &amp; Depreciation'!P253</f>
        <v>15.398371149897327</v>
      </c>
      <c r="Q131" s="159">
        <f>'Cost Calculation'!Q214-'Capex &amp; Depreciation'!Q253</f>
        <v>15.42954295003422</v>
      </c>
      <c r="R131" s="159">
        <f>'Cost Calculation'!R214-'Capex &amp; Depreciation'!R253</f>
        <v>15.429542950034229</v>
      </c>
      <c r="S131" s="159">
        <f>'Cost Calculation'!S214-'Capex &amp; Depreciation'!S253</f>
        <v>15.42954295003422</v>
      </c>
      <c r="T131" s="159">
        <f>'Cost Calculation'!T214-'Capex &amp; Depreciation'!T253</f>
        <v>15.398371149897327</v>
      </c>
    </row>
    <row r="132" spans="2:20" x14ac:dyDescent="0.25">
      <c r="B132" s="23" t="s">
        <v>2888</v>
      </c>
      <c r="C132" s="28" t="s">
        <v>493</v>
      </c>
      <c r="H132" s="159">
        <f>H131-Financing!H54</f>
        <v>0</v>
      </c>
      <c r="I132" s="159">
        <f>I131-Financing!I54</f>
        <v>0</v>
      </c>
      <c r="J132" s="159">
        <f>J131-Financing!J54</f>
        <v>0</v>
      </c>
      <c r="K132" s="159">
        <f>K131-Financing!K54</f>
        <v>0</v>
      </c>
      <c r="L132" s="159">
        <f>L131-Financing!L54</f>
        <v>-4.9156499999999994</v>
      </c>
      <c r="M132" s="159">
        <f>M131-Financing!M54</f>
        <v>-6.7190820499657811</v>
      </c>
      <c r="N132" s="159">
        <f>N131-Financing!N54</f>
        <v>8.5667950034219231E-2</v>
      </c>
      <c r="O132" s="159">
        <f>O131-Financing!O54</f>
        <v>5.3052979500342214</v>
      </c>
      <c r="P132" s="159">
        <f>P131-Financing!P54</f>
        <v>9.2502011498973271</v>
      </c>
      <c r="Q132" s="159">
        <f>Q131-Financing!Q54</f>
        <v>10.989197950034221</v>
      </c>
      <c r="R132" s="159">
        <f>R131-Financing!R54</f>
        <v>12.697022950034228</v>
      </c>
      <c r="S132" s="159">
        <f>S131-Financing!S54</f>
        <v>14.40484795003422</v>
      </c>
      <c r="T132" s="159">
        <f>T131-Financing!T54</f>
        <v>15.398371149897327</v>
      </c>
    </row>
    <row r="133" spans="2:20" x14ac:dyDescent="0.25">
      <c r="B133" s="23" t="s">
        <v>2889</v>
      </c>
      <c r="C133" s="28" t="s">
        <v>493</v>
      </c>
      <c r="H133" s="159">
        <f>Inputs!H522*MAX(0,H132)</f>
        <v>0</v>
      </c>
      <c r="I133" s="159">
        <f>Inputs!I522*MAX(0,I132)</f>
        <v>0</v>
      </c>
      <c r="J133" s="159">
        <f>Inputs!J522*MAX(0,J132)</f>
        <v>0</v>
      </c>
      <c r="K133" s="159">
        <f>Inputs!K522*MAX(0,K132)</f>
        <v>0</v>
      </c>
      <c r="L133" s="159">
        <f>Inputs!L522*MAX(0,L132)</f>
        <v>0</v>
      </c>
      <c r="M133" s="159">
        <f>Inputs!M522*MAX(0,M132)</f>
        <v>0</v>
      </c>
      <c r="N133" s="159">
        <f>Inputs!N522*MAX(0,N132)</f>
        <v>1.884694900752823E-2</v>
      </c>
      <c r="O133" s="159">
        <f>Inputs!O522*MAX(0,O132)</f>
        <v>1.1671655490075288</v>
      </c>
      <c r="P133" s="159">
        <f>Inputs!P522*MAX(0,P132)</f>
        <v>2.035044252977412</v>
      </c>
      <c r="Q133" s="159">
        <f>Inputs!Q522*MAX(0,Q132)</f>
        <v>2.4176235490075286</v>
      </c>
      <c r="R133" s="159">
        <f>Inputs!R522*MAX(0,R132)</f>
        <v>2.79334504900753</v>
      </c>
      <c r="S133" s="159">
        <f>Inputs!S522*MAX(0,S132)</f>
        <v>3.1690665490075287</v>
      </c>
      <c r="T133" s="159">
        <f>Inputs!T522*MAX(0,T132)</f>
        <v>3.387641652977412</v>
      </c>
    </row>
    <row r="134" spans="2:20" x14ac:dyDescent="0.25">
      <c r="B134" s="23" t="s">
        <v>2890</v>
      </c>
      <c r="C134" s="28" t="s">
        <v>493</v>
      </c>
      <c r="H134" s="159">
        <f>Inputs!H522*MAX(0,H131)</f>
        <v>0</v>
      </c>
      <c r="I134" s="159">
        <f>Inputs!I522*MAX(0,I131)</f>
        <v>0</v>
      </c>
      <c r="J134" s="159">
        <f>Inputs!J522*MAX(0,J131)</f>
        <v>0</v>
      </c>
      <c r="K134" s="159">
        <f>Inputs!K522*MAX(0,K131)</f>
        <v>0</v>
      </c>
      <c r="L134" s="159">
        <f>Inputs!L522*MAX(0,L131)</f>
        <v>0</v>
      </c>
      <c r="M134" s="159">
        <f>Inputs!M522*MAX(0,M131)</f>
        <v>0.40040944900752823</v>
      </c>
      <c r="N134" s="159">
        <f>Inputs!N522*MAX(0,N131)</f>
        <v>1.8974544490075282</v>
      </c>
      <c r="O134" s="159">
        <f>Inputs!O522*MAX(0,O131)</f>
        <v>2.8954844490075287</v>
      </c>
      <c r="P134" s="159">
        <f>Inputs!P522*MAX(0,P131)</f>
        <v>3.387641652977412</v>
      </c>
      <c r="Q134" s="159">
        <f>Inputs!Q522*MAX(0,Q131)</f>
        <v>3.3944994490075282</v>
      </c>
      <c r="R134" s="159">
        <f>Inputs!R522*MAX(0,R131)</f>
        <v>3.3944994490075304</v>
      </c>
      <c r="S134" s="159">
        <f>Inputs!S522*MAX(0,S131)</f>
        <v>3.3944994490075282</v>
      </c>
      <c r="T134" s="159">
        <f>Inputs!T522*MAX(0,T131)</f>
        <v>3.387641652977412</v>
      </c>
    </row>
    <row r="135" spans="2:20" x14ac:dyDescent="0.25">
      <c r="B135" s="23" t="s">
        <v>2891</v>
      </c>
      <c r="C135" s="28" t="s">
        <v>493</v>
      </c>
      <c r="H135" s="159">
        <f t="shared" ref="H135:T135" si="47">H132-H133</f>
        <v>0</v>
      </c>
      <c r="I135" s="159">
        <f t="shared" si="47"/>
        <v>0</v>
      </c>
      <c r="J135" s="159">
        <f t="shared" si="47"/>
        <v>0</v>
      </c>
      <c r="K135" s="159">
        <f t="shared" si="47"/>
        <v>0</v>
      </c>
      <c r="L135" s="159">
        <f t="shared" si="47"/>
        <v>-4.9156499999999994</v>
      </c>
      <c r="M135" s="159">
        <f t="shared" si="47"/>
        <v>-6.7190820499657811</v>
      </c>
      <c r="N135" s="159">
        <f t="shared" si="47"/>
        <v>6.6821001026691002E-2</v>
      </c>
      <c r="O135" s="159">
        <f t="shared" si="47"/>
        <v>4.1381324010266924</v>
      </c>
      <c r="P135" s="159">
        <f t="shared" si="47"/>
        <v>7.2151568969199147</v>
      </c>
      <c r="Q135" s="159">
        <f t="shared" si="47"/>
        <v>8.5715744010266928</v>
      </c>
      <c r="R135" s="159">
        <f t="shared" si="47"/>
        <v>9.9036779010266969</v>
      </c>
      <c r="S135" s="159">
        <f t="shared" si="47"/>
        <v>11.235781401026692</v>
      </c>
      <c r="T135" s="159">
        <f t="shared" si="47"/>
        <v>12.010729496919915</v>
      </c>
    </row>
    <row r="136" spans="2:20" ht="38.25" customHeight="1" x14ac:dyDescent="0.25">
      <c r="B136" s="64" t="s">
        <v>2892</v>
      </c>
      <c r="C136" s="28" t="s">
        <v>493</v>
      </c>
      <c r="H136" s="159">
        <f>H15+H19-Financing!H42+H22</f>
        <v>0</v>
      </c>
      <c r="I136" s="159">
        <f>I15+I19-Financing!I42+I22</f>
        <v>0</v>
      </c>
      <c r="J136" s="159">
        <f>J15+J19-Financing!J42+J22</f>
        <v>0</v>
      </c>
      <c r="K136" s="159">
        <f>K15+K19-Financing!K42+K22</f>
        <v>0</v>
      </c>
      <c r="L136" s="159">
        <f>L15+L19-Financing!L42+L22</f>
        <v>0</v>
      </c>
      <c r="M136" s="159">
        <f>M15+M19-Financing!M42+M22</f>
        <v>0</v>
      </c>
      <c r="N136" s="159">
        <f>N15+N19-Financing!N42+N22</f>
        <v>0</v>
      </c>
      <c r="O136" s="159">
        <f>O15+O19-Financing!O42+O22</f>
        <v>0</v>
      </c>
      <c r="P136" s="159">
        <f>P15+P19-Financing!P42+P22</f>
        <v>0</v>
      </c>
      <c r="Q136" s="159">
        <f>Q15+Q19-Financing!Q42+Q22</f>
        <v>0</v>
      </c>
      <c r="R136" s="159">
        <f>R15+R19-Financing!R42+R22</f>
        <v>0</v>
      </c>
      <c r="S136" s="159">
        <f>S15+S19-Financing!S42+S22</f>
        <v>0</v>
      </c>
      <c r="T136" s="159">
        <f>T15+T19-Financing!T42+T22</f>
        <v>0</v>
      </c>
    </row>
    <row r="137" spans="2:20" x14ac:dyDescent="0.25">
      <c r="B137" s="23" t="s">
        <v>2893</v>
      </c>
      <c r="C137" s="28" t="s">
        <v>493</v>
      </c>
      <c r="H137" s="159">
        <f>Inputs!H522*MAX(0,H136)</f>
        <v>0</v>
      </c>
      <c r="I137" s="159">
        <f>Inputs!I522*MAX(0,I136)</f>
        <v>0</v>
      </c>
      <c r="J137" s="159">
        <f>Inputs!J522*MAX(0,J136)</f>
        <v>0</v>
      </c>
      <c r="K137" s="159">
        <f>Inputs!K522*MAX(0,K136)</f>
        <v>0</v>
      </c>
      <c r="L137" s="159">
        <f>Inputs!L522*MAX(0,L136)</f>
        <v>0</v>
      </c>
      <c r="M137" s="159">
        <f>Inputs!M522*MAX(0,M136)</f>
        <v>0</v>
      </c>
      <c r="N137" s="159">
        <f>Inputs!N522*MAX(0,N136)</f>
        <v>0</v>
      </c>
      <c r="O137" s="159">
        <f>Inputs!O522*MAX(0,O136)</f>
        <v>0</v>
      </c>
      <c r="P137" s="159">
        <f>Inputs!P522*MAX(0,P136)</f>
        <v>0</v>
      </c>
      <c r="Q137" s="159">
        <f>Inputs!Q522*MAX(0,Q136)</f>
        <v>0</v>
      </c>
      <c r="R137" s="159">
        <f>Inputs!R522*MAX(0,R136)</f>
        <v>0</v>
      </c>
      <c r="S137" s="159">
        <f>Inputs!S522*MAX(0,S136)</f>
        <v>0</v>
      </c>
      <c r="T137" s="159">
        <f>Inputs!T522*MAX(0,T136)</f>
        <v>0</v>
      </c>
    </row>
    <row r="138" spans="2:20" x14ac:dyDescent="0.25">
      <c r="B138" s="21" t="s">
        <v>2894</v>
      </c>
      <c r="C138" s="28" t="s">
        <v>493</v>
      </c>
      <c r="G138" s="157"/>
      <c r="H138" s="158">
        <f t="shared" ref="H138:T138" si="48">H38+H43+H48+H53+H58+H63+H68+H73+H78+H83+H88+H93+H98+H103+H108+H113+H118+H123+H128+H133+H137</f>
        <v>19.962283512427824</v>
      </c>
      <c r="I138" s="158">
        <f t="shared" si="48"/>
        <v>34.011742338910175</v>
      </c>
      <c r="J138" s="158">
        <f t="shared" si="48"/>
        <v>39.45657020237433</v>
      </c>
      <c r="K138" s="158">
        <f t="shared" si="48"/>
        <v>55.735174975903888</v>
      </c>
      <c r="L138" s="158">
        <f t="shared" si="48"/>
        <v>65.69938941623991</v>
      </c>
      <c r="M138" s="158">
        <f t="shared" si="48"/>
        <v>75.495776591622914</v>
      </c>
      <c r="N138" s="158">
        <f t="shared" si="48"/>
        <v>79.487612997543067</v>
      </c>
      <c r="O138" s="158">
        <f t="shared" si="48"/>
        <v>89.557322286355799</v>
      </c>
      <c r="P138" s="158">
        <f t="shared" si="48"/>
        <v>95.774102374140355</v>
      </c>
      <c r="Q138" s="158">
        <f t="shared" si="48"/>
        <v>106.0078850775631</v>
      </c>
      <c r="R138" s="158">
        <f t="shared" si="48"/>
        <v>111.80620498429455</v>
      </c>
      <c r="S138" s="158">
        <f t="shared" si="48"/>
        <v>111.52520371507319</v>
      </c>
      <c r="T138" s="158">
        <f t="shared" si="48"/>
        <v>116.28344903385702</v>
      </c>
    </row>
    <row r="139" spans="2:20" x14ac:dyDescent="0.25">
      <c r="B139" s="21" t="s">
        <v>2895</v>
      </c>
      <c r="C139" s="28" t="s">
        <v>493</v>
      </c>
      <c r="G139" s="157"/>
      <c r="H139" s="158">
        <f t="shared" ref="H139:T139" si="49">H39+H44+H49+H54+H59+H64+H69+H74+H79+H84+H89+H94+H99+H104+H109+H114+H119+H124+H129+H134+H137</f>
        <v>19.962283512427824</v>
      </c>
      <c r="I139" s="158">
        <f t="shared" si="49"/>
        <v>36.944623657090176</v>
      </c>
      <c r="J139" s="158">
        <f t="shared" si="49"/>
        <v>42.389451520554331</v>
      </c>
      <c r="K139" s="158">
        <f t="shared" si="49"/>
        <v>57.189562698069864</v>
      </c>
      <c r="L139" s="158">
        <f t="shared" si="49"/>
        <v>65.69938941623991</v>
      </c>
      <c r="M139" s="158">
        <f t="shared" si="49"/>
        <v>75.89618604063044</v>
      </c>
      <c r="N139" s="158">
        <f t="shared" si="49"/>
        <v>81.366220497543068</v>
      </c>
      <c r="O139" s="158">
        <f t="shared" si="49"/>
        <v>91.28564118635579</v>
      </c>
      <c r="P139" s="158">
        <f t="shared" si="49"/>
        <v>97.126699774140349</v>
      </c>
      <c r="Q139" s="158">
        <f t="shared" si="49"/>
        <v>106.9847609775631</v>
      </c>
      <c r="R139" s="158">
        <f t="shared" si="49"/>
        <v>112.40735938429455</v>
      </c>
      <c r="S139" s="158">
        <f t="shared" si="49"/>
        <v>111.75063661507319</v>
      </c>
      <c r="T139" s="158">
        <f t="shared" si="49"/>
        <v>116.28344903385702</v>
      </c>
    </row>
    <row r="140" spans="2:20" x14ac:dyDescent="0.25">
      <c r="B140" s="23" t="s">
        <v>2896</v>
      </c>
      <c r="C140" s="28" t="s">
        <v>493</v>
      </c>
      <c r="H140" s="161">
        <f t="shared" ref="H140:T140" si="50">ROUND(H37+H42+H47+H52+H57+H62+H67+H72+H77+H82+H87+H92+H97+H102+H107+H112+H117+H122+H127+H132+H136+H21-H24,6)</f>
        <v>0</v>
      </c>
      <c r="I140" s="161">
        <f t="shared" si="50"/>
        <v>0</v>
      </c>
      <c r="J140" s="161">
        <f t="shared" si="50"/>
        <v>0</v>
      </c>
      <c r="K140" s="161">
        <f t="shared" si="50"/>
        <v>0</v>
      </c>
      <c r="L140" s="161">
        <f t="shared" si="50"/>
        <v>0</v>
      </c>
      <c r="M140" s="161">
        <f t="shared" si="50"/>
        <v>0</v>
      </c>
      <c r="N140" s="161">
        <f t="shared" si="50"/>
        <v>0</v>
      </c>
      <c r="O140" s="161">
        <f t="shared" si="50"/>
        <v>0</v>
      </c>
      <c r="P140" s="161">
        <f t="shared" si="50"/>
        <v>0</v>
      </c>
      <c r="Q140" s="161">
        <f t="shared" si="50"/>
        <v>0</v>
      </c>
      <c r="R140" s="161">
        <f t="shared" si="50"/>
        <v>0</v>
      </c>
      <c r="S140" s="161">
        <f t="shared" si="50"/>
        <v>0</v>
      </c>
      <c r="T140" s="161">
        <f t="shared" si="50"/>
        <v>0</v>
      </c>
    </row>
    <row r="141" spans="2:20" x14ac:dyDescent="0.25">
      <c r="B141" s="154" t="s">
        <v>2897</v>
      </c>
    </row>
    <row r="142" spans="2:20" x14ac:dyDescent="0.25">
      <c r="B142" s="23" t="s">
        <v>2898</v>
      </c>
      <c r="C142" s="28" t="s">
        <v>493</v>
      </c>
      <c r="H142" s="159">
        <f>('Cost Calculation'!H35-'Capex &amp; Depreciation'!H231)+('Cost Calculation'!H149-'Capex &amp; Depreciation'!H238)+('Cost Calculation'!H165-'Capex &amp; Depreciation'!H242)</f>
        <v>70.770020272642711</v>
      </c>
      <c r="I142" s="159">
        <f>('Cost Calculation'!I35-'Capex &amp; Depreciation'!I231)+('Cost Calculation'!I149-'Capex &amp; Depreciation'!I238)+('Cost Calculation'!I165-'Capex &amp; Depreciation'!I242)</f>
        <v>73.672579313635111</v>
      </c>
      <c r="J142" s="159">
        <f>('Cost Calculation'!J35-'Capex &amp; Depreciation'!J231)+('Cost Calculation'!J149-'Capex &amp; Depreciation'!J238)+('Cost Calculation'!J165-'Capex &amp; Depreciation'!J242)</f>
        <v>75.611991688747025</v>
      </c>
      <c r="K142" s="159">
        <f>('Cost Calculation'!K35-'Capex &amp; Depreciation'!K231)+('Cost Calculation'!K149-'Capex &amp; Depreciation'!K238)+('Cost Calculation'!K165-'Capex &amp; Depreciation'!K242)</f>
        <v>88.100775460360524</v>
      </c>
      <c r="L142" s="159">
        <f>('Cost Calculation'!L35-'Capex &amp; Depreciation'!L231)+('Cost Calculation'!L149-'Capex &amp; Depreciation'!L238)+('Cost Calculation'!L165-'Capex &amp; Depreciation'!L242)</f>
        <v>91.196974852692691</v>
      </c>
      <c r="M142" s="159">
        <f>('Cost Calculation'!M35-'Capex &amp; Depreciation'!M231)+('Cost Calculation'!M149-'Capex &amp; Depreciation'!M238)+('Cost Calculation'!M165-'Capex &amp; Depreciation'!M242)</f>
        <v>98.770983313546822</v>
      </c>
      <c r="N142" s="159">
        <f>('Cost Calculation'!N35-'Capex &amp; Depreciation'!N231)+('Cost Calculation'!N149-'Capex &amp; Depreciation'!N238)+('Cost Calculation'!N165-'Capex &amp; Depreciation'!N242)</f>
        <v>102.14701027470851</v>
      </c>
      <c r="O142" s="159">
        <f>('Cost Calculation'!O35-'Capex &amp; Depreciation'!O231)+('Cost Calculation'!O149-'Capex &amp; Depreciation'!O238)+('Cost Calculation'!O165-'Capex &amp; Depreciation'!O242)</f>
        <v>105.58564047511707</v>
      </c>
      <c r="P142" s="159">
        <f>('Cost Calculation'!P35-'Capex &amp; Depreciation'!P231)+('Cost Calculation'!P149-'Capex &amp; Depreciation'!P238)+('Cost Calculation'!P165-'Capex &amp; Depreciation'!P242)</f>
        <v>114.18863237828553</v>
      </c>
      <c r="Q142" s="159">
        <f>('Cost Calculation'!Q35-'Capex &amp; Depreciation'!Q231)+('Cost Calculation'!Q149-'Capex &amp; Depreciation'!Q238)+('Cost Calculation'!Q165-'Capex &amp; Depreciation'!Q242)</f>
        <v>117.93469340411252</v>
      </c>
      <c r="R142" s="159">
        <f>('Cost Calculation'!R35-'Capex &amp; Depreciation'!R231)+('Cost Calculation'!R149-'Capex &amp; Depreciation'!R238)+('Cost Calculation'!R165-'Capex &amp; Depreciation'!R242)</f>
        <v>121.74706647037692</v>
      </c>
      <c r="S142" s="159">
        <f>('Cost Calculation'!S35-'Capex &amp; Depreciation'!S231)+('Cost Calculation'!S149-'Capex &amp; Depreciation'!S238)+('Cost Calculation'!S165-'Capex &amp; Depreciation'!S242)</f>
        <v>125.62497149171412</v>
      </c>
      <c r="T142" s="159">
        <f>('Cost Calculation'!T35-'Capex &amp; Depreciation'!T231)+('Cost Calculation'!T149-'Capex &amp; Depreciation'!T238)+('Cost Calculation'!T165-'Capex &amp; Depreciation'!T242)</f>
        <v>129.5674365428508</v>
      </c>
    </row>
    <row r="143" spans="2:20" x14ac:dyDescent="0.25">
      <c r="B143" s="23" t="s">
        <v>2899</v>
      </c>
      <c r="C143" s="28" t="s">
        <v>493</v>
      </c>
      <c r="G143" s="159">
        <f>N(Inputs!$E$524)</f>
        <v>0</v>
      </c>
      <c r="H143" s="159">
        <f t="shared" ref="H143:T143" si="51">MAX(0,G143-MAX(0,H142))+MAX(0,-H142)</f>
        <v>0</v>
      </c>
      <c r="I143" s="159">
        <f t="shared" si="51"/>
        <v>0</v>
      </c>
      <c r="J143" s="159">
        <f t="shared" si="51"/>
        <v>0</v>
      </c>
      <c r="K143" s="159">
        <f t="shared" si="51"/>
        <v>0</v>
      </c>
      <c r="L143" s="159">
        <f t="shared" si="51"/>
        <v>0</v>
      </c>
      <c r="M143" s="159">
        <f t="shared" si="51"/>
        <v>0</v>
      </c>
      <c r="N143" s="159">
        <f t="shared" si="51"/>
        <v>0</v>
      </c>
      <c r="O143" s="159">
        <f t="shared" si="51"/>
        <v>0</v>
      </c>
      <c r="P143" s="159">
        <f t="shared" si="51"/>
        <v>0</v>
      </c>
      <c r="Q143" s="159">
        <f t="shared" si="51"/>
        <v>0</v>
      </c>
      <c r="R143" s="159">
        <f t="shared" si="51"/>
        <v>0</v>
      </c>
      <c r="S143" s="159">
        <f t="shared" si="51"/>
        <v>0</v>
      </c>
      <c r="T143" s="159">
        <f t="shared" si="51"/>
        <v>0</v>
      </c>
    </row>
    <row r="144" spans="2:20" x14ac:dyDescent="0.25">
      <c r="B144" s="23" t="s">
        <v>2900</v>
      </c>
      <c r="C144" s="28" t="s">
        <v>493</v>
      </c>
      <c r="H144" s="159">
        <f>Inputs!H522*MAX(0,H142-G143)</f>
        <v>15.569404459981396</v>
      </c>
      <c r="I144" s="159">
        <f>Inputs!I522*MAX(0,I142-H143)</f>
        <v>16.207967448999725</v>
      </c>
      <c r="J144" s="159">
        <f>Inputs!J522*MAX(0,J142-I143)</f>
        <v>16.634638171524347</v>
      </c>
      <c r="K144" s="159">
        <f>Inputs!K522*MAX(0,K142-J143)</f>
        <v>19.382170601279316</v>
      </c>
      <c r="L144" s="159">
        <f>Inputs!L522*MAX(0,L142-K143)</f>
        <v>20.063334467592391</v>
      </c>
      <c r="M144" s="159">
        <f>Inputs!M522*MAX(0,M142-L143)</f>
        <v>21.729616328980303</v>
      </c>
      <c r="N144" s="159">
        <f>Inputs!N522*MAX(0,N142-M143)</f>
        <v>22.472342260435873</v>
      </c>
      <c r="O144" s="159">
        <f>Inputs!O522*MAX(0,O142-N143)</f>
        <v>23.228840904525757</v>
      </c>
      <c r="P144" s="159">
        <f>Inputs!P522*MAX(0,P142-O143)</f>
        <v>25.121499123222819</v>
      </c>
      <c r="Q144" s="159">
        <f>Inputs!Q522*MAX(0,Q142-P143)</f>
        <v>25.945632548904754</v>
      </c>
      <c r="R144" s="159">
        <f>Inputs!R522*MAX(0,R142-Q143)</f>
        <v>26.784354623482923</v>
      </c>
      <c r="S144" s="159">
        <f>Inputs!S522*MAX(0,S142-R143)</f>
        <v>27.637493728177105</v>
      </c>
      <c r="T144" s="159">
        <f>Inputs!T522*MAX(0,T142-S143)</f>
        <v>28.504836039427175</v>
      </c>
    </row>
    <row r="145" spans="2:20" ht="26.25" customHeight="1" x14ac:dyDescent="0.25">
      <c r="B145" s="64" t="s">
        <v>2901</v>
      </c>
      <c r="C145" s="28" t="s">
        <v>493</v>
      </c>
      <c r="H145" s="159">
        <f>('Cost Calculation'!H66-'Capex &amp; Depreciation'!H232)+('Cost Calculation'!H137-'Capex &amp; Depreciation'!H235)+('Cost Calculation'!H141-'Capex &amp; Depreciation'!H236)+('Cost Calculation'!H145-'Capex &amp; Depreciation'!H237)+('Cost Calculation'!H168-'Capex &amp; Depreciation'!H243)-'Cost Calculation'!H299-'Capex &amp; Depreciation'!H316</f>
        <v>-24.875239335289663</v>
      </c>
      <c r="I145" s="159">
        <f>('Cost Calculation'!I66-'Capex &amp; Depreciation'!I232)+('Cost Calculation'!I137-'Capex &amp; Depreciation'!I235)+('Cost Calculation'!I141-'Capex &amp; Depreciation'!I236)+('Cost Calculation'!I145-'Capex &amp; Depreciation'!I237)+('Cost Calculation'!I168-'Capex &amp; Depreciation'!I243)-'Cost Calculation'!I299-'Capex &amp; Depreciation'!I316</f>
        <v>56.617885806122516</v>
      </c>
      <c r="J145" s="159">
        <f>('Cost Calculation'!J66-'Capex &amp; Depreciation'!J232)+('Cost Calculation'!J137-'Capex &amp; Depreciation'!J235)+('Cost Calculation'!J141-'Capex &amp; Depreciation'!J236)+('Cost Calculation'!J145-'Capex &amp; Depreciation'!J237)+('Cost Calculation'!J168-'Capex &amp; Depreciation'!J243)-'Cost Calculation'!J299-'Capex &amp; Depreciation'!J316</f>
        <v>58.84236787650994</v>
      </c>
      <c r="K145" s="159">
        <f>('Cost Calculation'!K66-'Capex &amp; Depreciation'!K232)+('Cost Calculation'!K137-'Capex &amp; Depreciation'!K235)+('Cost Calculation'!K141-'Capex &amp; Depreciation'!K236)+('Cost Calculation'!K145-'Capex &amp; Depreciation'!K237)+('Cost Calculation'!K168-'Capex &amp; Depreciation'!K243)-'Cost Calculation'!K299-'Capex &amp; Depreciation'!K316</f>
        <v>111.36613534409727</v>
      </c>
      <c r="L145" s="159">
        <f>('Cost Calculation'!L66-'Capex &amp; Depreciation'!L232)+('Cost Calculation'!L137-'Capex &amp; Depreciation'!L235)+('Cost Calculation'!L141-'Capex &amp; Depreciation'!L236)+('Cost Calculation'!L145-'Capex &amp; Depreciation'!L237)+('Cost Calculation'!L168-'Capex &amp; Depreciation'!L243)-'Cost Calculation'!L299-'Capex &amp; Depreciation'!L316</f>
        <v>116.24004940444546</v>
      </c>
      <c r="M145" s="159">
        <f>('Cost Calculation'!M66-'Capex &amp; Depreciation'!M232)+('Cost Calculation'!M137-'Capex &amp; Depreciation'!M235)+('Cost Calculation'!M141-'Capex &amp; Depreciation'!M236)+('Cost Calculation'!M145-'Capex &amp; Depreciation'!M237)+('Cost Calculation'!M168-'Capex &amp; Depreciation'!M243)-'Cost Calculation'!M299-'Capex &amp; Depreciation'!M316</f>
        <v>137.29778548878664</v>
      </c>
      <c r="N145" s="159">
        <f>('Cost Calculation'!N66-'Capex &amp; Depreciation'!N232)+('Cost Calculation'!N137-'Capex &amp; Depreciation'!N235)+('Cost Calculation'!N141-'Capex &amp; Depreciation'!N236)+('Cost Calculation'!N145-'Capex &amp; Depreciation'!N237)+('Cost Calculation'!N168-'Capex &amp; Depreciation'!N243)-'Cost Calculation'!N299-'Capex &amp; Depreciation'!N316</f>
        <v>142.91214384445223</v>
      </c>
      <c r="O145" s="159">
        <f>('Cost Calculation'!O66-'Capex &amp; Depreciation'!O232)+('Cost Calculation'!O137-'Capex &amp; Depreciation'!O235)+('Cost Calculation'!O141-'Capex &amp; Depreciation'!O236)+('Cost Calculation'!O145-'Capex &amp; Depreciation'!O237)+('Cost Calculation'!O168-'Capex &amp; Depreciation'!O243)-'Cost Calculation'!O299-'Capex &amp; Depreciation'!O316</f>
        <v>160.63376616088195</v>
      </c>
      <c r="P145" s="159">
        <f>('Cost Calculation'!P66-'Capex &amp; Depreciation'!P232)+('Cost Calculation'!P137-'Capex &amp; Depreciation'!P235)+('Cost Calculation'!P141-'Capex &amp; Depreciation'!P236)+('Cost Calculation'!P145-'Capex &amp; Depreciation'!P237)+('Cost Calculation'!P168-'Capex &amp; Depreciation'!P243)-'Cost Calculation'!P299-'Capex &amp; Depreciation'!P316</f>
        <v>165.83820431487734</v>
      </c>
      <c r="Q145" s="159">
        <f>('Cost Calculation'!Q66-'Capex &amp; Depreciation'!Q232)+('Cost Calculation'!Q137-'Capex &amp; Depreciation'!Q235)+('Cost Calculation'!Q141-'Capex &amp; Depreciation'!Q236)+('Cost Calculation'!Q145-'Capex &amp; Depreciation'!Q237)+('Cost Calculation'!Q168-'Capex &amp; Depreciation'!Q243)-'Cost Calculation'!Q299-'Capex &amp; Depreciation'!Q316</f>
        <v>185.68890501345476</v>
      </c>
      <c r="R145" s="159">
        <f>('Cost Calculation'!R66-'Capex &amp; Depreciation'!R232)+('Cost Calculation'!R137-'Capex &amp; Depreciation'!R235)+('Cost Calculation'!R141-'Capex &amp; Depreciation'!R236)+('Cost Calculation'!R145-'Capex &amp; Depreciation'!R237)+('Cost Calculation'!R168-'Capex &amp; Depreciation'!R243)-'Cost Calculation'!R299-'Capex &amp; Depreciation'!R316</f>
        <v>192.62296928437402</v>
      </c>
      <c r="S145" s="159">
        <f>('Cost Calculation'!S66-'Capex &amp; Depreciation'!S232)+('Cost Calculation'!S137-'Capex &amp; Depreciation'!S235)+('Cost Calculation'!S141-'Capex &amp; Depreciation'!S236)+('Cost Calculation'!S145-'Capex &amp; Depreciation'!S237)+('Cost Calculation'!S168-'Capex &amp; Depreciation'!S243)-'Cost Calculation'!S299-'Capex &amp; Depreciation'!S316</f>
        <v>199.71809547434364</v>
      </c>
      <c r="T145" s="159">
        <f>('Cost Calculation'!T66-'Capex &amp; Depreciation'!T232)+('Cost Calculation'!T137-'Capex &amp; Depreciation'!T235)+('Cost Calculation'!T141-'Capex &amp; Depreciation'!T236)+('Cost Calculation'!T145-'Capex &amp; Depreciation'!T237)+('Cost Calculation'!T168-'Capex &amp; Depreciation'!T243)-'Cost Calculation'!T299-'Capex &amp; Depreciation'!T316</f>
        <v>206.97633220105462</v>
      </c>
    </row>
    <row r="146" spans="2:20" x14ac:dyDescent="0.25">
      <c r="B146" s="23" t="s">
        <v>2902</v>
      </c>
      <c r="C146" s="28" t="s">
        <v>493</v>
      </c>
      <c r="G146" s="159">
        <f>N(Inputs!$E$525)</f>
        <v>0</v>
      </c>
      <c r="H146" s="159">
        <f t="shared" ref="H146:T146" si="52">MAX(0,G146-MAX(0,H145))+MAX(0,-H145)</f>
        <v>24.875239335289663</v>
      </c>
      <c r="I146" s="159">
        <f t="shared" si="52"/>
        <v>0</v>
      </c>
      <c r="J146" s="159">
        <f t="shared" si="52"/>
        <v>0</v>
      </c>
      <c r="K146" s="159">
        <f t="shared" si="52"/>
        <v>0</v>
      </c>
      <c r="L146" s="159">
        <f t="shared" si="52"/>
        <v>0</v>
      </c>
      <c r="M146" s="159">
        <f t="shared" si="52"/>
        <v>0</v>
      </c>
      <c r="N146" s="159">
        <f t="shared" si="52"/>
        <v>0</v>
      </c>
      <c r="O146" s="159">
        <f t="shared" si="52"/>
        <v>0</v>
      </c>
      <c r="P146" s="159">
        <f t="shared" si="52"/>
        <v>0</v>
      </c>
      <c r="Q146" s="159">
        <f t="shared" si="52"/>
        <v>0</v>
      </c>
      <c r="R146" s="159">
        <f t="shared" si="52"/>
        <v>0</v>
      </c>
      <c r="S146" s="159">
        <f t="shared" si="52"/>
        <v>0</v>
      </c>
      <c r="T146" s="159">
        <f t="shared" si="52"/>
        <v>0</v>
      </c>
    </row>
    <row r="147" spans="2:20" x14ac:dyDescent="0.25">
      <c r="B147" s="23" t="s">
        <v>2903</v>
      </c>
      <c r="C147" s="28" t="s">
        <v>493</v>
      </c>
      <c r="H147" s="159">
        <f>Inputs!H522*MAX(0,H145-G146)</f>
        <v>0</v>
      </c>
      <c r="I147" s="159">
        <f>Inputs!I522*MAX(0,I145-H146)</f>
        <v>6.9833822235832272</v>
      </c>
      <c r="J147" s="159">
        <f>Inputs!J522*MAX(0,J145-I146)</f>
        <v>12.945320932832187</v>
      </c>
      <c r="K147" s="159">
        <f>Inputs!K522*MAX(0,K145-J146)</f>
        <v>24.500549775701401</v>
      </c>
      <c r="L147" s="159">
        <f>Inputs!L522*MAX(0,L145-K146)</f>
        <v>25.572810868977999</v>
      </c>
      <c r="M147" s="159">
        <f>Inputs!M522*MAX(0,M145-L146)</f>
        <v>30.205512807533061</v>
      </c>
      <c r="N147" s="159">
        <f>Inputs!N522*MAX(0,N145-M146)</f>
        <v>31.440671645779492</v>
      </c>
      <c r="O147" s="159">
        <f>Inputs!O522*MAX(0,O145-N146)</f>
        <v>35.339428555394029</v>
      </c>
      <c r="P147" s="159">
        <f>Inputs!P522*MAX(0,P145-O146)</f>
        <v>36.484404949273014</v>
      </c>
      <c r="Q147" s="159">
        <f>Inputs!Q522*MAX(0,Q145-P146)</f>
        <v>40.851559102960046</v>
      </c>
      <c r="R147" s="159">
        <f>Inputs!R522*MAX(0,R145-Q146)</f>
        <v>42.377053242562283</v>
      </c>
      <c r="S147" s="159">
        <f>Inputs!S522*MAX(0,S145-R146)</f>
        <v>43.937981004355599</v>
      </c>
      <c r="T147" s="159">
        <f>Inputs!T522*MAX(0,T145-S146)</f>
        <v>45.534793084232014</v>
      </c>
    </row>
    <row r="148" spans="2:20" x14ac:dyDescent="0.25">
      <c r="B148" s="23" t="s">
        <v>2904</v>
      </c>
      <c r="C148" s="28" t="s">
        <v>493</v>
      </c>
      <c r="H148" s="159">
        <f>('Cost Calculation'!H94-'Capex &amp; Depreciation'!H233)+('Cost Calculation'!H161-'Capex &amp; Depreciation'!H241)+('Cost Calculation'!H174-'Capex &amp; Depreciation'!H245)</f>
        <v>5.9116309505207232</v>
      </c>
      <c r="I148" s="159">
        <f>('Cost Calculation'!I94-'Capex &amp; Depreciation'!I233)+('Cost Calculation'!I161-'Capex &amp; Depreciation'!I241)+('Cost Calculation'!I174-'Capex &amp; Depreciation'!I245)</f>
        <v>6.162107249004829</v>
      </c>
      <c r="J148" s="159">
        <f>('Cost Calculation'!J94-'Capex &amp; Depreciation'!J233)+('Cost Calculation'!J161-'Capex &amp; Depreciation'!J241)+('Cost Calculation'!J174-'Capex &amp; Depreciation'!J245)</f>
        <v>6.57390149654168</v>
      </c>
      <c r="K148" s="159">
        <f>('Cost Calculation'!K94-'Capex &amp; Depreciation'!K233)+('Cost Calculation'!K161-'Capex &amp; Depreciation'!K241)+('Cost Calculation'!K174-'Capex &amp; Depreciation'!K245)</f>
        <v>18.018294516907076</v>
      </c>
      <c r="L148" s="159">
        <f>('Cost Calculation'!L94-'Capex &amp; Depreciation'!L233)+('Cost Calculation'!L161-'Capex &amp; Depreciation'!L241)+('Cost Calculation'!L174-'Capex &amp; Depreciation'!L245)</f>
        <v>22.008734795884862</v>
      </c>
      <c r="M148" s="159">
        <f>('Cost Calculation'!M94-'Capex &amp; Depreciation'!M233)+('Cost Calculation'!M161-'Capex &amp; Depreciation'!M241)+('Cost Calculation'!M174-'Capex &amp; Depreciation'!M245)</f>
        <v>26.240804126084015</v>
      </c>
      <c r="N148" s="159">
        <f>('Cost Calculation'!N94-'Capex &amp; Depreciation'!N233)+('Cost Calculation'!N161-'Capex &amp; Depreciation'!N241)+('Cost Calculation'!N174-'Capex &amp; Depreciation'!N245)</f>
        <v>30.727290202469359</v>
      </c>
      <c r="O148" s="159">
        <f>('Cost Calculation'!O94-'Capex &amp; Depreciation'!O233)+('Cost Calculation'!O161-'Capex &amp; Depreciation'!O241)+('Cost Calculation'!O174-'Capex &amp; Depreciation'!O245)</f>
        <v>35.481645309587527</v>
      </c>
      <c r="P148" s="159">
        <f>('Cost Calculation'!P94-'Capex &amp; Depreciation'!P233)+('Cost Calculation'!P161-'Capex &amp; Depreciation'!P241)+('Cost Calculation'!P174-'Capex &amp; Depreciation'!P245)</f>
        <v>40.518021682715549</v>
      </c>
      <c r="Q148" s="159">
        <f>('Cost Calculation'!Q94-'Capex &amp; Depreciation'!Q233)+('Cost Calculation'!Q161-'Capex &amp; Depreciation'!Q241)+('Cost Calculation'!Q174-'Capex &amp; Depreciation'!Q245)</f>
        <v>45.851308818416307</v>
      </c>
      <c r="R148" s="159">
        <f>('Cost Calculation'!R94-'Capex &amp; Depreciation'!R233)+('Cost Calculation'!R161-'Capex &amp; Depreciation'!R241)+('Cost Calculation'!R174-'Capex &amp; Depreciation'!R245)</f>
        <v>51.497172845558197</v>
      </c>
      <c r="S148" s="159">
        <f>('Cost Calculation'!S94-'Capex &amp; Depreciation'!S233)+('Cost Calculation'!S161-'Capex &amp; Depreciation'!S241)+('Cost Calculation'!S174-'Capex &amp; Depreciation'!S245)</f>
        <v>27.155206895793196</v>
      </c>
      <c r="T148" s="159">
        <f>('Cost Calculation'!T94-'Capex &amp; Depreciation'!T233)+('Cost Calculation'!T161-'Capex &amp; Depreciation'!T241)+('Cost Calculation'!T174-'Capex &amp; Depreciation'!T245)</f>
        <v>29.966200964768316</v>
      </c>
    </row>
    <row r="149" spans="2:20" x14ac:dyDescent="0.25">
      <c r="B149" s="23" t="s">
        <v>2905</v>
      </c>
      <c r="C149" s="28" t="s">
        <v>493</v>
      </c>
      <c r="G149" s="159">
        <f>N(Inputs!$E$526)</f>
        <v>0</v>
      </c>
      <c r="H149" s="159">
        <f t="shared" ref="H149:T149" si="53">MAX(0,G149-MAX(0,H148))+MAX(0,-H148)</f>
        <v>0</v>
      </c>
      <c r="I149" s="159">
        <f t="shared" si="53"/>
        <v>0</v>
      </c>
      <c r="J149" s="159">
        <f t="shared" si="53"/>
        <v>0</v>
      </c>
      <c r="K149" s="159">
        <f t="shared" si="53"/>
        <v>0</v>
      </c>
      <c r="L149" s="159">
        <f t="shared" si="53"/>
        <v>0</v>
      </c>
      <c r="M149" s="159">
        <f t="shared" si="53"/>
        <v>0</v>
      </c>
      <c r="N149" s="159">
        <f t="shared" si="53"/>
        <v>0</v>
      </c>
      <c r="O149" s="159">
        <f t="shared" si="53"/>
        <v>0</v>
      </c>
      <c r="P149" s="159">
        <f t="shared" si="53"/>
        <v>0</v>
      </c>
      <c r="Q149" s="159">
        <f t="shared" si="53"/>
        <v>0</v>
      </c>
      <c r="R149" s="159">
        <f t="shared" si="53"/>
        <v>0</v>
      </c>
      <c r="S149" s="159">
        <f t="shared" si="53"/>
        <v>0</v>
      </c>
      <c r="T149" s="159">
        <f t="shared" si="53"/>
        <v>0</v>
      </c>
    </row>
    <row r="150" spans="2:20" x14ac:dyDescent="0.25">
      <c r="B150" s="23" t="s">
        <v>2906</v>
      </c>
      <c r="C150" s="28" t="s">
        <v>493</v>
      </c>
      <c r="H150" s="159">
        <f>Inputs!H522*MAX(0,H148-G149)</f>
        <v>1.300558809114559</v>
      </c>
      <c r="I150" s="159">
        <f>Inputs!I522*MAX(0,I148-H149)</f>
        <v>1.3556635947810625</v>
      </c>
      <c r="J150" s="159">
        <f>Inputs!J522*MAX(0,J148-I149)</f>
        <v>1.4462583292391695</v>
      </c>
      <c r="K150" s="159">
        <f>Inputs!K522*MAX(0,K148-J149)</f>
        <v>3.964024793719557</v>
      </c>
      <c r="L150" s="159">
        <f>Inputs!L522*MAX(0,L148-K149)</f>
        <v>4.8419216550946702</v>
      </c>
      <c r="M150" s="159">
        <f>Inputs!M522*MAX(0,M148-L149)</f>
        <v>5.7729769077384834</v>
      </c>
      <c r="N150" s="159">
        <f>Inputs!N522*MAX(0,N148-M149)</f>
        <v>6.7600038445432586</v>
      </c>
      <c r="O150" s="159">
        <f>Inputs!O522*MAX(0,O148-N149)</f>
        <v>7.8059619681092558</v>
      </c>
      <c r="P150" s="159">
        <f>Inputs!P522*MAX(0,P148-O149)</f>
        <v>8.9139647701974205</v>
      </c>
      <c r="Q150" s="159">
        <f>Inputs!Q522*MAX(0,Q148-P149)</f>
        <v>10.087287940051587</v>
      </c>
      <c r="R150" s="159">
        <f>Inputs!R522*MAX(0,R148-Q149)</f>
        <v>11.329378026022804</v>
      </c>
      <c r="S150" s="159">
        <f>Inputs!S522*MAX(0,S148-R149)</f>
        <v>5.9741455170745033</v>
      </c>
      <c r="T150" s="159">
        <f>Inputs!T522*MAX(0,T148-S149)</f>
        <v>6.5925642122490293</v>
      </c>
    </row>
    <row r="151" spans="2:20" x14ac:dyDescent="0.25">
      <c r="B151" s="23" t="s">
        <v>2907</v>
      </c>
      <c r="C151" s="28" t="s">
        <v>493</v>
      </c>
      <c r="H151" s="159">
        <f>('Cost Calculation'!H131-'Capex &amp; Depreciation'!H234)</f>
        <v>14.056001106053959</v>
      </c>
      <c r="I151" s="159">
        <f>('Cost Calculation'!I131-'Capex &amp; Depreciation'!I234)</f>
        <v>13.506276227960301</v>
      </c>
      <c r="J151" s="159">
        <f>('Cost Calculation'!J131-'Capex &amp; Depreciation'!J234)</f>
        <v>16.285784965481337</v>
      </c>
      <c r="K151" s="159">
        <f>('Cost Calculation'!K131-'Capex &amp; Depreciation'!K234)</f>
        <v>17.991600298124762</v>
      </c>
      <c r="L151" s="159">
        <f>('Cost Calculation'!L131-'Capex &amp; Depreciation'!L234)</f>
        <v>19.843153528591625</v>
      </c>
      <c r="M151" s="159">
        <f>('Cost Calculation'!M131-'Capex &amp; Depreciation'!M234)</f>
        <v>21.852439448913419</v>
      </c>
      <c r="N151" s="159">
        <f>('Cost Calculation'!N131-'Capex &amp; Depreciation'!N234)</f>
        <v>24.032428704292943</v>
      </c>
      <c r="O151" s="159">
        <f>('Cost Calculation'!O131-'Capex &amp; Depreciation'!O234)</f>
        <v>26.397146875945854</v>
      </c>
      <c r="P151" s="159">
        <f>('Cost Calculation'!P131-'Capex &amp; Depreciation'!P234)</f>
        <v>28.961759966038734</v>
      </c>
      <c r="Q151" s="159">
        <f>('Cost Calculation'!Q131-'Capex &amp; Depreciation'!Q234)</f>
        <v>31.74266680303273</v>
      </c>
      <c r="R151" s="159">
        <f>('Cost Calculation'!R131-'Capex &amp; Depreciation'!R234)</f>
        <v>30.763298074730912</v>
      </c>
      <c r="S151" s="159">
        <f>('Cost Calculation'!S131-'Capex &amp; Depreciation'!S234)</f>
        <v>32.491152439901335</v>
      </c>
      <c r="T151" s="159">
        <f>('Cost Calculation'!T131-'Capex &amp; Depreciation'!T234)</f>
        <v>34.308611805261592</v>
      </c>
    </row>
    <row r="152" spans="2:20" x14ac:dyDescent="0.25">
      <c r="B152" s="23" t="s">
        <v>2908</v>
      </c>
      <c r="C152" s="28" t="s">
        <v>493</v>
      </c>
      <c r="G152" s="159">
        <f>N(Inputs!$E$527)</f>
        <v>0</v>
      </c>
      <c r="H152" s="159">
        <f t="shared" ref="H152:T152" si="54">MAX(0,G152-MAX(0,H151))+MAX(0,-H151)</f>
        <v>0</v>
      </c>
      <c r="I152" s="159">
        <f t="shared" si="54"/>
        <v>0</v>
      </c>
      <c r="J152" s="159">
        <f t="shared" si="54"/>
        <v>0</v>
      </c>
      <c r="K152" s="159">
        <f t="shared" si="54"/>
        <v>0</v>
      </c>
      <c r="L152" s="159">
        <f t="shared" si="54"/>
        <v>0</v>
      </c>
      <c r="M152" s="159">
        <f t="shared" si="54"/>
        <v>0</v>
      </c>
      <c r="N152" s="159">
        <f t="shared" si="54"/>
        <v>0</v>
      </c>
      <c r="O152" s="159">
        <f t="shared" si="54"/>
        <v>0</v>
      </c>
      <c r="P152" s="159">
        <f t="shared" si="54"/>
        <v>0</v>
      </c>
      <c r="Q152" s="159">
        <f t="shared" si="54"/>
        <v>0</v>
      </c>
      <c r="R152" s="159">
        <f t="shared" si="54"/>
        <v>0</v>
      </c>
      <c r="S152" s="159">
        <f t="shared" si="54"/>
        <v>0</v>
      </c>
      <c r="T152" s="159">
        <f t="shared" si="54"/>
        <v>0</v>
      </c>
    </row>
    <row r="153" spans="2:20" x14ac:dyDescent="0.25">
      <c r="B153" s="23" t="s">
        <v>2909</v>
      </c>
      <c r="C153" s="28" t="s">
        <v>493</v>
      </c>
      <c r="H153" s="159">
        <f>Inputs!H522*MAX(0,H151-G152)</f>
        <v>3.0923202433318711</v>
      </c>
      <c r="I153" s="159">
        <f>Inputs!I522*MAX(0,I151-H152)</f>
        <v>2.9713807701512662</v>
      </c>
      <c r="J153" s="159">
        <f>Inputs!J522*MAX(0,J151-I152)</f>
        <v>3.582872692405894</v>
      </c>
      <c r="K153" s="159">
        <f>Inputs!K522*MAX(0,K151-J152)</f>
        <v>3.9581520655874476</v>
      </c>
      <c r="L153" s="159">
        <f>Inputs!L522*MAX(0,L151-K152)</f>
        <v>4.3654937762901573</v>
      </c>
      <c r="M153" s="159">
        <f>Inputs!M522*MAX(0,M151-L152)</f>
        <v>4.8075366787609521</v>
      </c>
      <c r="N153" s="159">
        <f>Inputs!N522*MAX(0,N151-M152)</f>
        <v>5.2871343149444474</v>
      </c>
      <c r="O153" s="159">
        <f>Inputs!O522*MAX(0,O151-N152)</f>
        <v>5.8073723127080878</v>
      </c>
      <c r="P153" s="159">
        <f>Inputs!P522*MAX(0,P151-O152)</f>
        <v>6.3715871925285219</v>
      </c>
      <c r="Q153" s="159">
        <f>Inputs!Q522*MAX(0,Q151-P152)</f>
        <v>6.9833866966672007</v>
      </c>
      <c r="R153" s="159">
        <f>Inputs!R522*MAX(0,R151-Q152)</f>
        <v>6.7679255764408008</v>
      </c>
      <c r="S153" s="159">
        <f>Inputs!S522*MAX(0,S151-R152)</f>
        <v>7.1480535367782938</v>
      </c>
      <c r="T153" s="159">
        <f>Inputs!T522*MAX(0,T151-S152)</f>
        <v>7.5478945971575504</v>
      </c>
    </row>
    <row r="154" spans="2:20" x14ac:dyDescent="0.25">
      <c r="B154" s="23" t="s">
        <v>2910</v>
      </c>
      <c r="C154" s="28" t="s">
        <v>493</v>
      </c>
      <c r="H154" s="159">
        <f>('Cost Calculation'!H153-'Capex &amp; Depreciation'!H239)</f>
        <v>0</v>
      </c>
      <c r="I154" s="159">
        <f>('Cost Calculation'!I153-'Capex &amp; Depreciation'!I239)</f>
        <v>0</v>
      </c>
      <c r="J154" s="159">
        <f>('Cost Calculation'!J153-'Capex &amp; Depreciation'!J239)</f>
        <v>16.890265050924867</v>
      </c>
      <c r="K154" s="159">
        <f>('Cost Calculation'!K153-'Capex &amp; Depreciation'!K239)</f>
        <v>16.378591047467374</v>
      </c>
      <c r="L154" s="159">
        <f>('Cost Calculation'!L153-'Capex &amp; Depreciation'!L239)</f>
        <v>15.854125193923464</v>
      </c>
      <c r="M154" s="159">
        <f>('Cost Calculation'!M153-'Capex &amp; Depreciation'!M239)</f>
        <v>18.188870434615083</v>
      </c>
      <c r="N154" s="159">
        <f>('Cost Calculation'!N153-'Capex &amp; Depreciation'!N239)</f>
        <v>17.19077202670934</v>
      </c>
      <c r="O154" s="159">
        <f>('Cost Calculation'!O153-'Capex &amp; Depreciation'!O239)</f>
        <v>16.835712240642728</v>
      </c>
      <c r="P154" s="159">
        <f>('Cost Calculation'!P153-'Capex &amp; Depreciation'!P239)</f>
        <v>16.247287153666193</v>
      </c>
      <c r="Q154" s="159">
        <f>('Cost Calculation'!Q153-'Capex &amp; Depreciation'!Q239)</f>
        <v>18.693971198331248</v>
      </c>
      <c r="R154" s="159">
        <f>('Cost Calculation'!R153-'Capex &amp; Depreciation'!R239)</f>
        <v>23.603307985592185</v>
      </c>
      <c r="S154" s="159">
        <f>('Cost Calculation'!S153-'Capex &amp; Depreciation'!S239)</f>
        <v>22.520899204446547</v>
      </c>
      <c r="T154" s="159">
        <f>('Cost Calculation'!T153-'Capex &amp; Depreciation'!T239)</f>
        <v>22.254941370425133</v>
      </c>
    </row>
    <row r="155" spans="2:20" x14ac:dyDescent="0.25">
      <c r="B155" s="23" t="s">
        <v>2911</v>
      </c>
      <c r="C155" s="28" t="s">
        <v>493</v>
      </c>
      <c r="G155" s="159">
        <f>N(Inputs!$E$528)</f>
        <v>0</v>
      </c>
      <c r="H155" s="159">
        <f t="shared" ref="H155:T155" si="55">MAX(0,G155-MAX(0,H154))+MAX(0,-H154)</f>
        <v>0</v>
      </c>
      <c r="I155" s="159">
        <f t="shared" si="55"/>
        <v>0</v>
      </c>
      <c r="J155" s="159">
        <f t="shared" si="55"/>
        <v>0</v>
      </c>
      <c r="K155" s="159">
        <f t="shared" si="55"/>
        <v>0</v>
      </c>
      <c r="L155" s="159">
        <f t="shared" si="55"/>
        <v>0</v>
      </c>
      <c r="M155" s="159">
        <f t="shared" si="55"/>
        <v>0</v>
      </c>
      <c r="N155" s="159">
        <f t="shared" si="55"/>
        <v>0</v>
      </c>
      <c r="O155" s="159">
        <f t="shared" si="55"/>
        <v>0</v>
      </c>
      <c r="P155" s="159">
        <f t="shared" si="55"/>
        <v>0</v>
      </c>
      <c r="Q155" s="159">
        <f t="shared" si="55"/>
        <v>0</v>
      </c>
      <c r="R155" s="159">
        <f t="shared" si="55"/>
        <v>0</v>
      </c>
      <c r="S155" s="159">
        <f t="shared" si="55"/>
        <v>0</v>
      </c>
      <c r="T155" s="159">
        <f t="shared" si="55"/>
        <v>0</v>
      </c>
    </row>
    <row r="156" spans="2:20" x14ac:dyDescent="0.25">
      <c r="B156" s="23" t="s">
        <v>2912</v>
      </c>
      <c r="C156" s="28" t="s">
        <v>493</v>
      </c>
      <c r="H156" s="159">
        <f>Inputs!H522*MAX(0,H154-G155)</f>
        <v>0</v>
      </c>
      <c r="I156" s="159">
        <f>Inputs!I522*MAX(0,I154-H155)</f>
        <v>0</v>
      </c>
      <c r="J156" s="159">
        <f>Inputs!J522*MAX(0,J154-I155)</f>
        <v>3.7158583112034709</v>
      </c>
      <c r="K156" s="159">
        <f>Inputs!K522*MAX(0,K154-J155)</f>
        <v>3.6032900304428224</v>
      </c>
      <c r="L156" s="159">
        <f>Inputs!L522*MAX(0,L154-K155)</f>
        <v>3.4879075426631618</v>
      </c>
      <c r="M156" s="159">
        <f>Inputs!M522*MAX(0,M154-L155)</f>
        <v>4.0015514956153186</v>
      </c>
      <c r="N156" s="159">
        <f>Inputs!N522*MAX(0,N154-M155)</f>
        <v>3.7819698458760547</v>
      </c>
      <c r="O156" s="159">
        <f>Inputs!O522*MAX(0,O154-N155)</f>
        <v>3.7038566929414003</v>
      </c>
      <c r="P156" s="159">
        <f>Inputs!P522*MAX(0,P154-O155)</f>
        <v>3.5744031738065623</v>
      </c>
      <c r="Q156" s="159">
        <f>Inputs!Q522*MAX(0,Q154-P155)</f>
        <v>4.1126736636328749</v>
      </c>
      <c r="R156" s="159">
        <f>Inputs!R522*MAX(0,R154-Q155)</f>
        <v>5.1927277568302808</v>
      </c>
      <c r="S156" s="159">
        <f>Inputs!S522*MAX(0,S154-R155)</f>
        <v>4.9545978249782401</v>
      </c>
      <c r="T156" s="159">
        <f>Inputs!T522*MAX(0,T154-S155)</f>
        <v>4.8960871014935297</v>
      </c>
    </row>
    <row r="157" spans="2:20" x14ac:dyDescent="0.25">
      <c r="B157" s="23" t="s">
        <v>2913</v>
      </c>
      <c r="C157" s="28" t="s">
        <v>493</v>
      </c>
      <c r="H157" s="159">
        <f>('Cost Calculation'!H157-'Capex &amp; Depreciation'!H240)+('Cost Calculation'!H171-'Capex &amp; Depreciation'!H244)</f>
        <v>0</v>
      </c>
      <c r="I157" s="159">
        <f>('Cost Calculation'!I157-'Capex &amp; Depreciation'!I240)+('Cost Calculation'!I171-'Capex &amp; Depreciation'!I244)</f>
        <v>0</v>
      </c>
      <c r="J157" s="159">
        <f>('Cost Calculation'!J157-'Capex &amp; Depreciation'!J240)+('Cost Calculation'!J171-'Capex &amp; Depreciation'!J244)</f>
        <v>0</v>
      </c>
      <c r="K157" s="159">
        <f>('Cost Calculation'!K157-'Capex &amp; Depreciation'!K240)+('Cost Calculation'!K171-'Capex &amp; Depreciation'!K244)</f>
        <v>0</v>
      </c>
      <c r="L157" s="159">
        <f>('Cost Calculation'!L157-'Capex &amp; Depreciation'!L240)+('Cost Calculation'!L171-'Capex &amp; Depreciation'!L244)</f>
        <v>26.228691932767592</v>
      </c>
      <c r="M157" s="159">
        <f>('Cost Calculation'!M157-'Capex &amp; Depreciation'!M240)+('Cost Calculation'!M171-'Capex &amp; Depreciation'!M244)</f>
        <v>39.630937794090698</v>
      </c>
      <c r="N157" s="159">
        <f>('Cost Calculation'!N157-'Capex &amp; Depreciation'!N240)+('Cost Calculation'!N171-'Capex &amp; Depreciation'!N244)</f>
        <v>44.081249846797952</v>
      </c>
      <c r="O157" s="159">
        <f>('Cost Calculation'!O157-'Capex &amp; Depreciation'!O240)+('Cost Calculation'!O171-'Capex &amp; Depreciation'!O244)</f>
        <v>56.839528653044326</v>
      </c>
      <c r="P157" s="159">
        <f>('Cost Calculation'!P157-'Capex &amp; Depreciation'!P240)+('Cost Calculation'!P171-'Capex &amp; Depreciation'!P244)</f>
        <v>60.332722327884589</v>
      </c>
      <c r="Q157" s="159">
        <f>('Cost Calculation'!Q157-'Capex &amp; Depreciation'!Q240)+('Cost Calculation'!Q171-'Capex &amp; Depreciation'!Q244)</f>
        <v>70.953279892450496</v>
      </c>
      <c r="R157" s="159">
        <f>('Cost Calculation'!R157-'Capex &amp; Depreciation'!R240)+('Cost Calculation'!R171-'Capex &amp; Depreciation'!R244)</f>
        <v>75.279185045217915</v>
      </c>
      <c r="S157" s="159">
        <f>('Cost Calculation'!S157-'Capex &amp; Depreciation'!S240)+('Cost Calculation'!S171-'Capex &amp; Depreciation'!S244)</f>
        <v>85.017570703190614</v>
      </c>
      <c r="T157" s="159">
        <f>('Cost Calculation'!T157-'Capex &amp; Depreciation'!T240)+('Cost Calculation'!T171-'Capex &amp; Depreciation'!T244)</f>
        <v>90.089237937819647</v>
      </c>
    </row>
    <row r="158" spans="2:20" x14ac:dyDescent="0.25">
      <c r="B158" s="23" t="s">
        <v>2914</v>
      </c>
      <c r="C158" s="28" t="s">
        <v>493</v>
      </c>
      <c r="G158" s="159">
        <f>N(Inputs!$E$529)</f>
        <v>0</v>
      </c>
      <c r="H158" s="159">
        <f t="shared" ref="H158:T158" si="56">MAX(0,G158-MAX(0,H157))+MAX(0,-H157)</f>
        <v>0</v>
      </c>
      <c r="I158" s="159">
        <f t="shared" si="56"/>
        <v>0</v>
      </c>
      <c r="J158" s="159">
        <f t="shared" si="56"/>
        <v>0</v>
      </c>
      <c r="K158" s="159">
        <f t="shared" si="56"/>
        <v>0</v>
      </c>
      <c r="L158" s="159">
        <f t="shared" si="56"/>
        <v>0</v>
      </c>
      <c r="M158" s="159">
        <f t="shared" si="56"/>
        <v>0</v>
      </c>
      <c r="N158" s="159">
        <f t="shared" si="56"/>
        <v>0</v>
      </c>
      <c r="O158" s="159">
        <f t="shared" si="56"/>
        <v>0</v>
      </c>
      <c r="P158" s="159">
        <f t="shared" si="56"/>
        <v>0</v>
      </c>
      <c r="Q158" s="159">
        <f t="shared" si="56"/>
        <v>0</v>
      </c>
      <c r="R158" s="159">
        <f t="shared" si="56"/>
        <v>0</v>
      </c>
      <c r="S158" s="159">
        <f t="shared" si="56"/>
        <v>0</v>
      </c>
      <c r="T158" s="159">
        <f t="shared" si="56"/>
        <v>0</v>
      </c>
    </row>
    <row r="159" spans="2:20" x14ac:dyDescent="0.25">
      <c r="B159" s="23" t="s">
        <v>2915</v>
      </c>
      <c r="C159" s="28" t="s">
        <v>493</v>
      </c>
      <c r="H159" s="159">
        <f>Inputs!H522*MAX(0,H157-G158)</f>
        <v>0</v>
      </c>
      <c r="I159" s="159">
        <f>Inputs!I522*MAX(0,I157-H158)</f>
        <v>0</v>
      </c>
      <c r="J159" s="159">
        <f>Inputs!J522*MAX(0,J157-I158)</f>
        <v>0</v>
      </c>
      <c r="K159" s="159">
        <f>Inputs!K522*MAX(0,K157-J158)</f>
        <v>0</v>
      </c>
      <c r="L159" s="159">
        <f>Inputs!L522*MAX(0,L157-K158)</f>
        <v>5.7703122252088708</v>
      </c>
      <c r="M159" s="159">
        <f>Inputs!M522*MAX(0,M157-L158)</f>
        <v>8.7188063146999539</v>
      </c>
      <c r="N159" s="159">
        <f>Inputs!N522*MAX(0,N157-M158)</f>
        <v>9.697874966295549</v>
      </c>
      <c r="O159" s="159">
        <f>Inputs!O522*MAX(0,O157-N158)</f>
        <v>12.504696303669752</v>
      </c>
      <c r="P159" s="159">
        <f>Inputs!P522*MAX(0,P157-O158)</f>
        <v>13.27319891213461</v>
      </c>
      <c r="Q159" s="159">
        <f>Inputs!Q522*MAX(0,Q157-P158)</f>
        <v>15.609721576339108</v>
      </c>
      <c r="R159" s="159">
        <f>Inputs!R522*MAX(0,R157-Q158)</f>
        <v>16.561420709947942</v>
      </c>
      <c r="S159" s="159">
        <f>Inputs!S522*MAX(0,S157-R158)</f>
        <v>18.703865554701935</v>
      </c>
      <c r="T159" s="159">
        <f>Inputs!T522*MAX(0,T157-S158)</f>
        <v>19.819632346320322</v>
      </c>
    </row>
    <row r="160" spans="2:20" x14ac:dyDescent="0.25">
      <c r="B160" s="23" t="s">
        <v>2916</v>
      </c>
      <c r="C160" s="28" t="s">
        <v>493</v>
      </c>
      <c r="H160" s="159">
        <f>('Cost Calculation'!H178-'Capex &amp; Depreciation'!H249)</f>
        <v>0</v>
      </c>
      <c r="I160" s="159">
        <f>('Cost Calculation'!I178-'Capex &amp; Depreciation'!I249)</f>
        <v>0</v>
      </c>
      <c r="J160" s="159">
        <f>('Cost Calculation'!J178-'Capex &amp; Depreciation'!J249)</f>
        <v>0</v>
      </c>
      <c r="K160" s="159">
        <f>('Cost Calculation'!K178-'Capex &amp; Depreciation'!K249)</f>
        <v>0</v>
      </c>
      <c r="L160" s="159">
        <f>('Cost Calculation'!L178-'Capex &amp; Depreciation'!L249)</f>
        <v>0</v>
      </c>
      <c r="M160" s="159">
        <f>('Cost Calculation'!M178-'Capex &amp; Depreciation'!M249)</f>
        <v>0</v>
      </c>
      <c r="N160" s="159">
        <f>('Cost Calculation'!N178-'Capex &amp; Depreciation'!N249)</f>
        <v>0</v>
      </c>
      <c r="O160" s="159">
        <f>('Cost Calculation'!O178-'Capex &amp; Depreciation'!O249)</f>
        <v>0</v>
      </c>
      <c r="P160" s="159">
        <f>('Cost Calculation'!P178-'Capex &amp; Depreciation'!P249)</f>
        <v>0</v>
      </c>
      <c r="Q160" s="159">
        <f>('Cost Calculation'!Q178-'Capex &amp; Depreciation'!Q249)</f>
        <v>0</v>
      </c>
      <c r="R160" s="159">
        <f>('Cost Calculation'!R178-'Capex &amp; Depreciation'!R249)</f>
        <v>0</v>
      </c>
      <c r="S160" s="159">
        <f>('Cost Calculation'!S178-'Capex &amp; Depreciation'!S249)</f>
        <v>0</v>
      </c>
      <c r="T160" s="159">
        <f>('Cost Calculation'!T178-'Capex &amp; Depreciation'!T249)</f>
        <v>0</v>
      </c>
    </row>
    <row r="161" spans="2:20" x14ac:dyDescent="0.25">
      <c r="B161" s="23" t="s">
        <v>2917</v>
      </c>
      <c r="C161" s="28" t="s">
        <v>493</v>
      </c>
      <c r="G161" s="159">
        <f>N(Inputs!$E$530)</f>
        <v>0</v>
      </c>
      <c r="H161" s="159">
        <f t="shared" ref="H161:T161" si="57">MAX(0,G161-MAX(0,H160))+MAX(0,-H160)</f>
        <v>0</v>
      </c>
      <c r="I161" s="159">
        <f t="shared" si="57"/>
        <v>0</v>
      </c>
      <c r="J161" s="159">
        <f t="shared" si="57"/>
        <v>0</v>
      </c>
      <c r="K161" s="159">
        <f t="shared" si="57"/>
        <v>0</v>
      </c>
      <c r="L161" s="159">
        <f t="shared" si="57"/>
        <v>0</v>
      </c>
      <c r="M161" s="159">
        <f t="shared" si="57"/>
        <v>0</v>
      </c>
      <c r="N161" s="159">
        <f t="shared" si="57"/>
        <v>0</v>
      </c>
      <c r="O161" s="159">
        <f t="shared" si="57"/>
        <v>0</v>
      </c>
      <c r="P161" s="159">
        <f t="shared" si="57"/>
        <v>0</v>
      </c>
      <c r="Q161" s="159">
        <f t="shared" si="57"/>
        <v>0</v>
      </c>
      <c r="R161" s="159">
        <f t="shared" si="57"/>
        <v>0</v>
      </c>
      <c r="S161" s="159">
        <f t="shared" si="57"/>
        <v>0</v>
      </c>
      <c r="T161" s="159">
        <f t="shared" si="57"/>
        <v>0</v>
      </c>
    </row>
    <row r="162" spans="2:20" x14ac:dyDescent="0.25">
      <c r="B162" s="23" t="s">
        <v>2918</v>
      </c>
      <c r="C162" s="28" t="s">
        <v>493</v>
      </c>
      <c r="H162" s="159">
        <f>Inputs!H522*MAX(0,H160-G161)</f>
        <v>0</v>
      </c>
      <c r="I162" s="159">
        <f>Inputs!I522*MAX(0,I160-H161)</f>
        <v>0</v>
      </c>
      <c r="J162" s="159">
        <f>Inputs!J522*MAX(0,J160-I161)</f>
        <v>0</v>
      </c>
      <c r="K162" s="159">
        <f>Inputs!K522*MAX(0,K160-J161)</f>
        <v>0</v>
      </c>
      <c r="L162" s="159">
        <f>Inputs!L522*MAX(0,L160-K161)</f>
        <v>0</v>
      </c>
      <c r="M162" s="159">
        <f>Inputs!M522*MAX(0,M160-L161)</f>
        <v>0</v>
      </c>
      <c r="N162" s="159">
        <f>Inputs!N522*MAX(0,N160-M161)</f>
        <v>0</v>
      </c>
      <c r="O162" s="159">
        <f>Inputs!O522*MAX(0,O160-N161)</f>
        <v>0</v>
      </c>
      <c r="P162" s="159">
        <f>Inputs!P522*MAX(0,P160-O161)</f>
        <v>0</v>
      </c>
      <c r="Q162" s="159">
        <f>Inputs!Q522*MAX(0,Q160-P161)</f>
        <v>0</v>
      </c>
      <c r="R162" s="159">
        <f>Inputs!R522*MAX(0,R160-Q161)</f>
        <v>0</v>
      </c>
      <c r="S162" s="159">
        <f>Inputs!S522*MAX(0,S160-R161)</f>
        <v>0</v>
      </c>
      <c r="T162" s="159">
        <f>Inputs!T522*MAX(0,T160-S161)</f>
        <v>0</v>
      </c>
    </row>
    <row r="163" spans="2:20" x14ac:dyDescent="0.25">
      <c r="B163" s="23" t="s">
        <v>2919</v>
      </c>
      <c r="C163" s="28" t="s">
        <v>493</v>
      </c>
      <c r="H163" s="159">
        <f>('Cost Calculation'!H186-'Capex &amp; Depreciation'!H250)</f>
        <v>0</v>
      </c>
      <c r="I163" s="159">
        <f>('Cost Calculation'!I186-'Capex &amp; Depreciation'!I250)</f>
        <v>0</v>
      </c>
      <c r="J163" s="159">
        <f>('Cost Calculation'!J186-'Capex &amp; Depreciation'!J250)</f>
        <v>0</v>
      </c>
      <c r="K163" s="159">
        <f>('Cost Calculation'!K186-'Capex &amp; Depreciation'!K250)</f>
        <v>0</v>
      </c>
      <c r="L163" s="159">
        <f>('Cost Calculation'!L186-'Capex &amp; Depreciation'!L250)</f>
        <v>0</v>
      </c>
      <c r="M163" s="159">
        <f>('Cost Calculation'!M186-'Capex &amp; Depreciation'!M250)</f>
        <v>0</v>
      </c>
      <c r="N163" s="159">
        <f>('Cost Calculation'!N186-'Capex &amp; Depreciation'!N250)</f>
        <v>0</v>
      </c>
      <c r="O163" s="159">
        <f>('Cost Calculation'!O186-'Capex &amp; Depreciation'!O250)</f>
        <v>0</v>
      </c>
      <c r="P163" s="159">
        <f>('Cost Calculation'!P186-'Capex &amp; Depreciation'!P250)</f>
        <v>0</v>
      </c>
      <c r="Q163" s="159">
        <f>('Cost Calculation'!Q186-'Capex &amp; Depreciation'!Q250)</f>
        <v>0</v>
      </c>
      <c r="R163" s="159">
        <f>('Cost Calculation'!R186-'Capex &amp; Depreciation'!R250)</f>
        <v>0</v>
      </c>
      <c r="S163" s="159">
        <f>('Cost Calculation'!S186-'Capex &amp; Depreciation'!S250)</f>
        <v>0</v>
      </c>
      <c r="T163" s="159">
        <f>('Cost Calculation'!T186-'Capex &amp; Depreciation'!T250)</f>
        <v>0</v>
      </c>
    </row>
    <row r="164" spans="2:20" x14ac:dyDescent="0.25">
      <c r="B164" s="23" t="s">
        <v>2920</v>
      </c>
      <c r="C164" s="28" t="s">
        <v>493</v>
      </c>
      <c r="G164" s="159">
        <v>0</v>
      </c>
      <c r="H164" s="159">
        <f t="shared" ref="H164:T164" si="58">MAX(0,G164-MAX(0,H163))+MAX(0,-H163)</f>
        <v>0</v>
      </c>
      <c r="I164" s="159">
        <f t="shared" si="58"/>
        <v>0</v>
      </c>
      <c r="J164" s="159">
        <f t="shared" si="58"/>
        <v>0</v>
      </c>
      <c r="K164" s="159">
        <f t="shared" si="58"/>
        <v>0</v>
      </c>
      <c r="L164" s="159">
        <f t="shared" si="58"/>
        <v>0</v>
      </c>
      <c r="M164" s="159">
        <f t="shared" si="58"/>
        <v>0</v>
      </c>
      <c r="N164" s="159">
        <f t="shared" si="58"/>
        <v>0</v>
      </c>
      <c r="O164" s="159">
        <f t="shared" si="58"/>
        <v>0</v>
      </c>
      <c r="P164" s="159">
        <f t="shared" si="58"/>
        <v>0</v>
      </c>
      <c r="Q164" s="159">
        <f t="shared" si="58"/>
        <v>0</v>
      </c>
      <c r="R164" s="159">
        <f t="shared" si="58"/>
        <v>0</v>
      </c>
      <c r="S164" s="159">
        <f t="shared" si="58"/>
        <v>0</v>
      </c>
      <c r="T164" s="159">
        <f t="shared" si="58"/>
        <v>0</v>
      </c>
    </row>
    <row r="165" spans="2:20" x14ac:dyDescent="0.25">
      <c r="B165" s="23" t="s">
        <v>2921</v>
      </c>
      <c r="C165" s="28" t="s">
        <v>493</v>
      </c>
      <c r="H165" s="159">
        <f>Inputs!H522*MAX(0,H163-G164)</f>
        <v>0</v>
      </c>
      <c r="I165" s="159">
        <f>Inputs!I522*MAX(0,I163-H164)</f>
        <v>0</v>
      </c>
      <c r="J165" s="159">
        <f>Inputs!J522*MAX(0,J163-I164)</f>
        <v>0</v>
      </c>
      <c r="K165" s="159">
        <f>Inputs!K522*MAX(0,K163-J164)</f>
        <v>0</v>
      </c>
      <c r="L165" s="159">
        <f>Inputs!L522*MAX(0,L163-K164)</f>
        <v>0</v>
      </c>
      <c r="M165" s="159">
        <f>Inputs!M522*MAX(0,M163-L164)</f>
        <v>0</v>
      </c>
      <c r="N165" s="159">
        <f>Inputs!N522*MAX(0,N163-M164)</f>
        <v>0</v>
      </c>
      <c r="O165" s="159">
        <f>Inputs!O522*MAX(0,O163-N164)</f>
        <v>0</v>
      </c>
      <c r="P165" s="159">
        <f>Inputs!P522*MAX(0,P163-O164)</f>
        <v>0</v>
      </c>
      <c r="Q165" s="159">
        <f>Inputs!Q522*MAX(0,Q163-P164)</f>
        <v>0</v>
      </c>
      <c r="R165" s="159">
        <f>Inputs!R522*MAX(0,R163-Q164)</f>
        <v>0</v>
      </c>
      <c r="S165" s="159">
        <f>Inputs!S522*MAX(0,S163-R164)</f>
        <v>0</v>
      </c>
      <c r="T165" s="159">
        <f>Inputs!T522*MAX(0,T163-S164)</f>
        <v>0</v>
      </c>
    </row>
    <row r="166" spans="2:20" x14ac:dyDescent="0.25">
      <c r="B166" s="23" t="s">
        <v>2922</v>
      </c>
      <c r="C166" s="28" t="s">
        <v>493</v>
      </c>
      <c r="H166" s="159">
        <f>('Cost Calculation'!H192-'Capex &amp; Depreciation'!H251)</f>
        <v>0</v>
      </c>
      <c r="I166" s="159">
        <f>('Cost Calculation'!I192-'Capex &amp; Depreciation'!I251)</f>
        <v>0</v>
      </c>
      <c r="J166" s="159">
        <f>('Cost Calculation'!J192-'Capex &amp; Depreciation'!J251)</f>
        <v>0</v>
      </c>
      <c r="K166" s="159">
        <f>('Cost Calculation'!K192-'Capex &amp; Depreciation'!K251)</f>
        <v>0</v>
      </c>
      <c r="L166" s="159">
        <f>('Cost Calculation'!L192-'Capex &amp; Depreciation'!L251)</f>
        <v>0</v>
      </c>
      <c r="M166" s="159">
        <f>('Cost Calculation'!M192-'Capex &amp; Depreciation'!M251)</f>
        <v>0</v>
      </c>
      <c r="N166" s="159">
        <f>('Cost Calculation'!N192-'Capex &amp; Depreciation'!N251)</f>
        <v>0</v>
      </c>
      <c r="O166" s="159">
        <f>('Cost Calculation'!O192-'Capex &amp; Depreciation'!O251)</f>
        <v>0</v>
      </c>
      <c r="P166" s="159">
        <f>('Cost Calculation'!P192-'Capex &amp; Depreciation'!P251)</f>
        <v>0</v>
      </c>
      <c r="Q166" s="159">
        <f>('Cost Calculation'!Q192-'Capex &amp; Depreciation'!Q251)</f>
        <v>0</v>
      </c>
      <c r="R166" s="159">
        <f>('Cost Calculation'!R192-'Capex &amp; Depreciation'!R251)</f>
        <v>0</v>
      </c>
      <c r="S166" s="159">
        <f>('Cost Calculation'!S192-'Capex &amp; Depreciation'!S251)</f>
        <v>0</v>
      </c>
      <c r="T166" s="159">
        <f>('Cost Calculation'!T192-'Capex &amp; Depreciation'!T251)</f>
        <v>0</v>
      </c>
    </row>
    <row r="167" spans="2:20" x14ac:dyDescent="0.25">
      <c r="B167" s="23" t="s">
        <v>2923</v>
      </c>
      <c r="C167" s="28" t="s">
        <v>493</v>
      </c>
      <c r="G167" s="159">
        <v>0</v>
      </c>
      <c r="H167" s="159">
        <f t="shared" ref="H167:T167" si="59">MAX(0,G167-MAX(0,H166))+MAX(0,-H166)</f>
        <v>0</v>
      </c>
      <c r="I167" s="159">
        <f t="shared" si="59"/>
        <v>0</v>
      </c>
      <c r="J167" s="159">
        <f t="shared" si="59"/>
        <v>0</v>
      </c>
      <c r="K167" s="159">
        <f t="shared" si="59"/>
        <v>0</v>
      </c>
      <c r="L167" s="159">
        <f t="shared" si="59"/>
        <v>0</v>
      </c>
      <c r="M167" s="159">
        <f t="shared" si="59"/>
        <v>0</v>
      </c>
      <c r="N167" s="159">
        <f t="shared" si="59"/>
        <v>0</v>
      </c>
      <c r="O167" s="159">
        <f t="shared" si="59"/>
        <v>0</v>
      </c>
      <c r="P167" s="159">
        <f t="shared" si="59"/>
        <v>0</v>
      </c>
      <c r="Q167" s="159">
        <f t="shared" si="59"/>
        <v>0</v>
      </c>
      <c r="R167" s="159">
        <f t="shared" si="59"/>
        <v>0</v>
      </c>
      <c r="S167" s="159">
        <f t="shared" si="59"/>
        <v>0</v>
      </c>
      <c r="T167" s="159">
        <f t="shared" si="59"/>
        <v>0</v>
      </c>
    </row>
    <row r="168" spans="2:20" x14ac:dyDescent="0.25">
      <c r="B168" s="23" t="s">
        <v>2924</v>
      </c>
      <c r="C168" s="28" t="s">
        <v>493</v>
      </c>
      <c r="H168" s="159">
        <f>Inputs!H522*MAX(0,H166-G167)</f>
        <v>0</v>
      </c>
      <c r="I168" s="159">
        <f>Inputs!I522*MAX(0,I166-H167)</f>
        <v>0</v>
      </c>
      <c r="J168" s="159">
        <f>Inputs!J522*MAX(0,J166-I167)</f>
        <v>0</v>
      </c>
      <c r="K168" s="159">
        <f>Inputs!K522*MAX(0,K166-J167)</f>
        <v>0</v>
      </c>
      <c r="L168" s="159">
        <f>Inputs!L522*MAX(0,L166-K167)</f>
        <v>0</v>
      </c>
      <c r="M168" s="159">
        <f>Inputs!M522*MAX(0,M166-L167)</f>
        <v>0</v>
      </c>
      <c r="N168" s="159">
        <f>Inputs!N522*MAX(0,N166-M167)</f>
        <v>0</v>
      </c>
      <c r="O168" s="159">
        <f>Inputs!O522*MAX(0,O166-N167)</f>
        <v>0</v>
      </c>
      <c r="P168" s="159">
        <f>Inputs!P522*MAX(0,P166-O167)</f>
        <v>0</v>
      </c>
      <c r="Q168" s="159">
        <f>Inputs!Q522*MAX(0,Q166-P167)</f>
        <v>0</v>
      </c>
      <c r="R168" s="159">
        <f>Inputs!R522*MAX(0,R166-Q167)</f>
        <v>0</v>
      </c>
      <c r="S168" s="159">
        <f>Inputs!S522*MAX(0,S166-R167)</f>
        <v>0</v>
      </c>
      <c r="T168" s="159">
        <f>Inputs!T522*MAX(0,T166-S167)</f>
        <v>0</v>
      </c>
    </row>
    <row r="169" spans="2:20" x14ac:dyDescent="0.25">
      <c r="B169" s="23" t="s">
        <v>2925</v>
      </c>
      <c r="C169" s="28" t="s">
        <v>493</v>
      </c>
      <c r="H169" s="159">
        <f>('Cost Calculation'!H198-'Capex &amp; Depreciation'!H252)</f>
        <v>0</v>
      </c>
      <c r="I169" s="159">
        <f>('Cost Calculation'!I198-'Capex &amp; Depreciation'!I252)</f>
        <v>0</v>
      </c>
      <c r="J169" s="159">
        <f>('Cost Calculation'!J198-'Capex &amp; Depreciation'!J252)</f>
        <v>0</v>
      </c>
      <c r="K169" s="159">
        <f>('Cost Calculation'!K198-'Capex &amp; Depreciation'!K252)</f>
        <v>0</v>
      </c>
      <c r="L169" s="159">
        <f>('Cost Calculation'!L198-'Capex &amp; Depreciation'!L252)</f>
        <v>0</v>
      </c>
      <c r="M169" s="159">
        <f>('Cost Calculation'!M198-'Capex &amp; Depreciation'!M252)</f>
        <v>0</v>
      </c>
      <c r="N169" s="159">
        <f>('Cost Calculation'!N198-'Capex &amp; Depreciation'!N252)</f>
        <v>0</v>
      </c>
      <c r="O169" s="159">
        <f>('Cost Calculation'!O198-'Capex &amp; Depreciation'!O252)</f>
        <v>0</v>
      </c>
      <c r="P169" s="159">
        <f>('Cost Calculation'!P198-'Capex &amp; Depreciation'!P252)</f>
        <v>0</v>
      </c>
      <c r="Q169" s="159">
        <f>('Cost Calculation'!Q198-'Capex &amp; Depreciation'!Q252)</f>
        <v>0</v>
      </c>
      <c r="R169" s="159">
        <f>('Cost Calculation'!R198-'Capex &amp; Depreciation'!R252)</f>
        <v>0</v>
      </c>
      <c r="S169" s="159">
        <f>('Cost Calculation'!S198-'Capex &amp; Depreciation'!S252)</f>
        <v>0</v>
      </c>
      <c r="T169" s="159">
        <f>('Cost Calculation'!T198-'Capex &amp; Depreciation'!T252)</f>
        <v>0</v>
      </c>
    </row>
    <row r="170" spans="2:20" x14ac:dyDescent="0.25">
      <c r="B170" s="23" t="s">
        <v>2926</v>
      </c>
      <c r="C170" s="28" t="s">
        <v>493</v>
      </c>
      <c r="G170" s="159">
        <v>0</v>
      </c>
      <c r="H170" s="159">
        <f t="shared" ref="H170:T170" si="60">MAX(0,G170-MAX(0,H169))+MAX(0,-H169)</f>
        <v>0</v>
      </c>
      <c r="I170" s="159">
        <f t="shared" si="60"/>
        <v>0</v>
      </c>
      <c r="J170" s="159">
        <f t="shared" si="60"/>
        <v>0</v>
      </c>
      <c r="K170" s="159">
        <f t="shared" si="60"/>
        <v>0</v>
      </c>
      <c r="L170" s="159">
        <f t="shared" si="60"/>
        <v>0</v>
      </c>
      <c r="M170" s="159">
        <f t="shared" si="60"/>
        <v>0</v>
      </c>
      <c r="N170" s="159">
        <f t="shared" si="60"/>
        <v>0</v>
      </c>
      <c r="O170" s="159">
        <f t="shared" si="60"/>
        <v>0</v>
      </c>
      <c r="P170" s="159">
        <f t="shared" si="60"/>
        <v>0</v>
      </c>
      <c r="Q170" s="159">
        <f t="shared" si="60"/>
        <v>0</v>
      </c>
      <c r="R170" s="159">
        <f t="shared" si="60"/>
        <v>0</v>
      </c>
      <c r="S170" s="159">
        <f t="shared" si="60"/>
        <v>0</v>
      </c>
      <c r="T170" s="159">
        <f t="shared" si="60"/>
        <v>0</v>
      </c>
    </row>
    <row r="171" spans="2:20" x14ac:dyDescent="0.25">
      <c r="B171" s="23" t="s">
        <v>2927</v>
      </c>
      <c r="C171" s="28" t="s">
        <v>493</v>
      </c>
      <c r="H171" s="159">
        <f>Inputs!H522*MAX(0,H169-G170)</f>
        <v>0</v>
      </c>
      <c r="I171" s="159">
        <f>Inputs!I522*MAX(0,I169-H170)</f>
        <v>0</v>
      </c>
      <c r="J171" s="159">
        <f>Inputs!J522*MAX(0,J169-I170)</f>
        <v>0</v>
      </c>
      <c r="K171" s="159">
        <f>Inputs!K522*MAX(0,K169-J170)</f>
        <v>0</v>
      </c>
      <c r="L171" s="159">
        <f>Inputs!L522*MAX(0,L169-K170)</f>
        <v>0</v>
      </c>
      <c r="M171" s="159">
        <f>Inputs!M522*MAX(0,M169-L170)</f>
        <v>0</v>
      </c>
      <c r="N171" s="159">
        <f>Inputs!N522*MAX(0,N169-M170)</f>
        <v>0</v>
      </c>
      <c r="O171" s="159">
        <f>Inputs!O522*MAX(0,O169-N170)</f>
        <v>0</v>
      </c>
      <c r="P171" s="159">
        <f>Inputs!P522*MAX(0,P169-O170)</f>
        <v>0</v>
      </c>
      <c r="Q171" s="159">
        <f>Inputs!Q522*MAX(0,Q169-P170)</f>
        <v>0</v>
      </c>
      <c r="R171" s="159">
        <f>Inputs!R522*MAX(0,R169-Q170)</f>
        <v>0</v>
      </c>
      <c r="S171" s="159">
        <f>Inputs!S522*MAX(0,S169-R170)</f>
        <v>0</v>
      </c>
      <c r="T171" s="159">
        <f>Inputs!T522*MAX(0,T169-S170)</f>
        <v>0</v>
      </c>
    </row>
    <row r="172" spans="2:20" x14ac:dyDescent="0.25">
      <c r="B172" s="23" t="s">
        <v>2928</v>
      </c>
      <c r="C172" s="28" t="s">
        <v>493</v>
      </c>
      <c r="H172" s="159">
        <f>('Cost Calculation'!H214-'Capex &amp; Depreciation'!H253)</f>
        <v>0</v>
      </c>
      <c r="I172" s="159">
        <f>('Cost Calculation'!I214-'Capex &amp; Depreciation'!I253)</f>
        <v>0</v>
      </c>
      <c r="J172" s="159">
        <f>('Cost Calculation'!J214-'Capex &amp; Depreciation'!J253)</f>
        <v>0</v>
      </c>
      <c r="K172" s="159">
        <f>('Cost Calculation'!K214-'Capex &amp; Depreciation'!K253)</f>
        <v>0</v>
      </c>
      <c r="L172" s="159">
        <f>('Cost Calculation'!L214-'Capex &amp; Depreciation'!L253)</f>
        <v>-1.5</v>
      </c>
      <c r="M172" s="159">
        <f>('Cost Calculation'!M214-'Capex &amp; Depreciation'!M253)</f>
        <v>1.8200429500342192</v>
      </c>
      <c r="N172" s="159">
        <f>('Cost Calculation'!N214-'Capex &amp; Depreciation'!N253)</f>
        <v>8.6247929500342195</v>
      </c>
      <c r="O172" s="159">
        <f>('Cost Calculation'!O214-'Capex &amp; Depreciation'!O253)</f>
        <v>13.161292950034222</v>
      </c>
      <c r="P172" s="159">
        <f>('Cost Calculation'!P214-'Capex &amp; Depreciation'!P253)</f>
        <v>15.398371149897327</v>
      </c>
      <c r="Q172" s="159">
        <f>('Cost Calculation'!Q214-'Capex &amp; Depreciation'!Q253)</f>
        <v>15.42954295003422</v>
      </c>
      <c r="R172" s="159">
        <f>('Cost Calculation'!R214-'Capex &amp; Depreciation'!R253)</f>
        <v>15.429542950034229</v>
      </c>
      <c r="S172" s="159">
        <f>('Cost Calculation'!S214-'Capex &amp; Depreciation'!S253)</f>
        <v>15.42954295003422</v>
      </c>
      <c r="T172" s="159">
        <f>('Cost Calculation'!T214-'Capex &amp; Depreciation'!T253)</f>
        <v>15.398371149897327</v>
      </c>
    </row>
    <row r="173" spans="2:20" x14ac:dyDescent="0.25">
      <c r="B173" s="23" t="s">
        <v>2929</v>
      </c>
      <c r="C173" s="28" t="s">
        <v>493</v>
      </c>
      <c r="G173" s="159">
        <v>0</v>
      </c>
      <c r="H173" s="159">
        <f t="shared" ref="H173:T173" si="61">MAX(0,G173-MAX(0,H172))+MAX(0,-H172)</f>
        <v>0</v>
      </c>
      <c r="I173" s="159">
        <f t="shared" si="61"/>
        <v>0</v>
      </c>
      <c r="J173" s="159">
        <f t="shared" si="61"/>
        <v>0</v>
      </c>
      <c r="K173" s="159">
        <f t="shared" si="61"/>
        <v>0</v>
      </c>
      <c r="L173" s="159">
        <f t="shared" si="61"/>
        <v>1.5</v>
      </c>
      <c r="M173" s="159">
        <f t="shared" si="61"/>
        <v>0</v>
      </c>
      <c r="N173" s="159">
        <f t="shared" si="61"/>
        <v>0</v>
      </c>
      <c r="O173" s="159">
        <f t="shared" si="61"/>
        <v>0</v>
      </c>
      <c r="P173" s="159">
        <f t="shared" si="61"/>
        <v>0</v>
      </c>
      <c r="Q173" s="159">
        <f t="shared" si="61"/>
        <v>0</v>
      </c>
      <c r="R173" s="159">
        <f t="shared" si="61"/>
        <v>0</v>
      </c>
      <c r="S173" s="159">
        <f t="shared" si="61"/>
        <v>0</v>
      </c>
      <c r="T173" s="159">
        <f t="shared" si="61"/>
        <v>0</v>
      </c>
    </row>
    <row r="174" spans="2:20" x14ac:dyDescent="0.25">
      <c r="B174" s="23" t="s">
        <v>2930</v>
      </c>
      <c r="C174" s="28" t="s">
        <v>493</v>
      </c>
      <c r="H174" s="159">
        <f>Inputs!H522*MAX(0,H172-G173)</f>
        <v>0</v>
      </c>
      <c r="I174" s="159">
        <f>Inputs!I522*MAX(0,I172-H173)</f>
        <v>0</v>
      </c>
      <c r="J174" s="159">
        <f>Inputs!J522*MAX(0,J172-I173)</f>
        <v>0</v>
      </c>
      <c r="K174" s="159">
        <f>Inputs!K522*MAX(0,K172-J173)</f>
        <v>0</v>
      </c>
      <c r="L174" s="159">
        <f>Inputs!L522*MAX(0,L172-K173)</f>
        <v>0</v>
      </c>
      <c r="M174" s="159">
        <f>Inputs!M522*MAX(0,M172-L173)</f>
        <v>7.0409449007528227E-2</v>
      </c>
      <c r="N174" s="159">
        <f>Inputs!N522*MAX(0,N172-M173)</f>
        <v>1.8974544490075282</v>
      </c>
      <c r="O174" s="159">
        <f>Inputs!O522*MAX(0,O172-N173)</f>
        <v>2.8954844490075287</v>
      </c>
      <c r="P174" s="159">
        <f>Inputs!P522*MAX(0,P172-O173)</f>
        <v>3.387641652977412</v>
      </c>
      <c r="Q174" s="159">
        <f>Inputs!Q522*MAX(0,Q172-P173)</f>
        <v>3.3944994490075282</v>
      </c>
      <c r="R174" s="159">
        <f>Inputs!R522*MAX(0,R172-Q173)</f>
        <v>3.3944994490075304</v>
      </c>
      <c r="S174" s="159">
        <f>Inputs!S522*MAX(0,S172-R173)</f>
        <v>3.3944994490075282</v>
      </c>
      <c r="T174" s="159">
        <f>Inputs!T522*MAX(0,T172-S173)</f>
        <v>3.387641652977412</v>
      </c>
    </row>
    <row r="175" spans="2:20" x14ac:dyDescent="0.25">
      <c r="B175" s="21" t="s">
        <v>2931</v>
      </c>
      <c r="C175" s="28" t="s">
        <v>493</v>
      </c>
      <c r="G175" s="157"/>
      <c r="H175" s="158">
        <f t="shared" ref="H175:T175" si="62">H144+H147+H150+H153+H156+H159+H162+H165+H168+H171+H174</f>
        <v>19.962283512427824</v>
      </c>
      <c r="I175" s="158">
        <f t="shared" si="62"/>
        <v>27.518394037515282</v>
      </c>
      <c r="J175" s="158">
        <f t="shared" si="62"/>
        <v>38.324948437205066</v>
      </c>
      <c r="K175" s="158">
        <f t="shared" si="62"/>
        <v>55.408187266730543</v>
      </c>
      <c r="L175" s="158">
        <f t="shared" si="62"/>
        <v>64.10178053582726</v>
      </c>
      <c r="M175" s="158">
        <f t="shared" si="62"/>
        <v>75.306409982335609</v>
      </c>
      <c r="N175" s="158">
        <f t="shared" si="62"/>
        <v>81.337451326882189</v>
      </c>
      <c r="O175" s="158">
        <f t="shared" si="62"/>
        <v>91.285641186355804</v>
      </c>
      <c r="P175" s="158">
        <f t="shared" si="62"/>
        <v>97.126699774140349</v>
      </c>
      <c r="Q175" s="158">
        <f t="shared" si="62"/>
        <v>106.9847609775631</v>
      </c>
      <c r="R175" s="158">
        <f t="shared" si="62"/>
        <v>112.40735938429457</v>
      </c>
      <c r="S175" s="158">
        <f t="shared" si="62"/>
        <v>111.7506366150732</v>
      </c>
      <c r="T175" s="158">
        <f t="shared" si="62"/>
        <v>116.28344903385702</v>
      </c>
    </row>
    <row r="176" spans="2:20" x14ac:dyDescent="0.25">
      <c r="B176" s="23" t="s">
        <v>2932</v>
      </c>
      <c r="C176" s="28" t="s">
        <v>493</v>
      </c>
      <c r="H176" s="159">
        <f>Inputs!H522*(Financing!H24+Financing!H42+Financing!H54-Financing!H89)</f>
        <v>1.2035992138854201</v>
      </c>
      <c r="I176" s="159">
        <f>Inputs!I522*(Financing!I24+Financing!I42+Financing!I54-Financing!I89)</f>
        <v>3.3601590391093255</v>
      </c>
      <c r="J176" s="159">
        <f>Inputs!J522*(Financing!J24+Financing!J42+Financing!J54-Financing!J89)</f>
        <v>3.360159039109325</v>
      </c>
      <c r="K176" s="159">
        <f>Inputs!K522*(Financing!K24+Financing!K42+Financing!K54-Financing!K89)</f>
        <v>1.6662706467911996</v>
      </c>
      <c r="L176" s="159">
        <f>Inputs!L522*(Financing!L24+Financing!L42+Financing!L54-Financing!L89)</f>
        <v>0.75144299999999997</v>
      </c>
      <c r="M176" s="159">
        <f>Inputs!M522*(Financing!M24+Financing!M42+Financing!M54-Financing!M89)</f>
        <v>1.8786075</v>
      </c>
      <c r="N176" s="159">
        <f>Inputs!N522*(Financing!N24+Financing!N42+Financing!N54-Financing!N89)</f>
        <v>1.8786075</v>
      </c>
      <c r="O176" s="159">
        <f>Inputs!O522*(Financing!O24+Financing!O42+Financing!O54-Financing!O89)</f>
        <v>1.7283189000000001</v>
      </c>
      <c r="P176" s="159">
        <f>Inputs!P522*(Financing!P24+Financing!P42+Financing!P54-Financing!P89)</f>
        <v>1.3525974000000001</v>
      </c>
      <c r="Q176" s="159">
        <f>Inputs!Q522*(Financing!Q24+Financing!Q42+Financing!Q54-Financing!Q89)</f>
        <v>0.97687589999999991</v>
      </c>
      <c r="R176" s="159">
        <f>Inputs!R522*(Financing!R24+Financing!R42+Financing!R54-Financing!R89)</f>
        <v>0.60115439999999998</v>
      </c>
      <c r="S176" s="159">
        <f>Inputs!S522*(Financing!S24+Financing!S42+Financing!S54-Financing!S89)</f>
        <v>0.22543289999999999</v>
      </c>
      <c r="T176" s="159">
        <f>Inputs!T522*(Financing!T24+Financing!T42+Financing!T54-Financing!T89)</f>
        <v>0</v>
      </c>
    </row>
    <row r="177" spans="2:20" x14ac:dyDescent="0.25">
      <c r="B177" s="21" t="s">
        <v>2933</v>
      </c>
      <c r="C177" s="28" t="s">
        <v>493</v>
      </c>
      <c r="G177" s="157"/>
      <c r="H177" s="158">
        <f t="shared" ref="H177:T177" si="63">MAX(0,H175-H176)</f>
        <v>18.758684298542406</v>
      </c>
      <c r="I177" s="158">
        <f t="shared" si="63"/>
        <v>24.158234998405955</v>
      </c>
      <c r="J177" s="158">
        <f t="shared" si="63"/>
        <v>34.964789398095739</v>
      </c>
      <c r="K177" s="158">
        <f t="shared" si="63"/>
        <v>53.741916619939346</v>
      </c>
      <c r="L177" s="158">
        <f t="shared" si="63"/>
        <v>63.350337535827258</v>
      </c>
      <c r="M177" s="158">
        <f t="shared" si="63"/>
        <v>73.427802482335608</v>
      </c>
      <c r="N177" s="158">
        <f t="shared" si="63"/>
        <v>79.458843826882187</v>
      </c>
      <c r="O177" s="158">
        <f t="shared" si="63"/>
        <v>89.557322286355799</v>
      </c>
      <c r="P177" s="158">
        <f t="shared" si="63"/>
        <v>95.774102374140355</v>
      </c>
      <c r="Q177" s="158">
        <f t="shared" si="63"/>
        <v>106.0078850775631</v>
      </c>
      <c r="R177" s="158">
        <f t="shared" si="63"/>
        <v>111.80620498429457</v>
      </c>
      <c r="S177" s="158">
        <f t="shared" si="63"/>
        <v>111.5252037150732</v>
      </c>
      <c r="T177" s="158">
        <f t="shared" si="63"/>
        <v>116.28344903385702</v>
      </c>
    </row>
    <row r="178" spans="2:20" x14ac:dyDescent="0.25">
      <c r="B178" s="154" t="s">
        <v>2934</v>
      </c>
    </row>
    <row r="179" spans="2:20" ht="26.25" customHeight="1" x14ac:dyDescent="0.25">
      <c r="B179" s="133" t="s">
        <v>2935</v>
      </c>
      <c r="C179" s="28" t="s">
        <v>493</v>
      </c>
      <c r="G179" s="157"/>
      <c r="H179" s="158">
        <f>IF(Inputs!$E$745=1,H177,H138)</f>
        <v>19.962283512427824</v>
      </c>
      <c r="I179" s="158">
        <f>IF(Inputs!$E$745=1,I177,I138)</f>
        <v>34.011742338910175</v>
      </c>
      <c r="J179" s="158">
        <f>IF(Inputs!$E$745=1,J177,J138)</f>
        <v>39.45657020237433</v>
      </c>
      <c r="K179" s="158">
        <f>IF(Inputs!$E$745=1,K177,K138)</f>
        <v>55.735174975903888</v>
      </c>
      <c r="L179" s="158">
        <f>IF(Inputs!$E$745=1,L177,L138)</f>
        <v>65.69938941623991</v>
      </c>
      <c r="M179" s="158">
        <f>IF(Inputs!$E$745=1,M177,M138)</f>
        <v>75.495776591622914</v>
      </c>
      <c r="N179" s="158">
        <f>IF(Inputs!$E$745=1,N177,N138)</f>
        <v>79.487612997543067</v>
      </c>
      <c r="O179" s="158">
        <f>IF(Inputs!$E$745=1,O177,O138)</f>
        <v>89.557322286355799</v>
      </c>
      <c r="P179" s="158">
        <f>IF(Inputs!$E$745=1,P177,P138)</f>
        <v>95.774102374140355</v>
      </c>
      <c r="Q179" s="158">
        <f>IF(Inputs!$E$745=1,Q177,Q138)</f>
        <v>106.0078850775631</v>
      </c>
      <c r="R179" s="158">
        <f>IF(Inputs!$E$745=1,R177,R138)</f>
        <v>111.80620498429455</v>
      </c>
      <c r="S179" s="158">
        <f>IF(Inputs!$E$745=1,S177,S138)</f>
        <v>111.52520371507319</v>
      </c>
      <c r="T179" s="158">
        <f>IF(Inputs!$E$745=1,T177,T138)</f>
        <v>116.28344903385702</v>
      </c>
    </row>
    <row r="180" spans="2:20" ht="26.25" customHeight="1" x14ac:dyDescent="0.25">
      <c r="B180" s="133" t="s">
        <v>2936</v>
      </c>
      <c r="C180" s="28" t="s">
        <v>493</v>
      </c>
      <c r="H180" s="160">
        <f>IF(Inputs!$E$745=1,H175,H139)</f>
        <v>19.962283512427824</v>
      </c>
      <c r="I180" s="160">
        <f>IF(Inputs!$E$745=1,I175,I139)</f>
        <v>36.944623657090176</v>
      </c>
      <c r="J180" s="160">
        <f>IF(Inputs!$E$745=1,J175,J139)</f>
        <v>42.389451520554331</v>
      </c>
      <c r="K180" s="160">
        <f>IF(Inputs!$E$745=1,K175,K139)</f>
        <v>57.189562698069864</v>
      </c>
      <c r="L180" s="160">
        <f>IF(Inputs!$E$745=1,L175,L139)</f>
        <v>65.69938941623991</v>
      </c>
      <c r="M180" s="160">
        <f>IF(Inputs!$E$745=1,M175,M139)</f>
        <v>75.89618604063044</v>
      </c>
      <c r="N180" s="160">
        <f>IF(Inputs!$E$745=1,N175,N139)</f>
        <v>81.366220497543068</v>
      </c>
      <c r="O180" s="160">
        <f>IF(Inputs!$E$745=1,O175,O139)</f>
        <v>91.28564118635579</v>
      </c>
      <c r="P180" s="160">
        <f>IF(Inputs!$E$745=1,P175,P139)</f>
        <v>97.126699774140349</v>
      </c>
      <c r="Q180" s="160">
        <f>IF(Inputs!$E$745=1,Q175,Q139)</f>
        <v>106.9847609775631</v>
      </c>
      <c r="R180" s="160">
        <f>IF(Inputs!$E$745=1,R175,R139)</f>
        <v>112.40735938429455</v>
      </c>
      <c r="S180" s="160">
        <f>IF(Inputs!$E$745=1,S175,S139)</f>
        <v>111.75063661507319</v>
      </c>
      <c r="T180" s="160">
        <f>IF(Inputs!$E$745=1,T175,T139)</f>
        <v>116.28344903385702</v>
      </c>
    </row>
    <row r="181" spans="2:20" ht="26.25" customHeight="1" x14ac:dyDescent="0.25">
      <c r="B181" s="64" t="s">
        <v>2937</v>
      </c>
      <c r="C181" s="28" t="s">
        <v>493</v>
      </c>
      <c r="H181" s="161">
        <f t="shared" ref="H181:T181" si="64">ROUND(H142+H145+H148+H151+H154+H157+H160+H163+H166+H169+H172-H18-H19,6)</f>
        <v>0</v>
      </c>
      <c r="I181" s="161">
        <f t="shared" si="64"/>
        <v>0</v>
      </c>
      <c r="J181" s="161">
        <f t="shared" si="64"/>
        <v>0</v>
      </c>
      <c r="K181" s="161">
        <f t="shared" si="64"/>
        <v>0</v>
      </c>
      <c r="L181" s="161">
        <f t="shared" si="64"/>
        <v>0</v>
      </c>
      <c r="M181" s="161">
        <f t="shared" si="64"/>
        <v>0</v>
      </c>
      <c r="N181" s="161">
        <f t="shared" si="64"/>
        <v>0</v>
      </c>
      <c r="O181" s="161">
        <f t="shared" si="64"/>
        <v>0</v>
      </c>
      <c r="P181" s="161">
        <f t="shared" si="64"/>
        <v>0</v>
      </c>
      <c r="Q181" s="161">
        <f t="shared" si="64"/>
        <v>0</v>
      </c>
      <c r="R181" s="161">
        <f t="shared" si="64"/>
        <v>0</v>
      </c>
      <c r="S181" s="161">
        <f t="shared" si="64"/>
        <v>0</v>
      </c>
      <c r="T181" s="161">
        <f t="shared" si="64"/>
        <v>0</v>
      </c>
    </row>
    <row r="182" spans="2:20" ht="26.25" customHeight="1" x14ac:dyDescent="0.25">
      <c r="B182" s="64" t="s">
        <v>2938</v>
      </c>
      <c r="C182" s="28" t="s">
        <v>493</v>
      </c>
      <c r="H182" s="159">
        <f t="shared" ref="H182:T182" si="65">H40+H55</f>
        <v>55.200615812661312</v>
      </c>
      <c r="I182" s="159">
        <f t="shared" si="65"/>
        <v>57.464611864635387</v>
      </c>
      <c r="J182" s="159">
        <f t="shared" si="65"/>
        <v>58.977353517222681</v>
      </c>
      <c r="K182" s="159">
        <f t="shared" si="65"/>
        <v>61.693122921581207</v>
      </c>
      <c r="L182" s="159">
        <f t="shared" si="65"/>
        <v>64.108158447600289</v>
      </c>
      <c r="M182" s="159">
        <f t="shared" si="65"/>
        <v>70.015885047066519</v>
      </c>
      <c r="N182" s="159">
        <f t="shared" si="65"/>
        <v>72.649186076772637</v>
      </c>
      <c r="O182" s="159">
        <f t="shared" si="65"/>
        <v>75.331317633091317</v>
      </c>
      <c r="P182" s="159">
        <f t="shared" si="65"/>
        <v>82.041651317562724</v>
      </c>
      <c r="Q182" s="159">
        <f t="shared" si="65"/>
        <v>84.963578917707764</v>
      </c>
      <c r="R182" s="159">
        <f t="shared" si="65"/>
        <v>87.937229909393992</v>
      </c>
      <c r="S182" s="159">
        <f t="shared" si="65"/>
        <v>90.961995826037011</v>
      </c>
      <c r="T182" s="159">
        <f t="shared" si="65"/>
        <v>94.037118565923649</v>
      </c>
    </row>
    <row r="183" spans="2:20" x14ac:dyDescent="0.25">
      <c r="B183" s="23" t="s">
        <v>2939</v>
      </c>
      <c r="C183" s="28" t="s">
        <v>493</v>
      </c>
      <c r="H183" s="159">
        <f>IF(Inputs!$E$745=1,H142-H144,(('Cost Calculation'!H35-'Capex &amp; Depreciation'!H231)-Inputs!H522*MAX(0,'Cost Calculation'!H35-'Capex &amp; Depreciation'!H231))+(('Cost Calculation'!H149-'Capex &amp; Depreciation'!H238)-Inputs!H522*MAX(0,'Cost Calculation'!H149-'Capex &amp; Depreciation'!H238))+(('Cost Calculation'!H165-'Capex &amp; Depreciation'!H242)-Inputs!H522*MAX(0,'Cost Calculation'!H165-'Capex &amp; Depreciation'!H242)))</f>
        <v>55.200615812661312</v>
      </c>
      <c r="I183" s="159">
        <f>IF(Inputs!$E$745=1,I142-I144,(('Cost Calculation'!I35-'Capex &amp; Depreciation'!I231)-Inputs!I522*MAX(0,'Cost Calculation'!I35-'Capex &amp; Depreciation'!I231))+(('Cost Calculation'!I149-'Capex &amp; Depreciation'!I238)-Inputs!I522*MAX(0,'Cost Calculation'!I149-'Capex &amp; Depreciation'!I238))+(('Cost Calculation'!I165-'Capex &amp; Depreciation'!I242)-Inputs!I522*MAX(0,'Cost Calculation'!I165-'Capex &amp; Depreciation'!I242)))</f>
        <v>57.464611864635387</v>
      </c>
      <c r="J183" s="159">
        <f>IF(Inputs!$E$745=1,J142-J144,(('Cost Calculation'!J35-'Capex &amp; Depreciation'!J231)-Inputs!J522*MAX(0,'Cost Calculation'!J35-'Capex &amp; Depreciation'!J231))+(('Cost Calculation'!J149-'Capex &amp; Depreciation'!J238)-Inputs!J522*MAX(0,'Cost Calculation'!J149-'Capex &amp; Depreciation'!J238))+(('Cost Calculation'!J165-'Capex &amp; Depreciation'!J242)-Inputs!J522*MAX(0,'Cost Calculation'!J165-'Capex &amp; Depreciation'!J242)))</f>
        <v>58.977353517222681</v>
      </c>
      <c r="K183" s="159">
        <f>IF(Inputs!$E$745=1,K142-K144,(('Cost Calculation'!K35-'Capex &amp; Depreciation'!K231)-Inputs!K522*MAX(0,'Cost Calculation'!K35-'Capex &amp; Depreciation'!K231))+(('Cost Calculation'!K149-'Capex &amp; Depreciation'!K238)-Inputs!K522*MAX(0,'Cost Calculation'!K149-'Capex &amp; Depreciation'!K238))+(('Cost Calculation'!K165-'Capex &amp; Depreciation'!K242)-Inputs!K522*MAX(0,'Cost Calculation'!K165-'Capex &amp; Depreciation'!K242)))</f>
        <v>68.718604859081196</v>
      </c>
      <c r="L183" s="159">
        <f>IF(Inputs!$E$745=1,L142-L144,(('Cost Calculation'!L35-'Capex &amp; Depreciation'!L231)-Inputs!L522*MAX(0,'Cost Calculation'!L35-'Capex &amp; Depreciation'!L231))+(('Cost Calculation'!L149-'Capex &amp; Depreciation'!L238)-Inputs!L522*MAX(0,'Cost Calculation'!L149-'Capex &amp; Depreciation'!L238))+(('Cost Calculation'!L165-'Capex &amp; Depreciation'!L242)-Inputs!L522*MAX(0,'Cost Calculation'!L165-'Capex &amp; Depreciation'!L242)))</f>
        <v>71.133640385100293</v>
      </c>
      <c r="M183" s="159">
        <f>IF(Inputs!$E$745=1,M142-M144,(('Cost Calculation'!M35-'Capex &amp; Depreciation'!M231)-Inputs!M522*MAX(0,'Cost Calculation'!M35-'Capex &amp; Depreciation'!M231))+(('Cost Calculation'!M149-'Capex &amp; Depreciation'!M238)-Inputs!M522*MAX(0,'Cost Calculation'!M149-'Capex &amp; Depreciation'!M238))+(('Cost Calculation'!M165-'Capex &amp; Depreciation'!M242)-Inputs!M522*MAX(0,'Cost Calculation'!M165-'Capex &amp; Depreciation'!M242)))</f>
        <v>77.041366984566523</v>
      </c>
      <c r="N183" s="159">
        <f>IF(Inputs!$E$745=1,N142-N144,(('Cost Calculation'!N35-'Capex &amp; Depreciation'!N231)-Inputs!N522*MAX(0,'Cost Calculation'!N35-'Capex &amp; Depreciation'!N231))+(('Cost Calculation'!N149-'Capex &amp; Depreciation'!N238)-Inputs!N522*MAX(0,'Cost Calculation'!N149-'Capex &amp; Depreciation'!N238))+(('Cost Calculation'!N165-'Capex &amp; Depreciation'!N242)-Inputs!N522*MAX(0,'Cost Calculation'!N165-'Capex &amp; Depreciation'!N242)))</f>
        <v>79.67466801427264</v>
      </c>
      <c r="O183" s="159">
        <f>IF(Inputs!$E$745=1,O142-O144,(('Cost Calculation'!O35-'Capex &amp; Depreciation'!O231)-Inputs!O522*MAX(0,'Cost Calculation'!O35-'Capex &amp; Depreciation'!O231))+(('Cost Calculation'!O149-'Capex &amp; Depreciation'!O238)-Inputs!O522*MAX(0,'Cost Calculation'!O149-'Capex &amp; Depreciation'!O238))+(('Cost Calculation'!O165-'Capex &amp; Depreciation'!O242)-Inputs!O522*MAX(0,'Cost Calculation'!O165-'Capex &amp; Depreciation'!O242)))</f>
        <v>82.356799570591321</v>
      </c>
      <c r="P183" s="159">
        <f>IF(Inputs!$E$745=1,P142-P144,(('Cost Calculation'!P35-'Capex &amp; Depreciation'!P231)-Inputs!P522*MAX(0,'Cost Calculation'!P35-'Capex &amp; Depreciation'!P231))+(('Cost Calculation'!P149-'Capex &amp; Depreciation'!P238)-Inputs!P522*MAX(0,'Cost Calculation'!P149-'Capex &amp; Depreciation'!P238))+(('Cost Calculation'!P165-'Capex &amp; Depreciation'!P242)-Inputs!P522*MAX(0,'Cost Calculation'!P165-'Capex &amp; Depreciation'!P242)))</f>
        <v>89.067133255062728</v>
      </c>
      <c r="Q183" s="159">
        <f>IF(Inputs!$E$745=1,Q142-Q144,(('Cost Calculation'!Q35-'Capex &amp; Depreciation'!Q231)-Inputs!Q522*MAX(0,'Cost Calculation'!Q35-'Capex &amp; Depreciation'!Q231))+(('Cost Calculation'!Q149-'Capex &amp; Depreciation'!Q238)-Inputs!Q522*MAX(0,'Cost Calculation'!Q149-'Capex &amp; Depreciation'!Q238))+(('Cost Calculation'!Q165-'Capex &amp; Depreciation'!Q242)-Inputs!Q522*MAX(0,'Cost Calculation'!Q165-'Capex &amp; Depreciation'!Q242)))</f>
        <v>91.989060855207768</v>
      </c>
      <c r="R183" s="159">
        <f>IF(Inputs!$E$745=1,R142-R144,(('Cost Calculation'!R35-'Capex &amp; Depreciation'!R231)-Inputs!R522*MAX(0,'Cost Calculation'!R35-'Capex &amp; Depreciation'!R231))+(('Cost Calculation'!R149-'Capex &amp; Depreciation'!R238)-Inputs!R522*MAX(0,'Cost Calculation'!R149-'Capex &amp; Depreciation'!R238))+(('Cost Calculation'!R165-'Capex &amp; Depreciation'!R242)-Inputs!R522*MAX(0,'Cost Calculation'!R165-'Capex &amp; Depreciation'!R242)))</f>
        <v>94.962711846893995</v>
      </c>
      <c r="S183" s="159">
        <f>IF(Inputs!$E$745=1,S142-S144,(('Cost Calculation'!S35-'Capex &amp; Depreciation'!S231)-Inputs!S522*MAX(0,'Cost Calculation'!S35-'Capex &amp; Depreciation'!S231))+(('Cost Calculation'!S149-'Capex &amp; Depreciation'!S238)-Inputs!S522*MAX(0,'Cost Calculation'!S149-'Capex &amp; Depreciation'!S238))+(('Cost Calculation'!S165-'Capex &amp; Depreciation'!S242)-Inputs!S522*MAX(0,'Cost Calculation'!S165-'Capex &amp; Depreciation'!S242)))</f>
        <v>97.987477763537015</v>
      </c>
      <c r="T183" s="159">
        <f>IF(Inputs!$E$745=1,T142-T144,(('Cost Calculation'!T35-'Capex &amp; Depreciation'!T231)-Inputs!T522*MAX(0,'Cost Calculation'!T35-'Capex &amp; Depreciation'!T231))+(('Cost Calculation'!T149-'Capex &amp; Depreciation'!T238)-Inputs!T522*MAX(0,'Cost Calculation'!T149-'Capex &amp; Depreciation'!T238))+(('Cost Calculation'!T165-'Capex &amp; Depreciation'!T242)-Inputs!T522*MAX(0,'Cost Calculation'!T165-'Capex &amp; Depreciation'!T242)))</f>
        <v>101.06260050342365</v>
      </c>
    </row>
    <row r="184" spans="2:20" ht="26.25" customHeight="1" x14ac:dyDescent="0.25">
      <c r="B184" s="64" t="s">
        <v>2940</v>
      </c>
      <c r="C184" s="28" t="s">
        <v>493</v>
      </c>
      <c r="H184" s="159">
        <f>(1-Inputs!$E$531)*IF(Inputs!$E$750=1,H183,H182)+(1-IF(ISNUMBER(Inputs!$E$606),Inputs!$E$606,1))*(H163-H165)+(1-IF(ISNUMBER(Inputs!$E$640),Inputs!$E$640,1))*(H166-H168)+(1-IF(ISNUMBER(Inputs!$E$674),Inputs!$E$674,1))*(H169-H171)+(1-Inputs!$E$569)*IF(Inputs!$E$745=1,H172-Financing!H54-H174,H135)</f>
        <v>19.320215534431458</v>
      </c>
      <c r="I184" s="159">
        <f>(1-Inputs!$E$531)*IF(Inputs!$E$750=1,I183,I182)+(1-IF(ISNUMBER(Inputs!$E$606),Inputs!$E$606,1))*(I163-I165)+(1-IF(ISNUMBER(Inputs!$E$640),Inputs!$E$640,1))*(I166-I168)+(1-IF(ISNUMBER(Inputs!$E$674),Inputs!$E$674,1))*(I169-I171)+(1-Inputs!$E$569)*IF(Inputs!$E$745=1,I172-Financing!I54-I174,I135)</f>
        <v>20.112614152622385</v>
      </c>
      <c r="J184" s="159">
        <f>(1-Inputs!$E$531)*IF(Inputs!$E$750=1,J183,J182)+(1-IF(ISNUMBER(Inputs!$E$606),Inputs!$E$606,1))*(J163-J165)+(1-IF(ISNUMBER(Inputs!$E$640),Inputs!$E$640,1))*(J166-J168)+(1-IF(ISNUMBER(Inputs!$E$674),Inputs!$E$674,1))*(J169-J171)+(1-Inputs!$E$569)*IF(Inputs!$E$745=1,J172-Financing!J54-J174,J135)</f>
        <v>20.642073731027939</v>
      </c>
      <c r="K184" s="159">
        <f>(1-Inputs!$E$531)*IF(Inputs!$E$750=1,K183,K182)+(1-IF(ISNUMBER(Inputs!$E$606),Inputs!$E$606,1))*(K163-K165)+(1-IF(ISNUMBER(Inputs!$E$640),Inputs!$E$640,1))*(K166-K168)+(1-IF(ISNUMBER(Inputs!$E$674),Inputs!$E$674,1))*(K169-K171)+(1-Inputs!$E$569)*IF(Inputs!$E$745=1,K172-Financing!K54-K174,K135)</f>
        <v>21.59259302255342</v>
      </c>
      <c r="L184" s="159">
        <f>(1-Inputs!$E$531)*IF(Inputs!$E$750=1,L183,L182)+(1-IF(ISNUMBER(Inputs!$E$606),Inputs!$E$606,1))*(L163-L165)+(1-IF(ISNUMBER(Inputs!$E$640),Inputs!$E$640,1))*(L166-L168)+(1-IF(ISNUMBER(Inputs!$E$674),Inputs!$E$674,1))*(L169-L171)+(1-Inputs!$E$569)*IF(Inputs!$E$745=1,L172-Financing!L54-L174,L135)</f>
        <v>22.437855456660099</v>
      </c>
      <c r="M184" s="159">
        <f>(1-Inputs!$E$531)*IF(Inputs!$E$750=1,M183,M182)+(1-IF(ISNUMBER(Inputs!$E$606),Inputs!$E$606,1))*(M163-M165)+(1-IF(ISNUMBER(Inputs!$E$640),Inputs!$E$640,1))*(M166-M168)+(1-IF(ISNUMBER(Inputs!$E$674),Inputs!$E$674,1))*(M169-M171)+(1-Inputs!$E$569)*IF(Inputs!$E$745=1,M172-Financing!M54-M174,M135)</f>
        <v>24.505559766473279</v>
      </c>
      <c r="N184" s="159">
        <f>(1-Inputs!$E$531)*IF(Inputs!$E$750=1,N183,N182)+(1-IF(ISNUMBER(Inputs!$E$606),Inputs!$E$606,1))*(N163-N165)+(1-IF(ISNUMBER(Inputs!$E$640),Inputs!$E$640,1))*(N166-N168)+(1-IF(ISNUMBER(Inputs!$E$674),Inputs!$E$674,1))*(N169-N171)+(1-Inputs!$E$569)*IF(Inputs!$E$745=1,N172-Financing!N54-N174,N135)</f>
        <v>25.427215126870422</v>
      </c>
      <c r="O184" s="159">
        <f>(1-Inputs!$E$531)*IF(Inputs!$E$750=1,O183,O182)+(1-IF(ISNUMBER(Inputs!$E$606),Inputs!$E$606,1))*(O163-O165)+(1-IF(ISNUMBER(Inputs!$E$640),Inputs!$E$640,1))*(O166-O168)+(1-IF(ISNUMBER(Inputs!$E$674),Inputs!$E$674,1))*(O169-O171)+(1-Inputs!$E$569)*IF(Inputs!$E$745=1,O172-Financing!O54-O174,O135)</f>
        <v>26.365961171581958</v>
      </c>
      <c r="P184" s="159">
        <f>(1-Inputs!$E$531)*IF(Inputs!$E$750=1,P183,P182)+(1-IF(ISNUMBER(Inputs!$E$606),Inputs!$E$606,1))*(P163-P165)+(1-IF(ISNUMBER(Inputs!$E$640),Inputs!$E$640,1))*(P166-P168)+(1-IF(ISNUMBER(Inputs!$E$674),Inputs!$E$674,1))*(P169-P171)+(1-Inputs!$E$569)*IF(Inputs!$E$745=1,P172-Financing!P54-P174,P135)</f>
        <v>28.714577961146951</v>
      </c>
      <c r="Q184" s="159">
        <f>(1-Inputs!$E$531)*IF(Inputs!$E$750=1,Q183,Q182)+(1-IF(ISNUMBER(Inputs!$E$606),Inputs!$E$606,1))*(Q163-Q165)+(1-IF(ISNUMBER(Inputs!$E$640),Inputs!$E$640,1))*(Q166-Q168)+(1-IF(ISNUMBER(Inputs!$E$674),Inputs!$E$674,1))*(Q169-Q171)+(1-Inputs!$E$569)*IF(Inputs!$E$745=1,Q172-Financing!Q54-Q174,Q135)</f>
        <v>29.737252621197715</v>
      </c>
      <c r="R184" s="159">
        <f>(1-Inputs!$E$531)*IF(Inputs!$E$750=1,R183,R182)+(1-IF(ISNUMBER(Inputs!$E$606),Inputs!$E$606,1))*(R163-R165)+(1-IF(ISNUMBER(Inputs!$E$640),Inputs!$E$640,1))*(R166-R168)+(1-IF(ISNUMBER(Inputs!$E$674),Inputs!$E$674,1))*(R169-R171)+(1-Inputs!$E$569)*IF(Inputs!$E$745=1,R172-Financing!R54-R174,R135)</f>
        <v>30.778030468287895</v>
      </c>
      <c r="S184" s="159">
        <f>(1-Inputs!$E$531)*IF(Inputs!$E$750=1,S183,S182)+(1-IF(ISNUMBER(Inputs!$E$606),Inputs!$E$606,1))*(S163-S165)+(1-IF(ISNUMBER(Inputs!$E$640),Inputs!$E$640,1))*(S166-S168)+(1-IF(ISNUMBER(Inputs!$E$674),Inputs!$E$674,1))*(S169-S171)+(1-Inputs!$E$569)*IF(Inputs!$E$745=1,S172-Financing!S54-S174,S135)</f>
        <v>31.836698539112952</v>
      </c>
      <c r="T184" s="159">
        <f>(1-Inputs!$E$531)*IF(Inputs!$E$750=1,T183,T182)+(1-IF(ISNUMBER(Inputs!$E$606),Inputs!$E$606,1))*(T163-T165)+(1-IF(ISNUMBER(Inputs!$E$640),Inputs!$E$640,1))*(T166-T168)+(1-IF(ISNUMBER(Inputs!$E$674),Inputs!$E$674,1))*(T169-T171)+(1-Inputs!$E$569)*IF(Inputs!$E$745=1,T172-Financing!T54-T174,T135)</f>
        <v>32.912991498073275</v>
      </c>
    </row>
    <row r="185" spans="2:20" x14ac:dyDescent="0.25">
      <c r="B185" s="23" t="s">
        <v>2941</v>
      </c>
      <c r="C185" s="28" t="s">
        <v>292</v>
      </c>
      <c r="H185" s="105">
        <f t="shared" ref="H185:T185" si="66">IF(H24&lt;=0,0,H179/H24)</f>
        <v>0.33054785923787056</v>
      </c>
      <c r="I185" s="105">
        <f t="shared" si="66"/>
        <v>0.25252731727542643</v>
      </c>
      <c r="J185" s="105">
        <f t="shared" si="66"/>
        <v>0.2482624833140025</v>
      </c>
      <c r="K185" s="105">
        <f t="shared" si="66"/>
        <v>0.22815967992755773</v>
      </c>
      <c r="L185" s="105">
        <f t="shared" si="66"/>
        <v>0.22935240014155298</v>
      </c>
      <c r="M185" s="105">
        <f t="shared" si="66"/>
        <v>0.22518391669999627</v>
      </c>
      <c r="N185" s="105">
        <f t="shared" si="66"/>
        <v>0.22007965403522844</v>
      </c>
      <c r="O185" s="105">
        <f t="shared" si="66"/>
        <v>0.22000000000000006</v>
      </c>
      <c r="P185" s="105">
        <f t="shared" si="66"/>
        <v>0.21999999999999997</v>
      </c>
      <c r="Q185" s="105">
        <f t="shared" si="66"/>
        <v>0.21999999999999997</v>
      </c>
      <c r="R185" s="105">
        <f t="shared" si="66"/>
        <v>0.22</v>
      </c>
      <c r="S185" s="105">
        <f t="shared" si="66"/>
        <v>0.21999999999999992</v>
      </c>
      <c r="T185" s="105">
        <f t="shared" si="66"/>
        <v>0.21999999999999997</v>
      </c>
    </row>
    <row r="186" spans="2:20" x14ac:dyDescent="0.25">
      <c r="B186" s="145" t="s">
        <v>2942</v>
      </c>
    </row>
    <row r="188" spans="2:20" x14ac:dyDescent="0.25">
      <c r="B188" s="58" t="s">
        <v>2943</v>
      </c>
      <c r="C188" s="19"/>
      <c r="D188" s="19"/>
      <c r="E188" s="19"/>
      <c r="F188" s="19"/>
      <c r="G188" s="19"/>
      <c r="H188" s="19"/>
      <c r="I188" s="19"/>
      <c r="J188" s="19"/>
      <c r="K188" s="19"/>
      <c r="L188" s="19"/>
      <c r="M188" s="19"/>
      <c r="N188" s="19"/>
      <c r="O188" s="19"/>
      <c r="P188" s="19"/>
      <c r="Q188" s="19"/>
      <c r="R188" s="19"/>
      <c r="S188" s="19"/>
      <c r="T188" s="19"/>
    </row>
    <row r="189" spans="2:20" x14ac:dyDescent="0.25">
      <c r="B189" s="154" t="s">
        <v>2944</v>
      </c>
    </row>
    <row r="190" spans="2:20" x14ac:dyDescent="0.25">
      <c r="B190" s="23" t="s">
        <v>2945</v>
      </c>
      <c r="C190" s="28" t="s">
        <v>493</v>
      </c>
      <c r="G190" s="29">
        <f>'Funding Requirement'!G94</f>
        <v>60.638905050280002</v>
      </c>
      <c r="H190" s="29">
        <f>'Funding Requirement'!H94</f>
        <v>31.366562544943211</v>
      </c>
      <c r="I190" s="29">
        <f>'Funding Requirement'!I94</f>
        <v>191.0299126301345</v>
      </c>
      <c r="J190" s="29">
        <f>'Funding Requirement'!J94</f>
        <v>3</v>
      </c>
      <c r="K190" s="29">
        <f>'Funding Requirement'!K94</f>
        <v>3</v>
      </c>
      <c r="L190" s="29">
        <f>'Funding Requirement'!L94</f>
        <v>251.56660371850327</v>
      </c>
      <c r="M190" s="29">
        <f>'Funding Requirement'!M94</f>
        <v>587.61070268010224</v>
      </c>
      <c r="N190" s="29">
        <f>'Funding Requirement'!N94</f>
        <v>939.21953896328387</v>
      </c>
      <c r="O190" s="29">
        <f>'Funding Requirement'!O94</f>
        <v>1303.7712868480567</v>
      </c>
      <c r="P190" s="29">
        <f>'Funding Requirement'!P94</f>
        <v>1689.1880085653906</v>
      </c>
      <c r="Q190" s="29">
        <f>'Funding Requirement'!Q94</f>
        <v>2097.3937688632709</v>
      </c>
      <c r="R190" s="29">
        <f>'Funding Requirement'!R94</f>
        <v>2519.670022397589</v>
      </c>
      <c r="S190" s="29">
        <f>'Funding Requirement'!S94</f>
        <v>2949.528258896044</v>
      </c>
      <c r="T190" s="29">
        <f>'Funding Requirement'!T94</f>
        <v>3398.8708718269595</v>
      </c>
    </row>
    <row r="191" spans="2:20" x14ac:dyDescent="0.25">
      <c r="B191" s="23" t="s">
        <v>2946</v>
      </c>
      <c r="C191" s="28" t="s">
        <v>493</v>
      </c>
      <c r="G191" s="29">
        <f>'Working Capital'!G119</f>
        <v>0.51981068748259995</v>
      </c>
      <c r="H191" s="29">
        <f>'Working Capital'!H119</f>
        <v>0.51981068748259995</v>
      </c>
      <c r="I191" s="29">
        <f>'Working Capital'!I119</f>
        <v>0.51981068748259995</v>
      </c>
      <c r="J191" s="29">
        <f>'Working Capital'!J119</f>
        <v>0.51981068748259995</v>
      </c>
      <c r="K191" s="29">
        <f>'Working Capital'!K119</f>
        <v>0.51981068748259995</v>
      </c>
      <c r="L191" s="29">
        <f>'Working Capital'!L119</f>
        <v>0.51981068748259995</v>
      </c>
      <c r="M191" s="29">
        <f>'Working Capital'!M119</f>
        <v>0.51981068748259995</v>
      </c>
      <c r="N191" s="29">
        <f>'Working Capital'!N119</f>
        <v>0.51981068748259995</v>
      </c>
      <c r="O191" s="29">
        <f>'Working Capital'!O119</f>
        <v>0.51981068748259995</v>
      </c>
      <c r="P191" s="29">
        <f>'Working Capital'!P119</f>
        <v>0.51981068748259995</v>
      </c>
      <c r="Q191" s="29">
        <f>'Working Capital'!Q119</f>
        <v>0.51981068748259995</v>
      </c>
      <c r="R191" s="29">
        <f>'Working Capital'!R119</f>
        <v>0</v>
      </c>
      <c r="S191" s="29">
        <f>'Working Capital'!S119</f>
        <v>0</v>
      </c>
      <c r="T191" s="29">
        <f>'Working Capital'!T119</f>
        <v>0</v>
      </c>
    </row>
    <row r="192" spans="2:20" x14ac:dyDescent="0.25">
      <c r="B192" s="23" t="s">
        <v>2947</v>
      </c>
      <c r="C192" s="28" t="s">
        <v>493</v>
      </c>
      <c r="G192" s="29">
        <f>'Working Capital'!G118</f>
        <v>45</v>
      </c>
      <c r="H192" s="29">
        <f>'Working Capital'!H118</f>
        <v>37.535488103522205</v>
      </c>
      <c r="I192" s="29">
        <f>'Working Capital'!I118</f>
        <v>52.718161619628056</v>
      </c>
      <c r="J192" s="29">
        <f>'Working Capital'!J118</f>
        <v>60.974516581439126</v>
      </c>
      <c r="K192" s="29">
        <f>'Working Capital'!K118</f>
        <v>76.429277067535011</v>
      </c>
      <c r="L192" s="29">
        <f>'Working Capital'!L118</f>
        <v>86.31505090844577</v>
      </c>
      <c r="M192" s="29">
        <f>'Working Capital'!M118</f>
        <v>99.240328640147609</v>
      </c>
      <c r="N192" s="29">
        <f>'Working Capital'!N118</f>
        <v>104.49619314147179</v>
      </c>
      <c r="O192" s="29">
        <f>'Working Capital'!O118</f>
        <v>112.50827732924783</v>
      </c>
      <c r="P192" s="29">
        <f>'Working Capital'!P118</f>
        <v>117.67004198172182</v>
      </c>
      <c r="Q192" s="29">
        <f>'Working Capital'!Q118</f>
        <v>125.82382232111165</v>
      </c>
      <c r="R192" s="29">
        <f>'Working Capital'!R118</f>
        <v>128.27127092560394</v>
      </c>
      <c r="S192" s="29">
        <f>'Working Capital'!S118</f>
        <v>129.82917468866867</v>
      </c>
      <c r="T192" s="29">
        <f>'Working Capital'!T118</f>
        <v>133.91108610796252</v>
      </c>
    </row>
    <row r="193" spans="2:20" ht="26.25" customHeight="1" x14ac:dyDescent="0.25">
      <c r="B193" s="64" t="s">
        <v>2948</v>
      </c>
      <c r="C193" s="28" t="s">
        <v>493</v>
      </c>
      <c r="G193" s="29">
        <f>'Capex &amp; Depreciation'!G334</f>
        <v>826.022318932997</v>
      </c>
      <c r="H193" s="29">
        <f>'Capex &amp; Depreciation'!H334</f>
        <v>862.88975652406168</v>
      </c>
      <c r="I193" s="29">
        <f>'Capex &amp; Depreciation'!I334</f>
        <v>763.9285713420602</v>
      </c>
      <c r="J193" s="29">
        <f>'Capex &amp; Depreciation'!J334</f>
        <v>1048.7327972008522</v>
      </c>
      <c r="K193" s="29">
        <f>'Capex &amp; Depreciation'!K334</f>
        <v>1136.8550805136435</v>
      </c>
      <c r="L193" s="29">
        <f>'Capex &amp; Depreciation'!L334</f>
        <v>1090.2466504503075</v>
      </c>
      <c r="M193" s="29">
        <f>'Capex &amp; Depreciation'!M334</f>
        <v>932.6617812433559</v>
      </c>
      <c r="N193" s="29">
        <f>'Capex &amp; Depreciation'!N334</f>
        <v>775.0680053008814</v>
      </c>
      <c r="O193" s="29">
        <f>'Capex &amp; Depreciation'!O334</f>
        <v>617.46514448817356</v>
      </c>
      <c r="P193" s="29">
        <f>'Capex &amp; Depreciation'!P334</f>
        <v>457.82184530769092</v>
      </c>
      <c r="Q193" s="29">
        <f>'Capex &amp; Depreciation'!Q334</f>
        <v>298.20026602835441</v>
      </c>
      <c r="R193" s="29">
        <f>'Capex &amp; Depreciation'!R334</f>
        <v>144.10689105014259</v>
      </c>
      <c r="S193" s="29">
        <f>'Capex &amp; Depreciation'!S334</f>
        <v>-9.9963176837791821</v>
      </c>
      <c r="T193" s="29">
        <f>'Capex &amp; Depreciation'!T334</f>
        <v>-164.14072864866202</v>
      </c>
    </row>
    <row r="194" spans="2:20" ht="26.25" customHeight="1" x14ac:dyDescent="0.25">
      <c r="B194" s="64" t="s">
        <v>2949</v>
      </c>
      <c r="C194" s="28" t="s">
        <v>493</v>
      </c>
      <c r="G194" s="159">
        <f>'Source Data'!$E$804-Inputs!$E$744*'Source Data'!$E$803</f>
        <v>331.262624869158</v>
      </c>
      <c r="H194" s="159">
        <f>'Source Data'!$E$804-Inputs!$E$744*'Source Data'!$E$803</f>
        <v>331.262624869158</v>
      </c>
      <c r="I194" s="159">
        <f>'Source Data'!$E$804-Inputs!$E$744*'Source Data'!$E$803</f>
        <v>331.262624869158</v>
      </c>
      <c r="J194" s="159">
        <f>'Source Data'!$E$804-Inputs!$E$744*'Source Data'!$E$803</f>
        <v>331.262624869158</v>
      </c>
      <c r="K194" s="159">
        <f>'Source Data'!$E$804-Inputs!$E$744*'Source Data'!$E$803</f>
        <v>331.262624869158</v>
      </c>
      <c r="L194" s="159">
        <f>'Source Data'!$E$804-Inputs!$E$744*'Source Data'!$E$803</f>
        <v>331.262624869158</v>
      </c>
      <c r="M194" s="159">
        <f>'Source Data'!$E$804-Inputs!$E$744*'Source Data'!$E$803</f>
        <v>331.262624869158</v>
      </c>
      <c r="N194" s="159">
        <f>'Source Data'!$E$804-Inputs!$E$744*'Source Data'!$E$803</f>
        <v>331.262624869158</v>
      </c>
      <c r="O194" s="159">
        <f>'Source Data'!$E$804-Inputs!$E$744*'Source Data'!$E$803</f>
        <v>331.262624869158</v>
      </c>
      <c r="P194" s="159">
        <f>'Source Data'!$E$804-Inputs!$E$744*'Source Data'!$E$803</f>
        <v>331.262624869158</v>
      </c>
      <c r="Q194" s="159">
        <f>'Source Data'!$E$804-Inputs!$E$744*'Source Data'!$E$803</f>
        <v>331.262624869158</v>
      </c>
      <c r="R194" s="159">
        <f>'Source Data'!$E$804-Inputs!$E$744*'Source Data'!$E$803</f>
        <v>331.262624869158</v>
      </c>
      <c r="S194" s="159">
        <f>'Source Data'!$E$804-Inputs!$E$744*'Source Data'!$E$803</f>
        <v>331.262624869158</v>
      </c>
      <c r="T194" s="159">
        <f>'Source Data'!$E$804-Inputs!$E$744*'Source Data'!$E$803</f>
        <v>331.262624869158</v>
      </c>
    </row>
    <row r="195" spans="2:20" x14ac:dyDescent="0.25">
      <c r="B195" s="21" t="s">
        <v>2950</v>
      </c>
      <c r="C195" s="28" t="s">
        <v>493</v>
      </c>
      <c r="G195" s="158">
        <f t="shared" ref="G195:T195" si="67">SUM(G190:G194)</f>
        <v>1263.4436595399175</v>
      </c>
      <c r="H195" s="158">
        <f t="shared" si="67"/>
        <v>1263.5742427291677</v>
      </c>
      <c r="I195" s="158">
        <f t="shared" si="67"/>
        <v>1339.4590811484634</v>
      </c>
      <c r="J195" s="158">
        <f t="shared" si="67"/>
        <v>1444.4897493389321</v>
      </c>
      <c r="K195" s="158">
        <f t="shared" si="67"/>
        <v>1548.0667931378193</v>
      </c>
      <c r="L195" s="158">
        <f t="shared" si="67"/>
        <v>1759.9107406338971</v>
      </c>
      <c r="M195" s="158">
        <f t="shared" si="67"/>
        <v>1951.2952481202465</v>
      </c>
      <c r="N195" s="158">
        <f t="shared" si="67"/>
        <v>2150.5661729622775</v>
      </c>
      <c r="O195" s="158">
        <f t="shared" si="67"/>
        <v>2365.5271442221187</v>
      </c>
      <c r="P195" s="158">
        <f t="shared" si="67"/>
        <v>2596.4623314114442</v>
      </c>
      <c r="Q195" s="158">
        <f t="shared" si="67"/>
        <v>2853.2002927693775</v>
      </c>
      <c r="R195" s="158">
        <f t="shared" si="67"/>
        <v>3123.3108092424936</v>
      </c>
      <c r="S195" s="158">
        <f t="shared" si="67"/>
        <v>3400.6237407700914</v>
      </c>
      <c r="T195" s="158">
        <f t="shared" si="67"/>
        <v>3699.9038541554182</v>
      </c>
    </row>
    <row r="196" spans="2:20" x14ac:dyDescent="0.25">
      <c r="B196" s="23" t="s">
        <v>2951</v>
      </c>
      <c r="C196" s="28" t="s">
        <v>493</v>
      </c>
      <c r="G196" s="29">
        <f>'Source Data'!$E$805</f>
        <v>61</v>
      </c>
      <c r="H196" s="29">
        <f>'Source Data'!$E$805</f>
        <v>61</v>
      </c>
      <c r="I196" s="29">
        <f>'Source Data'!$E$805</f>
        <v>61</v>
      </c>
      <c r="J196" s="29">
        <f>'Source Data'!$E$805</f>
        <v>61</v>
      </c>
      <c r="K196" s="29">
        <f>'Source Data'!$E$805</f>
        <v>61</v>
      </c>
      <c r="L196" s="29">
        <f>'Source Data'!$E$805</f>
        <v>61</v>
      </c>
      <c r="M196" s="29">
        <f>'Source Data'!$E$805</f>
        <v>61</v>
      </c>
      <c r="N196" s="29">
        <f>'Source Data'!$E$805</f>
        <v>61</v>
      </c>
      <c r="O196" s="29">
        <f>'Source Data'!$E$805</f>
        <v>61</v>
      </c>
      <c r="P196" s="29">
        <f>'Source Data'!$E$805</f>
        <v>61</v>
      </c>
      <c r="Q196" s="29">
        <f>'Source Data'!$E$805</f>
        <v>61</v>
      </c>
      <c r="R196" s="29">
        <f>'Source Data'!$E$805</f>
        <v>61</v>
      </c>
      <c r="S196" s="29">
        <f>'Source Data'!$E$805</f>
        <v>61</v>
      </c>
      <c r="T196" s="29">
        <f>'Source Data'!$E$805</f>
        <v>61</v>
      </c>
    </row>
    <row r="197" spans="2:20" x14ac:dyDescent="0.25">
      <c r="B197" s="154" t="s">
        <v>2952</v>
      </c>
    </row>
    <row r="198" spans="2:20" x14ac:dyDescent="0.25">
      <c r="B198" s="23" t="s">
        <v>2953</v>
      </c>
      <c r="C198" s="28" t="s">
        <v>493</v>
      </c>
      <c r="G198" s="29">
        <f>'Working Capital'!G120</f>
        <v>14.6719859829049</v>
      </c>
      <c r="H198" s="29">
        <f>'Working Capital'!H120</f>
        <v>10.04451298589832</v>
      </c>
      <c r="I198" s="29">
        <f>'Working Capital'!I120</f>
        <v>9.4240079033771647</v>
      </c>
      <c r="J198" s="29">
        <f>'Working Capital'!J120</f>
        <v>9.2239698680783473</v>
      </c>
      <c r="K198" s="29">
        <f>'Working Capital'!K120</f>
        <v>10.239545383745051</v>
      </c>
      <c r="L198" s="29">
        <f>'Working Capital'!L120</f>
        <v>12.027453038379001</v>
      </c>
      <c r="M198" s="29">
        <f>'Working Capital'!M120</f>
        <v>14.223419219672557</v>
      </c>
      <c r="N198" s="29">
        <f>'Working Capital'!N120</f>
        <v>15.189914627297753</v>
      </c>
      <c r="O198" s="29">
        <f>'Working Capital'!O120</f>
        <v>16.241106770435881</v>
      </c>
      <c r="P198" s="29">
        <f>'Working Capital'!P120</f>
        <v>17.133011951959769</v>
      </c>
      <c r="Q198" s="29">
        <f>'Working Capital'!Q120</f>
        <v>18.122500921945168</v>
      </c>
      <c r="R198" s="29">
        <f>'Working Capital'!R120</f>
        <v>17.781935884461795</v>
      </c>
      <c r="S198" s="29">
        <f>'Working Capital'!S120</f>
        <v>18.517579539280291</v>
      </c>
      <c r="T198" s="29">
        <f>'Working Capital'!T120</f>
        <v>19.329417418430562</v>
      </c>
    </row>
    <row r="199" spans="2:20" ht="26.25" customHeight="1" x14ac:dyDescent="0.25">
      <c r="B199" s="64" t="s">
        <v>2954</v>
      </c>
      <c r="C199" s="28" t="s">
        <v>493</v>
      </c>
      <c r="G199" s="29">
        <f>Financing!G20</f>
        <v>224.51846524876001</v>
      </c>
      <c r="H199" s="29">
        <f>Financing!H20</f>
        <v>195.18</v>
      </c>
      <c r="I199" s="29">
        <f>Financing!I20</f>
        <v>195.18</v>
      </c>
      <c r="J199" s="29">
        <f>Financing!J20</f>
        <v>195.18</v>
      </c>
      <c r="K199" s="29">
        <f>Financing!K20</f>
        <v>0</v>
      </c>
      <c r="L199" s="29">
        <f>Financing!L20</f>
        <v>0</v>
      </c>
      <c r="M199" s="29">
        <f>Financing!M20</f>
        <v>0</v>
      </c>
      <c r="N199" s="29">
        <f>Financing!N20</f>
        <v>0</v>
      </c>
      <c r="O199" s="29">
        <f>Financing!O20</f>
        <v>0</v>
      </c>
      <c r="P199" s="29">
        <f>Financing!P20</f>
        <v>0</v>
      </c>
      <c r="Q199" s="29">
        <f>Financing!Q20</f>
        <v>0</v>
      </c>
      <c r="R199" s="29">
        <f>Financing!R20</f>
        <v>0</v>
      </c>
      <c r="S199" s="29">
        <f>Financing!S20</f>
        <v>0</v>
      </c>
      <c r="T199" s="29">
        <f>Financing!T20</f>
        <v>0</v>
      </c>
    </row>
    <row r="200" spans="2:20" x14ac:dyDescent="0.25">
      <c r="B200" s="23" t="s">
        <v>2955</v>
      </c>
      <c r="C200" s="28" t="s">
        <v>493</v>
      </c>
      <c r="G200" s="159">
        <v>0</v>
      </c>
      <c r="H200" s="29">
        <f>Financing!H41</f>
        <v>0</v>
      </c>
      <c r="I200" s="29">
        <f>Financing!I41</f>
        <v>0</v>
      </c>
      <c r="J200" s="29">
        <f>Financing!J41</f>
        <v>0</v>
      </c>
      <c r="K200" s="29">
        <f>Financing!K41</f>
        <v>0</v>
      </c>
      <c r="L200" s="29">
        <f>Financing!L41</f>
        <v>0</v>
      </c>
      <c r="M200" s="29">
        <f>Financing!M41</f>
        <v>0</v>
      </c>
      <c r="N200" s="29">
        <f>Financing!N41</f>
        <v>0</v>
      </c>
      <c r="O200" s="29">
        <f>Financing!O41</f>
        <v>0</v>
      </c>
      <c r="P200" s="29">
        <f>Financing!P41</f>
        <v>0</v>
      </c>
      <c r="Q200" s="29">
        <f>Financing!Q41</f>
        <v>0</v>
      </c>
      <c r="R200" s="29">
        <f>Financing!R41</f>
        <v>0</v>
      </c>
      <c r="S200" s="29">
        <f>Financing!S41</f>
        <v>0</v>
      </c>
      <c r="T200" s="29">
        <f>Financing!T41</f>
        <v>0</v>
      </c>
    </row>
    <row r="201" spans="2:20" x14ac:dyDescent="0.25">
      <c r="B201" s="23" t="s">
        <v>2956</v>
      </c>
      <c r="C201" s="28" t="s">
        <v>493</v>
      </c>
      <c r="G201" s="159">
        <v>0</v>
      </c>
      <c r="H201" s="29">
        <f>Financing!H55</f>
        <v>0</v>
      </c>
      <c r="I201" s="29">
        <f>Financing!I55</f>
        <v>0</v>
      </c>
      <c r="J201" s="29">
        <f>Financing!J55</f>
        <v>0</v>
      </c>
      <c r="K201" s="29">
        <f>Financing!K55</f>
        <v>32.53</v>
      </c>
      <c r="L201" s="29">
        <f>Financing!L55</f>
        <v>81.325000000000003</v>
      </c>
      <c r="M201" s="29">
        <f>Financing!M55</f>
        <v>81.325000000000003</v>
      </c>
      <c r="N201" s="29">
        <f>Financing!N55</f>
        <v>74.819000000000003</v>
      </c>
      <c r="O201" s="29">
        <f>Financing!O55</f>
        <v>58.554000000000002</v>
      </c>
      <c r="P201" s="29">
        <f>Financing!P55</f>
        <v>42.289000000000001</v>
      </c>
      <c r="Q201" s="29">
        <f>Financing!Q55</f>
        <v>26.024000000000001</v>
      </c>
      <c r="R201" s="29">
        <f>Financing!R55</f>
        <v>9.7590000000000003</v>
      </c>
      <c r="S201" s="29">
        <f>Financing!S55</f>
        <v>0</v>
      </c>
      <c r="T201" s="29">
        <f>Financing!T55</f>
        <v>0</v>
      </c>
    </row>
    <row r="202" spans="2:20" ht="26.25" customHeight="1" x14ac:dyDescent="0.25">
      <c r="B202" s="64" t="s">
        <v>2957</v>
      </c>
      <c r="C202" s="28" t="s">
        <v>493</v>
      </c>
      <c r="G202" s="29">
        <f>'Source Data'!$E$808</f>
        <v>55.924464057122997</v>
      </c>
      <c r="H202" s="29">
        <f>'Source Data'!$E$808</f>
        <v>55.924464057122997</v>
      </c>
      <c r="I202" s="29">
        <f>'Source Data'!$E$808</f>
        <v>55.924464057122997</v>
      </c>
      <c r="J202" s="29">
        <f>'Source Data'!$E$808</f>
        <v>55.924464057122997</v>
      </c>
      <c r="K202" s="29">
        <f>'Source Data'!$E$808</f>
        <v>55.924464057122997</v>
      </c>
      <c r="L202" s="29">
        <f>'Source Data'!$E$808</f>
        <v>55.924464057122997</v>
      </c>
      <c r="M202" s="29">
        <f>'Source Data'!$E$808</f>
        <v>55.924464057122997</v>
      </c>
      <c r="N202" s="29">
        <f>'Source Data'!$E$808</f>
        <v>55.924464057122997</v>
      </c>
      <c r="O202" s="29">
        <f>'Source Data'!$E$808</f>
        <v>55.924464057122997</v>
      </c>
      <c r="P202" s="29">
        <f>'Source Data'!$E$808</f>
        <v>55.924464057122997</v>
      </c>
      <c r="Q202" s="29">
        <f>'Source Data'!$E$808</f>
        <v>55.924464057122997</v>
      </c>
      <c r="R202" s="29">
        <f>'Source Data'!$E$808</f>
        <v>55.924464057122997</v>
      </c>
      <c r="S202" s="29">
        <f>'Source Data'!$E$808</f>
        <v>55.924464057122997</v>
      </c>
      <c r="T202" s="29">
        <f>'Source Data'!$E$808</f>
        <v>55.924464057122997</v>
      </c>
    </row>
    <row r="203" spans="2:20" x14ac:dyDescent="0.25">
      <c r="B203" s="21" t="s">
        <v>2958</v>
      </c>
      <c r="C203" s="28" t="s">
        <v>493</v>
      </c>
      <c r="G203" s="158">
        <f t="shared" ref="G203:T203" si="68">SUM(G198:G202)</f>
        <v>295.11491528878787</v>
      </c>
      <c r="H203" s="158">
        <f t="shared" si="68"/>
        <v>261.14897704302132</v>
      </c>
      <c r="I203" s="158">
        <f t="shared" si="68"/>
        <v>260.52847196050016</v>
      </c>
      <c r="J203" s="158">
        <f t="shared" si="68"/>
        <v>260.32843392520135</v>
      </c>
      <c r="K203" s="158">
        <f t="shared" si="68"/>
        <v>98.694009440868058</v>
      </c>
      <c r="L203" s="158">
        <f t="shared" si="68"/>
        <v>149.276917095502</v>
      </c>
      <c r="M203" s="158">
        <f t="shared" si="68"/>
        <v>151.47288327679556</v>
      </c>
      <c r="N203" s="158">
        <f t="shared" si="68"/>
        <v>145.93337868442075</v>
      </c>
      <c r="O203" s="158">
        <f t="shared" si="68"/>
        <v>130.71957082755887</v>
      </c>
      <c r="P203" s="158">
        <f t="shared" si="68"/>
        <v>115.34647600908278</v>
      </c>
      <c r="Q203" s="158">
        <f t="shared" si="68"/>
        <v>100.07096497906817</v>
      </c>
      <c r="R203" s="158">
        <f t="shared" si="68"/>
        <v>83.465399941584792</v>
      </c>
      <c r="S203" s="158">
        <f t="shared" si="68"/>
        <v>74.442043596403295</v>
      </c>
      <c r="T203" s="158">
        <f t="shared" si="68"/>
        <v>75.253881475553555</v>
      </c>
    </row>
    <row r="204" spans="2:20" x14ac:dyDescent="0.25">
      <c r="B204" s="23" t="s">
        <v>2959</v>
      </c>
      <c r="C204" s="28" t="s">
        <v>493</v>
      </c>
      <c r="G204" s="29">
        <f>'Source Data'!$E$809</f>
        <v>3.8611135376500001</v>
      </c>
      <c r="H204" s="29">
        <f>'Source Data'!$E$809</f>
        <v>3.8611135376500001</v>
      </c>
      <c r="I204" s="29">
        <f>'Source Data'!$E$809</f>
        <v>3.8611135376500001</v>
      </c>
      <c r="J204" s="29">
        <f>'Source Data'!$E$809</f>
        <v>3.8611135376500001</v>
      </c>
      <c r="K204" s="29">
        <f>'Source Data'!$E$809</f>
        <v>3.8611135376500001</v>
      </c>
      <c r="L204" s="29">
        <f>'Source Data'!$E$809</f>
        <v>3.8611135376500001</v>
      </c>
      <c r="M204" s="29">
        <f>'Source Data'!$E$809</f>
        <v>3.8611135376500001</v>
      </c>
      <c r="N204" s="29">
        <f>'Source Data'!$E$809</f>
        <v>3.8611135376500001</v>
      </c>
      <c r="O204" s="29">
        <f>'Source Data'!$E$809</f>
        <v>3.8611135376500001</v>
      </c>
      <c r="P204" s="29">
        <f>'Source Data'!$E$809</f>
        <v>3.8611135376500001</v>
      </c>
      <c r="Q204" s="29">
        <f>'Source Data'!$E$809</f>
        <v>3.8611135376500001</v>
      </c>
      <c r="R204" s="29">
        <f>'Source Data'!$E$809</f>
        <v>3.8611135376500001</v>
      </c>
      <c r="S204" s="29">
        <f>'Source Data'!$E$809</f>
        <v>3.8611135376500001</v>
      </c>
      <c r="T204" s="29">
        <f>'Source Data'!$E$809</f>
        <v>3.8611135376500001</v>
      </c>
    </row>
    <row r="205" spans="2:20" x14ac:dyDescent="0.25">
      <c r="B205" s="23" t="s">
        <v>2960</v>
      </c>
      <c r="C205" s="28" t="s">
        <v>493</v>
      </c>
      <c r="G205" s="29">
        <f>'Source Data'!$E$810</f>
        <v>16.26364090081</v>
      </c>
      <c r="H205" s="29">
        <f>'Source Data'!$E$810</f>
        <v>16.26364090081</v>
      </c>
      <c r="I205" s="29">
        <f>'Source Data'!$E$810</f>
        <v>16.26364090081</v>
      </c>
      <c r="J205" s="29">
        <f>'Source Data'!$E$810</f>
        <v>16.26364090081</v>
      </c>
      <c r="K205" s="29">
        <f>'Source Data'!$E$810</f>
        <v>16.26364090081</v>
      </c>
      <c r="L205" s="29">
        <f>'Source Data'!$E$810</f>
        <v>16.26364090081</v>
      </c>
      <c r="M205" s="29">
        <f>'Source Data'!$E$810</f>
        <v>16.26364090081</v>
      </c>
      <c r="N205" s="29">
        <f>'Source Data'!$E$810</f>
        <v>16.26364090081</v>
      </c>
      <c r="O205" s="29">
        <f>'Source Data'!$E$810</f>
        <v>16.26364090081</v>
      </c>
      <c r="P205" s="29">
        <f>'Source Data'!$E$810</f>
        <v>16.26364090081</v>
      </c>
      <c r="Q205" s="29">
        <f>'Source Data'!$E$810</f>
        <v>16.26364090081</v>
      </c>
      <c r="R205" s="29">
        <f>'Source Data'!$E$810</f>
        <v>16.26364090081</v>
      </c>
      <c r="S205" s="29">
        <f>'Source Data'!$E$810</f>
        <v>16.26364090081</v>
      </c>
      <c r="T205" s="29">
        <f>'Source Data'!$E$810</f>
        <v>16.26364090081</v>
      </c>
    </row>
    <row r="206" spans="2:20" x14ac:dyDescent="0.25">
      <c r="B206" s="154" t="s">
        <v>2961</v>
      </c>
    </row>
    <row r="207" spans="2:20" x14ac:dyDescent="0.25">
      <c r="B207" s="23" t="s">
        <v>2962</v>
      </c>
      <c r="C207" s="28" t="s">
        <v>493</v>
      </c>
      <c r="G207" s="29">
        <f>Financing!G104</f>
        <v>677.73059999999998</v>
      </c>
      <c r="H207" s="29">
        <f>Financing!H104</f>
        <v>677.73059999999998</v>
      </c>
      <c r="I207" s="29">
        <f>Financing!I104</f>
        <v>677.73059999999998</v>
      </c>
      <c r="J207" s="29">
        <f>Financing!J104</f>
        <v>677.73059999999998</v>
      </c>
      <c r="K207" s="29">
        <f>Financing!K104</f>
        <v>754.39580407758194</v>
      </c>
      <c r="L207" s="29">
        <f>Financing!L104</f>
        <v>754.39580407758194</v>
      </c>
      <c r="M207" s="29">
        <f>Financing!M104</f>
        <v>754.39580407758194</v>
      </c>
      <c r="N207" s="29">
        <f>Financing!N104</f>
        <v>754.39580407758194</v>
      </c>
      <c r="O207" s="29">
        <f>Financing!O104</f>
        <v>754.39580407758194</v>
      </c>
      <c r="P207" s="29">
        <f>Financing!P104</f>
        <v>754.39580407758194</v>
      </c>
      <c r="Q207" s="29">
        <f>Financing!Q104</f>
        <v>754.39580407758194</v>
      </c>
      <c r="R207" s="29">
        <f>Financing!R104</f>
        <v>754.39580407758194</v>
      </c>
      <c r="S207" s="29">
        <f>Financing!S104</f>
        <v>754.39580407758194</v>
      </c>
      <c r="T207" s="29">
        <f>Financing!T104</f>
        <v>754.39580407758194</v>
      </c>
    </row>
    <row r="208" spans="2:20" x14ac:dyDescent="0.25">
      <c r="B208" s="23" t="s">
        <v>2963</v>
      </c>
      <c r="C208" s="28" t="s">
        <v>493</v>
      </c>
      <c r="G208" s="29">
        <f>Financing!G105</f>
        <v>290.59201234880999</v>
      </c>
      <c r="H208" s="29">
        <f>Financing!H105</f>
        <v>324.6885337838267</v>
      </c>
      <c r="I208" s="29">
        <f>Financing!I105</f>
        <v>401.1938772856434</v>
      </c>
      <c r="J208" s="29">
        <f>Financing!J105</f>
        <v>506.4245835114109</v>
      </c>
      <c r="K208" s="29">
        <f>Financing!K105</f>
        <v>694.97084771704954</v>
      </c>
      <c r="L208" s="29">
        <f>Financing!L105</f>
        <v>856.23188755849355</v>
      </c>
      <c r="M208" s="29">
        <f>Financing!M105</f>
        <v>1045.4204288635492</v>
      </c>
      <c r="N208" s="29">
        <f>Financing!N105</f>
        <v>1250.2308582979551</v>
      </c>
      <c r="O208" s="29">
        <f>Financing!O105</f>
        <v>1480.405637414658</v>
      </c>
      <c r="P208" s="29">
        <f>Financing!P105</f>
        <v>1726.7139194224596</v>
      </c>
      <c r="Q208" s="29">
        <f>Financing!Q105</f>
        <v>1998.7273918104072</v>
      </c>
      <c r="R208" s="29">
        <f>Financing!R105</f>
        <v>2285.4434733210064</v>
      </c>
      <c r="S208" s="29">
        <f>Financing!S105</f>
        <v>2571.7797611937858</v>
      </c>
      <c r="T208" s="29">
        <f>Financing!T105</f>
        <v>2870.2480366999621</v>
      </c>
    </row>
    <row r="209" spans="2:20" x14ac:dyDescent="0.25">
      <c r="B209" s="21" t="s">
        <v>2964</v>
      </c>
      <c r="C209" s="28" t="s">
        <v>493</v>
      </c>
      <c r="G209" s="158">
        <f t="shared" ref="G209:T209" si="69">SUM(G207:G208)</f>
        <v>968.32261234881003</v>
      </c>
      <c r="H209" s="158">
        <f t="shared" si="69"/>
        <v>1002.4191337838267</v>
      </c>
      <c r="I209" s="158">
        <f t="shared" si="69"/>
        <v>1078.9244772856434</v>
      </c>
      <c r="J209" s="158">
        <f t="shared" si="69"/>
        <v>1184.155183511411</v>
      </c>
      <c r="K209" s="158">
        <f t="shared" si="69"/>
        <v>1449.3666517946315</v>
      </c>
      <c r="L209" s="158">
        <f t="shared" si="69"/>
        <v>1610.6276916360755</v>
      </c>
      <c r="M209" s="158">
        <f t="shared" si="69"/>
        <v>1799.8162329411311</v>
      </c>
      <c r="N209" s="158">
        <f t="shared" si="69"/>
        <v>2004.6266623755371</v>
      </c>
      <c r="O209" s="158">
        <f t="shared" si="69"/>
        <v>2234.80144149224</v>
      </c>
      <c r="P209" s="158">
        <f t="shared" si="69"/>
        <v>2481.1097235000416</v>
      </c>
      <c r="Q209" s="158">
        <f t="shared" si="69"/>
        <v>2753.1231958879889</v>
      </c>
      <c r="R209" s="158">
        <f t="shared" si="69"/>
        <v>3039.8392773985884</v>
      </c>
      <c r="S209" s="158">
        <f t="shared" si="69"/>
        <v>3326.1755652713678</v>
      </c>
      <c r="T209" s="158">
        <f t="shared" si="69"/>
        <v>3624.643840777544</v>
      </c>
    </row>
    <row r="210" spans="2:20" x14ac:dyDescent="0.25">
      <c r="B210" s="23" t="s">
        <v>2965</v>
      </c>
      <c r="C210" s="28" t="s">
        <v>493</v>
      </c>
      <c r="G210" s="29">
        <f>Financing!G106</f>
        <v>123.70530996843949</v>
      </c>
      <c r="H210" s="29">
        <f>Financing!H106</f>
        <v>143.02552550287095</v>
      </c>
      <c r="I210" s="29">
        <f>Financing!I106</f>
        <v>163.13813965549332</v>
      </c>
      <c r="J210" s="29">
        <f>Financing!J106</f>
        <v>183.78021338652127</v>
      </c>
      <c r="K210" s="29">
        <f>Financing!K106</f>
        <v>205.37280640907468</v>
      </c>
      <c r="L210" s="29">
        <f>Financing!L106</f>
        <v>227.81066186573477</v>
      </c>
      <c r="M210" s="29">
        <f>Financing!M106</f>
        <v>252.31622163220806</v>
      </c>
      <c r="N210" s="29">
        <f>Financing!N106</f>
        <v>277.74343675907846</v>
      </c>
      <c r="O210" s="29">
        <f>Financing!O106</f>
        <v>304.10939793066041</v>
      </c>
      <c r="P210" s="29">
        <f>Financing!P106</f>
        <v>332.82397589180738</v>
      </c>
      <c r="Q210" s="29">
        <f>Financing!Q106</f>
        <v>362.56122851300512</v>
      </c>
      <c r="R210" s="29">
        <f>Financing!R106</f>
        <v>393.33925898129303</v>
      </c>
      <c r="S210" s="29">
        <f>Financing!S106</f>
        <v>425.17595752040597</v>
      </c>
      <c r="T210" s="29">
        <f>Financing!T106</f>
        <v>458.08894901847924</v>
      </c>
    </row>
    <row r="211" spans="2:20" x14ac:dyDescent="0.25">
      <c r="B211" s="21" t="s">
        <v>2966</v>
      </c>
      <c r="C211" s="28" t="s">
        <v>493</v>
      </c>
      <c r="G211" s="158">
        <f t="shared" ref="G211:T211" si="70">G203+G209</f>
        <v>1263.4375276375979</v>
      </c>
      <c r="H211" s="158">
        <f t="shared" si="70"/>
        <v>1263.5681108268482</v>
      </c>
      <c r="I211" s="158">
        <f t="shared" si="70"/>
        <v>1339.4529492461436</v>
      </c>
      <c r="J211" s="158">
        <f t="shared" si="70"/>
        <v>1444.4836174366123</v>
      </c>
      <c r="K211" s="158">
        <f t="shared" si="70"/>
        <v>1548.0606612354995</v>
      </c>
      <c r="L211" s="158">
        <f t="shared" si="70"/>
        <v>1759.9046087315776</v>
      </c>
      <c r="M211" s="158">
        <f t="shared" si="70"/>
        <v>1951.2891162179267</v>
      </c>
      <c r="N211" s="158">
        <f t="shared" si="70"/>
        <v>2150.5600410599577</v>
      </c>
      <c r="O211" s="158">
        <f t="shared" si="70"/>
        <v>2365.521012319799</v>
      </c>
      <c r="P211" s="158">
        <f t="shared" si="70"/>
        <v>2596.4561995091244</v>
      </c>
      <c r="Q211" s="158">
        <f t="shared" si="70"/>
        <v>2853.1941608670572</v>
      </c>
      <c r="R211" s="158">
        <f t="shared" si="70"/>
        <v>3123.3046773401729</v>
      </c>
      <c r="S211" s="158">
        <f t="shared" si="70"/>
        <v>3400.6176088677712</v>
      </c>
      <c r="T211" s="158">
        <f t="shared" si="70"/>
        <v>3699.8977222530975</v>
      </c>
    </row>
    <row r="212" spans="2:20" ht="26.25" customHeight="1" x14ac:dyDescent="0.25">
      <c r="B212" s="64" t="s">
        <v>2967</v>
      </c>
      <c r="C212" s="28" t="s">
        <v>493</v>
      </c>
      <c r="G212" s="161">
        <f t="shared" ref="G212:T212" si="71">G195-G211</f>
        <v>6.1319023195665068E-3</v>
      </c>
      <c r="H212" s="161">
        <f t="shared" si="71"/>
        <v>6.1319023195665068E-3</v>
      </c>
      <c r="I212" s="161">
        <f t="shared" si="71"/>
        <v>6.1319023197938805E-3</v>
      </c>
      <c r="J212" s="161">
        <f t="shared" si="71"/>
        <v>6.1319023197938805E-3</v>
      </c>
      <c r="K212" s="161">
        <f t="shared" si="71"/>
        <v>6.1319023197938805E-3</v>
      </c>
      <c r="L212" s="161">
        <f t="shared" si="71"/>
        <v>6.1319023195665068E-3</v>
      </c>
      <c r="M212" s="161">
        <f t="shared" si="71"/>
        <v>6.1319023197938805E-3</v>
      </c>
      <c r="N212" s="161">
        <f t="shared" si="71"/>
        <v>6.1319023197938805E-3</v>
      </c>
      <c r="O212" s="161">
        <f t="shared" si="71"/>
        <v>6.1319023197938805E-3</v>
      </c>
      <c r="P212" s="161">
        <f t="shared" si="71"/>
        <v>6.1319023197938805E-3</v>
      </c>
      <c r="Q212" s="161">
        <f t="shared" si="71"/>
        <v>6.1319023202486278E-3</v>
      </c>
      <c r="R212" s="161">
        <f t="shared" si="71"/>
        <v>6.1319023207033752E-3</v>
      </c>
      <c r="S212" s="161">
        <f t="shared" si="71"/>
        <v>6.1319023202486278E-3</v>
      </c>
      <c r="T212" s="161">
        <f t="shared" si="71"/>
        <v>6.1319023207033752E-3</v>
      </c>
    </row>
    <row r="213" spans="2:20" ht="26.25" customHeight="1" x14ac:dyDescent="0.25">
      <c r="B213" s="64" t="s">
        <v>2968</v>
      </c>
      <c r="C213" s="28" t="s">
        <v>493</v>
      </c>
      <c r="G213" s="165">
        <f t="shared" ref="G213:T213" si="72">ROUNDDOWN(G212,2)</f>
        <v>0</v>
      </c>
      <c r="H213" s="165">
        <f t="shared" si="72"/>
        <v>0</v>
      </c>
      <c r="I213" s="165">
        <f t="shared" si="72"/>
        <v>0</v>
      </c>
      <c r="J213" s="165">
        <f t="shared" si="72"/>
        <v>0</v>
      </c>
      <c r="K213" s="165">
        <f t="shared" si="72"/>
        <v>0</v>
      </c>
      <c r="L213" s="165">
        <f t="shared" si="72"/>
        <v>0</v>
      </c>
      <c r="M213" s="165">
        <f t="shared" si="72"/>
        <v>0</v>
      </c>
      <c r="N213" s="165">
        <f t="shared" si="72"/>
        <v>0</v>
      </c>
      <c r="O213" s="165">
        <f t="shared" si="72"/>
        <v>0</v>
      </c>
      <c r="P213" s="165">
        <f t="shared" si="72"/>
        <v>0</v>
      </c>
      <c r="Q213" s="165">
        <f t="shared" si="72"/>
        <v>0</v>
      </c>
      <c r="R213" s="165">
        <f t="shared" si="72"/>
        <v>0</v>
      </c>
      <c r="S213" s="165">
        <f t="shared" si="72"/>
        <v>0</v>
      </c>
      <c r="T213" s="165">
        <f t="shared" si="72"/>
        <v>0</v>
      </c>
    </row>
    <row r="214" spans="2:20" ht="26.25" customHeight="1" x14ac:dyDescent="0.25">
      <c r="B214" s="64" t="s">
        <v>2969</v>
      </c>
      <c r="C214" s="28" t="s">
        <v>493</v>
      </c>
      <c r="G214" s="161">
        <f>ROUND(G212-'Source Data'!$E$813,4)</f>
        <v>0</v>
      </c>
      <c r="H214" s="161">
        <f>ROUND(H212-'Source Data'!$E$813,4)</f>
        <v>0</v>
      </c>
      <c r="I214" s="161">
        <f>ROUND(I212-'Source Data'!$E$813,4)</f>
        <v>0</v>
      </c>
      <c r="J214" s="161">
        <f>ROUND(J212-'Source Data'!$E$813,4)</f>
        <v>0</v>
      </c>
      <c r="K214" s="161">
        <f>ROUND(K212-'Source Data'!$E$813,4)</f>
        <v>0</v>
      </c>
      <c r="L214" s="161">
        <f>ROUND(L212-'Source Data'!$E$813,4)</f>
        <v>0</v>
      </c>
      <c r="M214" s="161">
        <f>ROUND(M212-'Source Data'!$E$813,4)</f>
        <v>0</v>
      </c>
      <c r="N214" s="161">
        <f>ROUND(N212-'Source Data'!$E$813,4)</f>
        <v>0</v>
      </c>
      <c r="O214" s="161">
        <f>ROUND(O212-'Source Data'!$E$813,4)</f>
        <v>0</v>
      </c>
      <c r="P214" s="161">
        <f>ROUND(P212-'Source Data'!$E$813,4)</f>
        <v>0</v>
      </c>
      <c r="Q214" s="161">
        <f>ROUND(Q212-'Source Data'!$E$813,4)</f>
        <v>0</v>
      </c>
      <c r="R214" s="161">
        <f>ROUND(R212-'Source Data'!$E$813,4)</f>
        <v>0</v>
      </c>
      <c r="S214" s="161">
        <f>ROUND(S212-'Source Data'!$E$813,4)</f>
        <v>0</v>
      </c>
      <c r="T214" s="161">
        <f>ROUND(T212-'Source Data'!$E$813,4)</f>
        <v>0</v>
      </c>
    </row>
    <row r="215" spans="2:20" x14ac:dyDescent="0.25">
      <c r="B215" s="23" t="s">
        <v>2970</v>
      </c>
      <c r="C215" s="28" t="s">
        <v>493</v>
      </c>
      <c r="G215" s="159">
        <f>G199-G190-G196</f>
        <v>102.87956019848002</v>
      </c>
      <c r="H215" s="159">
        <f t="shared" ref="H215:T215" si="73">H199+H200+H201-H190-H196</f>
        <v>102.8134374550568</v>
      </c>
      <c r="I215" s="159">
        <f t="shared" si="73"/>
        <v>-56.849912630134497</v>
      </c>
      <c r="J215" s="159">
        <f t="shared" si="73"/>
        <v>131.18</v>
      </c>
      <c r="K215" s="159">
        <f t="shared" si="73"/>
        <v>-31.47</v>
      </c>
      <c r="L215" s="159">
        <f t="shared" si="73"/>
        <v>-231.24160371850326</v>
      </c>
      <c r="M215" s="159">
        <f t="shared" si="73"/>
        <v>-567.2857026801023</v>
      </c>
      <c r="N215" s="159">
        <f t="shared" si="73"/>
        <v>-925.40053896328391</v>
      </c>
      <c r="O215" s="159">
        <f t="shared" si="73"/>
        <v>-1306.2172868480566</v>
      </c>
      <c r="P215" s="159">
        <f t="shared" si="73"/>
        <v>-1707.8990085653907</v>
      </c>
      <c r="Q215" s="159">
        <f t="shared" si="73"/>
        <v>-2132.369768863271</v>
      </c>
      <c r="R215" s="159">
        <f t="shared" si="73"/>
        <v>-2570.911022397589</v>
      </c>
      <c r="S215" s="159">
        <f t="shared" si="73"/>
        <v>-3010.528258896044</v>
      </c>
      <c r="T215" s="159">
        <f t="shared" si="73"/>
        <v>-3459.8708718269595</v>
      </c>
    </row>
    <row r="217" spans="2:20" x14ac:dyDescent="0.25">
      <c r="B217" s="58" t="s">
        <v>2971</v>
      </c>
      <c r="C217" s="19"/>
      <c r="D217" s="19"/>
      <c r="E217" s="19"/>
      <c r="F217" s="19"/>
      <c r="G217" s="19"/>
      <c r="H217" s="19"/>
      <c r="I217" s="19"/>
      <c r="J217" s="19"/>
      <c r="K217" s="19"/>
      <c r="L217" s="19"/>
      <c r="M217" s="19"/>
      <c r="N217" s="19"/>
      <c r="O217" s="19"/>
      <c r="P217" s="19"/>
      <c r="Q217" s="19"/>
      <c r="R217" s="19"/>
      <c r="S217" s="19"/>
      <c r="T217" s="19"/>
    </row>
    <row r="218" spans="2:20" x14ac:dyDescent="0.25">
      <c r="B218" s="23" t="s">
        <v>2972</v>
      </c>
      <c r="C218" s="28" t="s">
        <v>493</v>
      </c>
      <c r="H218" s="159">
        <f t="shared" ref="H218:T218" si="74">H26</f>
        <v>40.429223963838908</v>
      </c>
      <c r="I218" s="159">
        <f t="shared" si="74"/>
        <v>100.67365608004286</v>
      </c>
      <c r="J218" s="159">
        <f t="shared" si="74"/>
        <v>119.4742906980608</v>
      </c>
      <c r="K218" s="159">
        <f t="shared" si="74"/>
        <v>188.54626420563858</v>
      </c>
      <c r="L218" s="159">
        <f t="shared" si="74"/>
        <v>220.75669029206574</v>
      </c>
      <c r="M218" s="159">
        <f t="shared" si="74"/>
        <v>259.76696196444806</v>
      </c>
      <c r="N218" s="159">
        <f t="shared" si="74"/>
        <v>281.68894985192134</v>
      </c>
      <c r="O218" s="159">
        <f t="shared" si="74"/>
        <v>317.5214153788977</v>
      </c>
      <c r="P218" s="159">
        <f t="shared" si="74"/>
        <v>339.56272659922496</v>
      </c>
      <c r="Q218" s="159">
        <f t="shared" si="74"/>
        <v>375.84613800226924</v>
      </c>
      <c r="R218" s="159">
        <f t="shared" si="74"/>
        <v>396.40381767158982</v>
      </c>
      <c r="S218" s="159">
        <f t="shared" si="74"/>
        <v>395.40754044435056</v>
      </c>
      <c r="T218" s="159">
        <f t="shared" si="74"/>
        <v>412.27768293822038</v>
      </c>
    </row>
    <row r="219" spans="2:20" x14ac:dyDescent="0.25">
      <c r="B219" s="23" t="s">
        <v>2973</v>
      </c>
      <c r="C219" s="28" t="s">
        <v>493</v>
      </c>
      <c r="H219" s="29">
        <f>'Capex &amp; Depreciation'!H254</f>
        <v>88.373062408935311</v>
      </c>
      <c r="I219" s="29">
        <f>'Capex &amp; Depreciation'!I254</f>
        <v>113.59968518200155</v>
      </c>
      <c r="J219" s="29">
        <f>'Capex &amp; Depreciation'!J254</f>
        <v>134.96780390311255</v>
      </c>
      <c r="K219" s="29">
        <f>'Capex &amp; Depreciation'!K254</f>
        <v>136.94134168720865</v>
      </c>
      <c r="L219" s="29">
        <f>'Capex &amp; Depreciation'!L254</f>
        <v>144.19843006333596</v>
      </c>
      <c r="M219" s="29">
        <f>'Capex &amp; Depreciation'!M254</f>
        <v>157.58486920695159</v>
      </c>
      <c r="N219" s="29">
        <f>'Capex &amp; Depreciation'!N254</f>
        <v>157.59377594247448</v>
      </c>
      <c r="O219" s="29">
        <f>'Capex &amp; Depreciation'!O254</f>
        <v>157.60286081270777</v>
      </c>
      <c r="P219" s="29">
        <f>'Capex &amp; Depreciation'!P254</f>
        <v>159.64329918048264</v>
      </c>
      <c r="Q219" s="29">
        <f>'Capex &amp; Depreciation'!Q254</f>
        <v>159.62157927933652</v>
      </c>
      <c r="R219" s="29">
        <f>'Capex &amp; Depreciation'!R254</f>
        <v>154.09337497821181</v>
      </c>
      <c r="S219" s="29">
        <f>'Capex &amp; Depreciation'!S254</f>
        <v>154.10320873392178</v>
      </c>
      <c r="T219" s="29">
        <f>'Capex &amp; Depreciation'!T254</f>
        <v>154.14441096488284</v>
      </c>
    </row>
    <row r="220" spans="2:20" x14ac:dyDescent="0.25">
      <c r="B220" s="23" t="s">
        <v>2974</v>
      </c>
      <c r="C220" s="28" t="s">
        <v>493</v>
      </c>
      <c r="H220" s="29">
        <f>'Capex &amp; Depreciation'!H316</f>
        <v>0</v>
      </c>
      <c r="I220" s="29">
        <f>'Capex &amp; Depreciation'!I316</f>
        <v>0</v>
      </c>
      <c r="J220" s="29">
        <f>'Capex &amp; Depreciation'!J316</f>
        <v>0</v>
      </c>
      <c r="K220" s="29">
        <f>'Capex &amp; Depreciation'!K316</f>
        <v>0</v>
      </c>
      <c r="L220" s="29">
        <f>'Capex &amp; Depreciation'!L316</f>
        <v>0</v>
      </c>
      <c r="M220" s="29">
        <f>'Capex &amp; Depreciation'!M316</f>
        <v>0</v>
      </c>
      <c r="N220" s="29">
        <f>'Capex &amp; Depreciation'!N316</f>
        <v>0</v>
      </c>
      <c r="O220" s="29">
        <f>'Capex &amp; Depreciation'!O316</f>
        <v>0</v>
      </c>
      <c r="P220" s="29">
        <f>'Capex &amp; Depreciation'!P316</f>
        <v>0</v>
      </c>
      <c r="Q220" s="29">
        <f>'Capex &amp; Depreciation'!Q316</f>
        <v>0</v>
      </c>
      <c r="R220" s="29">
        <f>'Capex &amp; Depreciation'!R316</f>
        <v>0</v>
      </c>
      <c r="S220" s="29">
        <f>'Capex &amp; Depreciation'!S316</f>
        <v>0</v>
      </c>
      <c r="T220" s="29">
        <f>'Capex &amp; Depreciation'!T316</f>
        <v>0</v>
      </c>
    </row>
    <row r="221" spans="2:20" x14ac:dyDescent="0.25">
      <c r="B221" s="23" t="s">
        <v>2975</v>
      </c>
      <c r="C221" s="28" t="s">
        <v>493</v>
      </c>
      <c r="H221" s="159">
        <f>-'Working Capital'!H122</f>
        <v>2.8370388994712172</v>
      </c>
      <c r="I221" s="159">
        <f>-'Working Capital'!I122</f>
        <v>-15.803178598627007</v>
      </c>
      <c r="J221" s="159">
        <f>-'Working Capital'!J122</f>
        <v>-8.4563929971098872</v>
      </c>
      <c r="K221" s="159">
        <f>-'Working Capital'!K122</f>
        <v>-14.439184970429189</v>
      </c>
      <c r="L221" s="159">
        <f>-'Working Capital'!L122</f>
        <v>-8.0978661862768035</v>
      </c>
      <c r="M221" s="159">
        <f>-'Working Capital'!M122</f>
        <v>-10.729311550408283</v>
      </c>
      <c r="N221" s="159">
        <f>-'Working Capital'!N122</f>
        <v>-4.2893690936989941</v>
      </c>
      <c r="O221" s="159">
        <f>-'Working Capital'!O122</f>
        <v>-6.9608920446379159</v>
      </c>
      <c r="P221" s="159">
        <f>-'Working Capital'!P122</f>
        <v>-4.2698594709500952</v>
      </c>
      <c r="Q221" s="159">
        <f>-'Working Capital'!Q122</f>
        <v>-7.1642913694044239</v>
      </c>
      <c r="R221" s="159">
        <f>-'Working Capital'!R122</f>
        <v>-2.2682029544930629</v>
      </c>
      <c r="S221" s="159">
        <f>-'Working Capital'!S122</f>
        <v>-0.82226010824624041</v>
      </c>
      <c r="T221" s="159">
        <f>-'Working Capital'!T122</f>
        <v>-3.2700735401435708</v>
      </c>
    </row>
    <row r="222" spans="2:20" x14ac:dyDescent="0.25">
      <c r="B222" s="21" t="s">
        <v>2976</v>
      </c>
      <c r="C222" s="28" t="s">
        <v>493</v>
      </c>
      <c r="G222" s="157"/>
      <c r="H222" s="158">
        <f t="shared" ref="H222:T222" si="75">SUM(H218:H221)</f>
        <v>131.63932527224546</v>
      </c>
      <c r="I222" s="158">
        <f t="shared" si="75"/>
        <v>198.47016266341743</v>
      </c>
      <c r="J222" s="158">
        <f t="shared" si="75"/>
        <v>245.98570160406348</v>
      </c>
      <c r="K222" s="158">
        <f t="shared" si="75"/>
        <v>311.04842092241802</v>
      </c>
      <c r="L222" s="158">
        <f t="shared" si="75"/>
        <v>356.85725416912493</v>
      </c>
      <c r="M222" s="158">
        <f t="shared" si="75"/>
        <v>406.6225196209914</v>
      </c>
      <c r="N222" s="158">
        <f t="shared" si="75"/>
        <v>434.99335670069678</v>
      </c>
      <c r="O222" s="158">
        <f t="shared" si="75"/>
        <v>468.16338414696759</v>
      </c>
      <c r="P222" s="158">
        <f t="shared" si="75"/>
        <v>494.93616630875749</v>
      </c>
      <c r="Q222" s="158">
        <f t="shared" si="75"/>
        <v>528.30342591220131</v>
      </c>
      <c r="R222" s="158">
        <f t="shared" si="75"/>
        <v>548.22898969530854</v>
      </c>
      <c r="S222" s="158">
        <f t="shared" si="75"/>
        <v>548.68848907002609</v>
      </c>
      <c r="T222" s="158">
        <f t="shared" si="75"/>
        <v>563.15202036295966</v>
      </c>
    </row>
    <row r="223" spans="2:20" x14ac:dyDescent="0.25">
      <c r="B223" s="23" t="s">
        <v>2977</v>
      </c>
      <c r="C223" s="28" t="s">
        <v>493</v>
      </c>
      <c r="H223" s="159">
        <f>-'Capex &amp; Depreciation'!H80</f>
        <v>-125.24050000000001</v>
      </c>
      <c r="I223" s="159">
        <f>-'Capex &amp; Depreciation'!I80</f>
        <v>-14.638500000000001</v>
      </c>
      <c r="J223" s="159">
        <f>-'Capex &amp; Depreciation'!J80</f>
        <v>-419.77202976190472</v>
      </c>
      <c r="K223" s="159">
        <f>-'Capex &amp; Depreciation'!K80</f>
        <v>-225.06362499999994</v>
      </c>
      <c r="L223" s="159">
        <f>-'Capex &amp; Depreciation'!L80</f>
        <v>-97.59</v>
      </c>
      <c r="M223" s="159">
        <f>-'Capex &amp; Depreciation'!M80</f>
        <v>0</v>
      </c>
      <c r="N223" s="159">
        <f>-'Capex &amp; Depreciation'!N80</f>
        <v>0</v>
      </c>
      <c r="O223" s="159">
        <f>-'Capex &amp; Depreciation'!O80</f>
        <v>0</v>
      </c>
      <c r="P223" s="159">
        <f>-'Capex &amp; Depreciation'!P80</f>
        <v>0</v>
      </c>
      <c r="Q223" s="159">
        <f>-'Capex &amp; Depreciation'!Q80</f>
        <v>0</v>
      </c>
      <c r="R223" s="159">
        <f>-'Capex &amp; Depreciation'!R80</f>
        <v>0</v>
      </c>
      <c r="S223" s="159">
        <f>-'Capex &amp; Depreciation'!S80</f>
        <v>0</v>
      </c>
      <c r="T223" s="159">
        <f>-'Capex &amp; Depreciation'!T80</f>
        <v>0</v>
      </c>
    </row>
    <row r="224" spans="2:20" x14ac:dyDescent="0.25">
      <c r="B224" s="23" t="s">
        <v>2978</v>
      </c>
      <c r="C224" s="28" t="s">
        <v>493</v>
      </c>
      <c r="H224" s="159">
        <f>-'Capex &amp; Depreciation'!H210</f>
        <v>0</v>
      </c>
      <c r="I224" s="159">
        <f>-'Capex &amp; Depreciation'!I210</f>
        <v>0</v>
      </c>
      <c r="J224" s="159">
        <f>-'Capex &amp; Depreciation'!J210</f>
        <v>0</v>
      </c>
      <c r="K224" s="159">
        <f>-'Capex &amp; Depreciation'!K210</f>
        <v>0</v>
      </c>
      <c r="L224" s="159">
        <f>-'Capex &amp; Depreciation'!L210</f>
        <v>0</v>
      </c>
      <c r="M224" s="159">
        <f>-'Capex &amp; Depreciation'!M210</f>
        <v>0</v>
      </c>
      <c r="N224" s="159">
        <f>-'Capex &amp; Depreciation'!N210</f>
        <v>0</v>
      </c>
      <c r="O224" s="159">
        <f>-'Capex &amp; Depreciation'!O210</f>
        <v>0</v>
      </c>
      <c r="P224" s="159">
        <f>-'Capex &amp; Depreciation'!P210</f>
        <v>0</v>
      </c>
      <c r="Q224" s="159">
        <f>-'Capex &amp; Depreciation'!Q210</f>
        <v>0</v>
      </c>
      <c r="R224" s="159">
        <f>-'Capex &amp; Depreciation'!R210</f>
        <v>0</v>
      </c>
      <c r="S224" s="159">
        <f>-'Capex &amp; Depreciation'!S210</f>
        <v>0</v>
      </c>
      <c r="T224" s="159">
        <f>-'Capex &amp; Depreciation'!T210</f>
        <v>0</v>
      </c>
    </row>
    <row r="225" spans="2:20" ht="26.25" customHeight="1" x14ac:dyDescent="0.25">
      <c r="B225" s="133" t="s">
        <v>2979</v>
      </c>
      <c r="C225" s="28" t="s">
        <v>493</v>
      </c>
      <c r="G225" s="157"/>
      <c r="H225" s="158">
        <f t="shared" ref="H225:T225" si="76">H223+H224</f>
        <v>-125.24050000000001</v>
      </c>
      <c r="I225" s="158">
        <f t="shared" si="76"/>
        <v>-14.638500000000001</v>
      </c>
      <c r="J225" s="158">
        <f t="shared" si="76"/>
        <v>-419.77202976190472</v>
      </c>
      <c r="K225" s="158">
        <f t="shared" si="76"/>
        <v>-225.06362499999994</v>
      </c>
      <c r="L225" s="158">
        <f t="shared" si="76"/>
        <v>-97.59</v>
      </c>
      <c r="M225" s="158">
        <f t="shared" si="76"/>
        <v>0</v>
      </c>
      <c r="N225" s="158">
        <f t="shared" si="76"/>
        <v>0</v>
      </c>
      <c r="O225" s="158">
        <f t="shared" si="76"/>
        <v>0</v>
      </c>
      <c r="P225" s="158">
        <f t="shared" si="76"/>
        <v>0</v>
      </c>
      <c r="Q225" s="158">
        <f t="shared" si="76"/>
        <v>0</v>
      </c>
      <c r="R225" s="158">
        <f t="shared" si="76"/>
        <v>0</v>
      </c>
      <c r="S225" s="158">
        <f t="shared" si="76"/>
        <v>0</v>
      </c>
      <c r="T225" s="158">
        <f t="shared" si="76"/>
        <v>0</v>
      </c>
    </row>
    <row r="226" spans="2:20" x14ac:dyDescent="0.25">
      <c r="B226" s="23" t="s">
        <v>2980</v>
      </c>
      <c r="C226" s="28" t="s">
        <v>493</v>
      </c>
      <c r="H226" s="29">
        <f>Financing!H90</f>
        <v>0</v>
      </c>
      <c r="I226" s="29">
        <f>Financing!I90</f>
        <v>0</v>
      </c>
      <c r="J226" s="29">
        <f>Financing!J90</f>
        <v>0</v>
      </c>
      <c r="K226" s="29">
        <f>Financing!K90</f>
        <v>76.665204077581919</v>
      </c>
      <c r="L226" s="29">
        <f>Financing!L90</f>
        <v>0</v>
      </c>
      <c r="M226" s="29">
        <f>Financing!M90</f>
        <v>0</v>
      </c>
      <c r="N226" s="29">
        <f>Financing!N90</f>
        <v>0</v>
      </c>
      <c r="O226" s="29">
        <f>Financing!O90</f>
        <v>0</v>
      </c>
      <c r="P226" s="29">
        <f>Financing!P90</f>
        <v>0</v>
      </c>
      <c r="Q226" s="29">
        <f>Financing!Q90</f>
        <v>0</v>
      </c>
      <c r="R226" s="29">
        <f>Financing!R90</f>
        <v>0</v>
      </c>
      <c r="S226" s="29">
        <f>Financing!S90</f>
        <v>0</v>
      </c>
      <c r="T226" s="29">
        <f>Financing!T90</f>
        <v>0</v>
      </c>
    </row>
    <row r="227" spans="2:20" x14ac:dyDescent="0.25">
      <c r="B227" s="23" t="s">
        <v>2981</v>
      </c>
      <c r="C227" s="28" t="s">
        <v>493</v>
      </c>
      <c r="H227" s="159">
        <f>Financing!H39+Financing!H52</f>
        <v>0</v>
      </c>
      <c r="I227" s="159">
        <f>Financing!I39+Financing!I52</f>
        <v>0</v>
      </c>
      <c r="J227" s="159">
        <f>Financing!J39+Financing!J52</f>
        <v>0</v>
      </c>
      <c r="K227" s="159">
        <f>Financing!K39+Financing!K52</f>
        <v>32.53</v>
      </c>
      <c r="L227" s="159">
        <f>Financing!L39+Financing!L52</f>
        <v>48.795000000000002</v>
      </c>
      <c r="M227" s="159">
        <f>Financing!M39+Financing!M52</f>
        <v>0</v>
      </c>
      <c r="N227" s="159">
        <f>Financing!N39+Financing!N52</f>
        <v>0</v>
      </c>
      <c r="O227" s="159">
        <f>Financing!O39+Financing!O52</f>
        <v>0</v>
      </c>
      <c r="P227" s="159">
        <f>Financing!P39+Financing!P52</f>
        <v>0</v>
      </c>
      <c r="Q227" s="159">
        <f>Financing!Q39+Financing!Q52</f>
        <v>0</v>
      </c>
      <c r="R227" s="159">
        <f>Financing!R39+Financing!R52</f>
        <v>0</v>
      </c>
      <c r="S227" s="159">
        <f>Financing!S39+Financing!S52</f>
        <v>0</v>
      </c>
      <c r="T227" s="159">
        <f>Financing!T39+Financing!T52</f>
        <v>0</v>
      </c>
    </row>
    <row r="228" spans="2:20" ht="26.25" customHeight="1" x14ac:dyDescent="0.25">
      <c r="B228" s="64" t="s">
        <v>2982</v>
      </c>
      <c r="C228" s="28" t="s">
        <v>493</v>
      </c>
      <c r="H228" s="159">
        <f>-(Financing!H19+Financing!H40+Financing!H53)</f>
        <v>-29.338465248760002</v>
      </c>
      <c r="I228" s="159">
        <f>-(Financing!I19+Financing!I40+Financing!I53)</f>
        <v>0</v>
      </c>
      <c r="J228" s="159">
        <f>-(Financing!J19+Financing!J40+Financing!J53)</f>
        <v>0</v>
      </c>
      <c r="K228" s="159">
        <f>-(Financing!K19+Financing!K40+Financing!K53)</f>
        <v>-195.18</v>
      </c>
      <c r="L228" s="159">
        <f>-(Financing!L19+Financing!L40+Financing!L53)</f>
        <v>0</v>
      </c>
      <c r="M228" s="159">
        <f>-(Financing!M19+Financing!M40+Financing!M53)</f>
        <v>0</v>
      </c>
      <c r="N228" s="159">
        <f>-(Financing!N19+Financing!N40+Financing!N53)</f>
        <v>-6.5060000000000002</v>
      </c>
      <c r="O228" s="159">
        <f>-(Financing!O19+Financing!O40+Financing!O53)</f>
        <v>-16.265000000000001</v>
      </c>
      <c r="P228" s="159">
        <f>-(Financing!P19+Financing!P40+Financing!P53)</f>
        <v>-16.265000000000001</v>
      </c>
      <c r="Q228" s="159">
        <f>-(Financing!Q19+Financing!Q40+Financing!Q53)</f>
        <v>-16.265000000000001</v>
      </c>
      <c r="R228" s="159">
        <f>-(Financing!R19+Financing!R40+Financing!R53)</f>
        <v>-16.265000000000001</v>
      </c>
      <c r="S228" s="159">
        <f>-(Financing!S19+Financing!S40+Financing!S53)</f>
        <v>-9.7590000000000003</v>
      </c>
      <c r="T228" s="159">
        <f>-(Financing!T19+Financing!T40+Financing!T53)</f>
        <v>0</v>
      </c>
    </row>
    <row r="229" spans="2:20" x14ac:dyDescent="0.25">
      <c r="B229" s="23" t="s">
        <v>2983</v>
      </c>
      <c r="C229" s="28" t="s">
        <v>493</v>
      </c>
      <c r="H229" s="159">
        <f>-Financing!H100</f>
        <v>-6.3327025288222343</v>
      </c>
      <c r="I229" s="159">
        <f>-Financing!I100</f>
        <v>-24.168312578226143</v>
      </c>
      <c r="J229" s="159">
        <f>-Financing!J100</f>
        <v>-14.243584472293236</v>
      </c>
      <c r="K229" s="159">
        <f>-Financing!K100</f>
        <v>0</v>
      </c>
      <c r="L229" s="159">
        <f>-Financing!L100</f>
        <v>-59.495650450621696</v>
      </c>
      <c r="M229" s="159">
        <f>-Financing!M100</f>
        <v>-70.578420659392435</v>
      </c>
      <c r="N229" s="159">
        <f>-Financing!N100</f>
        <v>-76.878520417515276</v>
      </c>
      <c r="O229" s="159">
        <f>-Financing!O100</f>
        <v>-87.346636262194721</v>
      </c>
      <c r="P229" s="159">
        <f>-Financing!P100</f>
        <v>-93.254444591423393</v>
      </c>
      <c r="Q229" s="159">
        <f>-Financing!Q100</f>
        <v>-103.83266561432144</v>
      </c>
      <c r="R229" s="159">
        <f>-Financing!R100</f>
        <v>-109.68773616099057</v>
      </c>
      <c r="S229" s="159">
        <f>-Financing!S100</f>
        <v>-109.07125257157128</v>
      </c>
      <c r="T229" s="159">
        <f>-Financing!T100</f>
        <v>-113.80940743204413</v>
      </c>
    </row>
    <row r="230" spans="2:20" x14ac:dyDescent="0.25">
      <c r="B230" s="23" t="s">
        <v>2984</v>
      </c>
      <c r="C230" s="28" t="s">
        <v>493</v>
      </c>
      <c r="H230" s="159">
        <f>-Financing!H102</f>
        <v>0</v>
      </c>
      <c r="I230" s="159">
        <f>-Financing!I102</f>
        <v>0</v>
      </c>
      <c r="J230" s="159">
        <f>-Financing!J102</f>
        <v>0</v>
      </c>
      <c r="K230" s="159">
        <f>-Financing!K102</f>
        <v>0</v>
      </c>
      <c r="L230" s="159">
        <f>-Financing!L102</f>
        <v>0</v>
      </c>
      <c r="M230" s="159">
        <f>-Financing!M102</f>
        <v>0</v>
      </c>
      <c r="N230" s="159">
        <f>-Financing!N102</f>
        <v>0</v>
      </c>
      <c r="O230" s="159">
        <f>-Financing!O102</f>
        <v>0</v>
      </c>
      <c r="P230" s="159">
        <f>-Financing!P102</f>
        <v>0</v>
      </c>
      <c r="Q230" s="159">
        <f>-Financing!Q102</f>
        <v>0</v>
      </c>
      <c r="R230" s="159">
        <f>-Financing!R102</f>
        <v>0</v>
      </c>
      <c r="S230" s="159">
        <f>-Financing!S102</f>
        <v>0</v>
      </c>
      <c r="T230" s="159">
        <f>-Financing!T102</f>
        <v>0</v>
      </c>
    </row>
    <row r="231" spans="2:20" x14ac:dyDescent="0.25">
      <c r="B231" s="21" t="s">
        <v>2985</v>
      </c>
      <c r="C231" s="28" t="s">
        <v>493</v>
      </c>
      <c r="G231" s="157"/>
      <c r="H231" s="158">
        <f t="shared" ref="H231:T231" si="77">SUM(H226:H230)</f>
        <v>-35.671167777582234</v>
      </c>
      <c r="I231" s="158">
        <f t="shared" si="77"/>
        <v>-24.168312578226143</v>
      </c>
      <c r="J231" s="158">
        <f t="shared" si="77"/>
        <v>-14.243584472293236</v>
      </c>
      <c r="K231" s="158">
        <f t="shared" si="77"/>
        <v>-85.984795922418087</v>
      </c>
      <c r="L231" s="158">
        <f t="shared" si="77"/>
        <v>-10.700650450621694</v>
      </c>
      <c r="M231" s="158">
        <f t="shared" si="77"/>
        <v>-70.578420659392435</v>
      </c>
      <c r="N231" s="158">
        <f t="shared" si="77"/>
        <v>-83.384520417515276</v>
      </c>
      <c r="O231" s="158">
        <f t="shared" si="77"/>
        <v>-103.61163626219472</v>
      </c>
      <c r="P231" s="158">
        <f t="shared" si="77"/>
        <v>-109.51944459142339</v>
      </c>
      <c r="Q231" s="158">
        <f t="shared" si="77"/>
        <v>-120.09766561432144</v>
      </c>
      <c r="R231" s="158">
        <f t="shared" si="77"/>
        <v>-125.95273616099057</v>
      </c>
      <c r="S231" s="158">
        <f t="shared" si="77"/>
        <v>-118.83025257157128</v>
      </c>
      <c r="T231" s="158">
        <f t="shared" si="77"/>
        <v>-113.80940743204413</v>
      </c>
    </row>
    <row r="232" spans="2:20" x14ac:dyDescent="0.25">
      <c r="B232" s="21" t="s">
        <v>2986</v>
      </c>
      <c r="C232" s="28" t="s">
        <v>493</v>
      </c>
      <c r="H232" s="160">
        <f t="shared" ref="H232:T232" si="78">H222+H225+H231</f>
        <v>-29.272342505336788</v>
      </c>
      <c r="I232" s="160">
        <f t="shared" si="78"/>
        <v>159.6633500851913</v>
      </c>
      <c r="J232" s="160">
        <f t="shared" si="78"/>
        <v>-188.02991263013448</v>
      </c>
      <c r="K232" s="160">
        <f t="shared" si="78"/>
        <v>0</v>
      </c>
      <c r="L232" s="160">
        <f t="shared" si="78"/>
        <v>248.56660371850325</v>
      </c>
      <c r="M232" s="160">
        <f t="shared" si="78"/>
        <v>336.04409896159893</v>
      </c>
      <c r="N232" s="160">
        <f t="shared" si="78"/>
        <v>351.60883628318152</v>
      </c>
      <c r="O232" s="160">
        <f t="shared" si="78"/>
        <v>364.55174788477285</v>
      </c>
      <c r="P232" s="160">
        <f t="shared" si="78"/>
        <v>385.4167217173341</v>
      </c>
      <c r="Q232" s="160">
        <f t="shared" si="78"/>
        <v>408.20576029787986</v>
      </c>
      <c r="R232" s="160">
        <f t="shared" si="78"/>
        <v>422.27625353431796</v>
      </c>
      <c r="S232" s="160">
        <f t="shared" si="78"/>
        <v>429.8582364984548</v>
      </c>
      <c r="T232" s="160">
        <f t="shared" si="78"/>
        <v>449.34261293091555</v>
      </c>
    </row>
    <row r="233" spans="2:20" x14ac:dyDescent="0.25">
      <c r="B233" s="21" t="s">
        <v>2987</v>
      </c>
      <c r="C233" s="28" t="s">
        <v>493</v>
      </c>
      <c r="G233" s="185">
        <f>'Source Data'!$E$799</f>
        <v>60.638905050280002</v>
      </c>
      <c r="H233" s="158">
        <f t="shared" ref="H233:T233" si="79">G233+H232</f>
        <v>31.366562544943214</v>
      </c>
      <c r="I233" s="158">
        <f t="shared" si="79"/>
        <v>191.0299126301345</v>
      </c>
      <c r="J233" s="158">
        <f t="shared" si="79"/>
        <v>3.0000000000000284</v>
      </c>
      <c r="K233" s="158">
        <f t="shared" si="79"/>
        <v>3.0000000000000284</v>
      </c>
      <c r="L233" s="158">
        <f t="shared" si="79"/>
        <v>251.56660371850327</v>
      </c>
      <c r="M233" s="158">
        <f t="shared" si="79"/>
        <v>587.61070268010224</v>
      </c>
      <c r="N233" s="158">
        <f t="shared" si="79"/>
        <v>939.21953896328375</v>
      </c>
      <c r="O233" s="158">
        <f t="shared" si="79"/>
        <v>1303.7712868480567</v>
      </c>
      <c r="P233" s="158">
        <f t="shared" si="79"/>
        <v>1689.1880085653906</v>
      </c>
      <c r="Q233" s="158">
        <f t="shared" si="79"/>
        <v>2097.3937688632705</v>
      </c>
      <c r="R233" s="158">
        <f t="shared" si="79"/>
        <v>2519.6700223975886</v>
      </c>
      <c r="S233" s="158">
        <f t="shared" si="79"/>
        <v>2949.5282588960436</v>
      </c>
      <c r="T233" s="158">
        <f t="shared" si="79"/>
        <v>3398.870871826959</v>
      </c>
    </row>
    <row r="234" spans="2:20" x14ac:dyDescent="0.25">
      <c r="B234" s="154" t="s">
        <v>2988</v>
      </c>
    </row>
    <row r="235" spans="2:20" x14ac:dyDescent="0.25">
      <c r="B235" s="23" t="s">
        <v>2989</v>
      </c>
      <c r="C235" s="28" t="s">
        <v>493</v>
      </c>
      <c r="H235" s="161">
        <f>ROUND(H233-'Funding Requirement'!H94,4)</f>
        <v>0</v>
      </c>
      <c r="I235" s="161">
        <f>ROUND(I233-'Funding Requirement'!I94,4)</f>
        <v>0</v>
      </c>
      <c r="J235" s="161">
        <f>ROUND(J233-'Funding Requirement'!J94,4)</f>
        <v>0</v>
      </c>
      <c r="K235" s="161">
        <f>ROUND(K233-'Funding Requirement'!K94,4)</f>
        <v>0</v>
      </c>
      <c r="L235" s="161">
        <f>ROUND(L233-'Funding Requirement'!L94,4)</f>
        <v>0</v>
      </c>
      <c r="M235" s="161">
        <f>ROUND(M233-'Funding Requirement'!M94,4)</f>
        <v>0</v>
      </c>
      <c r="N235" s="161">
        <f>ROUND(N233-'Funding Requirement'!N94,4)</f>
        <v>0</v>
      </c>
      <c r="O235" s="161">
        <f>ROUND(O233-'Funding Requirement'!O94,4)</f>
        <v>0</v>
      </c>
      <c r="P235" s="161">
        <f>ROUND(P233-'Funding Requirement'!P94,4)</f>
        <v>0</v>
      </c>
      <c r="Q235" s="161">
        <f>ROUND(Q233-'Funding Requirement'!Q94,4)</f>
        <v>0</v>
      </c>
      <c r="R235" s="161">
        <f>ROUND(R233-'Funding Requirement'!R94,4)</f>
        <v>0</v>
      </c>
      <c r="S235" s="161">
        <f>ROUND(S233-'Funding Requirement'!S94,4)</f>
        <v>0</v>
      </c>
      <c r="T235" s="161">
        <f>ROUND(T233-'Funding Requirement'!T94,4)</f>
        <v>0</v>
      </c>
    </row>
    <row r="236" spans="2:20" x14ac:dyDescent="0.25">
      <c r="B236" s="23" t="s">
        <v>2990</v>
      </c>
      <c r="C236" s="28" t="s">
        <v>493</v>
      </c>
      <c r="H236" s="161">
        <f t="shared" ref="H236:T236" si="80">ROUND(G208+H26+H229+H230-H208,4)</f>
        <v>0</v>
      </c>
      <c r="I236" s="161">
        <f t="shared" si="80"/>
        <v>0</v>
      </c>
      <c r="J236" s="161">
        <f t="shared" si="80"/>
        <v>0</v>
      </c>
      <c r="K236" s="161">
        <f t="shared" si="80"/>
        <v>0</v>
      </c>
      <c r="L236" s="161">
        <f t="shared" si="80"/>
        <v>0</v>
      </c>
      <c r="M236" s="161">
        <f t="shared" si="80"/>
        <v>0</v>
      </c>
      <c r="N236" s="161">
        <f t="shared" si="80"/>
        <v>0</v>
      </c>
      <c r="O236" s="161">
        <f t="shared" si="80"/>
        <v>0</v>
      </c>
      <c r="P236" s="161">
        <f t="shared" si="80"/>
        <v>0</v>
      </c>
      <c r="Q236" s="161">
        <f t="shared" si="80"/>
        <v>0</v>
      </c>
      <c r="R236" s="161">
        <f t="shared" si="80"/>
        <v>0</v>
      </c>
      <c r="S236" s="161">
        <f t="shared" si="80"/>
        <v>0</v>
      </c>
      <c r="T236" s="161">
        <f t="shared" si="80"/>
        <v>0</v>
      </c>
    </row>
    <row r="237" spans="2:20" x14ac:dyDescent="0.25">
      <c r="B237" s="23" t="s">
        <v>2991</v>
      </c>
      <c r="C237" s="28" t="s">
        <v>493</v>
      </c>
      <c r="H237" s="161">
        <f>ROUND(G193+'Capex &amp; Depreciation'!H80+'Capex &amp; Depreciation'!H210-'Capex &amp; Depreciation'!H254-'Capex &amp; Depreciation'!H316-H193,4)</f>
        <v>0</v>
      </c>
      <c r="I237" s="161">
        <f>ROUND(H193+'Capex &amp; Depreciation'!I80+'Capex &amp; Depreciation'!I210-'Capex &amp; Depreciation'!I254-'Capex &amp; Depreciation'!I316-I193,4)</f>
        <v>0</v>
      </c>
      <c r="J237" s="161">
        <f>ROUND(I193+'Capex &amp; Depreciation'!J80+'Capex &amp; Depreciation'!J210-'Capex &amp; Depreciation'!J254-'Capex &amp; Depreciation'!J316-J193,4)</f>
        <v>0</v>
      </c>
      <c r="K237" s="161">
        <f>ROUND(J193+'Capex &amp; Depreciation'!K80+'Capex &amp; Depreciation'!K210-'Capex &amp; Depreciation'!K254-'Capex &amp; Depreciation'!K316-K193,4)</f>
        <v>0</v>
      </c>
      <c r="L237" s="161">
        <f>ROUND(K193+'Capex &amp; Depreciation'!L80+'Capex &amp; Depreciation'!L210-'Capex &amp; Depreciation'!L254-'Capex &amp; Depreciation'!L316-L193,4)</f>
        <v>0</v>
      </c>
      <c r="M237" s="161">
        <f>ROUND(L193+'Capex &amp; Depreciation'!M80+'Capex &amp; Depreciation'!M210-'Capex &amp; Depreciation'!M254-'Capex &amp; Depreciation'!M316-M193,4)</f>
        <v>0</v>
      </c>
      <c r="N237" s="161">
        <f>ROUND(M193+'Capex &amp; Depreciation'!N80+'Capex &amp; Depreciation'!N210-'Capex &amp; Depreciation'!N254-'Capex &amp; Depreciation'!N316-N193,4)</f>
        <v>0</v>
      </c>
      <c r="O237" s="161">
        <f>ROUND(N193+'Capex &amp; Depreciation'!O80+'Capex &amp; Depreciation'!O210-'Capex &amp; Depreciation'!O254-'Capex &amp; Depreciation'!O316-O193,4)</f>
        <v>0</v>
      </c>
      <c r="P237" s="161">
        <f>ROUND(O193+'Capex &amp; Depreciation'!P80+'Capex &amp; Depreciation'!P210-'Capex &amp; Depreciation'!P254-'Capex &amp; Depreciation'!P316-P193,4)</f>
        <v>0</v>
      </c>
      <c r="Q237" s="161">
        <f>ROUND(P193+'Capex &amp; Depreciation'!Q80+'Capex &amp; Depreciation'!Q210-'Capex &amp; Depreciation'!Q254-'Capex &amp; Depreciation'!Q316-Q193,4)</f>
        <v>0</v>
      </c>
      <c r="R237" s="161">
        <f>ROUND(Q193+'Capex &amp; Depreciation'!R80+'Capex &amp; Depreciation'!R210-'Capex &amp; Depreciation'!R254-'Capex &amp; Depreciation'!R316-R193,4)</f>
        <v>0</v>
      </c>
      <c r="S237" s="161">
        <f>ROUND(R193+'Capex &amp; Depreciation'!S80+'Capex &amp; Depreciation'!S210-'Capex &amp; Depreciation'!S254-'Capex &amp; Depreciation'!S316-S193,4)</f>
        <v>0</v>
      </c>
      <c r="T237" s="161">
        <f>ROUND(S193+'Capex &amp; Depreciation'!T80+'Capex &amp; Depreciation'!T210-'Capex &amp; Depreciation'!T254-'Capex &amp; Depreciation'!T316-T193,4)</f>
        <v>0</v>
      </c>
    </row>
    <row r="238" spans="2:20" ht="26.25" customHeight="1" x14ac:dyDescent="0.25">
      <c r="B238" s="64" t="s">
        <v>2992</v>
      </c>
      <c r="C238" s="28" t="s">
        <v>493</v>
      </c>
      <c r="H238" s="161">
        <f t="shared" ref="H238:T238" si="81">ROUND(G199+G200+G201+H227+H228-H199-H200-H201,4)</f>
        <v>0</v>
      </c>
      <c r="I238" s="161">
        <f t="shared" si="81"/>
        <v>0</v>
      </c>
      <c r="J238" s="161">
        <f t="shared" si="81"/>
        <v>0</v>
      </c>
      <c r="K238" s="161">
        <f t="shared" si="81"/>
        <v>0</v>
      </c>
      <c r="L238" s="161">
        <f t="shared" si="81"/>
        <v>0</v>
      </c>
      <c r="M238" s="161">
        <f t="shared" si="81"/>
        <v>0</v>
      </c>
      <c r="N238" s="161">
        <f t="shared" si="81"/>
        <v>0</v>
      </c>
      <c r="O238" s="161">
        <f t="shared" si="81"/>
        <v>0</v>
      </c>
      <c r="P238" s="161">
        <f t="shared" si="81"/>
        <v>0</v>
      </c>
      <c r="Q238" s="161">
        <f t="shared" si="81"/>
        <v>0</v>
      </c>
      <c r="R238" s="161">
        <f t="shared" si="81"/>
        <v>0</v>
      </c>
      <c r="S238" s="161">
        <f t="shared" si="81"/>
        <v>0</v>
      </c>
      <c r="T238" s="161">
        <f t="shared" si="81"/>
        <v>0</v>
      </c>
    </row>
    <row r="240" spans="2:20" x14ac:dyDescent="0.25">
      <c r="B240" s="58" t="s">
        <v>2993</v>
      </c>
      <c r="C240" s="19"/>
      <c r="D240" s="19"/>
      <c r="E240" s="19"/>
      <c r="F240" s="19"/>
      <c r="G240" s="19"/>
      <c r="H240" s="19"/>
      <c r="I240" s="19"/>
      <c r="J240" s="19"/>
      <c r="K240" s="19"/>
      <c r="L240" s="19"/>
      <c r="M240" s="19"/>
      <c r="N240" s="19"/>
      <c r="O240" s="19"/>
      <c r="P240" s="19"/>
      <c r="Q240" s="19"/>
      <c r="R240" s="19"/>
      <c r="S240" s="19"/>
      <c r="T240" s="19"/>
    </row>
    <row r="241" spans="2:20" x14ac:dyDescent="0.25">
      <c r="B241" s="23" t="s">
        <v>2994</v>
      </c>
      <c r="C241" s="28" t="s">
        <v>493</v>
      </c>
      <c r="H241" s="159">
        <f t="shared" ref="H241:T241" si="82">H18</f>
        <v>65.862412993927734</v>
      </c>
      <c r="I241" s="159">
        <f t="shared" si="82"/>
        <v>149.9588485967227</v>
      </c>
      <c r="J241" s="159">
        <f t="shared" si="82"/>
        <v>174.2043110782048</v>
      </c>
      <c r="K241" s="159">
        <f t="shared" si="82"/>
        <v>251.85539666695701</v>
      </c>
      <c r="L241" s="159">
        <f t="shared" si="82"/>
        <v>289.87172970830568</v>
      </c>
      <c r="M241" s="159">
        <f t="shared" si="82"/>
        <v>343.801863556071</v>
      </c>
      <c r="N241" s="159">
        <f t="shared" si="82"/>
        <v>369.71568784946442</v>
      </c>
      <c r="O241" s="159">
        <f t="shared" si="82"/>
        <v>414.93473266525353</v>
      </c>
      <c r="P241" s="159">
        <f t="shared" si="82"/>
        <v>441.48499897336529</v>
      </c>
      <c r="Q241" s="159">
        <f t="shared" si="82"/>
        <v>486.29436807983234</v>
      </c>
      <c r="R241" s="159">
        <f t="shared" si="82"/>
        <v>510.94254265588438</v>
      </c>
      <c r="S241" s="159">
        <f t="shared" si="82"/>
        <v>507.95743915942376</v>
      </c>
      <c r="T241" s="159">
        <f t="shared" si="82"/>
        <v>528.56113197207742</v>
      </c>
    </row>
    <row r="242" spans="2:20" x14ac:dyDescent="0.25">
      <c r="B242" s="23" t="s">
        <v>2995</v>
      </c>
      <c r="C242" s="28" t="s">
        <v>493</v>
      </c>
      <c r="H242" s="159">
        <f>-IF(H241&lt;0,0,H241*Inputs!H522)</f>
        <v>-14.489730858664101</v>
      </c>
      <c r="I242" s="159">
        <f>-IF(I241&lt;0,0,I241*Inputs!I522)</f>
        <v>-32.990946691278992</v>
      </c>
      <c r="J242" s="159">
        <f>-IF(J241&lt;0,0,J241*Inputs!J522)</f>
        <v>-38.324948437205059</v>
      </c>
      <c r="K242" s="159">
        <f>-IF(K241&lt;0,0,K241*Inputs!K522)</f>
        <v>-55.408187266730543</v>
      </c>
      <c r="L242" s="159">
        <f>-IF(L241&lt;0,0,L241*Inputs!L522)</f>
        <v>-63.771780535827247</v>
      </c>
      <c r="M242" s="159">
        <f>-IF(M241&lt;0,0,M241*Inputs!M522)</f>
        <v>-75.636409982335621</v>
      </c>
      <c r="N242" s="159">
        <f>-IF(N241&lt;0,0,N241*Inputs!N522)</f>
        <v>-81.337451326882174</v>
      </c>
      <c r="O242" s="159">
        <f>-IF(O241&lt;0,0,O241*Inputs!O522)</f>
        <v>-91.285641186355775</v>
      </c>
      <c r="P242" s="159">
        <f>-IF(P241&lt;0,0,P241*Inputs!P522)</f>
        <v>-97.126699774140363</v>
      </c>
      <c r="Q242" s="159">
        <f>-IF(Q241&lt;0,0,Q241*Inputs!Q522)</f>
        <v>-106.98476097756311</v>
      </c>
      <c r="R242" s="159">
        <f>-IF(R241&lt;0,0,R241*Inputs!R522)</f>
        <v>-112.40735938429457</v>
      </c>
      <c r="S242" s="159">
        <f>-IF(S241&lt;0,0,S241*Inputs!S522)</f>
        <v>-111.75063661507323</v>
      </c>
      <c r="T242" s="159">
        <f>-IF(T241&lt;0,0,T241*Inputs!T522)</f>
        <v>-116.28344903385704</v>
      </c>
    </row>
    <row r="243" spans="2:20" x14ac:dyDescent="0.25">
      <c r="B243" s="23" t="s">
        <v>2996</v>
      </c>
      <c r="C243" s="28" t="s">
        <v>493</v>
      </c>
      <c r="H243" s="29">
        <f>'Capex &amp; Depreciation'!H254</f>
        <v>88.373062408935311</v>
      </c>
      <c r="I243" s="29">
        <f>'Capex &amp; Depreciation'!I254</f>
        <v>113.59968518200155</v>
      </c>
      <c r="J243" s="29">
        <f>'Capex &amp; Depreciation'!J254</f>
        <v>134.96780390311255</v>
      </c>
      <c r="K243" s="29">
        <f>'Capex &amp; Depreciation'!K254</f>
        <v>136.94134168720865</v>
      </c>
      <c r="L243" s="29">
        <f>'Capex &amp; Depreciation'!L254</f>
        <v>144.19843006333596</v>
      </c>
      <c r="M243" s="29">
        <f>'Capex &amp; Depreciation'!M254</f>
        <v>157.58486920695159</v>
      </c>
      <c r="N243" s="29">
        <f>'Capex &amp; Depreciation'!N254</f>
        <v>157.59377594247448</v>
      </c>
      <c r="O243" s="29">
        <f>'Capex &amp; Depreciation'!O254</f>
        <v>157.60286081270777</v>
      </c>
      <c r="P243" s="29">
        <f>'Capex &amp; Depreciation'!P254</f>
        <v>159.64329918048264</v>
      </c>
      <c r="Q243" s="29">
        <f>'Capex &amp; Depreciation'!Q254</f>
        <v>159.62157927933652</v>
      </c>
      <c r="R243" s="29">
        <f>'Capex &amp; Depreciation'!R254</f>
        <v>154.09337497821181</v>
      </c>
      <c r="S243" s="29">
        <f>'Capex &amp; Depreciation'!S254</f>
        <v>154.10320873392178</v>
      </c>
      <c r="T243" s="29">
        <f>'Capex &amp; Depreciation'!T254</f>
        <v>154.14441096488284</v>
      </c>
    </row>
    <row r="244" spans="2:20" ht="26.25" customHeight="1" x14ac:dyDescent="0.25">
      <c r="B244" s="64" t="s">
        <v>2997</v>
      </c>
      <c r="C244" s="28" t="s">
        <v>493</v>
      </c>
      <c r="H244" s="159">
        <f>-'Capex &amp; Depreciation'!H80-'Capex &amp; Depreciation'!H210-'Capex &amp; Depreciation'!G80</f>
        <v>-323.67349999999999</v>
      </c>
      <c r="I244" s="159">
        <f>-'Capex &amp; Depreciation'!I80-'Capex &amp; Depreciation'!I210</f>
        <v>-14.638500000000001</v>
      </c>
      <c r="J244" s="159">
        <f>-'Capex &amp; Depreciation'!J80-'Capex &amp; Depreciation'!J210</f>
        <v>-419.77202976190472</v>
      </c>
      <c r="K244" s="159">
        <f>-'Capex &amp; Depreciation'!K80-'Capex &amp; Depreciation'!K210</f>
        <v>-225.06362499999994</v>
      </c>
      <c r="L244" s="159">
        <f>-'Capex &amp; Depreciation'!L80-'Capex &amp; Depreciation'!L210</f>
        <v>-97.59</v>
      </c>
      <c r="M244" s="159">
        <f>-'Capex &amp; Depreciation'!M80-'Capex &amp; Depreciation'!M210</f>
        <v>0</v>
      </c>
      <c r="N244" s="159">
        <f>-'Capex &amp; Depreciation'!N80-'Capex &amp; Depreciation'!N210</f>
        <v>0</v>
      </c>
      <c r="O244" s="159">
        <f>-'Capex &amp; Depreciation'!O80-'Capex &amp; Depreciation'!O210</f>
        <v>0</v>
      </c>
      <c r="P244" s="159">
        <f>-'Capex &amp; Depreciation'!P80-'Capex &amp; Depreciation'!P210</f>
        <v>0</v>
      </c>
      <c r="Q244" s="159">
        <f>-'Capex &amp; Depreciation'!Q80-'Capex &amp; Depreciation'!Q210</f>
        <v>0</v>
      </c>
      <c r="R244" s="159">
        <f>-'Capex &amp; Depreciation'!R80-'Capex &amp; Depreciation'!R210</f>
        <v>0</v>
      </c>
      <c r="S244" s="159">
        <f>-'Capex &amp; Depreciation'!S80-'Capex &amp; Depreciation'!S210</f>
        <v>0</v>
      </c>
      <c r="T244" s="159">
        <f>-'Capex &amp; Depreciation'!T80-'Capex &amp; Depreciation'!T210</f>
        <v>0</v>
      </c>
    </row>
    <row r="245" spans="2:20" x14ac:dyDescent="0.25">
      <c r="B245" s="23" t="s">
        <v>2998</v>
      </c>
      <c r="C245" s="28" t="s">
        <v>493</v>
      </c>
      <c r="H245" s="159">
        <f>-'Working Capital'!H122</f>
        <v>2.8370388994712172</v>
      </c>
      <c r="I245" s="159">
        <f>-'Working Capital'!I122</f>
        <v>-15.803178598627007</v>
      </c>
      <c r="J245" s="159">
        <f>-'Working Capital'!J122</f>
        <v>-8.4563929971098872</v>
      </c>
      <c r="K245" s="159">
        <f>-'Working Capital'!K122</f>
        <v>-14.439184970429189</v>
      </c>
      <c r="L245" s="159">
        <f>-'Working Capital'!L122</f>
        <v>-8.0978661862768035</v>
      </c>
      <c r="M245" s="159">
        <f>-'Working Capital'!M122</f>
        <v>-10.729311550408283</v>
      </c>
      <c r="N245" s="159">
        <f>-'Working Capital'!N122</f>
        <v>-4.2893690936989941</v>
      </c>
      <c r="O245" s="159">
        <f>-'Working Capital'!O122</f>
        <v>-6.9608920446379159</v>
      </c>
      <c r="P245" s="159">
        <f>-'Working Capital'!P122</f>
        <v>-4.2698594709500952</v>
      </c>
      <c r="Q245" s="159">
        <f>-'Working Capital'!Q122</f>
        <v>-7.1642913694044239</v>
      </c>
      <c r="R245" s="159">
        <f>-'Working Capital'!R122</f>
        <v>-2.2682029544930629</v>
      </c>
      <c r="S245" s="159">
        <f>-'Working Capital'!S122</f>
        <v>-0.82226010824624041</v>
      </c>
      <c r="T245" s="159">
        <f>-'Working Capital'!T122</f>
        <v>-3.2700735401435708</v>
      </c>
    </row>
    <row r="246" spans="2:20" x14ac:dyDescent="0.25">
      <c r="B246" s="21" t="s">
        <v>2999</v>
      </c>
      <c r="C246" s="28" t="s">
        <v>493</v>
      </c>
      <c r="G246" s="157"/>
      <c r="H246" s="158">
        <f t="shared" ref="H246:T246" si="83">H241+H242+H243+H244+H245</f>
        <v>-181.09071655632982</v>
      </c>
      <c r="I246" s="158">
        <f t="shared" si="83"/>
        <v>200.12590848881825</v>
      </c>
      <c r="J246" s="158">
        <f t="shared" si="83"/>
        <v>-157.38125621490235</v>
      </c>
      <c r="K246" s="158">
        <f t="shared" si="83"/>
        <v>93.885741117005949</v>
      </c>
      <c r="L246" s="158">
        <f t="shared" si="83"/>
        <v>264.61051304953759</v>
      </c>
      <c r="M246" s="158">
        <f t="shared" si="83"/>
        <v>415.02101123027865</v>
      </c>
      <c r="N246" s="158">
        <f t="shared" si="83"/>
        <v>441.68264337135776</v>
      </c>
      <c r="O246" s="158">
        <f t="shared" si="83"/>
        <v>474.29106024696762</v>
      </c>
      <c r="P246" s="158">
        <f t="shared" si="83"/>
        <v>499.73173890875745</v>
      </c>
      <c r="Q246" s="158">
        <f t="shared" si="83"/>
        <v>531.76689501220142</v>
      </c>
      <c r="R246" s="158">
        <f t="shared" si="83"/>
        <v>550.36035529530852</v>
      </c>
      <c r="S246" s="158">
        <f t="shared" si="83"/>
        <v>549.48775117002606</v>
      </c>
      <c r="T246" s="158">
        <f t="shared" si="83"/>
        <v>563.15202036295966</v>
      </c>
    </row>
    <row r="247" spans="2:20" x14ac:dyDescent="0.25">
      <c r="B247" s="23" t="s">
        <v>3000</v>
      </c>
      <c r="C247" s="28" t="s">
        <v>493</v>
      </c>
      <c r="G247" s="159">
        <v>0</v>
      </c>
      <c r="H247" s="159">
        <f t="shared" ref="H247:T247" si="84">G247+H246</f>
        <v>-181.09071655632982</v>
      </c>
      <c r="I247" s="159">
        <f t="shared" si="84"/>
        <v>19.035191932488431</v>
      </c>
      <c r="J247" s="159">
        <f t="shared" si="84"/>
        <v>-138.34606428241392</v>
      </c>
      <c r="K247" s="159">
        <f t="shared" si="84"/>
        <v>-44.460323165407971</v>
      </c>
      <c r="L247" s="159">
        <f t="shared" si="84"/>
        <v>220.15018988412962</v>
      </c>
      <c r="M247" s="159">
        <f t="shared" si="84"/>
        <v>635.17120111440829</v>
      </c>
      <c r="N247" s="159">
        <f t="shared" si="84"/>
        <v>1076.8538444857661</v>
      </c>
      <c r="O247" s="159">
        <f t="shared" si="84"/>
        <v>1551.1449047327337</v>
      </c>
      <c r="P247" s="159">
        <f t="shared" si="84"/>
        <v>2050.8766436414912</v>
      </c>
      <c r="Q247" s="159">
        <f t="shared" si="84"/>
        <v>2582.6435386536928</v>
      </c>
      <c r="R247" s="159">
        <f t="shared" si="84"/>
        <v>3133.0038939490014</v>
      </c>
      <c r="S247" s="159">
        <f t="shared" si="84"/>
        <v>3682.4916451190275</v>
      </c>
      <c r="T247" s="159">
        <f t="shared" si="84"/>
        <v>4245.6436654819872</v>
      </c>
    </row>
    <row r="248" spans="2:20" x14ac:dyDescent="0.25">
      <c r="B248" s="23" t="s">
        <v>3001</v>
      </c>
      <c r="C248" s="28" t="s">
        <v>1889</v>
      </c>
      <c r="G248" s="153">
        <v>0</v>
      </c>
      <c r="H248" s="153">
        <f t="shared" ref="H248:T248" si="85">IF(H247&lt;0,1,0)</f>
        <v>1</v>
      </c>
      <c r="I248" s="153">
        <f t="shared" si="85"/>
        <v>0</v>
      </c>
      <c r="J248" s="153">
        <f t="shared" si="85"/>
        <v>1</v>
      </c>
      <c r="K248" s="153">
        <f t="shared" si="85"/>
        <v>1</v>
      </c>
      <c r="L248" s="153">
        <f t="shared" si="85"/>
        <v>0</v>
      </c>
      <c r="M248" s="153">
        <f t="shared" si="85"/>
        <v>0</v>
      </c>
      <c r="N248" s="153">
        <f t="shared" si="85"/>
        <v>0</v>
      </c>
      <c r="O248" s="153">
        <f t="shared" si="85"/>
        <v>0</v>
      </c>
      <c r="P248" s="153">
        <f t="shared" si="85"/>
        <v>0</v>
      </c>
      <c r="Q248" s="153">
        <f t="shared" si="85"/>
        <v>0</v>
      </c>
      <c r="R248" s="153">
        <f t="shared" si="85"/>
        <v>0</v>
      </c>
      <c r="S248" s="153">
        <f t="shared" si="85"/>
        <v>0</v>
      </c>
      <c r="T248" s="153">
        <f t="shared" si="85"/>
        <v>0</v>
      </c>
    </row>
    <row r="249" spans="2:20" x14ac:dyDescent="0.25">
      <c r="B249" s="23" t="s">
        <v>3002</v>
      </c>
      <c r="C249" s="28" t="s">
        <v>1889</v>
      </c>
      <c r="H249" s="153">
        <f t="shared" ref="H249:T249" si="86">IF(AND(G248=1,H248=0),1,0)</f>
        <v>0</v>
      </c>
      <c r="I249" s="153">
        <f t="shared" si="86"/>
        <v>1</v>
      </c>
      <c r="J249" s="153">
        <f t="shared" si="86"/>
        <v>0</v>
      </c>
      <c r="K249" s="153">
        <f t="shared" si="86"/>
        <v>0</v>
      </c>
      <c r="L249" s="153">
        <f t="shared" si="86"/>
        <v>1</v>
      </c>
      <c r="M249" s="153">
        <f t="shared" si="86"/>
        <v>0</v>
      </c>
      <c r="N249" s="153">
        <f t="shared" si="86"/>
        <v>0</v>
      </c>
      <c r="O249" s="153">
        <f t="shared" si="86"/>
        <v>0</v>
      </c>
      <c r="P249" s="153">
        <f t="shared" si="86"/>
        <v>0</v>
      </c>
      <c r="Q249" s="153">
        <f t="shared" si="86"/>
        <v>0</v>
      </c>
      <c r="R249" s="153">
        <f t="shared" si="86"/>
        <v>0</v>
      </c>
      <c r="S249" s="153">
        <f t="shared" si="86"/>
        <v>0</v>
      </c>
      <c r="T249" s="153">
        <f t="shared" si="86"/>
        <v>0</v>
      </c>
    </row>
    <row r="250" spans="2:20" x14ac:dyDescent="0.25">
      <c r="B250" s="23" t="s">
        <v>3003</v>
      </c>
      <c r="C250" s="28" t="s">
        <v>816</v>
      </c>
      <c r="H250" s="165">
        <f t="shared" ref="H250:T250" si="87">IF(H249=1,-G247/H246,0)</f>
        <v>0</v>
      </c>
      <c r="I250" s="165">
        <f t="shared" si="87"/>
        <v>0.90488391994706674</v>
      </c>
      <c r="J250" s="165">
        <f t="shared" si="87"/>
        <v>0</v>
      </c>
      <c r="K250" s="165">
        <f t="shared" si="87"/>
        <v>0</v>
      </c>
      <c r="L250" s="165">
        <f t="shared" si="87"/>
        <v>0.16802175640347508</v>
      </c>
      <c r="M250" s="165">
        <f t="shared" si="87"/>
        <v>0</v>
      </c>
      <c r="N250" s="165">
        <f t="shared" si="87"/>
        <v>0</v>
      </c>
      <c r="O250" s="165">
        <f t="shared" si="87"/>
        <v>0</v>
      </c>
      <c r="P250" s="165">
        <f t="shared" si="87"/>
        <v>0</v>
      </c>
      <c r="Q250" s="165">
        <f t="shared" si="87"/>
        <v>0</v>
      </c>
      <c r="R250" s="165">
        <f t="shared" si="87"/>
        <v>0</v>
      </c>
      <c r="S250" s="165">
        <f t="shared" si="87"/>
        <v>0</v>
      </c>
      <c r="T250" s="165">
        <f t="shared" si="87"/>
        <v>0</v>
      </c>
    </row>
    <row r="251" spans="2:20" x14ac:dyDescent="0.25">
      <c r="B251" s="23" t="s">
        <v>3004</v>
      </c>
      <c r="C251" s="28" t="s">
        <v>613</v>
      </c>
      <c r="H251" s="187">
        <f>DATE('Revenue Calculation'!H7,12,31)</f>
        <v>45657</v>
      </c>
      <c r="I251" s="187">
        <f>DATE('Revenue Calculation'!I7,12,31)</f>
        <v>46022</v>
      </c>
      <c r="J251" s="187">
        <f>DATE('Revenue Calculation'!J7,12,31)</f>
        <v>46387</v>
      </c>
      <c r="K251" s="187">
        <f>DATE('Revenue Calculation'!K7,12,31)</f>
        <v>46752</v>
      </c>
      <c r="L251" s="187">
        <f>DATE('Revenue Calculation'!L7,12,31)</f>
        <v>47118</v>
      </c>
      <c r="M251" s="187">
        <f>DATE('Revenue Calculation'!M7,12,31)</f>
        <v>47483</v>
      </c>
      <c r="N251" s="187">
        <f>DATE('Revenue Calculation'!N7,12,31)</f>
        <v>47848</v>
      </c>
      <c r="O251" s="187">
        <f>DATE('Revenue Calculation'!O7,12,31)</f>
        <v>48213</v>
      </c>
      <c r="P251" s="187">
        <f>DATE('Revenue Calculation'!P7,12,31)</f>
        <v>48579</v>
      </c>
      <c r="Q251" s="187">
        <f>DATE('Revenue Calculation'!Q7,12,31)</f>
        <v>48944</v>
      </c>
      <c r="R251" s="187">
        <f>DATE('Revenue Calculation'!R7,12,31)</f>
        <v>49309</v>
      </c>
      <c r="S251" s="187">
        <f>DATE('Revenue Calculation'!S7,12,31)</f>
        <v>49674</v>
      </c>
      <c r="T251" s="187">
        <f>DATE('Revenue Calculation'!T7,12,31)</f>
        <v>50040</v>
      </c>
    </row>
    <row r="252" spans="2:20" ht="26.25" customHeight="1" x14ac:dyDescent="0.25">
      <c r="B252" s="133" t="s">
        <v>3005</v>
      </c>
      <c r="C252" s="28" t="s">
        <v>292</v>
      </c>
      <c r="E252" s="107">
        <f>IFERROR(XIRR(J$246:T$246,J$251:T$251),"n/a")</f>
        <v>1.2795930027961735</v>
      </c>
    </row>
    <row r="253" spans="2:20" ht="26.25" customHeight="1" x14ac:dyDescent="0.25">
      <c r="B253" s="133" t="s">
        <v>3006</v>
      </c>
      <c r="C253" s="28" t="s">
        <v>816</v>
      </c>
      <c r="E253" s="167">
        <f>SUM($H$248:$T$248)+SUM($H$250:$T$250)</f>
        <v>4.0729056763505422</v>
      </c>
    </row>
    <row r="254" spans="2:20" x14ac:dyDescent="0.25">
      <c r="B254" s="145" t="s">
        <v>3007</v>
      </c>
    </row>
  </sheetData>
  <hyperlinks>
    <hyperlink ref="C3" location="'Model Flow'!A1" display="Model Flow" xr:uid="{00000000-0004-0000-0A00-000000000000}"/>
    <hyperlink ref="D3" location="Inputs!A1" display="Inputs" xr:uid="{00000000-0004-0000-0A00-000001000000}"/>
    <hyperlink ref="E3" location="'FS Data Request'!A1" display="FS Request" xr:uid="{00000000-0004-0000-0A00-000002000000}"/>
    <hyperlink ref="F3" location="'Revenue Calculation'!A1" display="Revenue" xr:uid="{00000000-0004-0000-0A00-000003000000}"/>
    <hyperlink ref="G3" location="'Cost Calculation'!A1" display="Costs" xr:uid="{00000000-0004-0000-0A00-000004000000}"/>
    <hyperlink ref="H3" location="'BUMN Synergy Calculation'!A1" display="BUMN Synergy" xr:uid="{00000000-0004-0000-0A00-000005000000}"/>
    <hyperlink ref="I3" location="'Capex &amp; Depreciation'!A1" display="Capex" xr:uid="{00000000-0004-0000-0A00-000006000000}"/>
    <hyperlink ref="J3" location="'Working Capital'!A1" display="Work. cap." xr:uid="{00000000-0004-0000-0A00-000007000000}"/>
    <hyperlink ref="K3" location="Financing!A1" display="Financing" xr:uid="{00000000-0004-0000-0A00-000008000000}"/>
    <hyperlink ref="L3" location="'Funding Requirement'!A1" display="Funding" xr:uid="{00000000-0004-0000-0A00-000009000000}"/>
    <hyperlink ref="N3" location="'FSL Output - With BUMN'!A1" display="Out: With BUMN" xr:uid="{00000000-0004-0000-0A00-00000A000000}"/>
    <hyperlink ref="O3" location="'Valuation — Without BUMN'!A1" display="Val: w/o BUMN" xr:uid="{00000000-0004-0000-0A00-00000B000000}"/>
    <hyperlink ref="P3" location="'Valuation — With BUMN'!A1" display="Val: With BUMN" xr:uid="{00000000-0004-0000-0A00-00000C000000}"/>
    <hyperlink ref="Q3" location="'Project Cash Flows'!A1" display="Proj. CF" xr:uid="{00000000-0004-0000-0A00-00000D000000}"/>
    <hyperlink ref="R3" location="'Project Summary'!A1" display="Proj. Summary" xr:uid="{00000000-0004-0000-0A00-00000E000000}"/>
    <hyperlink ref="S3" location="'Checks &amp; Reconciliation'!A1" display="Checks" xr:uid="{00000000-0004-0000-0A00-00000F000000}"/>
    <hyperlink ref="T3" location="'Source Data'!A1" display="Source Data" xr:uid="{00000000-0004-0000-0A00-000010000000}"/>
  </hyperlinks>
  <pageMargins left="0.4" right="0.4" top="0.5" bottom="0.5" header="0.511811023622047" footer="0.5"/>
  <pageSetup paperSize="9" fitToHeight="0" orientation="landscape" horizontalDpi="300" verticalDpi="300"/>
  <headerFooter>
    <oddFooter>&amp;L&amp;A&amp;RPage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2E5C8A"/>
    <pageSetUpPr fitToPage="1"/>
  </sheetPr>
  <dimension ref="B1:U305"/>
  <sheetViews>
    <sheetView showGridLines="0" zoomScale="85" zoomScaleNormal="85" workbookViewId="0">
      <pane xSplit="6" ySplit="6" topLeftCell="G7" activePane="bottomRight" state="frozen"/>
      <selection pane="topRight" activeCell="G1" sqref="G1"/>
      <selection pane="bottomLeft" activeCell="A7" sqref="A7"/>
      <selection pane="bottomRight"/>
    </sheetView>
  </sheetViews>
  <sheetFormatPr defaultColWidth="8.7109375" defaultRowHeight="15" x14ac:dyDescent="0.25"/>
  <cols>
    <col min="1" max="1" width="1.5703125" customWidth="1"/>
    <col min="2" max="2" width="62" customWidth="1"/>
    <col min="3" max="3" width="10" customWidth="1"/>
    <col min="4" max="6" width="13" customWidth="1"/>
    <col min="7" max="20" width="10.5703125" customWidth="1"/>
    <col min="21" max="21" width="55" customWidth="1"/>
  </cols>
  <sheetData>
    <row r="1" spans="2:21" ht="18" x14ac:dyDescent="0.25">
      <c r="B1" s="13" t="s">
        <v>3008</v>
      </c>
    </row>
    <row r="2" spans="2:21" x14ac:dyDescent="0.25">
      <c r="B2" s="14" t="s">
        <v>3009</v>
      </c>
    </row>
    <row r="3" spans="2:21" x14ac:dyDescent="0.25">
      <c r="B3" s="15" t="s">
        <v>2</v>
      </c>
      <c r="C3" s="17" t="s">
        <v>422</v>
      </c>
      <c r="D3" s="17" t="s">
        <v>4</v>
      </c>
      <c r="E3" s="17" t="s">
        <v>5</v>
      </c>
      <c r="F3" s="17" t="s">
        <v>6</v>
      </c>
      <c r="G3" s="17" t="s">
        <v>7</v>
      </c>
      <c r="H3" s="17" t="s">
        <v>8</v>
      </c>
      <c r="I3" s="17" t="s">
        <v>9</v>
      </c>
      <c r="J3" s="17" t="s">
        <v>10</v>
      </c>
      <c r="K3" s="17" t="s">
        <v>11</v>
      </c>
      <c r="L3" s="17" t="s">
        <v>12</v>
      </c>
      <c r="M3" s="17" t="s">
        <v>13</v>
      </c>
      <c r="N3" s="16" t="s">
        <v>3010</v>
      </c>
      <c r="O3" s="17" t="s">
        <v>15</v>
      </c>
      <c r="P3" s="17" t="s">
        <v>16</v>
      </c>
      <c r="Q3" s="17" t="s">
        <v>17</v>
      </c>
      <c r="R3" s="17" t="s">
        <v>18</v>
      </c>
      <c r="S3" s="17" t="s">
        <v>19</v>
      </c>
      <c r="T3" s="17" t="s">
        <v>20</v>
      </c>
    </row>
    <row r="4" spans="2:21" x14ac:dyDescent="0.25">
      <c r="G4" s="77" t="s">
        <v>1878</v>
      </c>
      <c r="H4" s="77" t="s">
        <v>1879</v>
      </c>
      <c r="I4" s="77" t="s">
        <v>1879</v>
      </c>
      <c r="J4" s="77" t="s">
        <v>1879</v>
      </c>
      <c r="K4" s="77" t="s">
        <v>1879</v>
      </c>
      <c r="L4" s="77" t="s">
        <v>1879</v>
      </c>
      <c r="M4" s="77" t="s">
        <v>1879</v>
      </c>
      <c r="N4" s="77" t="s">
        <v>1879</v>
      </c>
      <c r="O4" s="77" t="s">
        <v>1879</v>
      </c>
      <c r="P4" s="77" t="s">
        <v>1879</v>
      </c>
      <c r="Q4" s="77" t="s">
        <v>1879</v>
      </c>
      <c r="R4" s="77" t="s">
        <v>1879</v>
      </c>
      <c r="S4" s="77" t="s">
        <v>1879</v>
      </c>
      <c r="T4" s="77" t="s">
        <v>1879</v>
      </c>
    </row>
    <row r="5" spans="2:21" x14ac:dyDescent="0.25">
      <c r="B5" s="150" t="s">
        <v>493</v>
      </c>
      <c r="C5" s="150" t="s">
        <v>466</v>
      </c>
      <c r="D5" s="59" t="s">
        <v>1881</v>
      </c>
      <c r="E5" s="59" t="s">
        <v>468</v>
      </c>
      <c r="F5" s="60"/>
      <c r="G5" s="151">
        <v>2023</v>
      </c>
      <c r="H5" s="152">
        <v>2024</v>
      </c>
      <c r="I5" s="152">
        <v>2025</v>
      </c>
      <c r="J5" s="152">
        <v>2026</v>
      </c>
      <c r="K5" s="152">
        <v>2027</v>
      </c>
      <c r="L5" s="152">
        <v>2028</v>
      </c>
      <c r="M5" s="152">
        <v>2029</v>
      </c>
      <c r="N5" s="152">
        <v>2030</v>
      </c>
      <c r="O5" s="152">
        <v>2031</v>
      </c>
      <c r="P5" s="152">
        <v>2032</v>
      </c>
      <c r="Q5" s="152">
        <v>2033</v>
      </c>
      <c r="R5" s="152">
        <v>2034</v>
      </c>
      <c r="S5" s="152">
        <v>2035</v>
      </c>
      <c r="T5" s="152">
        <v>2036</v>
      </c>
      <c r="U5" s="59" t="s">
        <v>1882</v>
      </c>
    </row>
    <row r="6" spans="2:21" x14ac:dyDescent="0.25">
      <c r="B6" s="186" t="str">
        <f>"Case in force: scenario "&amp;Inputs!$E$56&amp;" | projects in the valuation: "&amp;Inputs!$H$88&amp;" (Inputs register)"&amp;" | BUMN control: "&amp;IF(Inputs!$E$43=1,"ON","OFF - this sheet equals the Without BUMN case")&amp;" | LT loan repaid FY"&amp;YEAR(Inputs!$E$494)&amp;" | equity basis "&amp;Inputs!$E$44&amp;" | "&amp;Inputs!$G$753</f>
        <v>Case in force: scenario 1 | projects in the valuation: 15 (Inputs register) | BUMN control: ON | LT loan repaid FY2027 | equity basis 1 | Corrections ON: none</v>
      </c>
    </row>
    <row r="8" spans="2:21" x14ac:dyDescent="0.25">
      <c r="B8" s="58" t="s">
        <v>3011</v>
      </c>
      <c r="C8" s="19"/>
      <c r="D8" s="19"/>
      <c r="E8" s="19"/>
      <c r="F8" s="19"/>
      <c r="G8" s="19"/>
      <c r="H8" s="19"/>
      <c r="I8" s="19"/>
      <c r="J8" s="19"/>
      <c r="K8" s="19"/>
      <c r="L8" s="19"/>
      <c r="M8" s="19"/>
      <c r="N8" s="19"/>
      <c r="O8" s="19"/>
      <c r="P8" s="19"/>
      <c r="Q8" s="19"/>
      <c r="R8" s="19"/>
      <c r="S8" s="19"/>
      <c r="T8" s="19"/>
    </row>
    <row r="9" spans="2:21" x14ac:dyDescent="0.25">
      <c r="B9" s="23" t="s">
        <v>3012</v>
      </c>
      <c r="C9" s="28" t="s">
        <v>493</v>
      </c>
      <c r="H9" s="29">
        <f>'FSL Output - Without BUMN'!H9</f>
        <v>305.28863657531394</v>
      </c>
      <c r="I9" s="29">
        <f>'FSL Output - Without BUMN'!I9</f>
        <v>427.60286647031643</v>
      </c>
      <c r="J9" s="29">
        <f>'FSL Output - Without BUMN'!J9</f>
        <v>494.5710789383395</v>
      </c>
      <c r="K9" s="29">
        <f>'FSL Output - Without BUMN'!K9</f>
        <v>619.9263584366729</v>
      </c>
      <c r="L9" s="29">
        <f>'FSL Output - Without BUMN'!L9</f>
        <v>702.02908072202558</v>
      </c>
      <c r="M9" s="29">
        <f>'FSL Output - Without BUMN'!M9</f>
        <v>804.94933230341962</v>
      </c>
      <c r="N9" s="29">
        <f>'FSL Output - Without BUMN'!N9</f>
        <v>847.58023325860461</v>
      </c>
      <c r="O9" s="29">
        <f>'FSL Output - Without BUMN'!O9</f>
        <v>912.56713833723211</v>
      </c>
      <c r="P9" s="29">
        <f>'FSL Output - Without BUMN'!P9</f>
        <v>957.04967478467086</v>
      </c>
      <c r="Q9" s="29">
        <f>'FSL Output - Without BUMN'!Q9</f>
        <v>1020.571003271239</v>
      </c>
      <c r="R9" s="29">
        <f>'FSL Output - Without BUMN'!R9</f>
        <v>1040.4225308410098</v>
      </c>
      <c r="S9" s="29">
        <f>'FSL Output - Without BUMN'!S9</f>
        <v>1053.0588613636462</v>
      </c>
      <c r="T9" s="29">
        <f>'FSL Output - Without BUMN'!T9</f>
        <v>1089.1435003447618</v>
      </c>
    </row>
    <row r="10" spans="2:21" ht="26.25" customHeight="1" x14ac:dyDescent="0.25">
      <c r="B10" s="64" t="s">
        <v>3013</v>
      </c>
      <c r="C10" s="28" t="s">
        <v>493</v>
      </c>
      <c r="H10" s="29">
        <f>'BUMN Synergy Calculation'!H98</f>
        <v>0</v>
      </c>
      <c r="I10" s="29">
        <f>'BUMN Synergy Calculation'!I98</f>
        <v>0</v>
      </c>
      <c r="J10" s="29">
        <f>'BUMN Synergy Calculation'!J98</f>
        <v>127.49380734818928</v>
      </c>
      <c r="K10" s="29">
        <f>'BUMN Synergy Calculation'!K98</f>
        <v>134.5364744389201</v>
      </c>
      <c r="L10" s="29">
        <f>'BUMN Synergy Calculation'!L98</f>
        <v>139.28049630355042</v>
      </c>
      <c r="M10" s="29">
        <f>'BUMN Synergy Calculation'!M98</f>
        <v>144.14270492759252</v>
      </c>
      <c r="N10" s="29">
        <f>'BUMN Synergy Calculation'!N98</f>
        <v>149.12664591382875</v>
      </c>
      <c r="O10" s="29">
        <f>'BUMN Synergy Calculation'!O98</f>
        <v>154.23597123312493</v>
      </c>
      <c r="P10" s="29">
        <f>'BUMN Synergy Calculation'!P98</f>
        <v>159.47444241547282</v>
      </c>
      <c r="Q10" s="29">
        <f>'BUMN Synergy Calculation'!Q98</f>
        <v>164.84593383676409</v>
      </c>
      <c r="R10" s="29">
        <f>'BUMN Synergy Calculation'!R98</f>
        <v>170.35443610416692</v>
      </c>
      <c r="S10" s="29">
        <f>'BUMN Synergy Calculation'!S98</f>
        <v>166.35050093220929</v>
      </c>
      <c r="T10" s="29">
        <f>'BUMN Synergy Calculation'!T98</f>
        <v>171.34101596017558</v>
      </c>
    </row>
    <row r="11" spans="2:21" x14ac:dyDescent="0.25">
      <c r="B11" s="21" t="s">
        <v>3014</v>
      </c>
      <c r="C11" s="28" t="s">
        <v>493</v>
      </c>
      <c r="H11" s="160">
        <f t="shared" ref="H11:T11" si="0">H59</f>
        <v>305.28863657531394</v>
      </c>
      <c r="I11" s="160">
        <f t="shared" si="0"/>
        <v>427.60286647031643</v>
      </c>
      <c r="J11" s="160">
        <f t="shared" si="0"/>
        <v>622.0648862865288</v>
      </c>
      <c r="K11" s="160">
        <f t="shared" si="0"/>
        <v>754.46283287559299</v>
      </c>
      <c r="L11" s="160">
        <f t="shared" si="0"/>
        <v>841.309577025576</v>
      </c>
      <c r="M11" s="160">
        <f t="shared" si="0"/>
        <v>949.09203723101211</v>
      </c>
      <c r="N11" s="160">
        <f t="shared" si="0"/>
        <v>996.70687917243333</v>
      </c>
      <c r="O11" s="160">
        <f t="shared" si="0"/>
        <v>1066.803109570357</v>
      </c>
      <c r="P11" s="160">
        <f t="shared" si="0"/>
        <v>1116.5241172001438</v>
      </c>
      <c r="Q11" s="160">
        <f t="shared" si="0"/>
        <v>1185.4169371080031</v>
      </c>
      <c r="R11" s="160">
        <f t="shared" si="0"/>
        <v>1210.7769669451768</v>
      </c>
      <c r="S11" s="160">
        <f t="shared" si="0"/>
        <v>1219.4093622958555</v>
      </c>
      <c r="T11" s="160">
        <f t="shared" si="0"/>
        <v>1260.4845163049374</v>
      </c>
    </row>
    <row r="12" spans="2:21" x14ac:dyDescent="0.25">
      <c r="B12" s="23" t="s">
        <v>3015</v>
      </c>
      <c r="C12" s="28" t="s">
        <v>493</v>
      </c>
      <c r="H12" s="161">
        <f t="shared" ref="H12:T12" si="1">ROUND(H9+H10-H11,6)</f>
        <v>0</v>
      </c>
      <c r="I12" s="161">
        <f t="shared" si="1"/>
        <v>0</v>
      </c>
      <c r="J12" s="161">
        <f t="shared" si="1"/>
        <v>0</v>
      </c>
      <c r="K12" s="161">
        <f t="shared" si="1"/>
        <v>0</v>
      </c>
      <c r="L12" s="161">
        <f t="shared" si="1"/>
        <v>0</v>
      </c>
      <c r="M12" s="161">
        <f t="shared" si="1"/>
        <v>0</v>
      </c>
      <c r="N12" s="161">
        <f t="shared" si="1"/>
        <v>0</v>
      </c>
      <c r="O12" s="161">
        <f t="shared" si="1"/>
        <v>0</v>
      </c>
      <c r="P12" s="161">
        <f t="shared" si="1"/>
        <v>0</v>
      </c>
      <c r="Q12" s="161">
        <f t="shared" si="1"/>
        <v>0</v>
      </c>
      <c r="R12" s="161">
        <f t="shared" si="1"/>
        <v>0</v>
      </c>
      <c r="S12" s="161">
        <f t="shared" si="1"/>
        <v>0</v>
      </c>
      <c r="T12" s="161">
        <f t="shared" si="1"/>
        <v>0</v>
      </c>
    </row>
    <row r="13" spans="2:21" x14ac:dyDescent="0.25">
      <c r="B13" s="23" t="s">
        <v>3016</v>
      </c>
      <c r="C13" s="28" t="s">
        <v>493</v>
      </c>
      <c r="H13" s="29">
        <f>'FSL Output - Without BUMN'!H16</f>
        <v>154.23547540286305</v>
      </c>
      <c r="I13" s="29">
        <f>'FSL Output - Without BUMN'!I16</f>
        <v>263.55853377872427</v>
      </c>
      <c r="J13" s="29">
        <f>'FSL Output - Without BUMN'!J16</f>
        <v>309.17211498131735</v>
      </c>
      <c r="K13" s="29">
        <f>'FSL Output - Without BUMN'!K16</f>
        <v>388.79673835416565</v>
      </c>
      <c r="L13" s="29">
        <f>'FSL Output - Without BUMN'!L16</f>
        <v>434.07015977164167</v>
      </c>
      <c r="M13" s="29">
        <f>'FSL Output - Without BUMN'!M16</f>
        <v>501.38673276302262</v>
      </c>
      <c r="N13" s="29">
        <f>'FSL Output - Without BUMN'!N16</f>
        <v>527.30946379193892</v>
      </c>
      <c r="O13" s="29">
        <f>'FSL Output - Without BUMN'!O16</f>
        <v>572.53759347796131</v>
      </c>
      <c r="P13" s="29">
        <f>'FSL Output - Without BUMN'!P16</f>
        <v>601.12829815384794</v>
      </c>
      <c r="Q13" s="29">
        <f>'FSL Output - Without BUMN'!Q16</f>
        <v>645.91594735916885</v>
      </c>
      <c r="R13" s="29">
        <f>'FSL Output - Without BUMN'!R16</f>
        <v>665.03591763409622</v>
      </c>
      <c r="S13" s="29">
        <f>'FSL Output - Without BUMN'!S16</f>
        <v>662.0606478933455</v>
      </c>
      <c r="T13" s="29">
        <f>'FSL Output - Without BUMN'!T16</f>
        <v>682.70554293696023</v>
      </c>
    </row>
    <row r="14" spans="2:21" x14ac:dyDescent="0.25">
      <c r="B14" s="23" t="s">
        <v>3017</v>
      </c>
      <c r="C14" s="28" t="s">
        <v>493</v>
      </c>
      <c r="H14" s="29">
        <f>'BUMN Synergy Calculation'!H100</f>
        <v>0</v>
      </c>
      <c r="I14" s="29">
        <f>'BUMN Synergy Calculation'!I100</f>
        <v>0</v>
      </c>
      <c r="J14" s="29">
        <f>'BUMN Synergy Calculation'!J100</f>
        <v>58.318173049888365</v>
      </c>
      <c r="K14" s="29">
        <f>'BUMN Synergy Calculation'!K100</f>
        <v>61.45139497560762</v>
      </c>
      <c r="L14" s="29">
        <f>'BUMN Synergy Calculation'!L100</f>
        <v>63.599345706404833</v>
      </c>
      <c r="M14" s="29">
        <f>'BUMN Synergy Calculation'!M100</f>
        <v>65.801357383619276</v>
      </c>
      <c r="N14" s="29">
        <f>'BUMN Synergy Calculation'!N100</f>
        <v>68.059051835643473</v>
      </c>
      <c r="O14" s="29">
        <f>'BUMN Synergy Calculation'!O100</f>
        <v>70.374099545721748</v>
      </c>
      <c r="P14" s="29">
        <f>'BUMN Synergy Calculation'!P100</f>
        <v>72.748221111595697</v>
      </c>
      <c r="Q14" s="29">
        <f>'BUMN Synergy Calculation'!Q100</f>
        <v>75.183188748939216</v>
      </c>
      <c r="R14" s="29">
        <f>'BUMN Synergy Calculation'!R100</f>
        <v>77.680827839896338</v>
      </c>
      <c r="S14" s="29">
        <f>'BUMN Synergy Calculation'!S100</f>
        <v>76.091988325407698</v>
      </c>
      <c r="T14" s="29">
        <f>'BUMN Synergy Calculation'!T100</f>
        <v>78.374747975169939</v>
      </c>
    </row>
    <row r="15" spans="2:21" x14ac:dyDescent="0.25">
      <c r="B15" s="21" t="s">
        <v>2241</v>
      </c>
      <c r="C15" s="28" t="s">
        <v>493</v>
      </c>
      <c r="H15" s="160">
        <f t="shared" ref="H15:T15" si="2">H67</f>
        <v>154.23547540286305</v>
      </c>
      <c r="I15" s="160">
        <f t="shared" si="2"/>
        <v>263.55853377872427</v>
      </c>
      <c r="J15" s="160">
        <f t="shared" si="2"/>
        <v>367.49028803120575</v>
      </c>
      <c r="K15" s="160">
        <f t="shared" si="2"/>
        <v>450.24813332977317</v>
      </c>
      <c r="L15" s="160">
        <f t="shared" si="2"/>
        <v>497.66950547804646</v>
      </c>
      <c r="M15" s="160">
        <f t="shared" si="2"/>
        <v>567.1880901466418</v>
      </c>
      <c r="N15" s="160">
        <f t="shared" si="2"/>
        <v>595.36851562758238</v>
      </c>
      <c r="O15" s="160">
        <f t="shared" si="2"/>
        <v>642.91169302368303</v>
      </c>
      <c r="P15" s="160">
        <f t="shared" si="2"/>
        <v>673.87651926544368</v>
      </c>
      <c r="Q15" s="160">
        <f t="shared" si="2"/>
        <v>721.09913610810815</v>
      </c>
      <c r="R15" s="160">
        <f t="shared" si="2"/>
        <v>742.71674547399266</v>
      </c>
      <c r="S15" s="160">
        <f t="shared" si="2"/>
        <v>738.15263621875317</v>
      </c>
      <c r="T15" s="160">
        <f t="shared" si="2"/>
        <v>761.08029091213029</v>
      </c>
    </row>
    <row r="16" spans="2:21" x14ac:dyDescent="0.25">
      <c r="B16" s="23" t="s">
        <v>3015</v>
      </c>
      <c r="C16" s="28" t="s">
        <v>493</v>
      </c>
      <c r="H16" s="161">
        <f t="shared" ref="H16:T16" si="3">ROUND(H13+H14-H15,6)</f>
        <v>0</v>
      </c>
      <c r="I16" s="161">
        <f t="shared" si="3"/>
        <v>0</v>
      </c>
      <c r="J16" s="161">
        <f t="shared" si="3"/>
        <v>0</v>
      </c>
      <c r="K16" s="161">
        <f t="shared" si="3"/>
        <v>0</v>
      </c>
      <c r="L16" s="161">
        <f t="shared" si="3"/>
        <v>0</v>
      </c>
      <c r="M16" s="161">
        <f t="shared" si="3"/>
        <v>0</v>
      </c>
      <c r="N16" s="161">
        <f t="shared" si="3"/>
        <v>0</v>
      </c>
      <c r="O16" s="161">
        <f t="shared" si="3"/>
        <v>0</v>
      </c>
      <c r="P16" s="161">
        <f t="shared" si="3"/>
        <v>0</v>
      </c>
      <c r="Q16" s="161">
        <f t="shared" si="3"/>
        <v>0</v>
      </c>
      <c r="R16" s="161">
        <f t="shared" si="3"/>
        <v>0</v>
      </c>
      <c r="S16" s="161">
        <f t="shared" si="3"/>
        <v>0</v>
      </c>
      <c r="T16" s="161">
        <f t="shared" si="3"/>
        <v>0</v>
      </c>
    </row>
    <row r="17" spans="2:20" x14ac:dyDescent="0.25">
      <c r="B17" s="23" t="s">
        <v>3018</v>
      </c>
      <c r="C17" s="28" t="s">
        <v>493</v>
      </c>
      <c r="H17" s="29">
        <f>'FSL Output - Without BUMN'!H18</f>
        <v>65.862412993927734</v>
      </c>
      <c r="I17" s="29">
        <f>'FSL Output - Without BUMN'!I18</f>
        <v>149.9588485967227</v>
      </c>
      <c r="J17" s="29">
        <f>'FSL Output - Without BUMN'!J18</f>
        <v>174.2043110782048</v>
      </c>
      <c r="K17" s="29">
        <f>'FSL Output - Without BUMN'!K18</f>
        <v>251.85539666695701</v>
      </c>
      <c r="L17" s="29">
        <f>'FSL Output - Without BUMN'!L18</f>
        <v>289.87172970830568</v>
      </c>
      <c r="M17" s="29">
        <f>'FSL Output - Without BUMN'!M18</f>
        <v>343.801863556071</v>
      </c>
      <c r="N17" s="29">
        <f>'FSL Output - Without BUMN'!N18</f>
        <v>369.71568784946442</v>
      </c>
      <c r="O17" s="29">
        <f>'FSL Output - Without BUMN'!O18</f>
        <v>414.93473266525353</v>
      </c>
      <c r="P17" s="29">
        <f>'FSL Output - Without BUMN'!P18</f>
        <v>441.48499897336529</v>
      </c>
      <c r="Q17" s="29">
        <f>'FSL Output - Without BUMN'!Q18</f>
        <v>486.29436807983234</v>
      </c>
      <c r="R17" s="29">
        <f>'FSL Output - Without BUMN'!R18</f>
        <v>510.94254265588438</v>
      </c>
      <c r="S17" s="29">
        <f>'FSL Output - Without BUMN'!S18</f>
        <v>507.95743915942376</v>
      </c>
      <c r="T17" s="29">
        <f>'FSL Output - Without BUMN'!T18</f>
        <v>528.56113197207742</v>
      </c>
    </row>
    <row r="18" spans="2:20" x14ac:dyDescent="0.25">
      <c r="B18" s="23" t="s">
        <v>3019</v>
      </c>
      <c r="C18" s="28" t="s">
        <v>493</v>
      </c>
      <c r="H18" s="159">
        <f>'BUMN Synergy Calculation'!H100-'Capex &amp; Depreciation'!H255</f>
        <v>0</v>
      </c>
      <c r="I18" s="159">
        <f>'BUMN Synergy Calculation'!I100-'Capex &amp; Depreciation'!I255</f>
        <v>0</v>
      </c>
      <c r="J18" s="159">
        <f>'BUMN Synergy Calculation'!J100-'Capex &amp; Depreciation'!J255</f>
        <v>58.318173049888365</v>
      </c>
      <c r="K18" s="159">
        <f>'BUMN Synergy Calculation'!K100-'Capex &amp; Depreciation'!K255</f>
        <v>61.45139497560762</v>
      </c>
      <c r="L18" s="159">
        <f>'BUMN Synergy Calculation'!L100-'Capex &amp; Depreciation'!L255</f>
        <v>63.599345706404833</v>
      </c>
      <c r="M18" s="159">
        <f>'BUMN Synergy Calculation'!M100-'Capex &amp; Depreciation'!M255</f>
        <v>65.801357383619276</v>
      </c>
      <c r="N18" s="159">
        <f>'BUMN Synergy Calculation'!N100-'Capex &amp; Depreciation'!N255</f>
        <v>68.059051835643473</v>
      </c>
      <c r="O18" s="159">
        <f>'BUMN Synergy Calculation'!O100-'Capex &amp; Depreciation'!O255</f>
        <v>70.374099545721748</v>
      </c>
      <c r="P18" s="159">
        <f>'BUMN Synergy Calculation'!P100-'Capex &amp; Depreciation'!P255</f>
        <v>72.748221111595697</v>
      </c>
      <c r="Q18" s="159">
        <f>'BUMN Synergy Calculation'!Q100-'Capex &amp; Depreciation'!Q255</f>
        <v>75.183188748939216</v>
      </c>
      <c r="R18" s="159">
        <f>'BUMN Synergy Calculation'!R100-'Capex &amp; Depreciation'!R255</f>
        <v>77.680827839896338</v>
      </c>
      <c r="S18" s="159">
        <f>'BUMN Synergy Calculation'!S100-'Capex &amp; Depreciation'!S255</f>
        <v>76.091988325407698</v>
      </c>
      <c r="T18" s="159">
        <f>'BUMN Synergy Calculation'!T100-'Capex &amp; Depreciation'!T255</f>
        <v>78.374747975169939</v>
      </c>
    </row>
    <row r="19" spans="2:20" x14ac:dyDescent="0.25">
      <c r="B19" s="21" t="s">
        <v>3020</v>
      </c>
      <c r="C19" s="28" t="s">
        <v>493</v>
      </c>
      <c r="H19" s="160">
        <f t="shared" ref="H19:T19" si="4">H69</f>
        <v>65.862412993927734</v>
      </c>
      <c r="I19" s="160">
        <f t="shared" si="4"/>
        <v>149.9588485967227</v>
      </c>
      <c r="J19" s="160">
        <f t="shared" si="4"/>
        <v>232.5224841280932</v>
      </c>
      <c r="K19" s="160">
        <f t="shared" si="4"/>
        <v>313.30679164256452</v>
      </c>
      <c r="L19" s="160">
        <f t="shared" si="4"/>
        <v>353.47107541471053</v>
      </c>
      <c r="M19" s="160">
        <f t="shared" si="4"/>
        <v>409.60322093969023</v>
      </c>
      <c r="N19" s="160">
        <f t="shared" si="4"/>
        <v>437.77473968510787</v>
      </c>
      <c r="O19" s="160">
        <f t="shared" si="4"/>
        <v>485.30883221097525</v>
      </c>
      <c r="P19" s="160">
        <f t="shared" si="4"/>
        <v>514.23322008496098</v>
      </c>
      <c r="Q19" s="160">
        <f t="shared" si="4"/>
        <v>561.47755682877164</v>
      </c>
      <c r="R19" s="160">
        <f t="shared" si="4"/>
        <v>588.62337049578082</v>
      </c>
      <c r="S19" s="160">
        <f t="shared" si="4"/>
        <v>584.04942748483143</v>
      </c>
      <c r="T19" s="160">
        <f t="shared" si="4"/>
        <v>606.93587994724749</v>
      </c>
    </row>
    <row r="20" spans="2:20" x14ac:dyDescent="0.25">
      <c r="B20" s="23" t="s">
        <v>3015</v>
      </c>
      <c r="C20" s="28" t="s">
        <v>493</v>
      </c>
      <c r="H20" s="161">
        <f t="shared" ref="H20:T20" si="5">ROUND(H17+H18-H19,6)</f>
        <v>0</v>
      </c>
      <c r="I20" s="161">
        <f t="shared" si="5"/>
        <v>0</v>
      </c>
      <c r="J20" s="161">
        <f t="shared" si="5"/>
        <v>0</v>
      </c>
      <c r="K20" s="161">
        <f t="shared" si="5"/>
        <v>0</v>
      </c>
      <c r="L20" s="161">
        <f t="shared" si="5"/>
        <v>0</v>
      </c>
      <c r="M20" s="161">
        <f t="shared" si="5"/>
        <v>0</v>
      </c>
      <c r="N20" s="161">
        <f t="shared" si="5"/>
        <v>0</v>
      </c>
      <c r="O20" s="161">
        <f t="shared" si="5"/>
        <v>0</v>
      </c>
      <c r="P20" s="161">
        <f t="shared" si="5"/>
        <v>0</v>
      </c>
      <c r="Q20" s="161">
        <f t="shared" si="5"/>
        <v>0</v>
      </c>
      <c r="R20" s="161">
        <f t="shared" si="5"/>
        <v>0</v>
      </c>
      <c r="S20" s="161">
        <f t="shared" si="5"/>
        <v>0</v>
      </c>
      <c r="T20" s="161">
        <f t="shared" si="5"/>
        <v>0</v>
      </c>
    </row>
    <row r="21" spans="2:20" x14ac:dyDescent="0.25">
      <c r="B21" s="23" t="s">
        <v>3021</v>
      </c>
      <c r="C21" s="28" t="s">
        <v>493</v>
      </c>
      <c r="H21" s="29">
        <f>'FSL Output - Without BUMN'!H26</f>
        <v>40.429223963838908</v>
      </c>
      <c r="I21" s="29">
        <f>'FSL Output - Without BUMN'!I26</f>
        <v>100.67365608004286</v>
      </c>
      <c r="J21" s="29">
        <f>'FSL Output - Without BUMN'!J26</f>
        <v>119.4742906980608</v>
      </c>
      <c r="K21" s="29">
        <f>'FSL Output - Without BUMN'!K26</f>
        <v>188.54626420563858</v>
      </c>
      <c r="L21" s="29">
        <f>'FSL Output - Without BUMN'!L26</f>
        <v>220.75669029206574</v>
      </c>
      <c r="M21" s="29">
        <f>'FSL Output - Without BUMN'!M26</f>
        <v>259.76696196444806</v>
      </c>
      <c r="N21" s="29">
        <f>'FSL Output - Without BUMN'!N26</f>
        <v>281.68894985192134</v>
      </c>
      <c r="O21" s="29">
        <f>'FSL Output - Without BUMN'!O26</f>
        <v>317.5214153788977</v>
      </c>
      <c r="P21" s="29">
        <f>'FSL Output - Without BUMN'!P26</f>
        <v>339.56272659922496</v>
      </c>
      <c r="Q21" s="29">
        <f>'FSL Output - Without BUMN'!Q26</f>
        <v>375.84613800226924</v>
      </c>
      <c r="R21" s="29">
        <f>'FSL Output - Without BUMN'!R26</f>
        <v>396.40381767158982</v>
      </c>
      <c r="S21" s="29">
        <f>'FSL Output - Without BUMN'!S26</f>
        <v>395.40754044435056</v>
      </c>
      <c r="T21" s="29">
        <f>'FSL Output - Without BUMN'!T26</f>
        <v>412.27768293822038</v>
      </c>
    </row>
    <row r="22" spans="2:20" ht="26.25" customHeight="1" x14ac:dyDescent="0.25">
      <c r="B22" s="64" t="s">
        <v>3022</v>
      </c>
      <c r="C22" s="28" t="s">
        <v>493</v>
      </c>
      <c r="H22" s="159">
        <f>H77-'FSL Output - Without BUMN'!H26</f>
        <v>0</v>
      </c>
      <c r="I22" s="159">
        <f>I77-'FSL Output - Without BUMN'!I26</f>
        <v>0</v>
      </c>
      <c r="J22" s="159">
        <f>J77-'FSL Output - Without BUMN'!J26</f>
        <v>45.488174978912951</v>
      </c>
      <c r="K22" s="159">
        <f>K77-'FSL Output - Without BUMN'!K26</f>
        <v>47.932088080973813</v>
      </c>
      <c r="L22" s="159">
        <f>L77-'FSL Output - Without BUMN'!L26</f>
        <v>49.607489650995774</v>
      </c>
      <c r="M22" s="159">
        <f>M77-'FSL Output - Without BUMN'!M26</f>
        <v>51.325058759222998</v>
      </c>
      <c r="N22" s="159">
        <f>N77-'FSL Output - Without BUMN'!N26</f>
        <v>53.086060431801911</v>
      </c>
      <c r="O22" s="159">
        <f>O77-'FSL Output - Without BUMN'!O26</f>
        <v>54.891797645662962</v>
      </c>
      <c r="P22" s="159">
        <f>P77-'FSL Output - Without BUMN'!P26</f>
        <v>56.743612467044613</v>
      </c>
      <c r="Q22" s="159">
        <f>Q77-'FSL Output - Without BUMN'!Q26</f>
        <v>58.642887224172682</v>
      </c>
      <c r="R22" s="159">
        <f>R77-'FSL Output - Without BUMN'!R26</f>
        <v>60.591045715119265</v>
      </c>
      <c r="S22" s="159">
        <f>S77-'FSL Output - Without BUMN'!S26</f>
        <v>59.351750893818064</v>
      </c>
      <c r="T22" s="159">
        <f>T77-'FSL Output - Without BUMN'!T26</f>
        <v>61.132303420632695</v>
      </c>
    </row>
    <row r="23" spans="2:20" x14ac:dyDescent="0.25">
      <c r="B23" s="21" t="s">
        <v>3023</v>
      </c>
      <c r="C23" s="28" t="s">
        <v>493</v>
      </c>
      <c r="H23" s="160">
        <f t="shared" ref="H23:T23" si="6">H77</f>
        <v>40.429223963838908</v>
      </c>
      <c r="I23" s="160">
        <f t="shared" si="6"/>
        <v>100.67365608004286</v>
      </c>
      <c r="J23" s="160">
        <f t="shared" si="6"/>
        <v>164.96246567697375</v>
      </c>
      <c r="K23" s="160">
        <f t="shared" si="6"/>
        <v>236.47835228661239</v>
      </c>
      <c r="L23" s="160">
        <f t="shared" si="6"/>
        <v>270.36417994306152</v>
      </c>
      <c r="M23" s="160">
        <f t="shared" si="6"/>
        <v>311.09202072367106</v>
      </c>
      <c r="N23" s="160">
        <f t="shared" si="6"/>
        <v>334.77501028372325</v>
      </c>
      <c r="O23" s="160">
        <f t="shared" si="6"/>
        <v>372.41321302456066</v>
      </c>
      <c r="P23" s="160">
        <f t="shared" si="6"/>
        <v>396.30633906626957</v>
      </c>
      <c r="Q23" s="160">
        <f t="shared" si="6"/>
        <v>434.48902522644192</v>
      </c>
      <c r="R23" s="160">
        <f t="shared" si="6"/>
        <v>456.99486338670908</v>
      </c>
      <c r="S23" s="160">
        <f t="shared" si="6"/>
        <v>454.75929133816862</v>
      </c>
      <c r="T23" s="160">
        <f t="shared" si="6"/>
        <v>473.40998635885308</v>
      </c>
    </row>
    <row r="24" spans="2:20" x14ac:dyDescent="0.25">
      <c r="B24" s="23" t="s">
        <v>3015</v>
      </c>
      <c r="C24" s="28" t="s">
        <v>493</v>
      </c>
      <c r="H24" s="161">
        <f t="shared" ref="H24:T24" si="7">ROUND(H21+H22-H23,6)</f>
        <v>0</v>
      </c>
      <c r="I24" s="161">
        <f t="shared" si="7"/>
        <v>0</v>
      </c>
      <c r="J24" s="161">
        <f t="shared" si="7"/>
        <v>0</v>
      </c>
      <c r="K24" s="161">
        <f t="shared" si="7"/>
        <v>0</v>
      </c>
      <c r="L24" s="161">
        <f t="shared" si="7"/>
        <v>0</v>
      </c>
      <c r="M24" s="161">
        <f t="shared" si="7"/>
        <v>0</v>
      </c>
      <c r="N24" s="161">
        <f t="shared" si="7"/>
        <v>0</v>
      </c>
      <c r="O24" s="161">
        <f t="shared" si="7"/>
        <v>0</v>
      </c>
      <c r="P24" s="161">
        <f t="shared" si="7"/>
        <v>0</v>
      </c>
      <c r="Q24" s="161">
        <f t="shared" si="7"/>
        <v>0</v>
      </c>
      <c r="R24" s="161">
        <f t="shared" si="7"/>
        <v>0</v>
      </c>
      <c r="S24" s="161">
        <f t="shared" si="7"/>
        <v>0</v>
      </c>
      <c r="T24" s="161">
        <f t="shared" si="7"/>
        <v>0</v>
      </c>
    </row>
    <row r="25" spans="2:20" x14ac:dyDescent="0.25">
      <c r="B25" s="23" t="s">
        <v>3024</v>
      </c>
      <c r="C25" s="28" t="s">
        <v>493</v>
      </c>
      <c r="H25" s="29">
        <f>'FSL Output - Without BUMN'!H28</f>
        <v>21.109008429407449</v>
      </c>
      <c r="I25" s="29">
        <f>'FSL Output - Without BUMN'!I28</f>
        <v>80.561041927420476</v>
      </c>
      <c r="J25" s="29">
        <f>'FSL Output - Without BUMN'!J28</f>
        <v>98.832216967032863</v>
      </c>
      <c r="K25" s="29">
        <f>'FSL Output - Without BUMN'!K28</f>
        <v>166.95367118308516</v>
      </c>
      <c r="L25" s="29">
        <f>'FSL Output - Without BUMN'!L28</f>
        <v>198.31883483540565</v>
      </c>
      <c r="M25" s="29">
        <f>'FSL Output - Without BUMN'!M28</f>
        <v>235.26140219797477</v>
      </c>
      <c r="N25" s="29">
        <f>'FSL Output - Without BUMN'!N28</f>
        <v>256.26173472505093</v>
      </c>
      <c r="O25" s="29">
        <f>'FSL Output - Without BUMN'!O28</f>
        <v>291.15545420731576</v>
      </c>
      <c r="P25" s="29">
        <f>'FSL Output - Without BUMN'!P28</f>
        <v>310.84814863807799</v>
      </c>
      <c r="Q25" s="29">
        <f>'FSL Output - Without BUMN'!Q28</f>
        <v>346.1088853810715</v>
      </c>
      <c r="R25" s="29">
        <f>'FSL Output - Without BUMN'!R28</f>
        <v>365.62578720330191</v>
      </c>
      <c r="S25" s="29">
        <f>'FSL Output - Without BUMN'!S28</f>
        <v>363.57084190523761</v>
      </c>
      <c r="T25" s="29">
        <f>'FSL Output - Without BUMN'!T28</f>
        <v>379.36469144014711</v>
      </c>
    </row>
    <row r="26" spans="2:20" x14ac:dyDescent="0.25">
      <c r="B26" s="23" t="s">
        <v>3025</v>
      </c>
      <c r="C26" s="28" t="s">
        <v>493</v>
      </c>
      <c r="H26" s="159">
        <f>H79-'FSL Output - Without BUMN'!H28</f>
        <v>0</v>
      </c>
      <c r="I26" s="159">
        <f>I79-'FSL Output - Without BUMN'!I28</f>
        <v>0</v>
      </c>
      <c r="J26" s="159">
        <f>J79-'FSL Output - Without BUMN'!J28</f>
        <v>45.488174978912937</v>
      </c>
      <c r="K26" s="159">
        <f>K79-'FSL Output - Without BUMN'!K28</f>
        <v>47.932088080973813</v>
      </c>
      <c r="L26" s="159">
        <f>L79-'FSL Output - Without BUMN'!L28</f>
        <v>49.607489650995774</v>
      </c>
      <c r="M26" s="159">
        <f>M79-'FSL Output - Without BUMN'!M28</f>
        <v>51.325058759223026</v>
      </c>
      <c r="N26" s="159">
        <f>N79-'FSL Output - Without BUMN'!N28</f>
        <v>53.086060431801911</v>
      </c>
      <c r="O26" s="159">
        <f>O79-'FSL Output - Without BUMN'!O28</f>
        <v>54.891797645662962</v>
      </c>
      <c r="P26" s="159">
        <f>P79-'FSL Output - Without BUMN'!P28</f>
        <v>56.743612467044613</v>
      </c>
      <c r="Q26" s="159">
        <f>Q79-'FSL Output - Without BUMN'!Q28</f>
        <v>58.642887224172682</v>
      </c>
      <c r="R26" s="159">
        <f>R79-'FSL Output - Without BUMN'!R28</f>
        <v>60.591045715119265</v>
      </c>
      <c r="S26" s="159">
        <f>S79-'FSL Output - Without BUMN'!S28</f>
        <v>59.351750893818064</v>
      </c>
      <c r="T26" s="159">
        <f>T79-'FSL Output - Without BUMN'!T28</f>
        <v>61.132303420632695</v>
      </c>
    </row>
    <row r="27" spans="2:20" x14ac:dyDescent="0.25">
      <c r="B27" s="21" t="s">
        <v>3026</v>
      </c>
      <c r="C27" s="28" t="s">
        <v>493</v>
      </c>
      <c r="H27" s="160">
        <f t="shared" ref="H27:T27" si="8">H79</f>
        <v>21.109008429407449</v>
      </c>
      <c r="I27" s="160">
        <f t="shared" si="8"/>
        <v>80.561041927420476</v>
      </c>
      <c r="J27" s="160">
        <f t="shared" si="8"/>
        <v>144.3203919459458</v>
      </c>
      <c r="K27" s="160">
        <f t="shared" si="8"/>
        <v>214.88575926405898</v>
      </c>
      <c r="L27" s="160">
        <f t="shared" si="8"/>
        <v>247.92632448640143</v>
      </c>
      <c r="M27" s="160">
        <f t="shared" si="8"/>
        <v>286.5864609571978</v>
      </c>
      <c r="N27" s="160">
        <f t="shared" si="8"/>
        <v>309.34779515685284</v>
      </c>
      <c r="O27" s="160">
        <f t="shared" si="8"/>
        <v>346.04725185297872</v>
      </c>
      <c r="P27" s="160">
        <f t="shared" si="8"/>
        <v>367.5917611051226</v>
      </c>
      <c r="Q27" s="160">
        <f t="shared" si="8"/>
        <v>404.75177260524418</v>
      </c>
      <c r="R27" s="160">
        <f t="shared" si="8"/>
        <v>426.21683291842118</v>
      </c>
      <c r="S27" s="160">
        <f t="shared" si="8"/>
        <v>422.92259279905568</v>
      </c>
      <c r="T27" s="160">
        <f t="shared" si="8"/>
        <v>440.49699486077981</v>
      </c>
    </row>
    <row r="28" spans="2:20" x14ac:dyDescent="0.25">
      <c r="B28" s="23" t="s">
        <v>3015</v>
      </c>
      <c r="C28" s="28" t="s">
        <v>493</v>
      </c>
      <c r="H28" s="161">
        <f t="shared" ref="H28:T28" si="9">ROUND(H25+H26-H27,6)</f>
        <v>0</v>
      </c>
      <c r="I28" s="161">
        <f t="shared" si="9"/>
        <v>0</v>
      </c>
      <c r="J28" s="161">
        <f t="shared" si="9"/>
        <v>0</v>
      </c>
      <c r="K28" s="161">
        <f t="shared" si="9"/>
        <v>0</v>
      </c>
      <c r="L28" s="161">
        <f t="shared" si="9"/>
        <v>0</v>
      </c>
      <c r="M28" s="161">
        <f t="shared" si="9"/>
        <v>0</v>
      </c>
      <c r="N28" s="161">
        <f t="shared" si="9"/>
        <v>0</v>
      </c>
      <c r="O28" s="161">
        <f t="shared" si="9"/>
        <v>0</v>
      </c>
      <c r="P28" s="161">
        <f t="shared" si="9"/>
        <v>0</v>
      </c>
      <c r="Q28" s="161">
        <f t="shared" si="9"/>
        <v>0</v>
      </c>
      <c r="R28" s="161">
        <f t="shared" si="9"/>
        <v>0</v>
      </c>
      <c r="S28" s="161">
        <f t="shared" si="9"/>
        <v>0</v>
      </c>
      <c r="T28" s="161">
        <f t="shared" si="9"/>
        <v>0</v>
      </c>
    </row>
    <row r="29" spans="2:20" x14ac:dyDescent="0.25">
      <c r="B29" s="23" t="s">
        <v>3027</v>
      </c>
      <c r="C29" s="28" t="s">
        <v>493</v>
      </c>
      <c r="H29" s="29">
        <f>'FSL Output - Without BUMN'!H222</f>
        <v>131.63932527224546</v>
      </c>
      <c r="I29" s="29">
        <f>'FSL Output - Without BUMN'!I222</f>
        <v>198.47016266341743</v>
      </c>
      <c r="J29" s="29">
        <f>'FSL Output - Without BUMN'!J222</f>
        <v>245.98570160406348</v>
      </c>
      <c r="K29" s="29">
        <f>'FSL Output - Without BUMN'!K222</f>
        <v>311.04842092241802</v>
      </c>
      <c r="L29" s="29">
        <f>'FSL Output - Without BUMN'!L222</f>
        <v>356.85725416912493</v>
      </c>
      <c r="M29" s="29">
        <f>'FSL Output - Without BUMN'!M222</f>
        <v>406.6225196209914</v>
      </c>
      <c r="N29" s="29">
        <f>'FSL Output - Without BUMN'!N222</f>
        <v>434.99335670069678</v>
      </c>
      <c r="O29" s="29">
        <f>'FSL Output - Without BUMN'!O222</f>
        <v>468.16338414696759</v>
      </c>
      <c r="P29" s="29">
        <f>'FSL Output - Without BUMN'!P222</f>
        <v>494.93616630875749</v>
      </c>
      <c r="Q29" s="29">
        <f>'FSL Output - Without BUMN'!Q222</f>
        <v>528.30342591220131</v>
      </c>
      <c r="R29" s="29">
        <f>'FSL Output - Without BUMN'!R222</f>
        <v>548.22898969530854</v>
      </c>
      <c r="S29" s="29">
        <f>'FSL Output - Without BUMN'!S222</f>
        <v>548.68848907002609</v>
      </c>
      <c r="T29" s="29">
        <f>'FSL Output - Without BUMN'!T222</f>
        <v>563.15202036295966</v>
      </c>
    </row>
    <row r="30" spans="2:20" ht="26.25" customHeight="1" x14ac:dyDescent="0.25">
      <c r="B30" s="64" t="s">
        <v>3028</v>
      </c>
      <c r="C30" s="28" t="s">
        <v>493</v>
      </c>
      <c r="H30" s="159">
        <f>H273-'FSL Output - Without BUMN'!H222</f>
        <v>0</v>
      </c>
      <c r="I30" s="159">
        <f>I273-'FSL Output - Without BUMN'!I222</f>
        <v>0</v>
      </c>
      <c r="J30" s="159">
        <f>J273-'FSL Output - Without BUMN'!J222</f>
        <v>29.769760374341615</v>
      </c>
      <c r="K30" s="159">
        <f>K273-'FSL Output - Without BUMN'!K222</f>
        <v>47.0638140560892</v>
      </c>
      <c r="L30" s="159">
        <f>L273-'FSL Output - Without BUMN'!L222</f>
        <v>49.069527095588853</v>
      </c>
      <c r="M30" s="159">
        <f>M273-'FSL Output - Without BUMN'!M222</f>
        <v>50.678691528355159</v>
      </c>
      <c r="N30" s="159">
        <f>N273-'FSL Output - Without BUMN'!N222</f>
        <v>52.471601954046776</v>
      </c>
      <c r="O30" s="159">
        <f>O273-'FSL Output - Without BUMN'!O222</f>
        <v>54.261880825475714</v>
      </c>
      <c r="P30" s="159">
        <f>P273-'FSL Output - Without BUMN'!P222</f>
        <v>56.151492768979097</v>
      </c>
      <c r="Q30" s="159">
        <f>Q273-'FSL Output - Without BUMN'!Q222</f>
        <v>57.926929340967604</v>
      </c>
      <c r="R30" s="159">
        <f>R273-'FSL Output - Without BUMN'!R222</f>
        <v>59.911915298590202</v>
      </c>
      <c r="S30" s="159">
        <f>S273-'FSL Output - Without BUMN'!S222</f>
        <v>59.845386736936121</v>
      </c>
      <c r="T30" s="159">
        <f>T273-'FSL Output - Without BUMN'!T222</f>
        <v>60.574750933227961</v>
      </c>
    </row>
    <row r="31" spans="2:20" x14ac:dyDescent="0.25">
      <c r="B31" s="21" t="s">
        <v>3029</v>
      </c>
      <c r="C31" s="28" t="s">
        <v>493</v>
      </c>
      <c r="H31" s="160">
        <f t="shared" ref="H31:T31" si="10">H273</f>
        <v>131.63932527224546</v>
      </c>
      <c r="I31" s="160">
        <f t="shared" si="10"/>
        <v>198.47016266341743</v>
      </c>
      <c r="J31" s="160">
        <f t="shared" si="10"/>
        <v>275.75546197840509</v>
      </c>
      <c r="K31" s="160">
        <f t="shared" si="10"/>
        <v>358.11223497850722</v>
      </c>
      <c r="L31" s="160">
        <f t="shared" si="10"/>
        <v>405.92678126471378</v>
      </c>
      <c r="M31" s="160">
        <f t="shared" si="10"/>
        <v>457.30121114934656</v>
      </c>
      <c r="N31" s="160">
        <f t="shared" si="10"/>
        <v>487.46495865474355</v>
      </c>
      <c r="O31" s="160">
        <f t="shared" si="10"/>
        <v>522.4252649724433</v>
      </c>
      <c r="P31" s="160">
        <f t="shared" si="10"/>
        <v>551.08765907773659</v>
      </c>
      <c r="Q31" s="160">
        <f t="shared" si="10"/>
        <v>586.23035525316891</v>
      </c>
      <c r="R31" s="160">
        <f t="shared" si="10"/>
        <v>608.14090499389874</v>
      </c>
      <c r="S31" s="160">
        <f t="shared" si="10"/>
        <v>608.53387580696221</v>
      </c>
      <c r="T31" s="160">
        <f t="shared" si="10"/>
        <v>623.72677129618762</v>
      </c>
    </row>
    <row r="32" spans="2:20" x14ac:dyDescent="0.25">
      <c r="B32" s="23" t="s">
        <v>3015</v>
      </c>
      <c r="C32" s="28" t="s">
        <v>493</v>
      </c>
      <c r="H32" s="161">
        <f t="shared" ref="H32:T32" si="11">ROUND(H29+H30-H31,6)</f>
        <v>0</v>
      </c>
      <c r="I32" s="161">
        <f t="shared" si="11"/>
        <v>0</v>
      </c>
      <c r="J32" s="161">
        <f t="shared" si="11"/>
        <v>0</v>
      </c>
      <c r="K32" s="161">
        <f t="shared" si="11"/>
        <v>0</v>
      </c>
      <c r="L32" s="161">
        <f t="shared" si="11"/>
        <v>0</v>
      </c>
      <c r="M32" s="161">
        <f t="shared" si="11"/>
        <v>0</v>
      </c>
      <c r="N32" s="161">
        <f t="shared" si="11"/>
        <v>0</v>
      </c>
      <c r="O32" s="161">
        <f t="shared" si="11"/>
        <v>0</v>
      </c>
      <c r="P32" s="161">
        <f t="shared" si="11"/>
        <v>0</v>
      </c>
      <c r="Q32" s="161">
        <f t="shared" si="11"/>
        <v>0</v>
      </c>
      <c r="R32" s="161">
        <f t="shared" si="11"/>
        <v>0</v>
      </c>
      <c r="S32" s="161">
        <f t="shared" si="11"/>
        <v>0</v>
      </c>
      <c r="T32" s="161">
        <f t="shared" si="11"/>
        <v>0</v>
      </c>
    </row>
    <row r="33" spans="2:20" x14ac:dyDescent="0.25">
      <c r="B33" s="23" t="s">
        <v>3030</v>
      </c>
      <c r="C33" s="28" t="s">
        <v>493</v>
      </c>
      <c r="H33" s="29">
        <f>'Capex &amp; Depreciation'!H281</f>
        <v>125.24050000000001</v>
      </c>
      <c r="I33" s="29">
        <f>'Capex &amp; Depreciation'!I281</f>
        <v>14.638500000000001</v>
      </c>
      <c r="J33" s="29">
        <f>'Capex &amp; Depreciation'!J281</f>
        <v>419.77202976190472</v>
      </c>
      <c r="K33" s="29">
        <f>'Capex &amp; Depreciation'!K281</f>
        <v>225.06362499999994</v>
      </c>
      <c r="L33" s="29">
        <f>'Capex &amp; Depreciation'!L281</f>
        <v>97.59</v>
      </c>
      <c r="M33" s="29">
        <f>'Capex &amp; Depreciation'!M281</f>
        <v>0</v>
      </c>
      <c r="N33" s="29">
        <f>'Capex &amp; Depreciation'!N281</f>
        <v>0</v>
      </c>
      <c r="O33" s="29">
        <f>'Capex &amp; Depreciation'!O281</f>
        <v>0</v>
      </c>
      <c r="P33" s="29">
        <f>'Capex &amp; Depreciation'!P281</f>
        <v>0</v>
      </c>
      <c r="Q33" s="29">
        <f>'Capex &amp; Depreciation'!Q281</f>
        <v>0</v>
      </c>
      <c r="R33" s="29">
        <f>'Capex &amp; Depreciation'!R281</f>
        <v>0</v>
      </c>
      <c r="S33" s="29">
        <f>'Capex &amp; Depreciation'!S281</f>
        <v>0</v>
      </c>
      <c r="T33" s="29">
        <f>'Capex &amp; Depreciation'!T281</f>
        <v>0</v>
      </c>
    </row>
    <row r="34" spans="2:20" x14ac:dyDescent="0.25">
      <c r="B34" s="23" t="s">
        <v>3031</v>
      </c>
      <c r="C34" s="28" t="s">
        <v>493</v>
      </c>
      <c r="H34" s="29">
        <f>'Capex &amp; Depreciation'!H282</f>
        <v>0</v>
      </c>
      <c r="I34" s="29">
        <f>'Capex &amp; Depreciation'!I282</f>
        <v>0</v>
      </c>
      <c r="J34" s="29">
        <f>'Capex &amp; Depreciation'!J282</f>
        <v>0</v>
      </c>
      <c r="K34" s="29">
        <f>'Capex &amp; Depreciation'!K282</f>
        <v>0</v>
      </c>
      <c r="L34" s="29">
        <f>'Capex &amp; Depreciation'!L282</f>
        <v>0</v>
      </c>
      <c r="M34" s="29">
        <f>'Capex &amp; Depreciation'!M282</f>
        <v>0</v>
      </c>
      <c r="N34" s="29">
        <f>'Capex &amp; Depreciation'!N282</f>
        <v>0</v>
      </c>
      <c r="O34" s="29">
        <f>'Capex &amp; Depreciation'!O282</f>
        <v>0</v>
      </c>
      <c r="P34" s="29">
        <f>'Capex &amp; Depreciation'!P282</f>
        <v>0</v>
      </c>
      <c r="Q34" s="29">
        <f>'Capex &amp; Depreciation'!Q282</f>
        <v>0</v>
      </c>
      <c r="R34" s="29">
        <f>'Capex &amp; Depreciation'!R282</f>
        <v>0</v>
      </c>
      <c r="S34" s="29">
        <f>'Capex &amp; Depreciation'!S282</f>
        <v>0</v>
      </c>
      <c r="T34" s="29">
        <f>'Capex &amp; Depreciation'!T282</f>
        <v>0</v>
      </c>
    </row>
    <row r="35" spans="2:20" x14ac:dyDescent="0.25">
      <c r="B35" s="21" t="s">
        <v>3032</v>
      </c>
      <c r="C35" s="28" t="s">
        <v>493</v>
      </c>
      <c r="H35" s="26">
        <f>'Capex &amp; Depreciation'!H283</f>
        <v>125.24050000000001</v>
      </c>
      <c r="I35" s="26">
        <f>'Capex &amp; Depreciation'!I283</f>
        <v>14.638500000000001</v>
      </c>
      <c r="J35" s="26">
        <f>'Capex &amp; Depreciation'!J283</f>
        <v>419.77202976190472</v>
      </c>
      <c r="K35" s="26">
        <f>'Capex &amp; Depreciation'!K283</f>
        <v>225.06362499999994</v>
      </c>
      <c r="L35" s="26">
        <f>'Capex &amp; Depreciation'!L283</f>
        <v>97.59</v>
      </c>
      <c r="M35" s="26">
        <f>'Capex &amp; Depreciation'!M283</f>
        <v>0</v>
      </c>
      <c r="N35" s="26">
        <f>'Capex &amp; Depreciation'!N283</f>
        <v>0</v>
      </c>
      <c r="O35" s="26">
        <f>'Capex &amp; Depreciation'!O283</f>
        <v>0</v>
      </c>
      <c r="P35" s="26">
        <f>'Capex &amp; Depreciation'!P283</f>
        <v>0</v>
      </c>
      <c r="Q35" s="26">
        <f>'Capex &amp; Depreciation'!Q283</f>
        <v>0</v>
      </c>
      <c r="R35" s="26">
        <f>'Capex &amp; Depreciation'!R283</f>
        <v>0</v>
      </c>
      <c r="S35" s="26">
        <f>'Capex &amp; Depreciation'!S283</f>
        <v>0</v>
      </c>
      <c r="T35" s="26">
        <f>'Capex &amp; Depreciation'!T283</f>
        <v>0</v>
      </c>
    </row>
    <row r="36" spans="2:20" x14ac:dyDescent="0.25">
      <c r="B36" s="23" t="s">
        <v>3015</v>
      </c>
      <c r="C36" s="28" t="s">
        <v>493</v>
      </c>
      <c r="H36" s="161">
        <f t="shared" ref="H36:T36" si="12">ROUND(H33+H34-H35,6)</f>
        <v>0</v>
      </c>
      <c r="I36" s="161">
        <f t="shared" si="12"/>
        <v>0</v>
      </c>
      <c r="J36" s="161">
        <f t="shared" si="12"/>
        <v>0</v>
      </c>
      <c r="K36" s="161">
        <f t="shared" si="12"/>
        <v>0</v>
      </c>
      <c r="L36" s="161">
        <f t="shared" si="12"/>
        <v>0</v>
      </c>
      <c r="M36" s="161">
        <f t="shared" si="12"/>
        <v>0</v>
      </c>
      <c r="N36" s="161">
        <f t="shared" si="12"/>
        <v>0</v>
      </c>
      <c r="O36" s="161">
        <f t="shared" si="12"/>
        <v>0</v>
      </c>
      <c r="P36" s="161">
        <f t="shared" si="12"/>
        <v>0</v>
      </c>
      <c r="Q36" s="161">
        <f t="shared" si="12"/>
        <v>0</v>
      </c>
      <c r="R36" s="161">
        <f t="shared" si="12"/>
        <v>0</v>
      </c>
      <c r="S36" s="161">
        <f t="shared" si="12"/>
        <v>0</v>
      </c>
      <c r="T36" s="161">
        <f t="shared" si="12"/>
        <v>0</v>
      </c>
    </row>
    <row r="37" spans="2:20" x14ac:dyDescent="0.25">
      <c r="B37" s="23" t="s">
        <v>3033</v>
      </c>
      <c r="C37" s="28" t="s">
        <v>493</v>
      </c>
      <c r="H37" s="29">
        <f>Financing!H90</f>
        <v>0</v>
      </c>
      <c r="I37" s="29">
        <f>Financing!I90</f>
        <v>0</v>
      </c>
      <c r="J37" s="29">
        <f>Financing!J90</f>
        <v>0</v>
      </c>
      <c r="K37" s="29">
        <f>Financing!K90</f>
        <v>76.665204077581919</v>
      </c>
      <c r="L37" s="29">
        <f>Financing!L90</f>
        <v>0</v>
      </c>
      <c r="M37" s="29">
        <f>Financing!M90</f>
        <v>0</v>
      </c>
      <c r="N37" s="29">
        <f>Financing!N90</f>
        <v>0</v>
      </c>
      <c r="O37" s="29">
        <f>Financing!O90</f>
        <v>0</v>
      </c>
      <c r="P37" s="29">
        <f>Financing!P90</f>
        <v>0</v>
      </c>
      <c r="Q37" s="29">
        <f>Financing!Q90</f>
        <v>0</v>
      </c>
      <c r="R37" s="29">
        <f>Financing!R90</f>
        <v>0</v>
      </c>
      <c r="S37" s="29">
        <f>Financing!S90</f>
        <v>0</v>
      </c>
      <c r="T37" s="29">
        <f>Financing!T90</f>
        <v>0</v>
      </c>
    </row>
    <row r="38" spans="2:20" x14ac:dyDescent="0.25">
      <c r="B38" s="23" t="s">
        <v>3034</v>
      </c>
      <c r="C38" s="28" t="s">
        <v>493</v>
      </c>
      <c r="H38" s="159">
        <f>Financing!H61-Financing!H90</f>
        <v>0</v>
      </c>
      <c r="I38" s="159">
        <f>Financing!I61-Financing!I90</f>
        <v>0</v>
      </c>
      <c r="J38" s="159">
        <f>Financing!J61-Financing!J90</f>
        <v>0</v>
      </c>
      <c r="K38" s="159">
        <f>Financing!K61-Financing!K90</f>
        <v>-47.781041318940353</v>
      </c>
      <c r="L38" s="159">
        <f>Financing!L61-Financing!L90</f>
        <v>0</v>
      </c>
      <c r="M38" s="159">
        <f>Financing!M61-Financing!M90</f>
        <v>0</v>
      </c>
      <c r="N38" s="159">
        <f>Financing!N61-Financing!N90</f>
        <v>0</v>
      </c>
      <c r="O38" s="159">
        <f>Financing!O61-Financing!O90</f>
        <v>0</v>
      </c>
      <c r="P38" s="159">
        <f>Financing!P61-Financing!P90</f>
        <v>0</v>
      </c>
      <c r="Q38" s="159">
        <f>Financing!Q61-Financing!Q90</f>
        <v>0</v>
      </c>
      <c r="R38" s="159">
        <f>Financing!R61-Financing!R90</f>
        <v>0</v>
      </c>
      <c r="S38" s="159">
        <f>Financing!S61-Financing!S90</f>
        <v>0</v>
      </c>
      <c r="T38" s="159">
        <f>Financing!T61-Financing!T90</f>
        <v>0</v>
      </c>
    </row>
    <row r="39" spans="2:20" x14ac:dyDescent="0.25">
      <c r="B39" s="21" t="s">
        <v>3035</v>
      </c>
      <c r="C39" s="28" t="s">
        <v>493</v>
      </c>
      <c r="H39" s="26">
        <f>Financing!H61</f>
        <v>0</v>
      </c>
      <c r="I39" s="26">
        <f>Financing!I61</f>
        <v>0</v>
      </c>
      <c r="J39" s="26">
        <f>Financing!J61</f>
        <v>0</v>
      </c>
      <c r="K39" s="26">
        <f>Financing!K61</f>
        <v>28.884162758641565</v>
      </c>
      <c r="L39" s="26">
        <f>Financing!L61</f>
        <v>0</v>
      </c>
      <c r="M39" s="26">
        <f>Financing!M61</f>
        <v>0</v>
      </c>
      <c r="N39" s="26">
        <f>Financing!N61</f>
        <v>0</v>
      </c>
      <c r="O39" s="26">
        <f>Financing!O61</f>
        <v>0</v>
      </c>
      <c r="P39" s="26">
        <f>Financing!P61</f>
        <v>0</v>
      </c>
      <c r="Q39" s="26">
        <f>Financing!Q61</f>
        <v>0</v>
      </c>
      <c r="R39" s="26">
        <f>Financing!R61</f>
        <v>0</v>
      </c>
      <c r="S39" s="26">
        <f>Financing!S61</f>
        <v>0</v>
      </c>
      <c r="T39" s="26">
        <f>Financing!T61</f>
        <v>0</v>
      </c>
    </row>
    <row r="40" spans="2:20" x14ac:dyDescent="0.25">
      <c r="B40" s="23" t="s">
        <v>3015</v>
      </c>
      <c r="C40" s="28" t="s">
        <v>493</v>
      </c>
      <c r="H40" s="161">
        <f t="shared" ref="H40:T40" si="13">ROUND(H37+H38-H39,6)</f>
        <v>0</v>
      </c>
      <c r="I40" s="161">
        <f t="shared" si="13"/>
        <v>0</v>
      </c>
      <c r="J40" s="161">
        <f t="shared" si="13"/>
        <v>0</v>
      </c>
      <c r="K40" s="161">
        <f t="shared" si="13"/>
        <v>0</v>
      </c>
      <c r="L40" s="161">
        <f t="shared" si="13"/>
        <v>0</v>
      </c>
      <c r="M40" s="161">
        <f t="shared" si="13"/>
        <v>0</v>
      </c>
      <c r="N40" s="161">
        <f t="shared" si="13"/>
        <v>0</v>
      </c>
      <c r="O40" s="161">
        <f t="shared" si="13"/>
        <v>0</v>
      </c>
      <c r="P40" s="161">
        <f t="shared" si="13"/>
        <v>0</v>
      </c>
      <c r="Q40" s="161">
        <f t="shared" si="13"/>
        <v>0</v>
      </c>
      <c r="R40" s="161">
        <f t="shared" si="13"/>
        <v>0</v>
      </c>
      <c r="S40" s="161">
        <f t="shared" si="13"/>
        <v>0</v>
      </c>
      <c r="T40" s="161">
        <f t="shared" si="13"/>
        <v>0</v>
      </c>
    </row>
    <row r="41" spans="2:20" x14ac:dyDescent="0.25">
      <c r="B41" s="23" t="s">
        <v>3036</v>
      </c>
      <c r="C41" s="28" t="s">
        <v>493</v>
      </c>
      <c r="H41" s="29">
        <f>Financing!H100</f>
        <v>6.3327025288222343</v>
      </c>
      <c r="I41" s="29">
        <f>Financing!I100</f>
        <v>24.168312578226143</v>
      </c>
      <c r="J41" s="29">
        <f>Financing!J100</f>
        <v>14.243584472293236</v>
      </c>
      <c r="K41" s="29">
        <f>Financing!K100</f>
        <v>0</v>
      </c>
      <c r="L41" s="29">
        <f>Financing!L100</f>
        <v>59.495650450621696</v>
      </c>
      <c r="M41" s="29">
        <f>Financing!M100</f>
        <v>70.578420659392435</v>
      </c>
      <c r="N41" s="29">
        <f>Financing!N100</f>
        <v>76.878520417515276</v>
      </c>
      <c r="O41" s="29">
        <f>Financing!O100</f>
        <v>87.346636262194721</v>
      </c>
      <c r="P41" s="29">
        <f>Financing!P100</f>
        <v>93.254444591423393</v>
      </c>
      <c r="Q41" s="29">
        <f>Financing!Q100</f>
        <v>103.83266561432144</v>
      </c>
      <c r="R41" s="29">
        <f>Financing!R100</f>
        <v>109.68773616099057</v>
      </c>
      <c r="S41" s="29">
        <f>Financing!S100</f>
        <v>109.07125257157128</v>
      </c>
      <c r="T41" s="29">
        <f>Financing!T100</f>
        <v>113.80940743204413</v>
      </c>
    </row>
    <row r="42" spans="2:20" x14ac:dyDescent="0.25">
      <c r="B42" s="23" t="s">
        <v>3037</v>
      </c>
      <c r="C42" s="28" t="s">
        <v>493</v>
      </c>
      <c r="H42" s="159">
        <f>Financing!H71-Financing!H100</f>
        <v>0</v>
      </c>
      <c r="I42" s="159">
        <f>Financing!I71-Financing!I100</f>
        <v>0</v>
      </c>
      <c r="J42" s="159">
        <f>Financing!J71-Financing!J100</f>
        <v>29.052533111490504</v>
      </c>
      <c r="K42" s="159">
        <f>Financing!K71-Financing!K100</f>
        <v>0</v>
      </c>
      <c r="L42" s="159">
        <f>Financing!L71-Financing!L100</f>
        <v>14.882246895298735</v>
      </c>
      <c r="M42" s="159">
        <f>Financing!M71-Financing!M100</f>
        <v>15.397517627766902</v>
      </c>
      <c r="N42" s="159">
        <f>Financing!N71-Financing!N100</f>
        <v>15.925818129540573</v>
      </c>
      <c r="O42" s="159">
        <f>Financing!O71-Financing!O100</f>
        <v>16.467539293698891</v>
      </c>
      <c r="P42" s="159">
        <f>Financing!P71-Financing!P100</f>
        <v>17.023083740113378</v>
      </c>
      <c r="Q42" s="159">
        <f>Financing!Q71-Financing!Q100</f>
        <v>17.592866167251813</v>
      </c>
      <c r="R42" s="159">
        <f>Financing!R71-Financing!R100</f>
        <v>18.177313714535785</v>
      </c>
      <c r="S42" s="159">
        <f>Financing!S71-Financing!S100</f>
        <v>17.805525268145416</v>
      </c>
      <c r="T42" s="159">
        <f>Financing!T71-Financing!T100</f>
        <v>18.339691026189811</v>
      </c>
    </row>
    <row r="43" spans="2:20" x14ac:dyDescent="0.25">
      <c r="B43" s="21" t="s">
        <v>3038</v>
      </c>
      <c r="C43" s="28" t="s">
        <v>493</v>
      </c>
      <c r="H43" s="26">
        <f>Financing!H71</f>
        <v>6.3327025288222343</v>
      </c>
      <c r="I43" s="26">
        <f>Financing!I71</f>
        <v>24.168312578226143</v>
      </c>
      <c r="J43" s="26">
        <f>Financing!J71</f>
        <v>43.29611758378374</v>
      </c>
      <c r="K43" s="26">
        <f>Financing!K71</f>
        <v>0</v>
      </c>
      <c r="L43" s="26">
        <f>Financing!L71</f>
        <v>74.377897345920431</v>
      </c>
      <c r="M43" s="26">
        <f>Financing!M71</f>
        <v>85.975938287159337</v>
      </c>
      <c r="N43" s="26">
        <f>Financing!N71</f>
        <v>92.804338547055849</v>
      </c>
      <c r="O43" s="26">
        <f>Financing!O71</f>
        <v>103.81417555589361</v>
      </c>
      <c r="P43" s="26">
        <f>Financing!P71</f>
        <v>110.27752833153677</v>
      </c>
      <c r="Q43" s="26">
        <f>Financing!Q71</f>
        <v>121.42553178157326</v>
      </c>
      <c r="R43" s="26">
        <f>Financing!R71</f>
        <v>127.86504987552635</v>
      </c>
      <c r="S43" s="26">
        <f>Financing!S71</f>
        <v>126.87677783971669</v>
      </c>
      <c r="T43" s="26">
        <f>Financing!T71</f>
        <v>132.14909845823394</v>
      </c>
    </row>
    <row r="44" spans="2:20" x14ac:dyDescent="0.25">
      <c r="B44" s="23" t="s">
        <v>3015</v>
      </c>
      <c r="C44" s="28" t="s">
        <v>493</v>
      </c>
      <c r="H44" s="161">
        <f t="shared" ref="H44:T44" si="14">ROUND(H41+H42-H43,6)</f>
        <v>0</v>
      </c>
      <c r="I44" s="161">
        <f t="shared" si="14"/>
        <v>0</v>
      </c>
      <c r="J44" s="161">
        <f t="shared" si="14"/>
        <v>0</v>
      </c>
      <c r="K44" s="161">
        <f t="shared" si="14"/>
        <v>0</v>
      </c>
      <c r="L44" s="161">
        <f t="shared" si="14"/>
        <v>0</v>
      </c>
      <c r="M44" s="161">
        <f t="shared" si="14"/>
        <v>0</v>
      </c>
      <c r="N44" s="161">
        <f t="shared" si="14"/>
        <v>0</v>
      </c>
      <c r="O44" s="161">
        <f t="shared" si="14"/>
        <v>0</v>
      </c>
      <c r="P44" s="161">
        <f t="shared" si="14"/>
        <v>0</v>
      </c>
      <c r="Q44" s="161">
        <f t="shared" si="14"/>
        <v>0</v>
      </c>
      <c r="R44" s="161">
        <f t="shared" si="14"/>
        <v>0</v>
      </c>
      <c r="S44" s="161">
        <f t="shared" si="14"/>
        <v>0</v>
      </c>
      <c r="T44" s="161">
        <f t="shared" si="14"/>
        <v>0</v>
      </c>
    </row>
    <row r="45" spans="2:20" x14ac:dyDescent="0.25">
      <c r="B45" s="23" t="s">
        <v>3039</v>
      </c>
      <c r="C45" s="28" t="s">
        <v>493</v>
      </c>
      <c r="H45" s="29">
        <f>'Funding Requirement'!H94</f>
        <v>31.366562544943211</v>
      </c>
      <c r="I45" s="29">
        <f>'Funding Requirement'!I94</f>
        <v>191.0299126301345</v>
      </c>
      <c r="J45" s="29">
        <f>'Funding Requirement'!J94</f>
        <v>3</v>
      </c>
      <c r="K45" s="29">
        <f>'Funding Requirement'!K94</f>
        <v>3</v>
      </c>
      <c r="L45" s="29">
        <f>'Funding Requirement'!L94</f>
        <v>251.56660371850327</v>
      </c>
      <c r="M45" s="29">
        <f>'Funding Requirement'!M94</f>
        <v>587.61070268010224</v>
      </c>
      <c r="N45" s="29">
        <f>'Funding Requirement'!N94</f>
        <v>939.21953896328387</v>
      </c>
      <c r="O45" s="29">
        <f>'Funding Requirement'!O94</f>
        <v>1303.7712868480567</v>
      </c>
      <c r="P45" s="29">
        <f>'Funding Requirement'!P94</f>
        <v>1689.1880085653906</v>
      </c>
      <c r="Q45" s="29">
        <f>'Funding Requirement'!Q94</f>
        <v>2097.3937688632709</v>
      </c>
      <c r="R45" s="29">
        <f>'Funding Requirement'!R94</f>
        <v>2519.670022397589</v>
      </c>
      <c r="S45" s="29">
        <f>'Funding Requirement'!S94</f>
        <v>2949.528258896044</v>
      </c>
      <c r="T45" s="29">
        <f>'Funding Requirement'!T94</f>
        <v>3398.8708718269595</v>
      </c>
    </row>
    <row r="46" spans="2:20" ht="26.25" customHeight="1" x14ac:dyDescent="0.25">
      <c r="B46" s="64" t="s">
        <v>3040</v>
      </c>
      <c r="C46" s="28" t="s">
        <v>493</v>
      </c>
      <c r="H46" s="159">
        <f>'Funding Requirement'!H62-'Funding Requirement'!H94</f>
        <v>0</v>
      </c>
      <c r="I46" s="159">
        <f>'Funding Requirement'!I62-'Funding Requirement'!I94</f>
        <v>0</v>
      </c>
      <c r="J46" s="159">
        <f>'Funding Requirement'!J62-'Funding Requirement'!J94</f>
        <v>0.71722726285116778</v>
      </c>
      <c r="K46" s="159">
        <f>'Funding Requirement'!K62-'Funding Requirement'!K94</f>
        <v>0</v>
      </c>
      <c r="L46" s="159">
        <f>'Funding Requirement'!L62-'Funding Requirement'!L94</f>
        <v>34.187280200290076</v>
      </c>
      <c r="M46" s="159">
        <f>'Funding Requirement'!M62-'Funding Requirement'!M94</f>
        <v>69.468454100878262</v>
      </c>
      <c r="N46" s="159">
        <f>'Funding Requirement'!N62-'Funding Requirement'!N94</f>
        <v>106.01423792538435</v>
      </c>
      <c r="O46" s="159">
        <f>'Funding Requirement'!O62-'Funding Requirement'!O94</f>
        <v>143.80857945716139</v>
      </c>
      <c r="P46" s="159">
        <f>'Funding Requirement'!P62-'Funding Requirement'!P94</f>
        <v>182.9369884860273</v>
      </c>
      <c r="Q46" s="159">
        <f>'Funding Requirement'!Q62-'Funding Requirement'!Q94</f>
        <v>223.27105165974308</v>
      </c>
      <c r="R46" s="159">
        <f>'Funding Requirement'!R62-'Funding Requirement'!R94</f>
        <v>265.0056532437975</v>
      </c>
      <c r="S46" s="159">
        <f>'Funding Requirement'!S62-'Funding Requirement'!S94</f>
        <v>307.04551471258765</v>
      </c>
      <c r="T46" s="159">
        <f>'Funding Requirement'!T62-'Funding Requirement'!T94</f>
        <v>349.2805746196259</v>
      </c>
    </row>
    <row r="47" spans="2:20" x14ac:dyDescent="0.25">
      <c r="B47" s="21" t="s">
        <v>3041</v>
      </c>
      <c r="C47" s="28" t="s">
        <v>493</v>
      </c>
      <c r="H47" s="26">
        <f>'Funding Requirement'!H62</f>
        <v>31.366562544943211</v>
      </c>
      <c r="I47" s="26">
        <f>'Funding Requirement'!I62</f>
        <v>191.0299126301345</v>
      </c>
      <c r="J47" s="26">
        <f>'Funding Requirement'!J62</f>
        <v>3.7172272628511678</v>
      </c>
      <c r="K47" s="26">
        <f>'Funding Requirement'!K62</f>
        <v>3</v>
      </c>
      <c r="L47" s="26">
        <f>'Funding Requirement'!L62</f>
        <v>285.75388391879335</v>
      </c>
      <c r="M47" s="26">
        <f>'Funding Requirement'!M62</f>
        <v>657.0791567809805</v>
      </c>
      <c r="N47" s="26">
        <f>'Funding Requirement'!N62</f>
        <v>1045.2337768886682</v>
      </c>
      <c r="O47" s="26">
        <f>'Funding Requirement'!O62</f>
        <v>1447.579866305218</v>
      </c>
      <c r="P47" s="26">
        <f>'Funding Requirement'!P62</f>
        <v>1872.1249970514179</v>
      </c>
      <c r="Q47" s="26">
        <f>'Funding Requirement'!Q62</f>
        <v>2320.664820523014</v>
      </c>
      <c r="R47" s="26">
        <f>'Funding Requirement'!R62</f>
        <v>2784.6756756413865</v>
      </c>
      <c r="S47" s="26">
        <f>'Funding Requirement'!S62</f>
        <v>3256.5737736086317</v>
      </c>
      <c r="T47" s="26">
        <f>'Funding Requirement'!T62</f>
        <v>3748.1514464465854</v>
      </c>
    </row>
    <row r="48" spans="2:20" x14ac:dyDescent="0.25">
      <c r="B48" s="23" t="s">
        <v>3015</v>
      </c>
      <c r="C48" s="28" t="s">
        <v>493</v>
      </c>
      <c r="H48" s="161">
        <f t="shared" ref="H48:T48" si="15">ROUND(H45+H46-H47,6)</f>
        <v>0</v>
      </c>
      <c r="I48" s="161">
        <f t="shared" si="15"/>
        <v>0</v>
      </c>
      <c r="J48" s="161">
        <f t="shared" si="15"/>
        <v>0</v>
      </c>
      <c r="K48" s="161">
        <f t="shared" si="15"/>
        <v>0</v>
      </c>
      <c r="L48" s="161">
        <f t="shared" si="15"/>
        <v>0</v>
      </c>
      <c r="M48" s="161">
        <f t="shared" si="15"/>
        <v>0</v>
      </c>
      <c r="N48" s="161">
        <f t="shared" si="15"/>
        <v>0</v>
      </c>
      <c r="O48" s="161">
        <f t="shared" si="15"/>
        <v>0</v>
      </c>
      <c r="P48" s="161">
        <f t="shared" si="15"/>
        <v>0</v>
      </c>
      <c r="Q48" s="161">
        <f t="shared" si="15"/>
        <v>0</v>
      </c>
      <c r="R48" s="161">
        <f t="shared" si="15"/>
        <v>0</v>
      </c>
      <c r="S48" s="161">
        <f t="shared" si="15"/>
        <v>0</v>
      </c>
      <c r="T48" s="161">
        <f t="shared" si="15"/>
        <v>0</v>
      </c>
    </row>
    <row r="49" spans="2:20" x14ac:dyDescent="0.25">
      <c r="B49" s="154" t="s">
        <v>3042</v>
      </c>
    </row>
    <row r="50" spans="2:20" x14ac:dyDescent="0.25">
      <c r="B50" s="23" t="s">
        <v>3043</v>
      </c>
      <c r="C50" s="28" t="s">
        <v>493</v>
      </c>
      <c r="E50" s="29">
        <f>'Valuation — Without BUMN'!$E$67</f>
        <v>4121.4079207574405</v>
      </c>
    </row>
    <row r="51" spans="2:20" ht="26.25" customHeight="1" x14ac:dyDescent="0.25">
      <c r="B51" s="64" t="s">
        <v>3044</v>
      </c>
      <c r="C51" s="28" t="s">
        <v>493</v>
      </c>
      <c r="E51" s="29">
        <f>'Valuation — With BUMN'!$E$116</f>
        <v>511.8575764556017</v>
      </c>
    </row>
    <row r="52" spans="2:20" x14ac:dyDescent="0.25">
      <c r="B52" s="21" t="s">
        <v>3045</v>
      </c>
      <c r="C52" s="28" t="s">
        <v>493</v>
      </c>
      <c r="E52" s="26">
        <f>'Valuation — With BUMN'!$E$67</f>
        <v>4633.2654972130422</v>
      </c>
    </row>
    <row r="53" spans="2:20" x14ac:dyDescent="0.25">
      <c r="B53" s="23" t="s">
        <v>3046</v>
      </c>
      <c r="C53" s="28" t="s">
        <v>493</v>
      </c>
      <c r="E53" s="29">
        <f>'Valuation — Without BUMN'!$E$74</f>
        <v>3536.8633949278205</v>
      </c>
    </row>
    <row r="54" spans="2:20" x14ac:dyDescent="0.25">
      <c r="B54" s="23" t="s">
        <v>3047</v>
      </c>
      <c r="C54" s="28" t="s">
        <v>493</v>
      </c>
      <c r="E54" s="29">
        <f>'Valuation — With BUMN'!$E$118</f>
        <v>422.87986702966873</v>
      </c>
    </row>
    <row r="55" spans="2:20" x14ac:dyDescent="0.25">
      <c r="B55" s="21" t="s">
        <v>3048</v>
      </c>
      <c r="C55" s="28" t="s">
        <v>493</v>
      </c>
      <c r="E55" s="26">
        <f>'Valuation — With BUMN'!$E$74</f>
        <v>3959.7432619574893</v>
      </c>
    </row>
    <row r="56" spans="2:20" x14ac:dyDescent="0.25">
      <c r="B56" s="145" t="s">
        <v>3049</v>
      </c>
    </row>
    <row r="58" spans="2:20" x14ac:dyDescent="0.25">
      <c r="B58" s="58" t="s">
        <v>3050</v>
      </c>
      <c r="C58" s="19"/>
      <c r="D58" s="19"/>
      <c r="E58" s="19"/>
      <c r="F58" s="19"/>
      <c r="G58" s="19"/>
      <c r="H58" s="19"/>
      <c r="I58" s="19"/>
      <c r="J58" s="19"/>
      <c r="K58" s="19"/>
      <c r="L58" s="19"/>
      <c r="M58" s="19"/>
      <c r="N58" s="19"/>
      <c r="O58" s="19"/>
      <c r="P58" s="19"/>
      <c r="Q58" s="19"/>
      <c r="R58" s="19"/>
      <c r="S58" s="19"/>
      <c r="T58" s="19"/>
    </row>
    <row r="59" spans="2:20" x14ac:dyDescent="0.25">
      <c r="B59" s="21" t="s">
        <v>2769</v>
      </c>
      <c r="C59" s="28" t="s">
        <v>493</v>
      </c>
      <c r="H59" s="26">
        <f>'Revenue Calculation'!H216</f>
        <v>305.28863657531394</v>
      </c>
      <c r="I59" s="26">
        <f>'Revenue Calculation'!I216</f>
        <v>427.60286647031643</v>
      </c>
      <c r="J59" s="26">
        <f>'Revenue Calculation'!J216</f>
        <v>622.0648862865288</v>
      </c>
      <c r="K59" s="26">
        <f>'Revenue Calculation'!K216</f>
        <v>754.46283287559299</v>
      </c>
      <c r="L59" s="26">
        <f>'Revenue Calculation'!L216</f>
        <v>841.309577025576</v>
      </c>
      <c r="M59" s="26">
        <f>'Revenue Calculation'!M216</f>
        <v>949.09203723101211</v>
      </c>
      <c r="N59" s="26">
        <f>'Revenue Calculation'!N216</f>
        <v>996.70687917243333</v>
      </c>
      <c r="O59" s="26">
        <f>'Revenue Calculation'!O216</f>
        <v>1066.803109570357</v>
      </c>
      <c r="P59" s="26">
        <f>'Revenue Calculation'!P216</f>
        <v>1116.5241172001438</v>
      </c>
      <c r="Q59" s="26">
        <f>'Revenue Calculation'!Q216</f>
        <v>1185.4169371080031</v>
      </c>
      <c r="R59" s="26">
        <f>'Revenue Calculation'!R216</f>
        <v>1210.7769669451768</v>
      </c>
      <c r="S59" s="26">
        <f>'Revenue Calculation'!S216</f>
        <v>1219.4093622958555</v>
      </c>
      <c r="T59" s="26">
        <f>'Revenue Calculation'!T216</f>
        <v>1260.4845163049374</v>
      </c>
    </row>
    <row r="60" spans="2:20" x14ac:dyDescent="0.25">
      <c r="B60" s="23" t="s">
        <v>2770</v>
      </c>
      <c r="C60" s="28" t="s">
        <v>493</v>
      </c>
      <c r="H60" s="29">
        <f>'Revenue Calculation'!H212</f>
        <v>305.28863657531394</v>
      </c>
      <c r="I60" s="29">
        <f>'Revenue Calculation'!I212</f>
        <v>295.79065737412441</v>
      </c>
      <c r="J60" s="29">
        <f>'Revenue Calculation'!J212</f>
        <v>310.70450356926176</v>
      </c>
      <c r="K60" s="29">
        <f>'Revenue Calculation'!K212</f>
        <v>332.87685856755922</v>
      </c>
      <c r="L60" s="29">
        <f>'Revenue Calculation'!L212</f>
        <v>347.2219600190042</v>
      </c>
      <c r="M60" s="29">
        <f>'Revenue Calculation'!M212</f>
        <v>374.0276763507361</v>
      </c>
      <c r="N60" s="29">
        <f>'Revenue Calculation'!N212</f>
        <v>390.2801222577998</v>
      </c>
      <c r="O60" s="29">
        <f>'Revenue Calculation'!O212</f>
        <v>411.78209785796975</v>
      </c>
      <c r="P60" s="29">
        <f>'Revenue Calculation'!P212</f>
        <v>436.06889279615575</v>
      </c>
      <c r="Q60" s="29">
        <f>'Revenue Calculation'!Q212</f>
        <v>460.32797497157696</v>
      </c>
      <c r="R60" s="29">
        <f>'Revenue Calculation'!R212</f>
        <v>460.48262553247434</v>
      </c>
      <c r="S60" s="29">
        <f>'Revenue Calculation'!S212</f>
        <v>477.71385188568161</v>
      </c>
      <c r="T60" s="29">
        <f>'Revenue Calculation'!T212</f>
        <v>495.64989737428641</v>
      </c>
    </row>
    <row r="61" spans="2:20" x14ac:dyDescent="0.25">
      <c r="B61" s="23" t="s">
        <v>2771</v>
      </c>
      <c r="C61" s="28" t="s">
        <v>493</v>
      </c>
      <c r="H61" s="29">
        <f>'Revenue Calculation'!H213</f>
        <v>0</v>
      </c>
      <c r="I61" s="29">
        <f>'Revenue Calculation'!I213</f>
        <v>131.81220909619202</v>
      </c>
      <c r="J61" s="29">
        <f>'Revenue Calculation'!J213</f>
        <v>183.86657536907776</v>
      </c>
      <c r="K61" s="29">
        <f>'Revenue Calculation'!K213</f>
        <v>287.04949986911362</v>
      </c>
      <c r="L61" s="29">
        <f>'Revenue Calculation'!L213</f>
        <v>354.80712070302144</v>
      </c>
      <c r="M61" s="29">
        <f>'Revenue Calculation'!M213</f>
        <v>430.92165595268347</v>
      </c>
      <c r="N61" s="29">
        <f>'Revenue Calculation'!N213</f>
        <v>457.3001110008048</v>
      </c>
      <c r="O61" s="29">
        <f>'Revenue Calculation'!O213</f>
        <v>500.78504047926242</v>
      </c>
      <c r="P61" s="29">
        <f>'Revenue Calculation'!P213</f>
        <v>520.9807819885151</v>
      </c>
      <c r="Q61" s="29">
        <f>'Revenue Calculation'!Q213</f>
        <v>560.243028299662</v>
      </c>
      <c r="R61" s="29">
        <f>'Revenue Calculation'!R213</f>
        <v>579.93990530853546</v>
      </c>
      <c r="S61" s="29">
        <f>'Revenue Calculation'!S213</f>
        <v>575.3450094779646</v>
      </c>
      <c r="T61" s="29">
        <f>'Revenue Calculation'!T213</f>
        <v>593.49360297047531</v>
      </c>
    </row>
    <row r="62" spans="2:20" x14ac:dyDescent="0.25">
      <c r="B62" s="23" t="s">
        <v>3051</v>
      </c>
      <c r="C62" s="28" t="s">
        <v>493</v>
      </c>
      <c r="H62" s="29">
        <f>'BUMN Synergy Calculation'!H98</f>
        <v>0</v>
      </c>
      <c r="I62" s="29">
        <f>'BUMN Synergy Calculation'!I98</f>
        <v>0</v>
      </c>
      <c r="J62" s="29">
        <f>'BUMN Synergy Calculation'!J98</f>
        <v>127.49380734818928</v>
      </c>
      <c r="K62" s="29">
        <f>'BUMN Synergy Calculation'!K98</f>
        <v>134.5364744389201</v>
      </c>
      <c r="L62" s="29">
        <f>'BUMN Synergy Calculation'!L98</f>
        <v>139.28049630355042</v>
      </c>
      <c r="M62" s="29">
        <f>'BUMN Synergy Calculation'!M98</f>
        <v>144.14270492759252</v>
      </c>
      <c r="N62" s="29">
        <f>'BUMN Synergy Calculation'!N98</f>
        <v>149.12664591382875</v>
      </c>
      <c r="O62" s="29">
        <f>'BUMN Synergy Calculation'!O98</f>
        <v>154.23597123312493</v>
      </c>
      <c r="P62" s="29">
        <f>'BUMN Synergy Calculation'!P98</f>
        <v>159.47444241547282</v>
      </c>
      <c r="Q62" s="29">
        <f>'BUMN Synergy Calculation'!Q98</f>
        <v>164.84593383676409</v>
      </c>
      <c r="R62" s="29">
        <f>'BUMN Synergy Calculation'!R98</f>
        <v>170.35443610416692</v>
      </c>
      <c r="S62" s="29">
        <f>'BUMN Synergy Calculation'!S98</f>
        <v>166.35050093220929</v>
      </c>
      <c r="T62" s="29">
        <f>'BUMN Synergy Calculation'!T98</f>
        <v>171.34101596017558</v>
      </c>
    </row>
    <row r="63" spans="2:20" x14ac:dyDescent="0.25">
      <c r="B63" s="23" t="s">
        <v>2772</v>
      </c>
      <c r="C63" s="28" t="s">
        <v>493</v>
      </c>
      <c r="H63" s="159">
        <f>-'Cost Calculation'!H243</f>
        <v>-122.54305842795951</v>
      </c>
      <c r="I63" s="159">
        <f>-'Cost Calculation'!I243</f>
        <v>-114.65876282442217</v>
      </c>
      <c r="J63" s="159">
        <f>-'Cost Calculation'!J243</f>
        <v>-112.22496672828655</v>
      </c>
      <c r="K63" s="159">
        <f>-'Cost Calculation'!K243</f>
        <v>-124.58113550223146</v>
      </c>
      <c r="L63" s="159">
        <f>-'Cost Calculation'!L243</f>
        <v>-146.73492706822378</v>
      </c>
      <c r="M63" s="159">
        <f>-'Cost Calculation'!M243</f>
        <v>-173.05160050601611</v>
      </c>
      <c r="N63" s="159">
        <f>-'Cost Calculation'!N243</f>
        <v>-184.81062796545601</v>
      </c>
      <c r="O63" s="159">
        <f>-'Cost Calculation'!O243</f>
        <v>-197.60013237363654</v>
      </c>
      <c r="P63" s="159">
        <f>-'Cost Calculation'!P243</f>
        <v>-209.02274581390924</v>
      </c>
      <c r="Q63" s="159">
        <f>-'Cost Calculation'!Q243</f>
        <v>-220.49042788366614</v>
      </c>
      <c r="R63" s="159">
        <f>-'Cost Calculation'!R243</f>
        <v>-216.34688659428522</v>
      </c>
      <c r="S63" s="159">
        <f>-'Cost Calculation'!S243</f>
        <v>-225.29721772791021</v>
      </c>
      <c r="T63" s="159">
        <f>-'Cost Calculation'!T243</f>
        <v>-235.8188925048529</v>
      </c>
    </row>
    <row r="64" spans="2:20" x14ac:dyDescent="0.25">
      <c r="B64" s="21" t="s">
        <v>2773</v>
      </c>
      <c r="C64" s="28" t="s">
        <v>493</v>
      </c>
      <c r="G64" s="157"/>
      <c r="H64" s="158">
        <f t="shared" ref="H64:T64" si="16">H59+H63</f>
        <v>182.74557814735442</v>
      </c>
      <c r="I64" s="158">
        <f t="shared" si="16"/>
        <v>312.94410364589424</v>
      </c>
      <c r="J64" s="158">
        <f t="shared" si="16"/>
        <v>509.83991955824229</v>
      </c>
      <c r="K64" s="158">
        <f t="shared" si="16"/>
        <v>629.88169737336148</v>
      </c>
      <c r="L64" s="158">
        <f t="shared" si="16"/>
        <v>694.57464995735222</v>
      </c>
      <c r="M64" s="158">
        <f t="shared" si="16"/>
        <v>776.04043672499597</v>
      </c>
      <c r="N64" s="158">
        <f t="shared" si="16"/>
        <v>811.89625120697735</v>
      </c>
      <c r="O64" s="158">
        <f t="shared" si="16"/>
        <v>869.20297719672044</v>
      </c>
      <c r="P64" s="158">
        <f t="shared" si="16"/>
        <v>907.5013713862345</v>
      </c>
      <c r="Q64" s="158">
        <f t="shared" si="16"/>
        <v>964.926509224337</v>
      </c>
      <c r="R64" s="158">
        <f t="shared" si="16"/>
        <v>994.43008035089156</v>
      </c>
      <c r="S64" s="158">
        <f t="shared" si="16"/>
        <v>994.11214456794528</v>
      </c>
      <c r="T64" s="158">
        <f t="shared" si="16"/>
        <v>1024.6656238000846</v>
      </c>
    </row>
    <row r="65" spans="2:20" x14ac:dyDescent="0.25">
      <c r="B65" s="23" t="s">
        <v>2774</v>
      </c>
      <c r="C65" s="28" t="s">
        <v>493</v>
      </c>
      <c r="H65" s="159">
        <f>-'Cost Calculation'!H270</f>
        <v>-28.510102744491377</v>
      </c>
      <c r="I65" s="159">
        <f>-'Cost Calculation'!I270</f>
        <v>-49.385569867169949</v>
      </c>
      <c r="J65" s="159">
        <f>-'Cost Calculation'!J270</f>
        <v>-142.34963152703656</v>
      </c>
      <c r="K65" s="159">
        <f>-'Cost Calculation'!K270</f>
        <v>-179.63356404358828</v>
      </c>
      <c r="L65" s="159">
        <f>-'Cost Calculation'!L270</f>
        <v>-196.90514447930576</v>
      </c>
      <c r="M65" s="159">
        <f>-'Cost Calculation'!M270</f>
        <v>-208.85234657835412</v>
      </c>
      <c r="N65" s="159">
        <f>-'Cost Calculation'!N270</f>
        <v>-216.52773557939491</v>
      </c>
      <c r="O65" s="159">
        <f>-'Cost Calculation'!O270</f>
        <v>-226.29128417303738</v>
      </c>
      <c r="P65" s="159">
        <f>-'Cost Calculation'!P270</f>
        <v>-233.62485212079082</v>
      </c>
      <c r="Q65" s="159">
        <f>-'Cost Calculation'!Q270</f>
        <v>-243.82737311622887</v>
      </c>
      <c r="R65" s="159">
        <f>-'Cost Calculation'!R270</f>
        <v>-251.7133348768989</v>
      </c>
      <c r="S65" s="159">
        <f>-'Cost Calculation'!S270</f>
        <v>-255.95950834919208</v>
      </c>
      <c r="T65" s="159">
        <f>-'Cost Calculation'!T270</f>
        <v>-263.58533288795428</v>
      </c>
    </row>
    <row r="66" spans="2:20" ht="26.25" customHeight="1" x14ac:dyDescent="0.25">
      <c r="B66" s="64" t="s">
        <v>2775</v>
      </c>
      <c r="C66" s="28" t="s">
        <v>493</v>
      </c>
      <c r="H66" s="159">
        <f>-'Cost Calculation'!H299</f>
        <v>0</v>
      </c>
      <c r="I66" s="159">
        <f>-'Cost Calculation'!I299</f>
        <v>0</v>
      </c>
      <c r="J66" s="159">
        <f>-'Cost Calculation'!J299</f>
        <v>0</v>
      </c>
      <c r="K66" s="159">
        <f>-'Cost Calculation'!K299</f>
        <v>0</v>
      </c>
      <c r="L66" s="159">
        <f>-'Cost Calculation'!L299</f>
        <v>0</v>
      </c>
      <c r="M66" s="159">
        <f>-'Cost Calculation'!M299</f>
        <v>0</v>
      </c>
      <c r="N66" s="159">
        <f>-'Cost Calculation'!N299</f>
        <v>0</v>
      </c>
      <c r="O66" s="159">
        <f>-'Cost Calculation'!O299</f>
        <v>0</v>
      </c>
      <c r="P66" s="159">
        <f>-'Cost Calculation'!P299</f>
        <v>0</v>
      </c>
      <c r="Q66" s="159">
        <f>-'Cost Calculation'!Q299</f>
        <v>0</v>
      </c>
      <c r="R66" s="159">
        <f>-'Cost Calculation'!R299</f>
        <v>0</v>
      </c>
      <c r="S66" s="159">
        <f>-'Cost Calculation'!S299</f>
        <v>0</v>
      </c>
      <c r="T66" s="159">
        <f>-'Cost Calculation'!T299</f>
        <v>0</v>
      </c>
    </row>
    <row r="67" spans="2:20" x14ac:dyDescent="0.25">
      <c r="B67" s="21" t="s">
        <v>2776</v>
      </c>
      <c r="C67" s="28" t="s">
        <v>493</v>
      </c>
      <c r="G67" s="157"/>
      <c r="H67" s="158">
        <f t="shared" ref="H67:T67" si="17">H64+H65+H66</f>
        <v>154.23547540286305</v>
      </c>
      <c r="I67" s="158">
        <f t="shared" si="17"/>
        <v>263.55853377872427</v>
      </c>
      <c r="J67" s="158">
        <f t="shared" si="17"/>
        <v>367.49028803120575</v>
      </c>
      <c r="K67" s="158">
        <f t="shared" si="17"/>
        <v>450.24813332977317</v>
      </c>
      <c r="L67" s="158">
        <f t="shared" si="17"/>
        <v>497.66950547804646</v>
      </c>
      <c r="M67" s="158">
        <f t="shared" si="17"/>
        <v>567.1880901466418</v>
      </c>
      <c r="N67" s="158">
        <f t="shared" si="17"/>
        <v>595.36851562758238</v>
      </c>
      <c r="O67" s="158">
        <f t="shared" si="17"/>
        <v>642.91169302368303</v>
      </c>
      <c r="P67" s="158">
        <f t="shared" si="17"/>
        <v>673.87651926544368</v>
      </c>
      <c r="Q67" s="158">
        <f t="shared" si="17"/>
        <v>721.09913610810815</v>
      </c>
      <c r="R67" s="158">
        <f t="shared" si="17"/>
        <v>742.71674547399266</v>
      </c>
      <c r="S67" s="158">
        <f t="shared" si="17"/>
        <v>738.15263621875317</v>
      </c>
      <c r="T67" s="158">
        <f t="shared" si="17"/>
        <v>761.08029091213029</v>
      </c>
    </row>
    <row r="68" spans="2:20" x14ac:dyDescent="0.25">
      <c r="B68" s="23" t="s">
        <v>2777</v>
      </c>
      <c r="C68" s="28" t="s">
        <v>493</v>
      </c>
      <c r="H68" s="159">
        <f>-'Capex &amp; Depreciation'!H256</f>
        <v>-88.373062408935311</v>
      </c>
      <c r="I68" s="159">
        <f>-'Capex &amp; Depreciation'!I256</f>
        <v>-113.59968518200155</v>
      </c>
      <c r="J68" s="159">
        <f>-'Capex &amp; Depreciation'!J256</f>
        <v>-134.96780390311255</v>
      </c>
      <c r="K68" s="159">
        <f>-'Capex &amp; Depreciation'!K256</f>
        <v>-136.94134168720865</v>
      </c>
      <c r="L68" s="159">
        <f>-'Capex &amp; Depreciation'!L256</f>
        <v>-144.19843006333596</v>
      </c>
      <c r="M68" s="159">
        <f>-'Capex &amp; Depreciation'!M256</f>
        <v>-157.58486920695159</v>
      </c>
      <c r="N68" s="159">
        <f>-'Capex &amp; Depreciation'!N256</f>
        <v>-157.59377594247448</v>
      </c>
      <c r="O68" s="159">
        <f>-'Capex &amp; Depreciation'!O256</f>
        <v>-157.60286081270777</v>
      </c>
      <c r="P68" s="159">
        <f>-'Capex &amp; Depreciation'!P256</f>
        <v>-159.64329918048264</v>
      </c>
      <c r="Q68" s="159">
        <f>-'Capex &amp; Depreciation'!Q256</f>
        <v>-159.62157927933652</v>
      </c>
      <c r="R68" s="159">
        <f>-'Capex &amp; Depreciation'!R256</f>
        <v>-154.09337497821181</v>
      </c>
      <c r="S68" s="159">
        <f>-'Capex &amp; Depreciation'!S256</f>
        <v>-154.10320873392178</v>
      </c>
      <c r="T68" s="159">
        <f>-'Capex &amp; Depreciation'!T256</f>
        <v>-154.14441096488284</v>
      </c>
    </row>
    <row r="69" spans="2:20" x14ac:dyDescent="0.25">
      <c r="B69" s="21" t="s">
        <v>2778</v>
      </c>
      <c r="C69" s="28" t="s">
        <v>493</v>
      </c>
      <c r="G69" s="157"/>
      <c r="H69" s="158">
        <f t="shared" ref="H69:T69" si="18">H67+H68</f>
        <v>65.862412993927734</v>
      </c>
      <c r="I69" s="158">
        <f t="shared" si="18"/>
        <v>149.9588485967227</v>
      </c>
      <c r="J69" s="158">
        <f t="shared" si="18"/>
        <v>232.5224841280932</v>
      </c>
      <c r="K69" s="158">
        <f t="shared" si="18"/>
        <v>313.30679164256452</v>
      </c>
      <c r="L69" s="158">
        <f t="shared" si="18"/>
        <v>353.47107541471053</v>
      </c>
      <c r="M69" s="158">
        <f t="shared" si="18"/>
        <v>409.60322093969023</v>
      </c>
      <c r="N69" s="158">
        <f t="shared" si="18"/>
        <v>437.77473968510787</v>
      </c>
      <c r="O69" s="158">
        <f t="shared" si="18"/>
        <v>485.30883221097525</v>
      </c>
      <c r="P69" s="158">
        <f t="shared" si="18"/>
        <v>514.23322008496098</v>
      </c>
      <c r="Q69" s="158">
        <f t="shared" si="18"/>
        <v>561.47755682877164</v>
      </c>
      <c r="R69" s="158">
        <f t="shared" si="18"/>
        <v>588.62337049578082</v>
      </c>
      <c r="S69" s="158">
        <f t="shared" si="18"/>
        <v>584.04942748483143</v>
      </c>
      <c r="T69" s="158">
        <f t="shared" si="18"/>
        <v>606.93587994724749</v>
      </c>
    </row>
    <row r="70" spans="2:20" ht="26.25" customHeight="1" x14ac:dyDescent="0.25">
      <c r="B70" s="64" t="s">
        <v>2779</v>
      </c>
      <c r="C70" s="28" t="s">
        <v>493</v>
      </c>
      <c r="H70" s="159">
        <f>-'Capex &amp; Depreciation'!H316</f>
        <v>0</v>
      </c>
      <c r="I70" s="159">
        <f>-'Capex &amp; Depreciation'!I316</f>
        <v>0</v>
      </c>
      <c r="J70" s="159">
        <f>-'Capex &amp; Depreciation'!J316</f>
        <v>0</v>
      </c>
      <c r="K70" s="159">
        <f>-'Capex &amp; Depreciation'!K316</f>
        <v>0</v>
      </c>
      <c r="L70" s="159">
        <f>-'Capex &amp; Depreciation'!L316</f>
        <v>0</v>
      </c>
      <c r="M70" s="159">
        <f>-'Capex &amp; Depreciation'!M316</f>
        <v>0</v>
      </c>
      <c r="N70" s="159">
        <f>-'Capex &amp; Depreciation'!N316</f>
        <v>0</v>
      </c>
      <c r="O70" s="159">
        <f>-'Capex &amp; Depreciation'!O316</f>
        <v>0</v>
      </c>
      <c r="P70" s="159">
        <f>-'Capex &amp; Depreciation'!P316</f>
        <v>0</v>
      </c>
      <c r="Q70" s="159">
        <f>-'Capex &amp; Depreciation'!Q316</f>
        <v>0</v>
      </c>
      <c r="R70" s="159">
        <f>-'Capex &amp; Depreciation'!R316</f>
        <v>0</v>
      </c>
      <c r="S70" s="159">
        <f>-'Capex &amp; Depreciation'!S316</f>
        <v>0</v>
      </c>
      <c r="T70" s="159">
        <f>-'Capex &amp; Depreciation'!T316</f>
        <v>0</v>
      </c>
    </row>
    <row r="71" spans="2:20" ht="26.25" customHeight="1" x14ac:dyDescent="0.25">
      <c r="B71" s="64" t="s">
        <v>2780</v>
      </c>
      <c r="C71" s="28" t="s">
        <v>493</v>
      </c>
      <c r="H71" s="159">
        <f>-(Financing!H24+Financing!H34+Financing!H54)</f>
        <v>-5.4709055176610004</v>
      </c>
      <c r="I71" s="159">
        <f>-(Financing!I24+Financing!I34+Financing!I54)</f>
        <v>-15.273450177769661</v>
      </c>
      <c r="J71" s="159">
        <f>-(Financing!J24+Financing!J34+Financing!J54)</f>
        <v>-15.273450177769659</v>
      </c>
      <c r="K71" s="159">
        <f>-(Financing!K24+Financing!K34+Financing!K54)</f>
        <v>-7.5739574854145442</v>
      </c>
      <c r="L71" s="159">
        <f>-(Financing!L24+Financing!L34+Financing!L54)</f>
        <v>-3.4156499999999999</v>
      </c>
      <c r="M71" s="159">
        <f>-(Financing!M24+Financing!M34+Financing!M54)</f>
        <v>-8.5391250000000003</v>
      </c>
      <c r="N71" s="159">
        <f>-(Financing!N24+Financing!N34+Financing!N54)</f>
        <v>-8.5391250000000003</v>
      </c>
      <c r="O71" s="159">
        <f>-(Financing!O24+Financing!O34+Financing!O54)</f>
        <v>-7.8559950000000001</v>
      </c>
      <c r="P71" s="159">
        <f>-(Financing!P24+Financing!P34+Financing!P54)</f>
        <v>-6.1481700000000004</v>
      </c>
      <c r="Q71" s="159">
        <f>-(Financing!Q24+Financing!Q34+Financing!Q54)</f>
        <v>-4.4403449999999998</v>
      </c>
      <c r="R71" s="159">
        <f>-(Financing!R24+Financing!R34+Financing!R54)</f>
        <v>-2.7325200000000001</v>
      </c>
      <c r="S71" s="159">
        <f>-(Financing!S24+Financing!S34+Financing!S54)</f>
        <v>-1.0246949999999999</v>
      </c>
      <c r="T71" s="159">
        <f>-(Financing!T24+Financing!T34+Financing!T54)</f>
        <v>0</v>
      </c>
    </row>
    <row r="72" spans="2:20" x14ac:dyDescent="0.25">
      <c r="B72" s="23" t="s">
        <v>2781</v>
      </c>
      <c r="C72" s="28" t="s">
        <v>493</v>
      </c>
      <c r="H72" s="159">
        <f>-Financing!H35</f>
        <v>0</v>
      </c>
      <c r="I72" s="159">
        <f>-Financing!I35</f>
        <v>0</v>
      </c>
      <c r="J72" s="159">
        <f>-Financing!J35</f>
        <v>0</v>
      </c>
      <c r="K72" s="159">
        <f>-Financing!K35</f>
        <v>0</v>
      </c>
      <c r="L72" s="159">
        <f>-Financing!L35</f>
        <v>0</v>
      </c>
      <c r="M72" s="159">
        <f>-Financing!M35</f>
        <v>0</v>
      </c>
      <c r="N72" s="159">
        <f>-Financing!N35</f>
        <v>0</v>
      </c>
      <c r="O72" s="159">
        <f>-Financing!O35</f>
        <v>0</v>
      </c>
      <c r="P72" s="159">
        <f>-Financing!P35</f>
        <v>0</v>
      </c>
      <c r="Q72" s="159">
        <f>-Financing!Q35</f>
        <v>0</v>
      </c>
      <c r="R72" s="159">
        <f>-Financing!R35</f>
        <v>0</v>
      </c>
      <c r="S72" s="159">
        <f>-Financing!S35</f>
        <v>0</v>
      </c>
      <c r="T72" s="159">
        <f>-Financing!T35</f>
        <v>0</v>
      </c>
    </row>
    <row r="73" spans="2:20" x14ac:dyDescent="0.25">
      <c r="B73" s="23" t="s">
        <v>2782</v>
      </c>
      <c r="C73" s="28" t="s">
        <v>493</v>
      </c>
      <c r="H73" s="29">
        <f>Financing!H60</f>
        <v>0</v>
      </c>
      <c r="I73" s="29">
        <f>Financing!I60</f>
        <v>0</v>
      </c>
      <c r="J73" s="29">
        <f>Financing!J60</f>
        <v>0</v>
      </c>
      <c r="K73" s="29">
        <f>Financing!K60</f>
        <v>0</v>
      </c>
      <c r="L73" s="29">
        <f>Financing!L60</f>
        <v>0</v>
      </c>
      <c r="M73" s="29">
        <f>Financing!M60</f>
        <v>0</v>
      </c>
      <c r="N73" s="29">
        <f>Financing!N60</f>
        <v>0</v>
      </c>
      <c r="O73" s="29">
        <f>Financing!O60</f>
        <v>0</v>
      </c>
      <c r="P73" s="29">
        <f>Financing!P60</f>
        <v>0</v>
      </c>
      <c r="Q73" s="29">
        <f>Financing!Q60</f>
        <v>0</v>
      </c>
      <c r="R73" s="29">
        <f>Financing!R60</f>
        <v>0</v>
      </c>
      <c r="S73" s="29">
        <f>Financing!S60</f>
        <v>0</v>
      </c>
      <c r="T73" s="29">
        <f>Financing!T60</f>
        <v>0</v>
      </c>
    </row>
    <row r="74" spans="2:20" x14ac:dyDescent="0.25">
      <c r="B74" s="23" t="s">
        <v>2783</v>
      </c>
      <c r="C74" s="28" t="s">
        <v>493</v>
      </c>
      <c r="H74" s="159">
        <f t="shared" ref="H74:T74" si="19">H70+H71+H72+H73</f>
        <v>-5.4709055176610004</v>
      </c>
      <c r="I74" s="159">
        <f t="shared" si="19"/>
        <v>-15.273450177769661</v>
      </c>
      <c r="J74" s="159">
        <f t="shared" si="19"/>
        <v>-15.273450177769659</v>
      </c>
      <c r="K74" s="159">
        <f t="shared" si="19"/>
        <v>-7.5739574854145442</v>
      </c>
      <c r="L74" s="159">
        <f t="shared" si="19"/>
        <v>-3.4156499999999999</v>
      </c>
      <c r="M74" s="159">
        <f t="shared" si="19"/>
        <v>-8.5391250000000003</v>
      </c>
      <c r="N74" s="159">
        <f t="shared" si="19"/>
        <v>-8.5391250000000003</v>
      </c>
      <c r="O74" s="159">
        <f t="shared" si="19"/>
        <v>-7.8559950000000001</v>
      </c>
      <c r="P74" s="159">
        <f t="shared" si="19"/>
        <v>-6.1481700000000004</v>
      </c>
      <c r="Q74" s="159">
        <f t="shared" si="19"/>
        <v>-4.4403449999999998</v>
      </c>
      <c r="R74" s="159">
        <f t="shared" si="19"/>
        <v>-2.7325200000000001</v>
      </c>
      <c r="S74" s="159">
        <f t="shared" si="19"/>
        <v>-1.0246949999999999</v>
      </c>
      <c r="T74" s="159">
        <f t="shared" si="19"/>
        <v>0</v>
      </c>
    </row>
    <row r="75" spans="2:20" x14ac:dyDescent="0.25">
      <c r="B75" s="21" t="s">
        <v>2784</v>
      </c>
      <c r="C75" s="28" t="s">
        <v>493</v>
      </c>
      <c r="G75" s="157"/>
      <c r="H75" s="158">
        <f t="shared" ref="H75:T75" si="20">H69+H74</f>
        <v>60.391507476266732</v>
      </c>
      <c r="I75" s="158">
        <f t="shared" si="20"/>
        <v>134.68539841895304</v>
      </c>
      <c r="J75" s="158">
        <f t="shared" si="20"/>
        <v>217.24903395032354</v>
      </c>
      <c r="K75" s="158">
        <f t="shared" si="20"/>
        <v>305.73283415714997</v>
      </c>
      <c r="L75" s="158">
        <f t="shared" si="20"/>
        <v>350.0554254147105</v>
      </c>
      <c r="M75" s="158">
        <f t="shared" si="20"/>
        <v>401.06409593969022</v>
      </c>
      <c r="N75" s="158">
        <f t="shared" si="20"/>
        <v>429.23561468510786</v>
      </c>
      <c r="O75" s="158">
        <f t="shared" si="20"/>
        <v>477.45283721097525</v>
      </c>
      <c r="P75" s="158">
        <f t="shared" si="20"/>
        <v>508.08505008496098</v>
      </c>
      <c r="Q75" s="158">
        <f t="shared" si="20"/>
        <v>557.03721182877166</v>
      </c>
      <c r="R75" s="158">
        <f t="shared" si="20"/>
        <v>585.8908504957808</v>
      </c>
      <c r="S75" s="158">
        <f t="shared" si="20"/>
        <v>583.02473248483147</v>
      </c>
      <c r="T75" s="158">
        <f t="shared" si="20"/>
        <v>606.93587994724749</v>
      </c>
    </row>
    <row r="76" spans="2:20" x14ac:dyDescent="0.25">
      <c r="B76" s="23" t="s">
        <v>2785</v>
      </c>
      <c r="C76" s="28" t="s">
        <v>493</v>
      </c>
      <c r="H76" s="159">
        <f t="shared" ref="H76:T76" si="21">-H230</f>
        <v>-19.962283512427824</v>
      </c>
      <c r="I76" s="159">
        <f t="shared" si="21"/>
        <v>-34.011742338910175</v>
      </c>
      <c r="J76" s="159">
        <f t="shared" si="21"/>
        <v>-52.286568273349772</v>
      </c>
      <c r="K76" s="159">
        <f t="shared" si="21"/>
        <v>-69.25448187053756</v>
      </c>
      <c r="L76" s="159">
        <f t="shared" si="21"/>
        <v>-79.691245471648969</v>
      </c>
      <c r="M76" s="159">
        <f t="shared" si="21"/>
        <v>-89.972075216019149</v>
      </c>
      <c r="N76" s="159">
        <f t="shared" si="21"/>
        <v>-94.460604401384614</v>
      </c>
      <c r="O76" s="159">
        <f t="shared" si="21"/>
        <v>-105.03962418641458</v>
      </c>
      <c r="P76" s="159">
        <f t="shared" si="21"/>
        <v>-111.77871101869141</v>
      </c>
      <c r="Q76" s="159">
        <f t="shared" si="21"/>
        <v>-122.54818660232972</v>
      </c>
      <c r="R76" s="159">
        <f t="shared" si="21"/>
        <v>-128.89598710907174</v>
      </c>
      <c r="S76" s="159">
        <f t="shared" si="21"/>
        <v>-128.26544114666288</v>
      </c>
      <c r="T76" s="159">
        <f t="shared" si="21"/>
        <v>-133.52589358839438</v>
      </c>
    </row>
    <row r="77" spans="2:20" x14ac:dyDescent="0.25">
      <c r="B77" s="21" t="s">
        <v>2786</v>
      </c>
      <c r="C77" s="28" t="s">
        <v>493</v>
      </c>
      <c r="G77" s="157"/>
      <c r="H77" s="158">
        <f t="shared" ref="H77:T77" si="22">H75+H76</f>
        <v>40.429223963838908</v>
      </c>
      <c r="I77" s="158">
        <f t="shared" si="22"/>
        <v>100.67365608004286</v>
      </c>
      <c r="J77" s="158">
        <f t="shared" si="22"/>
        <v>164.96246567697375</v>
      </c>
      <c r="K77" s="158">
        <f t="shared" si="22"/>
        <v>236.47835228661239</v>
      </c>
      <c r="L77" s="158">
        <f t="shared" si="22"/>
        <v>270.36417994306152</v>
      </c>
      <c r="M77" s="158">
        <f t="shared" si="22"/>
        <v>311.09202072367106</v>
      </c>
      <c r="N77" s="158">
        <f t="shared" si="22"/>
        <v>334.77501028372325</v>
      </c>
      <c r="O77" s="158">
        <f t="shared" si="22"/>
        <v>372.41321302456066</v>
      </c>
      <c r="P77" s="158">
        <f t="shared" si="22"/>
        <v>396.30633906626957</v>
      </c>
      <c r="Q77" s="158">
        <f t="shared" si="22"/>
        <v>434.48902522644192</v>
      </c>
      <c r="R77" s="158">
        <f t="shared" si="22"/>
        <v>456.99486338670908</v>
      </c>
      <c r="S77" s="158">
        <f t="shared" si="22"/>
        <v>454.75929133816862</v>
      </c>
      <c r="T77" s="158">
        <f t="shared" si="22"/>
        <v>473.40998635885308</v>
      </c>
    </row>
    <row r="78" spans="2:20" ht="38.25" customHeight="1" x14ac:dyDescent="0.25">
      <c r="B78" s="64" t="s">
        <v>2787</v>
      </c>
      <c r="C78" s="28" t="s">
        <v>493</v>
      </c>
      <c r="H78" s="159">
        <f t="shared" ref="H78:T78" si="23">H235</f>
        <v>19.320215534431458</v>
      </c>
      <c r="I78" s="159">
        <f t="shared" si="23"/>
        <v>20.112614152622385</v>
      </c>
      <c r="J78" s="159">
        <f t="shared" si="23"/>
        <v>20.642073731027939</v>
      </c>
      <c r="K78" s="159">
        <f t="shared" si="23"/>
        <v>21.59259302255342</v>
      </c>
      <c r="L78" s="159">
        <f t="shared" si="23"/>
        <v>22.437855456660099</v>
      </c>
      <c r="M78" s="159">
        <f t="shared" si="23"/>
        <v>24.505559766473279</v>
      </c>
      <c r="N78" s="159">
        <f t="shared" si="23"/>
        <v>25.427215126870422</v>
      </c>
      <c r="O78" s="159">
        <f t="shared" si="23"/>
        <v>26.365961171581958</v>
      </c>
      <c r="P78" s="159">
        <f t="shared" si="23"/>
        <v>28.714577961146951</v>
      </c>
      <c r="Q78" s="159">
        <f t="shared" si="23"/>
        <v>29.737252621197715</v>
      </c>
      <c r="R78" s="159">
        <f t="shared" si="23"/>
        <v>30.778030468287895</v>
      </c>
      <c r="S78" s="159">
        <f t="shared" si="23"/>
        <v>31.836698539112952</v>
      </c>
      <c r="T78" s="159">
        <f t="shared" si="23"/>
        <v>32.912991498073275</v>
      </c>
    </row>
    <row r="79" spans="2:20" ht="26.25" customHeight="1" x14ac:dyDescent="0.25">
      <c r="B79" s="133" t="s">
        <v>2788</v>
      </c>
      <c r="C79" s="28" t="s">
        <v>493</v>
      </c>
      <c r="H79" s="160">
        <f t="shared" ref="H79:T79" si="24">H77-H78</f>
        <v>21.109008429407449</v>
      </c>
      <c r="I79" s="160">
        <f t="shared" si="24"/>
        <v>80.561041927420476</v>
      </c>
      <c r="J79" s="160">
        <f t="shared" si="24"/>
        <v>144.3203919459458</v>
      </c>
      <c r="K79" s="160">
        <f t="shared" si="24"/>
        <v>214.88575926405898</v>
      </c>
      <c r="L79" s="160">
        <f t="shared" si="24"/>
        <v>247.92632448640143</v>
      </c>
      <c r="M79" s="160">
        <f t="shared" si="24"/>
        <v>286.5864609571978</v>
      </c>
      <c r="N79" s="160">
        <f t="shared" si="24"/>
        <v>309.34779515685284</v>
      </c>
      <c r="O79" s="160">
        <f t="shared" si="24"/>
        <v>346.04725185297872</v>
      </c>
      <c r="P79" s="160">
        <f t="shared" si="24"/>
        <v>367.5917611051226</v>
      </c>
      <c r="Q79" s="160">
        <f t="shared" si="24"/>
        <v>404.75177260524418</v>
      </c>
      <c r="R79" s="160">
        <f t="shared" si="24"/>
        <v>426.21683291842118</v>
      </c>
      <c r="S79" s="160">
        <f t="shared" si="24"/>
        <v>422.92259279905568</v>
      </c>
      <c r="T79" s="160">
        <f t="shared" si="24"/>
        <v>440.49699486077981</v>
      </c>
    </row>
    <row r="80" spans="2:20" x14ac:dyDescent="0.25">
      <c r="B80" s="154" t="s">
        <v>2789</v>
      </c>
    </row>
    <row r="81" spans="2:20" x14ac:dyDescent="0.25">
      <c r="B81" s="23" t="s">
        <v>2790</v>
      </c>
      <c r="C81" s="28" t="s">
        <v>292</v>
      </c>
      <c r="H81" s="105">
        <f t="shared" ref="H81:T81" si="25">IF(H59=0,0,H67/H59)</f>
        <v>0.50521197622373193</v>
      </c>
      <c r="I81" s="105">
        <f t="shared" si="25"/>
        <v>0.6163628788419736</v>
      </c>
      <c r="J81" s="105">
        <f t="shared" si="25"/>
        <v>0.59075877152457745</v>
      </c>
      <c r="K81" s="105">
        <f t="shared" si="25"/>
        <v>0.59677974011480128</v>
      </c>
      <c r="L81" s="105">
        <f t="shared" si="25"/>
        <v>0.59154147185337125</v>
      </c>
      <c r="M81" s="105">
        <f t="shared" si="25"/>
        <v>0.59761126202409209</v>
      </c>
      <c r="N81" s="105">
        <f t="shared" si="25"/>
        <v>0.59733561397902402</v>
      </c>
      <c r="O81" s="105">
        <f t="shared" si="25"/>
        <v>0.60265262376541862</v>
      </c>
      <c r="P81" s="105">
        <f t="shared" si="25"/>
        <v>0.60354855652853501</v>
      </c>
      <c r="Q81" s="105">
        <f t="shared" si="25"/>
        <v>0.60830844704086506</v>
      </c>
      <c r="R81" s="105">
        <f t="shared" si="25"/>
        <v>0.61342160096412079</v>
      </c>
      <c r="S81" s="105">
        <f t="shared" si="25"/>
        <v>0.60533620541422506</v>
      </c>
      <c r="T81" s="105">
        <f t="shared" si="25"/>
        <v>0.60379979370409742</v>
      </c>
    </row>
    <row r="82" spans="2:20" x14ac:dyDescent="0.25">
      <c r="B82" s="23" t="s">
        <v>2791</v>
      </c>
      <c r="C82" s="28" t="s">
        <v>292</v>
      </c>
      <c r="H82" s="105">
        <f t="shared" ref="H82:T82" si="26">IF(H59=0,0,H77/H59)</f>
        <v>0.13242950807920137</v>
      </c>
      <c r="I82" s="105">
        <f t="shared" si="26"/>
        <v>0.23543728065029582</v>
      </c>
      <c r="J82" s="105">
        <f t="shared" si="26"/>
        <v>0.26518530351669861</v>
      </c>
      <c r="K82" s="105">
        <f t="shared" si="26"/>
        <v>0.31343936637049219</v>
      </c>
      <c r="L82" s="105">
        <f t="shared" si="26"/>
        <v>0.32136111049505189</v>
      </c>
      <c r="M82" s="105">
        <f t="shared" si="26"/>
        <v>0.32777855942326301</v>
      </c>
      <c r="N82" s="105">
        <f t="shared" si="26"/>
        <v>0.33588110735393667</v>
      </c>
      <c r="O82" s="105">
        <f t="shared" si="26"/>
        <v>0.34909273293602033</v>
      </c>
      <c r="P82" s="105">
        <f t="shared" si="26"/>
        <v>0.35494651030026003</v>
      </c>
      <c r="Q82" s="105">
        <f t="shared" si="26"/>
        <v>0.36652844381188027</v>
      </c>
      <c r="R82" s="105">
        <f t="shared" si="26"/>
        <v>0.37743934338272023</v>
      </c>
      <c r="S82" s="105">
        <f t="shared" si="26"/>
        <v>0.37293406578572258</v>
      </c>
      <c r="T82" s="105">
        <f t="shared" si="26"/>
        <v>0.37557778793398949</v>
      </c>
    </row>
    <row r="83" spans="2:20" x14ac:dyDescent="0.25">
      <c r="B83" s="23" t="s">
        <v>2792</v>
      </c>
      <c r="C83" s="28" t="s">
        <v>806</v>
      </c>
      <c r="H83" s="159">
        <f>H67/Inputs!H95*1000</f>
        <v>9.4826606457339722</v>
      </c>
      <c r="I83" s="159">
        <f>I67/Inputs!I95*1000</f>
        <v>16.204029128725747</v>
      </c>
      <c r="J83" s="159">
        <f>J67/Inputs!J95*1000</f>
        <v>22.59393101944087</v>
      </c>
      <c r="K83" s="159">
        <f>K67/Inputs!K95*1000</f>
        <v>27.682024797403823</v>
      </c>
      <c r="L83" s="159">
        <f>L67/Inputs!L95*1000</f>
        <v>30.597571809286592</v>
      </c>
      <c r="M83" s="159">
        <f>M67/Inputs!M95*1000</f>
        <v>34.871693215286925</v>
      </c>
      <c r="N83" s="159">
        <f>N67/Inputs!N95*1000</f>
        <v>36.604273939599288</v>
      </c>
      <c r="O83" s="159">
        <f>O67/Inputs!O95*1000</f>
        <v>39.527309746306976</v>
      </c>
      <c r="P83" s="159">
        <f>P67/Inputs!P95*1000</f>
        <v>41.431080188468712</v>
      </c>
      <c r="Q83" s="159">
        <f>Q67/Inputs!Q95*1000</f>
        <v>44.334407384451772</v>
      </c>
      <c r="R83" s="159">
        <f>R67/Inputs!R95*1000</f>
        <v>45.66349495690087</v>
      </c>
      <c r="S83" s="159">
        <f>S67/Inputs!S95*1000</f>
        <v>45.382885718951933</v>
      </c>
      <c r="T83" s="159">
        <f>T67/Inputs!T95*1000</f>
        <v>46.792517117253631</v>
      </c>
    </row>
    <row r="85" spans="2:20" x14ac:dyDescent="0.25">
      <c r="B85" s="58" t="s">
        <v>3052</v>
      </c>
      <c r="C85" s="19"/>
      <c r="D85" s="19"/>
      <c r="E85" s="19"/>
      <c r="F85" s="19"/>
      <c r="G85" s="19"/>
      <c r="H85" s="19"/>
      <c r="I85" s="19"/>
      <c r="J85" s="19"/>
      <c r="K85" s="19"/>
      <c r="L85" s="19"/>
      <c r="M85" s="19"/>
      <c r="N85" s="19"/>
      <c r="O85" s="19"/>
      <c r="P85" s="19"/>
      <c r="Q85" s="19"/>
      <c r="R85" s="19"/>
      <c r="S85" s="19"/>
      <c r="T85" s="19"/>
    </row>
    <row r="86" spans="2:20" x14ac:dyDescent="0.25">
      <c r="B86" s="154" t="s">
        <v>2794</v>
      </c>
    </row>
    <row r="87" spans="2:20" x14ac:dyDescent="0.25">
      <c r="B87" s="23" t="s">
        <v>2795</v>
      </c>
      <c r="C87" s="28" t="s">
        <v>493</v>
      </c>
      <c r="H87" s="159">
        <f>('Cost Calculation'!H35-'Capex &amp; Depreciation'!H231)</f>
        <v>70.770020272642711</v>
      </c>
      <c r="I87" s="159">
        <f>('Cost Calculation'!I35-'Capex &amp; Depreciation'!I231)</f>
        <v>73.672579313635111</v>
      </c>
      <c r="J87" s="159">
        <f>('Cost Calculation'!J35-'Capex &amp; Depreciation'!J231)</f>
        <v>75.611991688747025</v>
      </c>
      <c r="K87" s="159">
        <f>('Cost Calculation'!K35-'Capex &amp; Depreciation'!K231)</f>
        <v>78.630877999813691</v>
      </c>
      <c r="L87" s="159">
        <f>('Cost Calculation'!L35-'Capex &amp; Depreciation'!L231)</f>
        <v>81.707847712079456</v>
      </c>
      <c r="M87" s="159">
        <f>('Cost Calculation'!M35-'Capex &amp; Depreciation'!M231)</f>
        <v>89.262049602465197</v>
      </c>
      <c r="N87" s="159">
        <f>('Cost Calculation'!N35-'Capex &amp; Depreciation'!N231)</f>
        <v>92.617675796044423</v>
      </c>
      <c r="O87" s="159">
        <f>('Cost Calculation'!O35-'Capex &amp; Depreciation'!O231)</f>
        <v>96.035293205843075</v>
      </c>
      <c r="P87" s="159">
        <f>('Cost Calculation'!P35-'Capex &amp; Depreciation'!P231)</f>
        <v>104.61664193468332</v>
      </c>
      <c r="Q87" s="159">
        <f>('Cost Calculation'!Q35-'Capex &amp; Depreciation'!Q231)</f>
        <v>108.34041049095224</v>
      </c>
      <c r="R87" s="159">
        <f>('Cost Calculation'!R35-'Capex &amp; Depreciation'!R231)</f>
        <v>112.12982231357182</v>
      </c>
      <c r="S87" s="159">
        <f>('Cost Calculation'!S35-'Capex &amp; Depreciation'!S231)</f>
        <v>115.98407725395487</v>
      </c>
      <c r="T87" s="159">
        <f>('Cost Calculation'!T35-'Capex &amp; Depreciation'!T231)</f>
        <v>119.9021827217088</v>
      </c>
    </row>
    <row r="88" spans="2:20" x14ac:dyDescent="0.25">
      <c r="B88" s="23" t="s">
        <v>2796</v>
      </c>
      <c r="C88" s="28" t="s">
        <v>493</v>
      </c>
      <c r="H88" s="159">
        <f t="shared" ref="H88:T88" si="27">H87</f>
        <v>70.770020272642711</v>
      </c>
      <c r="I88" s="159">
        <f t="shared" si="27"/>
        <v>73.672579313635111</v>
      </c>
      <c r="J88" s="159">
        <f t="shared" si="27"/>
        <v>75.611991688747025</v>
      </c>
      <c r="K88" s="159">
        <f t="shared" si="27"/>
        <v>78.630877999813691</v>
      </c>
      <c r="L88" s="159">
        <f t="shared" si="27"/>
        <v>81.707847712079456</v>
      </c>
      <c r="M88" s="159">
        <f t="shared" si="27"/>
        <v>89.262049602465197</v>
      </c>
      <c r="N88" s="159">
        <f t="shared" si="27"/>
        <v>92.617675796044423</v>
      </c>
      <c r="O88" s="159">
        <f t="shared" si="27"/>
        <v>96.035293205843075</v>
      </c>
      <c r="P88" s="159">
        <f t="shared" si="27"/>
        <v>104.61664193468332</v>
      </c>
      <c r="Q88" s="159">
        <f t="shared" si="27"/>
        <v>108.34041049095224</v>
      </c>
      <c r="R88" s="159">
        <f t="shared" si="27"/>
        <v>112.12982231357182</v>
      </c>
      <c r="S88" s="159">
        <f t="shared" si="27"/>
        <v>115.98407725395487</v>
      </c>
      <c r="T88" s="159">
        <f t="shared" si="27"/>
        <v>119.9021827217088</v>
      </c>
    </row>
    <row r="89" spans="2:20" x14ac:dyDescent="0.25">
      <c r="B89" s="23" t="s">
        <v>2797</v>
      </c>
      <c r="C89" s="28" t="s">
        <v>493</v>
      </c>
      <c r="H89" s="159">
        <f>Inputs!H522*MAX(0,H88)</f>
        <v>15.569404459981396</v>
      </c>
      <c r="I89" s="159">
        <f>Inputs!I522*MAX(0,I88)</f>
        <v>16.207967448999725</v>
      </c>
      <c r="J89" s="159">
        <f>Inputs!J522*MAX(0,J88)</f>
        <v>16.634638171524347</v>
      </c>
      <c r="K89" s="159">
        <f>Inputs!K522*MAX(0,K88)</f>
        <v>17.298793159959011</v>
      </c>
      <c r="L89" s="159">
        <f>Inputs!L522*MAX(0,L88)</f>
        <v>17.975726496657479</v>
      </c>
      <c r="M89" s="159">
        <f>Inputs!M522*MAX(0,M88)</f>
        <v>19.637650912542345</v>
      </c>
      <c r="N89" s="159">
        <f>Inputs!N522*MAX(0,N88)</f>
        <v>20.375888675129772</v>
      </c>
      <c r="O89" s="159">
        <f>Inputs!O522*MAX(0,O88)</f>
        <v>21.127764505285477</v>
      </c>
      <c r="P89" s="159">
        <f>Inputs!P522*MAX(0,P88)</f>
        <v>23.015661225630328</v>
      </c>
      <c r="Q89" s="159">
        <f>Inputs!Q522*MAX(0,Q88)</f>
        <v>23.834890308009491</v>
      </c>
      <c r="R89" s="159">
        <f>Inputs!R522*MAX(0,R88)</f>
        <v>24.6685609089858</v>
      </c>
      <c r="S89" s="159">
        <f>Inputs!S522*MAX(0,S88)</f>
        <v>25.516496995870071</v>
      </c>
      <c r="T89" s="159">
        <f>Inputs!T522*MAX(0,T88)</f>
        <v>26.378480198775936</v>
      </c>
    </row>
    <row r="90" spans="2:20" x14ac:dyDescent="0.25">
      <c r="B90" s="23" t="s">
        <v>2798</v>
      </c>
      <c r="C90" s="28" t="s">
        <v>493</v>
      </c>
      <c r="H90" s="159">
        <f>Inputs!H522*MAX(0,H87)</f>
        <v>15.569404459981396</v>
      </c>
      <c r="I90" s="159">
        <f>Inputs!I522*MAX(0,I87)</f>
        <v>16.207967448999725</v>
      </c>
      <c r="J90" s="159">
        <f>Inputs!J522*MAX(0,J87)</f>
        <v>16.634638171524347</v>
      </c>
      <c r="K90" s="159">
        <f>Inputs!K522*MAX(0,K87)</f>
        <v>17.298793159959011</v>
      </c>
      <c r="L90" s="159">
        <f>Inputs!L522*MAX(0,L87)</f>
        <v>17.975726496657479</v>
      </c>
      <c r="M90" s="159">
        <f>Inputs!M522*MAX(0,M87)</f>
        <v>19.637650912542345</v>
      </c>
      <c r="N90" s="159">
        <f>Inputs!N522*MAX(0,N87)</f>
        <v>20.375888675129772</v>
      </c>
      <c r="O90" s="159">
        <f>Inputs!O522*MAX(0,O87)</f>
        <v>21.127764505285477</v>
      </c>
      <c r="P90" s="159">
        <f>Inputs!P522*MAX(0,P87)</f>
        <v>23.015661225630328</v>
      </c>
      <c r="Q90" s="159">
        <f>Inputs!Q522*MAX(0,Q87)</f>
        <v>23.834890308009491</v>
      </c>
      <c r="R90" s="159">
        <f>Inputs!R522*MAX(0,R87)</f>
        <v>24.6685609089858</v>
      </c>
      <c r="S90" s="159">
        <f>Inputs!S522*MAX(0,S87)</f>
        <v>25.516496995870071</v>
      </c>
      <c r="T90" s="159">
        <f>Inputs!T522*MAX(0,T87)</f>
        <v>26.378480198775936</v>
      </c>
    </row>
    <row r="91" spans="2:20" x14ac:dyDescent="0.25">
      <c r="B91" s="23" t="s">
        <v>2799</v>
      </c>
      <c r="C91" s="28" t="s">
        <v>493</v>
      </c>
      <c r="H91" s="159">
        <f t="shared" ref="H91:T91" si="28">H88-H89</f>
        <v>55.200615812661312</v>
      </c>
      <c r="I91" s="159">
        <f t="shared" si="28"/>
        <v>57.464611864635387</v>
      </c>
      <c r="J91" s="159">
        <f t="shared" si="28"/>
        <v>58.977353517222681</v>
      </c>
      <c r="K91" s="159">
        <f t="shared" si="28"/>
        <v>61.33208483985468</v>
      </c>
      <c r="L91" s="159">
        <f t="shared" si="28"/>
        <v>63.732121215421977</v>
      </c>
      <c r="M91" s="159">
        <f t="shared" si="28"/>
        <v>69.624398689922856</v>
      </c>
      <c r="N91" s="159">
        <f t="shared" si="28"/>
        <v>72.241787120914651</v>
      </c>
      <c r="O91" s="159">
        <f t="shared" si="28"/>
        <v>74.907528700557606</v>
      </c>
      <c r="P91" s="159">
        <f t="shared" si="28"/>
        <v>81.60098070905299</v>
      </c>
      <c r="Q91" s="159">
        <f t="shared" si="28"/>
        <v>84.505520182942746</v>
      </c>
      <c r="R91" s="159">
        <f t="shared" si="28"/>
        <v>87.461261404586025</v>
      </c>
      <c r="S91" s="159">
        <f t="shared" si="28"/>
        <v>90.467580258084794</v>
      </c>
      <c r="T91" s="159">
        <f t="shared" si="28"/>
        <v>93.523702522932865</v>
      </c>
    </row>
    <row r="92" spans="2:20" x14ac:dyDescent="0.25">
      <c r="B92" s="23" t="s">
        <v>2800</v>
      </c>
      <c r="C92" s="28" t="s">
        <v>493</v>
      </c>
      <c r="H92" s="159">
        <f>('Cost Calculation'!H149-'Capex &amp; Depreciation'!H238)</f>
        <v>0</v>
      </c>
      <c r="I92" s="159">
        <f>('Cost Calculation'!I149-'Capex &amp; Depreciation'!I238)</f>
        <v>0</v>
      </c>
      <c r="J92" s="159">
        <f>('Cost Calculation'!J149-'Capex &amp; Depreciation'!J238)</f>
        <v>0</v>
      </c>
      <c r="K92" s="159">
        <f>('Cost Calculation'!K149-'Capex &amp; Depreciation'!K238)</f>
        <v>9.0070281250000033</v>
      </c>
      <c r="L92" s="159">
        <f>('Cost Calculation'!L149-'Capex &amp; Depreciation'!L238)</f>
        <v>9.0070281250000033</v>
      </c>
      <c r="M92" s="159">
        <f>('Cost Calculation'!M149-'Capex &amp; Depreciation'!M238)</f>
        <v>9.0070281250000033</v>
      </c>
      <c r="N92" s="159">
        <f>('Cost Calculation'!N149-'Capex &amp; Depreciation'!N238)</f>
        <v>9.0070281250000033</v>
      </c>
      <c r="O92" s="159">
        <f>('Cost Calculation'!O149-'Capex &amp; Depreciation'!O238)</f>
        <v>9.0070281250000033</v>
      </c>
      <c r="P92" s="159">
        <f>('Cost Calculation'!P149-'Capex &amp; Depreciation'!P238)</f>
        <v>9.0070281250000033</v>
      </c>
      <c r="Q92" s="159">
        <f>('Cost Calculation'!Q149-'Capex &amp; Depreciation'!Q238)</f>
        <v>9.0070281250000033</v>
      </c>
      <c r="R92" s="159">
        <f>('Cost Calculation'!R149-'Capex &amp; Depreciation'!R238)</f>
        <v>9.0070281250000033</v>
      </c>
      <c r="S92" s="159">
        <f>('Cost Calculation'!S149-'Capex &amp; Depreciation'!S238)</f>
        <v>9.0070281250000033</v>
      </c>
      <c r="T92" s="159">
        <f>('Cost Calculation'!T149-'Capex &amp; Depreciation'!T238)</f>
        <v>9.0070281250000033</v>
      </c>
    </row>
    <row r="93" spans="2:20" x14ac:dyDescent="0.25">
      <c r="B93" s="23" t="s">
        <v>2801</v>
      </c>
      <c r="C93" s="28" t="s">
        <v>493</v>
      </c>
      <c r="H93" s="159">
        <f t="shared" ref="H93:T93" si="29">H92</f>
        <v>0</v>
      </c>
      <c r="I93" s="159">
        <f t="shared" si="29"/>
        <v>0</v>
      </c>
      <c r="J93" s="159">
        <f t="shared" si="29"/>
        <v>0</v>
      </c>
      <c r="K93" s="159">
        <f t="shared" si="29"/>
        <v>9.0070281250000033</v>
      </c>
      <c r="L93" s="159">
        <f t="shared" si="29"/>
        <v>9.0070281250000033</v>
      </c>
      <c r="M93" s="159">
        <f t="shared" si="29"/>
        <v>9.0070281250000033</v>
      </c>
      <c r="N93" s="159">
        <f t="shared" si="29"/>
        <v>9.0070281250000033</v>
      </c>
      <c r="O93" s="159">
        <f t="shared" si="29"/>
        <v>9.0070281250000033</v>
      </c>
      <c r="P93" s="159">
        <f t="shared" si="29"/>
        <v>9.0070281250000033</v>
      </c>
      <c r="Q93" s="159">
        <f t="shared" si="29"/>
        <v>9.0070281250000033</v>
      </c>
      <c r="R93" s="159">
        <f t="shared" si="29"/>
        <v>9.0070281250000033</v>
      </c>
      <c r="S93" s="159">
        <f t="shared" si="29"/>
        <v>9.0070281250000033</v>
      </c>
      <c r="T93" s="159">
        <f t="shared" si="29"/>
        <v>9.0070281250000033</v>
      </c>
    </row>
    <row r="94" spans="2:20" x14ac:dyDescent="0.25">
      <c r="B94" s="23" t="s">
        <v>2802</v>
      </c>
      <c r="C94" s="28" t="s">
        <v>493</v>
      </c>
      <c r="H94" s="159">
        <f>Inputs!H522*MAX(0,H93)</f>
        <v>0</v>
      </c>
      <c r="I94" s="159">
        <f>Inputs!I522*MAX(0,I93)</f>
        <v>0</v>
      </c>
      <c r="J94" s="159">
        <f>Inputs!J522*MAX(0,J93)</f>
        <v>0</v>
      </c>
      <c r="K94" s="159">
        <f>Inputs!K522*MAX(0,K93)</f>
        <v>1.9815461875000007</v>
      </c>
      <c r="L94" s="159">
        <f>Inputs!L522*MAX(0,L93)</f>
        <v>1.9815461875000007</v>
      </c>
      <c r="M94" s="159">
        <f>Inputs!M522*MAX(0,M93)</f>
        <v>1.9815461875000007</v>
      </c>
      <c r="N94" s="159">
        <f>Inputs!N522*MAX(0,N93)</f>
        <v>1.9815461875000007</v>
      </c>
      <c r="O94" s="159">
        <f>Inputs!O522*MAX(0,O93)</f>
        <v>1.9815461875000007</v>
      </c>
      <c r="P94" s="159">
        <f>Inputs!P522*MAX(0,P93)</f>
        <v>1.9815461875000007</v>
      </c>
      <c r="Q94" s="159">
        <f>Inputs!Q522*MAX(0,Q93)</f>
        <v>1.9815461875000007</v>
      </c>
      <c r="R94" s="159">
        <f>Inputs!R522*MAX(0,R93)</f>
        <v>1.9815461875000007</v>
      </c>
      <c r="S94" s="159">
        <f>Inputs!S522*MAX(0,S93)</f>
        <v>1.9815461875000007</v>
      </c>
      <c r="T94" s="159">
        <f>Inputs!T522*MAX(0,T93)</f>
        <v>1.9815461875000007</v>
      </c>
    </row>
    <row r="95" spans="2:20" x14ac:dyDescent="0.25">
      <c r="B95" s="23" t="s">
        <v>2803</v>
      </c>
      <c r="C95" s="28" t="s">
        <v>493</v>
      </c>
      <c r="H95" s="159">
        <f>Inputs!H522*MAX(0,H92)</f>
        <v>0</v>
      </c>
      <c r="I95" s="159">
        <f>Inputs!I522*MAX(0,I92)</f>
        <v>0</v>
      </c>
      <c r="J95" s="159">
        <f>Inputs!J522*MAX(0,J92)</f>
        <v>0</v>
      </c>
      <c r="K95" s="159">
        <f>Inputs!K522*MAX(0,K92)</f>
        <v>1.9815461875000007</v>
      </c>
      <c r="L95" s="159">
        <f>Inputs!L522*MAX(0,L92)</f>
        <v>1.9815461875000007</v>
      </c>
      <c r="M95" s="159">
        <f>Inputs!M522*MAX(0,M92)</f>
        <v>1.9815461875000007</v>
      </c>
      <c r="N95" s="159">
        <f>Inputs!N522*MAX(0,N92)</f>
        <v>1.9815461875000007</v>
      </c>
      <c r="O95" s="159">
        <f>Inputs!O522*MAX(0,O92)</f>
        <v>1.9815461875000007</v>
      </c>
      <c r="P95" s="159">
        <f>Inputs!P522*MAX(0,P92)</f>
        <v>1.9815461875000007</v>
      </c>
      <c r="Q95" s="159">
        <f>Inputs!Q522*MAX(0,Q92)</f>
        <v>1.9815461875000007</v>
      </c>
      <c r="R95" s="159">
        <f>Inputs!R522*MAX(0,R92)</f>
        <v>1.9815461875000007</v>
      </c>
      <c r="S95" s="159">
        <f>Inputs!S522*MAX(0,S92)</f>
        <v>1.9815461875000007</v>
      </c>
      <c r="T95" s="159">
        <f>Inputs!T522*MAX(0,T92)</f>
        <v>1.9815461875000007</v>
      </c>
    </row>
    <row r="96" spans="2:20" x14ac:dyDescent="0.25">
      <c r="B96" s="23" t="s">
        <v>2804</v>
      </c>
      <c r="C96" s="28" t="s">
        <v>493</v>
      </c>
      <c r="H96" s="159">
        <f t="shared" ref="H96:T96" si="30">H93-H94</f>
        <v>0</v>
      </c>
      <c r="I96" s="159">
        <f t="shared" si="30"/>
        <v>0</v>
      </c>
      <c r="J96" s="159">
        <f t="shared" si="30"/>
        <v>0</v>
      </c>
      <c r="K96" s="159">
        <f t="shared" si="30"/>
        <v>7.0254819375000022</v>
      </c>
      <c r="L96" s="159">
        <f t="shared" si="30"/>
        <v>7.0254819375000022</v>
      </c>
      <c r="M96" s="159">
        <f t="shared" si="30"/>
        <v>7.0254819375000022</v>
      </c>
      <c r="N96" s="159">
        <f t="shared" si="30"/>
        <v>7.0254819375000022</v>
      </c>
      <c r="O96" s="159">
        <f t="shared" si="30"/>
        <v>7.0254819375000022</v>
      </c>
      <c r="P96" s="159">
        <f t="shared" si="30"/>
        <v>7.0254819375000022</v>
      </c>
      <c r="Q96" s="159">
        <f t="shared" si="30"/>
        <v>7.0254819375000022</v>
      </c>
      <c r="R96" s="159">
        <f t="shared" si="30"/>
        <v>7.0254819375000022</v>
      </c>
      <c r="S96" s="159">
        <f t="shared" si="30"/>
        <v>7.0254819375000022</v>
      </c>
      <c r="T96" s="159">
        <f t="shared" si="30"/>
        <v>7.0254819375000022</v>
      </c>
    </row>
    <row r="97" spans="2:20" x14ac:dyDescent="0.25">
      <c r="B97" s="23" t="s">
        <v>2805</v>
      </c>
      <c r="C97" s="28" t="s">
        <v>493</v>
      </c>
      <c r="H97" s="159">
        <f>('Cost Calculation'!H153-'Capex &amp; Depreciation'!H239)</f>
        <v>0</v>
      </c>
      <c r="I97" s="159">
        <f>('Cost Calculation'!I153-'Capex &amp; Depreciation'!I239)</f>
        <v>0</v>
      </c>
      <c r="J97" s="159">
        <f>('Cost Calculation'!J153-'Capex &amp; Depreciation'!J239)</f>
        <v>16.890265050924867</v>
      </c>
      <c r="K97" s="159">
        <f>('Cost Calculation'!K153-'Capex &amp; Depreciation'!K239)</f>
        <v>16.378591047467374</v>
      </c>
      <c r="L97" s="159">
        <f>('Cost Calculation'!L153-'Capex &amp; Depreciation'!L239)</f>
        <v>15.854125193923464</v>
      </c>
      <c r="M97" s="159">
        <f>('Cost Calculation'!M153-'Capex &amp; Depreciation'!M239)</f>
        <v>18.188870434615083</v>
      </c>
      <c r="N97" s="159">
        <f>('Cost Calculation'!N153-'Capex &amp; Depreciation'!N239)</f>
        <v>17.19077202670934</v>
      </c>
      <c r="O97" s="159">
        <f>('Cost Calculation'!O153-'Capex &amp; Depreciation'!O239)</f>
        <v>16.835712240642728</v>
      </c>
      <c r="P97" s="159">
        <f>('Cost Calculation'!P153-'Capex &amp; Depreciation'!P239)</f>
        <v>16.247287153666193</v>
      </c>
      <c r="Q97" s="159">
        <f>('Cost Calculation'!Q153-'Capex &amp; Depreciation'!Q239)</f>
        <v>18.693971198331248</v>
      </c>
      <c r="R97" s="159">
        <f>('Cost Calculation'!R153-'Capex &amp; Depreciation'!R239)</f>
        <v>23.603307985592185</v>
      </c>
      <c r="S97" s="159">
        <f>('Cost Calculation'!S153-'Capex &amp; Depreciation'!S239)</f>
        <v>22.520899204446547</v>
      </c>
      <c r="T97" s="159">
        <f>('Cost Calculation'!T153-'Capex &amp; Depreciation'!T239)</f>
        <v>22.254941370425133</v>
      </c>
    </row>
    <row r="98" spans="2:20" x14ac:dyDescent="0.25">
      <c r="B98" s="23" t="s">
        <v>2806</v>
      </c>
      <c r="C98" s="28" t="s">
        <v>493</v>
      </c>
      <c r="H98" s="159">
        <f t="shared" ref="H98:T98" si="31">H97</f>
        <v>0</v>
      </c>
      <c r="I98" s="159">
        <f t="shared" si="31"/>
        <v>0</v>
      </c>
      <c r="J98" s="159">
        <f t="shared" si="31"/>
        <v>16.890265050924867</v>
      </c>
      <c r="K98" s="159">
        <f t="shared" si="31"/>
        <v>16.378591047467374</v>
      </c>
      <c r="L98" s="159">
        <f t="shared" si="31"/>
        <v>15.854125193923464</v>
      </c>
      <c r="M98" s="159">
        <f t="shared" si="31"/>
        <v>18.188870434615083</v>
      </c>
      <c r="N98" s="159">
        <f t="shared" si="31"/>
        <v>17.19077202670934</v>
      </c>
      <c r="O98" s="159">
        <f t="shared" si="31"/>
        <v>16.835712240642728</v>
      </c>
      <c r="P98" s="159">
        <f t="shared" si="31"/>
        <v>16.247287153666193</v>
      </c>
      <c r="Q98" s="159">
        <f t="shared" si="31"/>
        <v>18.693971198331248</v>
      </c>
      <c r="R98" s="159">
        <f t="shared" si="31"/>
        <v>23.603307985592185</v>
      </c>
      <c r="S98" s="159">
        <f t="shared" si="31"/>
        <v>22.520899204446547</v>
      </c>
      <c r="T98" s="159">
        <f t="shared" si="31"/>
        <v>22.254941370425133</v>
      </c>
    </row>
    <row r="99" spans="2:20" x14ac:dyDescent="0.25">
      <c r="B99" s="23" t="s">
        <v>2807</v>
      </c>
      <c r="C99" s="28" t="s">
        <v>493</v>
      </c>
      <c r="H99" s="159">
        <f>Inputs!H522*MAX(0,H98)</f>
        <v>0</v>
      </c>
      <c r="I99" s="159">
        <f>Inputs!I522*MAX(0,I98)</f>
        <v>0</v>
      </c>
      <c r="J99" s="159">
        <f>Inputs!J522*MAX(0,J98)</f>
        <v>3.7158583112034709</v>
      </c>
      <c r="K99" s="159">
        <f>Inputs!K522*MAX(0,K98)</f>
        <v>3.6032900304428224</v>
      </c>
      <c r="L99" s="159">
        <f>Inputs!L522*MAX(0,L98)</f>
        <v>3.4879075426631618</v>
      </c>
      <c r="M99" s="159">
        <f>Inputs!M522*MAX(0,M98)</f>
        <v>4.0015514956153186</v>
      </c>
      <c r="N99" s="159">
        <f>Inputs!N522*MAX(0,N98)</f>
        <v>3.7819698458760547</v>
      </c>
      <c r="O99" s="159">
        <f>Inputs!O522*MAX(0,O98)</f>
        <v>3.7038566929414003</v>
      </c>
      <c r="P99" s="159">
        <f>Inputs!P522*MAX(0,P98)</f>
        <v>3.5744031738065623</v>
      </c>
      <c r="Q99" s="159">
        <f>Inputs!Q522*MAX(0,Q98)</f>
        <v>4.1126736636328749</v>
      </c>
      <c r="R99" s="159">
        <f>Inputs!R522*MAX(0,R98)</f>
        <v>5.1927277568302808</v>
      </c>
      <c r="S99" s="159">
        <f>Inputs!S522*MAX(0,S98)</f>
        <v>4.9545978249782401</v>
      </c>
      <c r="T99" s="159">
        <f>Inputs!T522*MAX(0,T98)</f>
        <v>4.8960871014935297</v>
      </c>
    </row>
    <row r="100" spans="2:20" x14ac:dyDescent="0.25">
      <c r="B100" s="23" t="s">
        <v>2808</v>
      </c>
      <c r="C100" s="28" t="s">
        <v>493</v>
      </c>
      <c r="H100" s="159">
        <f>Inputs!H522*MAX(0,H97)</f>
        <v>0</v>
      </c>
      <c r="I100" s="159">
        <f>Inputs!I522*MAX(0,I97)</f>
        <v>0</v>
      </c>
      <c r="J100" s="159">
        <f>Inputs!J522*MAX(0,J97)</f>
        <v>3.7158583112034709</v>
      </c>
      <c r="K100" s="159">
        <f>Inputs!K522*MAX(0,K97)</f>
        <v>3.6032900304428224</v>
      </c>
      <c r="L100" s="159">
        <f>Inputs!L522*MAX(0,L97)</f>
        <v>3.4879075426631618</v>
      </c>
      <c r="M100" s="159">
        <f>Inputs!M522*MAX(0,M97)</f>
        <v>4.0015514956153186</v>
      </c>
      <c r="N100" s="159">
        <f>Inputs!N522*MAX(0,N97)</f>
        <v>3.7819698458760547</v>
      </c>
      <c r="O100" s="159">
        <f>Inputs!O522*MAX(0,O97)</f>
        <v>3.7038566929414003</v>
      </c>
      <c r="P100" s="159">
        <f>Inputs!P522*MAX(0,P97)</f>
        <v>3.5744031738065623</v>
      </c>
      <c r="Q100" s="159">
        <f>Inputs!Q522*MAX(0,Q97)</f>
        <v>4.1126736636328749</v>
      </c>
      <c r="R100" s="159">
        <f>Inputs!R522*MAX(0,R97)</f>
        <v>5.1927277568302808</v>
      </c>
      <c r="S100" s="159">
        <f>Inputs!S522*MAX(0,S97)</f>
        <v>4.9545978249782401</v>
      </c>
      <c r="T100" s="159">
        <f>Inputs!T522*MAX(0,T97)</f>
        <v>4.8960871014935297</v>
      </c>
    </row>
    <row r="101" spans="2:20" x14ac:dyDescent="0.25">
      <c r="B101" s="23" t="s">
        <v>2809</v>
      </c>
      <c r="C101" s="28" t="s">
        <v>493</v>
      </c>
      <c r="H101" s="159">
        <f t="shared" ref="H101:T101" si="32">H98-H99</f>
        <v>0</v>
      </c>
      <c r="I101" s="159">
        <f t="shared" si="32"/>
        <v>0</v>
      </c>
      <c r="J101" s="159">
        <f t="shared" si="32"/>
        <v>13.174406739721396</v>
      </c>
      <c r="K101" s="159">
        <f t="shared" si="32"/>
        <v>12.775301017024551</v>
      </c>
      <c r="L101" s="159">
        <f t="shared" si="32"/>
        <v>12.366217651260301</v>
      </c>
      <c r="M101" s="159">
        <f t="shared" si="32"/>
        <v>14.187318938999764</v>
      </c>
      <c r="N101" s="159">
        <f t="shared" si="32"/>
        <v>13.408802180833284</v>
      </c>
      <c r="O101" s="159">
        <f t="shared" si="32"/>
        <v>13.131855547701328</v>
      </c>
      <c r="P101" s="159">
        <f t="shared" si="32"/>
        <v>12.67288397985963</v>
      </c>
      <c r="Q101" s="159">
        <f t="shared" si="32"/>
        <v>14.581297534698372</v>
      </c>
      <c r="R101" s="159">
        <f t="shared" si="32"/>
        <v>18.410580228761905</v>
      </c>
      <c r="S101" s="159">
        <f t="shared" si="32"/>
        <v>17.566301379468307</v>
      </c>
      <c r="T101" s="159">
        <f t="shared" si="32"/>
        <v>17.358854268931601</v>
      </c>
    </row>
    <row r="102" spans="2:20" x14ac:dyDescent="0.25">
      <c r="B102" s="23" t="s">
        <v>2810</v>
      </c>
      <c r="C102" s="28" t="s">
        <v>493</v>
      </c>
      <c r="H102" s="159">
        <f>('Cost Calculation'!H165-'Capex &amp; Depreciation'!H242)</f>
        <v>0</v>
      </c>
      <c r="I102" s="159">
        <f>('Cost Calculation'!I165-'Capex &amp; Depreciation'!I242)</f>
        <v>0</v>
      </c>
      <c r="J102" s="159">
        <f>('Cost Calculation'!J165-'Capex &amp; Depreciation'!J242)</f>
        <v>0</v>
      </c>
      <c r="K102" s="159">
        <f>('Cost Calculation'!K165-'Capex &amp; Depreciation'!K242)</f>
        <v>0.46286933554682441</v>
      </c>
      <c r="L102" s="159">
        <f>('Cost Calculation'!L165-'Capex &amp; Depreciation'!L242)</f>
        <v>0.4820990156132291</v>
      </c>
      <c r="M102" s="159">
        <f>('Cost Calculation'!M165-'Capex &amp; Depreciation'!M242)</f>
        <v>0.50190558608162605</v>
      </c>
      <c r="N102" s="159">
        <f>('Cost Calculation'!N165-'Capex &amp; Depreciation'!N242)</f>
        <v>0.52230635366407485</v>
      </c>
      <c r="O102" s="159">
        <f>('Cost Calculation'!O165-'Capex &amp; Depreciation'!O242)</f>
        <v>0.54331914427399719</v>
      </c>
      <c r="P102" s="159">
        <f>('Cost Calculation'!P165-'Capex &amp; Depreciation'!P242)</f>
        <v>0.56496231860221702</v>
      </c>
      <c r="Q102" s="159">
        <f>('Cost Calculation'!Q165-'Capex &amp; Depreciation'!Q242)</f>
        <v>0.58725478816028354</v>
      </c>
      <c r="R102" s="159">
        <f>('Cost Calculation'!R165-'Capex &amp; Depreciation'!R242)</f>
        <v>0.6102160318050921</v>
      </c>
      <c r="S102" s="159">
        <f>('Cost Calculation'!S165-'Capex &amp; Depreciation'!S242)</f>
        <v>0.63386611275924476</v>
      </c>
      <c r="T102" s="159">
        <f>('Cost Calculation'!T165-'Capex &amp; Depreciation'!T242)</f>
        <v>0.65822569614202209</v>
      </c>
    </row>
    <row r="103" spans="2:20" x14ac:dyDescent="0.25">
      <c r="B103" s="23" t="s">
        <v>2811</v>
      </c>
      <c r="C103" s="28" t="s">
        <v>493</v>
      </c>
      <c r="H103" s="159">
        <f t="shared" ref="H103:T103" si="33">H102</f>
        <v>0</v>
      </c>
      <c r="I103" s="159">
        <f t="shared" si="33"/>
        <v>0</v>
      </c>
      <c r="J103" s="159">
        <f t="shared" si="33"/>
        <v>0</v>
      </c>
      <c r="K103" s="159">
        <f t="shared" si="33"/>
        <v>0.46286933554682441</v>
      </c>
      <c r="L103" s="159">
        <f t="shared" si="33"/>
        <v>0.4820990156132291</v>
      </c>
      <c r="M103" s="159">
        <f t="shared" si="33"/>
        <v>0.50190558608162605</v>
      </c>
      <c r="N103" s="159">
        <f t="shared" si="33"/>
        <v>0.52230635366407485</v>
      </c>
      <c r="O103" s="159">
        <f t="shared" si="33"/>
        <v>0.54331914427399719</v>
      </c>
      <c r="P103" s="159">
        <f t="shared" si="33"/>
        <v>0.56496231860221702</v>
      </c>
      <c r="Q103" s="159">
        <f t="shared" si="33"/>
        <v>0.58725478816028354</v>
      </c>
      <c r="R103" s="159">
        <f t="shared" si="33"/>
        <v>0.6102160318050921</v>
      </c>
      <c r="S103" s="159">
        <f t="shared" si="33"/>
        <v>0.63386611275924476</v>
      </c>
      <c r="T103" s="159">
        <f t="shared" si="33"/>
        <v>0.65822569614202209</v>
      </c>
    </row>
    <row r="104" spans="2:20" x14ac:dyDescent="0.25">
      <c r="B104" s="23" t="s">
        <v>2812</v>
      </c>
      <c r="C104" s="28" t="s">
        <v>493</v>
      </c>
      <c r="H104" s="159">
        <f>Inputs!H522*MAX(0,H103)</f>
        <v>0</v>
      </c>
      <c r="I104" s="159">
        <f>Inputs!I522*MAX(0,I103)</f>
        <v>0</v>
      </c>
      <c r="J104" s="159">
        <f>Inputs!J522*MAX(0,J103)</f>
        <v>0</v>
      </c>
      <c r="K104" s="159">
        <f>Inputs!K522*MAX(0,K103)</f>
        <v>0.10183125382030137</v>
      </c>
      <c r="L104" s="159">
        <f>Inputs!L522*MAX(0,L103)</f>
        <v>0.10606178343491041</v>
      </c>
      <c r="M104" s="159">
        <f>Inputs!M522*MAX(0,M103)</f>
        <v>0.11041922893795773</v>
      </c>
      <c r="N104" s="159">
        <f>Inputs!N522*MAX(0,N103)</f>
        <v>0.11490739780609646</v>
      </c>
      <c r="O104" s="159">
        <f>Inputs!O522*MAX(0,O103)</f>
        <v>0.11953021174027938</v>
      </c>
      <c r="P104" s="159">
        <f>Inputs!P522*MAX(0,P103)</f>
        <v>0.12429171009248774</v>
      </c>
      <c r="Q104" s="159">
        <f>Inputs!Q522*MAX(0,Q103)</f>
        <v>0.12919605339526238</v>
      </c>
      <c r="R104" s="159">
        <f>Inputs!R522*MAX(0,R103)</f>
        <v>0.13424752699712025</v>
      </c>
      <c r="S104" s="159">
        <f>Inputs!S522*MAX(0,S103)</f>
        <v>0.13945054480703384</v>
      </c>
      <c r="T104" s="159">
        <f>Inputs!T522*MAX(0,T103)</f>
        <v>0.14480965315124486</v>
      </c>
    </row>
    <row r="105" spans="2:20" x14ac:dyDescent="0.25">
      <c r="B105" s="23" t="s">
        <v>2813</v>
      </c>
      <c r="C105" s="28" t="s">
        <v>493</v>
      </c>
      <c r="H105" s="159">
        <f>Inputs!H522*MAX(0,H102)</f>
        <v>0</v>
      </c>
      <c r="I105" s="159">
        <f>Inputs!I522*MAX(0,I102)</f>
        <v>0</v>
      </c>
      <c r="J105" s="159">
        <f>Inputs!J522*MAX(0,J102)</f>
        <v>0</v>
      </c>
      <c r="K105" s="159">
        <f>Inputs!K522*MAX(0,K102)</f>
        <v>0.10183125382030137</v>
      </c>
      <c r="L105" s="159">
        <f>Inputs!L522*MAX(0,L102)</f>
        <v>0.10606178343491041</v>
      </c>
      <c r="M105" s="159">
        <f>Inputs!M522*MAX(0,M102)</f>
        <v>0.11041922893795773</v>
      </c>
      <c r="N105" s="159">
        <f>Inputs!N522*MAX(0,N102)</f>
        <v>0.11490739780609646</v>
      </c>
      <c r="O105" s="159">
        <f>Inputs!O522*MAX(0,O102)</f>
        <v>0.11953021174027938</v>
      </c>
      <c r="P105" s="159">
        <f>Inputs!P522*MAX(0,P102)</f>
        <v>0.12429171009248774</v>
      </c>
      <c r="Q105" s="159">
        <f>Inputs!Q522*MAX(0,Q102)</f>
        <v>0.12919605339526238</v>
      </c>
      <c r="R105" s="159">
        <f>Inputs!R522*MAX(0,R102)</f>
        <v>0.13424752699712025</v>
      </c>
      <c r="S105" s="159">
        <f>Inputs!S522*MAX(0,S102)</f>
        <v>0.13945054480703384</v>
      </c>
      <c r="T105" s="159">
        <f>Inputs!T522*MAX(0,T102)</f>
        <v>0.14480965315124486</v>
      </c>
    </row>
    <row r="106" spans="2:20" x14ac:dyDescent="0.25">
      <c r="B106" s="23" t="s">
        <v>2814</v>
      </c>
      <c r="C106" s="28" t="s">
        <v>493</v>
      </c>
      <c r="H106" s="159">
        <f t="shared" ref="H106:T106" si="34">H103-H104</f>
        <v>0</v>
      </c>
      <c r="I106" s="159">
        <f t="shared" si="34"/>
        <v>0</v>
      </c>
      <c r="J106" s="159">
        <f t="shared" si="34"/>
        <v>0</v>
      </c>
      <c r="K106" s="159">
        <f t="shared" si="34"/>
        <v>0.36103808172652307</v>
      </c>
      <c r="L106" s="159">
        <f t="shared" si="34"/>
        <v>0.37603723217831869</v>
      </c>
      <c r="M106" s="159">
        <f t="shared" si="34"/>
        <v>0.39148635714366831</v>
      </c>
      <c r="N106" s="159">
        <f t="shared" si="34"/>
        <v>0.40739895585797836</v>
      </c>
      <c r="O106" s="159">
        <f t="shared" si="34"/>
        <v>0.4237889325337178</v>
      </c>
      <c r="P106" s="159">
        <f t="shared" si="34"/>
        <v>0.44067060850972928</v>
      </c>
      <c r="Q106" s="159">
        <f t="shared" si="34"/>
        <v>0.45805873476502112</v>
      </c>
      <c r="R106" s="159">
        <f t="shared" si="34"/>
        <v>0.47596850480797182</v>
      </c>
      <c r="S106" s="159">
        <f t="shared" si="34"/>
        <v>0.49441556795221092</v>
      </c>
      <c r="T106" s="159">
        <f t="shared" si="34"/>
        <v>0.51341604299077725</v>
      </c>
    </row>
    <row r="107" spans="2:20" x14ac:dyDescent="0.25">
      <c r="B107" s="23" t="s">
        <v>2815</v>
      </c>
      <c r="C107" s="28" t="s">
        <v>493</v>
      </c>
      <c r="H107" s="159">
        <f>('Cost Calculation'!H66-'Capex &amp; Depreciation'!H232)</f>
        <v>-24.875239335289663</v>
      </c>
      <c r="I107" s="159">
        <f>('Cost Calculation'!I66-'Capex &amp; Depreciation'!I232)</f>
        <v>-17.971258935505318</v>
      </c>
      <c r="J107" s="159">
        <f>('Cost Calculation'!J66-'Capex &amp; Depreciation'!J232)</f>
        <v>-18.475014015223913</v>
      </c>
      <c r="K107" s="159">
        <f>('Cost Calculation'!K66-'Capex &amp; Depreciation'!K232)</f>
        <v>-8.0971610515423507</v>
      </c>
      <c r="L107" s="159">
        <f>('Cost Calculation'!L66-'Capex &amp; Depreciation'!L232)</f>
        <v>-7.261858547330263</v>
      </c>
      <c r="M107" s="159">
        <f>('Cost Calculation'!M66-'Capex &amp; Depreciation'!M232)</f>
        <v>-1.1808002649764759</v>
      </c>
      <c r="N107" s="159">
        <f>('Cost Calculation'!N66-'Capex &amp; Depreciation'!N232)</f>
        <v>-0.13076895754939954</v>
      </c>
      <c r="O107" s="159">
        <f>('Cost Calculation'!O66-'Capex &amp; Depreciation'!O232)</f>
        <v>5.3248962907882671</v>
      </c>
      <c r="P107" s="159">
        <f>('Cost Calculation'!P66-'Capex &amp; Depreciation'!P232)</f>
        <v>5.510457726058533</v>
      </c>
      <c r="Q107" s="159">
        <f>('Cost Calculation'!Q66-'Capex &amp; Depreciation'!Q232)</f>
        <v>11.684824857319974</v>
      </c>
      <c r="R107" s="159">
        <f>('Cost Calculation'!R66-'Capex &amp; Depreciation'!R232)</f>
        <v>13.09583543364959</v>
      </c>
      <c r="S107" s="159">
        <f>('Cost Calculation'!S66-'Capex &amp; Depreciation'!S232)</f>
        <v>14.533170313202611</v>
      </c>
      <c r="T107" s="159">
        <f>('Cost Calculation'!T66-'Capex &amp; Depreciation'!T232)</f>
        <v>15.996721083491309</v>
      </c>
    </row>
    <row r="108" spans="2:20" x14ac:dyDescent="0.25">
      <c r="B108" s="23" t="s">
        <v>2816</v>
      </c>
      <c r="C108" s="28" t="s">
        <v>493</v>
      </c>
      <c r="H108" s="159">
        <f>H107-Financing!H22</f>
        <v>-30.346144852950665</v>
      </c>
      <c r="I108" s="159">
        <f>I107-Financing!I22</f>
        <v>-19.913430394274979</v>
      </c>
      <c r="J108" s="159">
        <f>J107-Financing!J22</f>
        <v>-20.417185473993563</v>
      </c>
      <c r="K108" s="159">
        <f>K107-Financing!K22</f>
        <v>-9.0602652543842854</v>
      </c>
      <c r="L108" s="159">
        <f>L107-Financing!L22</f>
        <v>-7.261858547330263</v>
      </c>
      <c r="M108" s="159">
        <f>M107-Financing!M22</f>
        <v>-1.1808002649764759</v>
      </c>
      <c r="N108" s="159">
        <f>N107-Financing!N22</f>
        <v>-0.13076895754939954</v>
      </c>
      <c r="O108" s="159">
        <f>O107-Financing!O22</f>
        <v>5.3248962907882671</v>
      </c>
      <c r="P108" s="159">
        <f>P107-Financing!P22</f>
        <v>5.510457726058533</v>
      </c>
      <c r="Q108" s="159">
        <f>Q107-Financing!Q22</f>
        <v>11.684824857319974</v>
      </c>
      <c r="R108" s="159">
        <f>R107-Financing!R22</f>
        <v>13.09583543364959</v>
      </c>
      <c r="S108" s="159">
        <f>S107-Financing!S22</f>
        <v>14.533170313202611</v>
      </c>
      <c r="T108" s="159">
        <f>T107-Financing!T22</f>
        <v>15.996721083491309</v>
      </c>
    </row>
    <row r="109" spans="2:20" x14ac:dyDescent="0.25">
      <c r="B109" s="23" t="s">
        <v>2817</v>
      </c>
      <c r="C109" s="28" t="s">
        <v>493</v>
      </c>
      <c r="H109" s="159">
        <f>Inputs!H522*MAX(0,H108)</f>
        <v>0</v>
      </c>
      <c r="I109" s="159">
        <f>Inputs!I522*MAX(0,I108)</f>
        <v>0</v>
      </c>
      <c r="J109" s="159">
        <f>Inputs!J522*MAX(0,J108)</f>
        <v>0</v>
      </c>
      <c r="K109" s="159">
        <f>Inputs!K522*MAX(0,K108)</f>
        <v>0</v>
      </c>
      <c r="L109" s="159">
        <f>Inputs!L522*MAX(0,L108)</f>
        <v>0</v>
      </c>
      <c r="M109" s="159">
        <f>Inputs!M522*MAX(0,M108)</f>
        <v>0</v>
      </c>
      <c r="N109" s="159">
        <f>Inputs!N522*MAX(0,N108)</f>
        <v>0</v>
      </c>
      <c r="O109" s="159">
        <f>Inputs!O522*MAX(0,O108)</f>
        <v>1.1714771839734188</v>
      </c>
      <c r="P109" s="159">
        <f>Inputs!P522*MAX(0,P108)</f>
        <v>1.2123006997328774</v>
      </c>
      <c r="Q109" s="159">
        <f>Inputs!Q522*MAX(0,Q108)</f>
        <v>2.5706614686103944</v>
      </c>
      <c r="R109" s="159">
        <f>Inputs!R522*MAX(0,R108)</f>
        <v>2.88108379540291</v>
      </c>
      <c r="S109" s="159">
        <f>Inputs!S522*MAX(0,S108)</f>
        <v>3.1972974689045746</v>
      </c>
      <c r="T109" s="159">
        <f>Inputs!T522*MAX(0,T108)</f>
        <v>3.5192786383680881</v>
      </c>
    </row>
    <row r="110" spans="2:20" x14ac:dyDescent="0.25">
      <c r="B110" s="23" t="s">
        <v>2818</v>
      </c>
      <c r="C110" s="28" t="s">
        <v>493</v>
      </c>
      <c r="H110" s="159">
        <f>Inputs!H522*MAX(0,H107)</f>
        <v>0</v>
      </c>
      <c r="I110" s="159">
        <f>Inputs!I522*MAX(0,I107)</f>
        <v>0</v>
      </c>
      <c r="J110" s="159">
        <f>Inputs!J522*MAX(0,J107)</f>
        <v>0</v>
      </c>
      <c r="K110" s="159">
        <f>Inputs!K522*MAX(0,K107)</f>
        <v>0</v>
      </c>
      <c r="L110" s="159">
        <f>Inputs!L522*MAX(0,L107)</f>
        <v>0</v>
      </c>
      <c r="M110" s="159">
        <f>Inputs!M522*MAX(0,M107)</f>
        <v>0</v>
      </c>
      <c r="N110" s="159">
        <f>Inputs!N522*MAX(0,N107)</f>
        <v>0</v>
      </c>
      <c r="O110" s="159">
        <f>Inputs!O522*MAX(0,O107)</f>
        <v>1.1714771839734188</v>
      </c>
      <c r="P110" s="159">
        <f>Inputs!P522*MAX(0,P107)</f>
        <v>1.2123006997328774</v>
      </c>
      <c r="Q110" s="159">
        <f>Inputs!Q522*MAX(0,Q107)</f>
        <v>2.5706614686103944</v>
      </c>
      <c r="R110" s="159">
        <f>Inputs!R522*MAX(0,R107)</f>
        <v>2.88108379540291</v>
      </c>
      <c r="S110" s="159">
        <f>Inputs!S522*MAX(0,S107)</f>
        <v>3.1972974689045746</v>
      </c>
      <c r="T110" s="159">
        <f>Inputs!T522*MAX(0,T107)</f>
        <v>3.5192786383680881</v>
      </c>
    </row>
    <row r="111" spans="2:20" x14ac:dyDescent="0.25">
      <c r="B111" s="23" t="s">
        <v>2819</v>
      </c>
      <c r="C111" s="28" t="s">
        <v>493</v>
      </c>
      <c r="H111" s="159">
        <f t="shared" ref="H111:T111" si="35">H108-H109</f>
        <v>-30.346144852950665</v>
      </c>
      <c r="I111" s="159">
        <f t="shared" si="35"/>
        <v>-19.913430394274979</v>
      </c>
      <c r="J111" s="159">
        <f t="shared" si="35"/>
        <v>-20.417185473993563</v>
      </c>
      <c r="K111" s="159">
        <f t="shared" si="35"/>
        <v>-9.0602652543842854</v>
      </c>
      <c r="L111" s="159">
        <f t="shared" si="35"/>
        <v>-7.261858547330263</v>
      </c>
      <c r="M111" s="159">
        <f t="shared" si="35"/>
        <v>-1.1808002649764759</v>
      </c>
      <c r="N111" s="159">
        <f t="shared" si="35"/>
        <v>-0.13076895754939954</v>
      </c>
      <c r="O111" s="159">
        <f t="shared" si="35"/>
        <v>4.153419106814848</v>
      </c>
      <c r="P111" s="159">
        <f t="shared" si="35"/>
        <v>4.2981570263256561</v>
      </c>
      <c r="Q111" s="159">
        <f t="shared" si="35"/>
        <v>9.1141633887095796</v>
      </c>
      <c r="R111" s="159">
        <f t="shared" si="35"/>
        <v>10.21475163824668</v>
      </c>
      <c r="S111" s="159">
        <f t="shared" si="35"/>
        <v>11.335872844298036</v>
      </c>
      <c r="T111" s="159">
        <f t="shared" si="35"/>
        <v>12.47744244512322</v>
      </c>
    </row>
    <row r="112" spans="2:20" x14ac:dyDescent="0.25">
      <c r="B112" s="23" t="s">
        <v>2820</v>
      </c>
      <c r="C112" s="28" t="s">
        <v>493</v>
      </c>
      <c r="H112" s="159">
        <f>('Cost Calculation'!H137-'Capex &amp; Depreciation'!H235)</f>
        <v>0</v>
      </c>
      <c r="I112" s="159">
        <f>('Cost Calculation'!I137-'Capex &amp; Depreciation'!I235)</f>
        <v>52.936288697450891</v>
      </c>
      <c r="J112" s="159">
        <f>('Cost Calculation'!J137-'Capex &amp; Depreciation'!J235)</f>
        <v>54.827716168331904</v>
      </c>
      <c r="K112" s="159">
        <f>('Cost Calculation'!K137-'Capex &amp; Depreciation'!K235)</f>
        <v>73.787335658747878</v>
      </c>
      <c r="L112" s="159">
        <f>('Cost Calculation'!L137-'Capex &amp; Depreciation'!L235)</f>
        <v>76.271430550328972</v>
      </c>
      <c r="M112" s="159">
        <f>('Cost Calculation'!M137-'Capex &amp; Depreciation'!M235)</f>
        <v>89.650718854843646</v>
      </c>
      <c r="N112" s="159">
        <f>('Cost Calculation'!N137-'Capex &amp; Depreciation'!N235)</f>
        <v>92.57372653412564</v>
      </c>
      <c r="O112" s="159">
        <f>('Cost Calculation'!O137-'Capex &amp; Depreciation'!O235)</f>
        <v>103.1533595670714</v>
      </c>
      <c r="P112" s="159">
        <f>('Cost Calculation'!P137-'Capex &amp; Depreciation'!P235)</f>
        <v>106.43981535079088</v>
      </c>
      <c r="Q112" s="159">
        <f>('Cost Calculation'!Q137-'Capex &amp; Depreciation'!Q235)</f>
        <v>118.33652178905685</v>
      </c>
      <c r="R112" s="159">
        <f>('Cost Calculation'!R137-'Capex &amp; Depreciation'!R235)</f>
        <v>122.03161625056181</v>
      </c>
      <c r="S112" s="159">
        <f>('Cost Calculation'!S137-'Capex &amp; Depreciation'!S235)</f>
        <v>125.81197421436697</v>
      </c>
      <c r="T112" s="159">
        <f>('Cost Calculation'!T137-'Capex &amp; Depreciation'!T235)</f>
        <v>129.67859519525038</v>
      </c>
    </row>
    <row r="113" spans="2:20" x14ac:dyDescent="0.25">
      <c r="B113" s="23" t="s">
        <v>2821</v>
      </c>
      <c r="C113" s="28" t="s">
        <v>493</v>
      </c>
      <c r="H113" s="159">
        <f>H112-Financing!H23</f>
        <v>0</v>
      </c>
      <c r="I113" s="159">
        <f>I112-Financing!I23</f>
        <v>39.605009978450894</v>
      </c>
      <c r="J113" s="159">
        <f>J112-Financing!J23</f>
        <v>41.496437449331893</v>
      </c>
      <c r="K113" s="159">
        <f>K112-Financing!K23</f>
        <v>67.176482376175272</v>
      </c>
      <c r="L113" s="159">
        <f>L112-Financing!L23</f>
        <v>76.271430550328972</v>
      </c>
      <c r="M113" s="159">
        <f>M112-Financing!M23</f>
        <v>89.650718854843646</v>
      </c>
      <c r="N113" s="159">
        <f>N112-Financing!N23</f>
        <v>92.57372653412564</v>
      </c>
      <c r="O113" s="159">
        <f>O112-Financing!O23</f>
        <v>103.1533595670714</v>
      </c>
      <c r="P113" s="159">
        <f>P112-Financing!P23</f>
        <v>106.43981535079088</v>
      </c>
      <c r="Q113" s="159">
        <f>Q112-Financing!Q23</f>
        <v>118.33652178905685</v>
      </c>
      <c r="R113" s="159">
        <f>R112-Financing!R23</f>
        <v>122.03161625056181</v>
      </c>
      <c r="S113" s="159">
        <f>S112-Financing!S23</f>
        <v>125.81197421436697</v>
      </c>
      <c r="T113" s="159">
        <f>T112-Financing!T23</f>
        <v>129.67859519525038</v>
      </c>
    </row>
    <row r="114" spans="2:20" x14ac:dyDescent="0.25">
      <c r="B114" s="23" t="s">
        <v>2822</v>
      </c>
      <c r="C114" s="28" t="s">
        <v>493</v>
      </c>
      <c r="H114" s="159">
        <f>Inputs!H522*MAX(0,H113)</f>
        <v>0</v>
      </c>
      <c r="I114" s="159">
        <f>Inputs!I522*MAX(0,I113)</f>
        <v>8.7131021952591965</v>
      </c>
      <c r="J114" s="159">
        <f>Inputs!J522*MAX(0,J113)</f>
        <v>9.1292162388530169</v>
      </c>
      <c r="K114" s="159">
        <f>Inputs!K522*MAX(0,K113)</f>
        <v>14.778826122758559</v>
      </c>
      <c r="L114" s="159">
        <f>Inputs!L522*MAX(0,L113)</f>
        <v>16.779714721072374</v>
      </c>
      <c r="M114" s="159">
        <f>Inputs!M522*MAX(0,M113)</f>
        <v>19.723158148065604</v>
      </c>
      <c r="N114" s="159">
        <f>Inputs!N522*MAX(0,N113)</f>
        <v>20.366219837507639</v>
      </c>
      <c r="O114" s="159">
        <f>Inputs!O522*MAX(0,O113)</f>
        <v>22.693739104755711</v>
      </c>
      <c r="P114" s="159">
        <f>Inputs!P522*MAX(0,P113)</f>
        <v>23.416759377173992</v>
      </c>
      <c r="Q114" s="159">
        <f>Inputs!Q522*MAX(0,Q113)</f>
        <v>26.034034793592507</v>
      </c>
      <c r="R114" s="159">
        <f>Inputs!R522*MAX(0,R113)</f>
        <v>26.846955575123598</v>
      </c>
      <c r="S114" s="159">
        <f>Inputs!S522*MAX(0,S113)</f>
        <v>27.678634327160733</v>
      </c>
      <c r="T114" s="159">
        <f>Inputs!T522*MAX(0,T113)</f>
        <v>28.529290942955082</v>
      </c>
    </row>
    <row r="115" spans="2:20" x14ac:dyDescent="0.25">
      <c r="B115" s="23" t="s">
        <v>2823</v>
      </c>
      <c r="C115" s="28" t="s">
        <v>493</v>
      </c>
      <c r="H115" s="159">
        <f>Inputs!H522*MAX(0,H112)</f>
        <v>0</v>
      </c>
      <c r="I115" s="159">
        <f>Inputs!I522*MAX(0,I112)</f>
        <v>11.645983513439196</v>
      </c>
      <c r="J115" s="159">
        <f>Inputs!J522*MAX(0,J112)</f>
        <v>12.062097557033018</v>
      </c>
      <c r="K115" s="159">
        <f>Inputs!K522*MAX(0,K112)</f>
        <v>16.233213844924535</v>
      </c>
      <c r="L115" s="159">
        <f>Inputs!L522*MAX(0,L112)</f>
        <v>16.779714721072374</v>
      </c>
      <c r="M115" s="159">
        <f>Inputs!M522*MAX(0,M112)</f>
        <v>19.723158148065604</v>
      </c>
      <c r="N115" s="159">
        <f>Inputs!N522*MAX(0,N112)</f>
        <v>20.366219837507639</v>
      </c>
      <c r="O115" s="159">
        <f>Inputs!O522*MAX(0,O112)</f>
        <v>22.693739104755711</v>
      </c>
      <c r="P115" s="159">
        <f>Inputs!P522*MAX(0,P112)</f>
        <v>23.416759377173992</v>
      </c>
      <c r="Q115" s="159">
        <f>Inputs!Q522*MAX(0,Q112)</f>
        <v>26.034034793592507</v>
      </c>
      <c r="R115" s="159">
        <f>Inputs!R522*MAX(0,R112)</f>
        <v>26.846955575123598</v>
      </c>
      <c r="S115" s="159">
        <f>Inputs!S522*MAX(0,S112)</f>
        <v>27.678634327160733</v>
      </c>
      <c r="T115" s="159">
        <f>Inputs!T522*MAX(0,T112)</f>
        <v>28.529290942955082</v>
      </c>
    </row>
    <row r="116" spans="2:20" x14ac:dyDescent="0.25">
      <c r="B116" s="23" t="s">
        <v>2824</v>
      </c>
      <c r="C116" s="28" t="s">
        <v>493</v>
      </c>
      <c r="H116" s="159">
        <f t="shared" ref="H116:T116" si="36">H113-H114</f>
        <v>0</v>
      </c>
      <c r="I116" s="159">
        <f t="shared" si="36"/>
        <v>30.891907783191698</v>
      </c>
      <c r="J116" s="159">
        <f t="shared" si="36"/>
        <v>32.367221210478874</v>
      </c>
      <c r="K116" s="159">
        <f t="shared" si="36"/>
        <v>52.397656253416713</v>
      </c>
      <c r="L116" s="159">
        <f t="shared" si="36"/>
        <v>59.491715829256599</v>
      </c>
      <c r="M116" s="159">
        <f t="shared" si="36"/>
        <v>69.927560706778038</v>
      </c>
      <c r="N116" s="159">
        <f t="shared" si="36"/>
        <v>72.207506696617997</v>
      </c>
      <c r="O116" s="159">
        <f t="shared" si="36"/>
        <v>80.459620462315698</v>
      </c>
      <c r="P116" s="159">
        <f t="shared" si="36"/>
        <v>83.023055973616891</v>
      </c>
      <c r="Q116" s="159">
        <f t="shared" si="36"/>
        <v>92.302486995464335</v>
      </c>
      <c r="R116" s="159">
        <f t="shared" si="36"/>
        <v>95.184660675438209</v>
      </c>
      <c r="S116" s="159">
        <f t="shared" si="36"/>
        <v>98.133339887206233</v>
      </c>
      <c r="T116" s="159">
        <f t="shared" si="36"/>
        <v>101.14930425229529</v>
      </c>
    </row>
    <row r="117" spans="2:20" x14ac:dyDescent="0.25">
      <c r="B117" s="23" t="s">
        <v>2825</v>
      </c>
      <c r="C117" s="28" t="s">
        <v>493</v>
      </c>
      <c r="H117" s="159">
        <f>('Cost Calculation'!H141-'Capex &amp; Depreciation'!H236)</f>
        <v>0</v>
      </c>
      <c r="I117" s="159">
        <f>('Cost Calculation'!I141-'Capex &amp; Depreciation'!I236)</f>
        <v>21.652856044176946</v>
      </c>
      <c r="J117" s="159">
        <f>('Cost Calculation'!J141-'Capex &amp; Depreciation'!J236)</f>
        <v>22.489665723401945</v>
      </c>
      <c r="K117" s="159">
        <f>('Cost Calculation'!K141-'Capex &amp; Depreciation'!K236)</f>
        <v>23.348236612091739</v>
      </c>
      <c r="L117" s="159">
        <f>('Cost Calculation'!L141-'Capex &amp; Depreciation'!L236)</f>
        <v>24.229017952902755</v>
      </c>
      <c r="M117" s="159">
        <f>('Cost Calculation'!M141-'Capex &amp; Depreciation'!M236)</f>
        <v>25.132460066919151</v>
      </c>
      <c r="N117" s="159">
        <f>('Cost Calculation'!N141-'Capex &amp; Depreciation'!N236)</f>
        <v>26.059013630915651</v>
      </c>
      <c r="O117" s="159">
        <f>('Cost Calculation'!O141-'Capex &amp; Depreciation'!O236)</f>
        <v>27.009128886953128</v>
      </c>
      <c r="P117" s="159">
        <f>('Cost Calculation'!P141-'Capex &amp; Depreciation'!P236)</f>
        <v>27.983254779476702</v>
      </c>
      <c r="Q117" s="159">
        <f>('Cost Calculation'!Q141-'Capex &amp; Depreciation'!Q236)</f>
        <v>28.981838014770155</v>
      </c>
      <c r="R117" s="159">
        <f>('Cost Calculation'!R141-'Capex &amp; Depreciation'!R236)</f>
        <v>30.005322037285644</v>
      </c>
      <c r="S117" s="159">
        <f>('Cost Calculation'!S141-'Capex &amp; Depreciation'!S236)</f>
        <v>31.054145917010764</v>
      </c>
      <c r="T117" s="159">
        <f>('Cost Calculation'!T141-'Capex &amp; Depreciation'!T236)</f>
        <v>32.128743141656741</v>
      </c>
    </row>
    <row r="118" spans="2:20" x14ac:dyDescent="0.25">
      <c r="B118" s="23" t="s">
        <v>2826</v>
      </c>
      <c r="C118" s="28" t="s">
        <v>493</v>
      </c>
      <c r="H118" s="159">
        <f t="shared" ref="H118:T118" si="37">H117</f>
        <v>0</v>
      </c>
      <c r="I118" s="159">
        <f t="shared" si="37"/>
        <v>21.652856044176946</v>
      </c>
      <c r="J118" s="159">
        <f t="shared" si="37"/>
        <v>22.489665723401945</v>
      </c>
      <c r="K118" s="159">
        <f t="shared" si="37"/>
        <v>23.348236612091739</v>
      </c>
      <c r="L118" s="159">
        <f t="shared" si="37"/>
        <v>24.229017952902755</v>
      </c>
      <c r="M118" s="159">
        <f t="shared" si="37"/>
        <v>25.132460066919151</v>
      </c>
      <c r="N118" s="159">
        <f t="shared" si="37"/>
        <v>26.059013630915651</v>
      </c>
      <c r="O118" s="159">
        <f t="shared" si="37"/>
        <v>27.009128886953128</v>
      </c>
      <c r="P118" s="159">
        <f t="shared" si="37"/>
        <v>27.983254779476702</v>
      </c>
      <c r="Q118" s="159">
        <f t="shared" si="37"/>
        <v>28.981838014770155</v>
      </c>
      <c r="R118" s="159">
        <f t="shared" si="37"/>
        <v>30.005322037285644</v>
      </c>
      <c r="S118" s="159">
        <f t="shared" si="37"/>
        <v>31.054145917010764</v>
      </c>
      <c r="T118" s="159">
        <f t="shared" si="37"/>
        <v>32.128743141656741</v>
      </c>
    </row>
    <row r="119" spans="2:20" x14ac:dyDescent="0.25">
      <c r="B119" s="23" t="s">
        <v>2827</v>
      </c>
      <c r="C119" s="28" t="s">
        <v>493</v>
      </c>
      <c r="H119" s="159">
        <f>Inputs!H522*MAX(0,H118)</f>
        <v>0</v>
      </c>
      <c r="I119" s="159">
        <f>Inputs!I522*MAX(0,I118)</f>
        <v>4.7636283297189284</v>
      </c>
      <c r="J119" s="159">
        <f>Inputs!J522*MAX(0,J118)</f>
        <v>4.947726459148428</v>
      </c>
      <c r="K119" s="159">
        <f>Inputs!K522*MAX(0,K118)</f>
        <v>5.1366120546601826</v>
      </c>
      <c r="L119" s="159">
        <f>Inputs!L522*MAX(0,L118)</f>
        <v>5.3303839496386063</v>
      </c>
      <c r="M119" s="159">
        <f>Inputs!M522*MAX(0,M118)</f>
        <v>5.5291412147222134</v>
      </c>
      <c r="N119" s="159">
        <f>Inputs!N522*MAX(0,N118)</f>
        <v>5.7329829988014431</v>
      </c>
      <c r="O119" s="159">
        <f>Inputs!O522*MAX(0,O118)</f>
        <v>5.9420083551296878</v>
      </c>
      <c r="P119" s="159">
        <f>Inputs!P522*MAX(0,P118)</f>
        <v>6.1563160514848745</v>
      </c>
      <c r="Q119" s="159">
        <f>Inputs!Q522*MAX(0,Q118)</f>
        <v>6.3760043632494341</v>
      </c>
      <c r="R119" s="159">
        <f>Inputs!R522*MAX(0,R118)</f>
        <v>6.6011708482028419</v>
      </c>
      <c r="S119" s="159">
        <f>Inputs!S522*MAX(0,S118)</f>
        <v>6.8319121017423683</v>
      </c>
      <c r="T119" s="159">
        <f>Inputs!T522*MAX(0,T118)</f>
        <v>7.0683234911644828</v>
      </c>
    </row>
    <row r="120" spans="2:20" x14ac:dyDescent="0.25">
      <c r="B120" s="23" t="s">
        <v>2828</v>
      </c>
      <c r="C120" s="28" t="s">
        <v>493</v>
      </c>
      <c r="H120" s="159">
        <f>Inputs!H522*MAX(0,H117)</f>
        <v>0</v>
      </c>
      <c r="I120" s="159">
        <f>Inputs!I522*MAX(0,I117)</f>
        <v>4.7636283297189284</v>
      </c>
      <c r="J120" s="159">
        <f>Inputs!J522*MAX(0,J117)</f>
        <v>4.947726459148428</v>
      </c>
      <c r="K120" s="159">
        <f>Inputs!K522*MAX(0,K117)</f>
        <v>5.1366120546601826</v>
      </c>
      <c r="L120" s="159">
        <f>Inputs!L522*MAX(0,L117)</f>
        <v>5.3303839496386063</v>
      </c>
      <c r="M120" s="159">
        <f>Inputs!M522*MAX(0,M117)</f>
        <v>5.5291412147222134</v>
      </c>
      <c r="N120" s="159">
        <f>Inputs!N522*MAX(0,N117)</f>
        <v>5.7329829988014431</v>
      </c>
      <c r="O120" s="159">
        <f>Inputs!O522*MAX(0,O117)</f>
        <v>5.9420083551296878</v>
      </c>
      <c r="P120" s="159">
        <f>Inputs!P522*MAX(0,P117)</f>
        <v>6.1563160514848745</v>
      </c>
      <c r="Q120" s="159">
        <f>Inputs!Q522*MAX(0,Q117)</f>
        <v>6.3760043632494341</v>
      </c>
      <c r="R120" s="159">
        <f>Inputs!R522*MAX(0,R117)</f>
        <v>6.6011708482028419</v>
      </c>
      <c r="S120" s="159">
        <f>Inputs!S522*MAX(0,S117)</f>
        <v>6.8319121017423683</v>
      </c>
      <c r="T120" s="159">
        <f>Inputs!T522*MAX(0,T117)</f>
        <v>7.0683234911644828</v>
      </c>
    </row>
    <row r="121" spans="2:20" x14ac:dyDescent="0.25">
      <c r="B121" s="23" t="s">
        <v>2829</v>
      </c>
      <c r="C121" s="28" t="s">
        <v>493</v>
      </c>
      <c r="H121" s="159">
        <f t="shared" ref="H121:T121" si="38">H118-H119</f>
        <v>0</v>
      </c>
      <c r="I121" s="159">
        <f t="shared" si="38"/>
        <v>16.889227714458016</v>
      </c>
      <c r="J121" s="159">
        <f t="shared" si="38"/>
        <v>17.541939264253518</v>
      </c>
      <c r="K121" s="159">
        <f t="shared" si="38"/>
        <v>18.211624557431556</v>
      </c>
      <c r="L121" s="159">
        <f t="shared" si="38"/>
        <v>18.898634003264149</v>
      </c>
      <c r="M121" s="159">
        <f t="shared" si="38"/>
        <v>19.603318852196939</v>
      </c>
      <c r="N121" s="159">
        <f t="shared" si="38"/>
        <v>20.326030632114207</v>
      </c>
      <c r="O121" s="159">
        <f t="shared" si="38"/>
        <v>21.067120531823441</v>
      </c>
      <c r="P121" s="159">
        <f t="shared" si="38"/>
        <v>21.826938727991827</v>
      </c>
      <c r="Q121" s="159">
        <f t="shared" si="38"/>
        <v>22.605833651520719</v>
      </c>
      <c r="R121" s="159">
        <f t="shared" si="38"/>
        <v>23.404151189082803</v>
      </c>
      <c r="S121" s="159">
        <f t="shared" si="38"/>
        <v>24.222233815268396</v>
      </c>
      <c r="T121" s="159">
        <f t="shared" si="38"/>
        <v>25.060419650492257</v>
      </c>
    </row>
    <row r="122" spans="2:20" x14ac:dyDescent="0.25">
      <c r="B122" s="23" t="s">
        <v>3053</v>
      </c>
      <c r="C122" s="28" t="s">
        <v>493</v>
      </c>
      <c r="H122" s="159">
        <f>('BUMN Synergy Calculation'!H37-'Capex &amp; Depreciation'!H246)+('BUMN Synergy Calculation'!H62-'Capex &amp; Depreciation'!H247)+('BUMN Synergy Calculation'!H84-'Capex &amp; Depreciation'!H248)</f>
        <v>0</v>
      </c>
      <c r="I122" s="159">
        <f>('BUMN Synergy Calculation'!I37-'Capex &amp; Depreciation'!I246)+('BUMN Synergy Calculation'!I62-'Capex &amp; Depreciation'!I247)+('BUMN Synergy Calculation'!I84-'Capex &amp; Depreciation'!I248)</f>
        <v>0</v>
      </c>
      <c r="J122" s="159">
        <f>('BUMN Synergy Calculation'!J37-'Capex &amp; Depreciation'!J246)+('BUMN Synergy Calculation'!J62-'Capex &amp; Depreciation'!J247)+('BUMN Synergy Calculation'!J84-'Capex &amp; Depreciation'!J248)</f>
        <v>58.318173049888365</v>
      </c>
      <c r="K122" s="159">
        <f>('BUMN Synergy Calculation'!K37-'Capex &amp; Depreciation'!K246)+('BUMN Synergy Calculation'!K62-'Capex &amp; Depreciation'!K247)+('BUMN Synergy Calculation'!K84-'Capex &amp; Depreciation'!K248)</f>
        <v>61.45139497560762</v>
      </c>
      <c r="L122" s="159">
        <f>('BUMN Synergy Calculation'!L37-'Capex &amp; Depreciation'!L246)+('BUMN Synergy Calculation'!L62-'Capex &amp; Depreciation'!L247)+('BUMN Synergy Calculation'!L84-'Capex &amp; Depreciation'!L248)</f>
        <v>63.599345706404833</v>
      </c>
      <c r="M122" s="159">
        <f>('BUMN Synergy Calculation'!M37-'Capex &amp; Depreciation'!M246)+('BUMN Synergy Calculation'!M62-'Capex &amp; Depreciation'!M247)+('BUMN Synergy Calculation'!M84-'Capex &amp; Depreciation'!M248)</f>
        <v>65.801357383619276</v>
      </c>
      <c r="N122" s="159">
        <f>('BUMN Synergy Calculation'!N37-'Capex &amp; Depreciation'!N246)+('BUMN Synergy Calculation'!N62-'Capex &amp; Depreciation'!N247)+('BUMN Synergy Calculation'!N84-'Capex &amp; Depreciation'!N248)</f>
        <v>68.059051835643473</v>
      </c>
      <c r="O122" s="159">
        <f>('BUMN Synergy Calculation'!O37-'Capex &amp; Depreciation'!O246)+('BUMN Synergy Calculation'!O62-'Capex &amp; Depreciation'!O247)+('BUMN Synergy Calculation'!O84-'Capex &amp; Depreciation'!O248)</f>
        <v>70.374099545721748</v>
      </c>
      <c r="P122" s="159">
        <f>('BUMN Synergy Calculation'!P37-'Capex &amp; Depreciation'!P246)+('BUMN Synergy Calculation'!P62-'Capex &amp; Depreciation'!P247)+('BUMN Synergy Calculation'!P84-'Capex &amp; Depreciation'!P248)</f>
        <v>72.748221111595697</v>
      </c>
      <c r="Q122" s="159">
        <f>('BUMN Synergy Calculation'!Q37-'Capex &amp; Depreciation'!Q246)+('BUMN Synergy Calculation'!Q62-'Capex &amp; Depreciation'!Q247)+('BUMN Synergy Calculation'!Q84-'Capex &amp; Depreciation'!Q248)</f>
        <v>75.183188748939216</v>
      </c>
      <c r="R122" s="159">
        <f>('BUMN Synergy Calculation'!R37-'Capex &amp; Depreciation'!R246)+('BUMN Synergy Calculation'!R62-'Capex &amp; Depreciation'!R247)+('BUMN Synergy Calculation'!R84-'Capex &amp; Depreciation'!R248)</f>
        <v>77.680827839896338</v>
      </c>
      <c r="S122" s="159">
        <f>('BUMN Synergy Calculation'!S37-'Capex &amp; Depreciation'!S246)+('BUMN Synergy Calculation'!S62-'Capex &amp; Depreciation'!S247)+('BUMN Synergy Calculation'!S84-'Capex &amp; Depreciation'!S248)</f>
        <v>76.091988325407698</v>
      </c>
      <c r="T122" s="159">
        <f>('BUMN Synergy Calculation'!T37-'Capex &amp; Depreciation'!T246)+('BUMN Synergy Calculation'!T62-'Capex &amp; Depreciation'!T247)+('BUMN Synergy Calculation'!T84-'Capex &amp; Depreciation'!T248)</f>
        <v>78.374747975169939</v>
      </c>
    </row>
    <row r="123" spans="2:20" x14ac:dyDescent="0.25">
      <c r="B123" s="23" t="s">
        <v>2831</v>
      </c>
      <c r="C123" s="28" t="s">
        <v>493</v>
      </c>
      <c r="H123" s="159">
        <f t="shared" ref="H123:T123" si="39">H122</f>
        <v>0</v>
      </c>
      <c r="I123" s="159">
        <f t="shared" si="39"/>
        <v>0</v>
      </c>
      <c r="J123" s="159">
        <f t="shared" si="39"/>
        <v>58.318173049888365</v>
      </c>
      <c r="K123" s="159">
        <f t="shared" si="39"/>
        <v>61.45139497560762</v>
      </c>
      <c r="L123" s="159">
        <f t="shared" si="39"/>
        <v>63.599345706404833</v>
      </c>
      <c r="M123" s="159">
        <f t="shared" si="39"/>
        <v>65.801357383619276</v>
      </c>
      <c r="N123" s="159">
        <f t="shared" si="39"/>
        <v>68.059051835643473</v>
      </c>
      <c r="O123" s="159">
        <f t="shared" si="39"/>
        <v>70.374099545721748</v>
      </c>
      <c r="P123" s="159">
        <f t="shared" si="39"/>
        <v>72.748221111595697</v>
      </c>
      <c r="Q123" s="159">
        <f t="shared" si="39"/>
        <v>75.183188748939216</v>
      </c>
      <c r="R123" s="159">
        <f t="shared" si="39"/>
        <v>77.680827839896338</v>
      </c>
      <c r="S123" s="159">
        <f t="shared" si="39"/>
        <v>76.091988325407698</v>
      </c>
      <c r="T123" s="159">
        <f t="shared" si="39"/>
        <v>78.374747975169939</v>
      </c>
    </row>
    <row r="124" spans="2:20" x14ac:dyDescent="0.25">
      <c r="B124" s="23" t="s">
        <v>2832</v>
      </c>
      <c r="C124" s="28" t="s">
        <v>493</v>
      </c>
      <c r="H124" s="159">
        <f>Inputs!H522*MAX(0,H123)</f>
        <v>0</v>
      </c>
      <c r="I124" s="159">
        <f>Inputs!I522*MAX(0,I123)</f>
        <v>0</v>
      </c>
      <c r="J124" s="159">
        <f>Inputs!J522*MAX(0,J123)</f>
        <v>12.82999807097544</v>
      </c>
      <c r="K124" s="159">
        <f>Inputs!K522*MAX(0,K123)</f>
        <v>13.519306894633676</v>
      </c>
      <c r="L124" s="159">
        <f>Inputs!L522*MAX(0,L123)</f>
        <v>13.991856055409063</v>
      </c>
      <c r="M124" s="159">
        <f>Inputs!M522*MAX(0,M123)</f>
        <v>14.476298624396241</v>
      </c>
      <c r="N124" s="159">
        <f>Inputs!N522*MAX(0,N123)</f>
        <v>14.972991403841563</v>
      </c>
      <c r="O124" s="159">
        <f>Inputs!O522*MAX(0,O123)</f>
        <v>15.482301900058784</v>
      </c>
      <c r="P124" s="159">
        <f>Inputs!P522*MAX(0,P123)</f>
        <v>16.004608644551052</v>
      </c>
      <c r="Q124" s="159">
        <f>Inputs!Q522*MAX(0,Q123)</f>
        <v>16.540301524766626</v>
      </c>
      <c r="R124" s="159">
        <f>Inputs!R522*MAX(0,R123)</f>
        <v>17.089782124777194</v>
      </c>
      <c r="S124" s="159">
        <f>Inputs!S522*MAX(0,S123)</f>
        <v>16.740237431589694</v>
      </c>
      <c r="T124" s="159">
        <f>Inputs!T522*MAX(0,T123)</f>
        <v>17.242444554537386</v>
      </c>
    </row>
    <row r="125" spans="2:20" x14ac:dyDescent="0.25">
      <c r="B125" s="23" t="s">
        <v>2833</v>
      </c>
      <c r="C125" s="28" t="s">
        <v>493</v>
      </c>
      <c r="H125" s="159">
        <f>Inputs!H522*MAX(0,H122)</f>
        <v>0</v>
      </c>
      <c r="I125" s="159">
        <f>Inputs!I522*MAX(0,I122)</f>
        <v>0</v>
      </c>
      <c r="J125" s="159">
        <f>Inputs!J522*MAX(0,J122)</f>
        <v>12.82999807097544</v>
      </c>
      <c r="K125" s="159">
        <f>Inputs!K522*MAX(0,K122)</f>
        <v>13.519306894633676</v>
      </c>
      <c r="L125" s="159">
        <f>Inputs!L522*MAX(0,L122)</f>
        <v>13.991856055409063</v>
      </c>
      <c r="M125" s="159">
        <f>Inputs!M522*MAX(0,M122)</f>
        <v>14.476298624396241</v>
      </c>
      <c r="N125" s="159">
        <f>Inputs!N522*MAX(0,N122)</f>
        <v>14.972991403841563</v>
      </c>
      <c r="O125" s="159">
        <f>Inputs!O522*MAX(0,O122)</f>
        <v>15.482301900058784</v>
      </c>
      <c r="P125" s="159">
        <f>Inputs!P522*MAX(0,P122)</f>
        <v>16.004608644551052</v>
      </c>
      <c r="Q125" s="159">
        <f>Inputs!Q522*MAX(0,Q122)</f>
        <v>16.540301524766626</v>
      </c>
      <c r="R125" s="159">
        <f>Inputs!R522*MAX(0,R122)</f>
        <v>17.089782124777194</v>
      </c>
      <c r="S125" s="159">
        <f>Inputs!S522*MAX(0,S122)</f>
        <v>16.740237431589694</v>
      </c>
      <c r="T125" s="159">
        <f>Inputs!T522*MAX(0,T122)</f>
        <v>17.242444554537386</v>
      </c>
    </row>
    <row r="126" spans="2:20" x14ac:dyDescent="0.25">
      <c r="B126" s="23" t="s">
        <v>2834</v>
      </c>
      <c r="C126" s="28" t="s">
        <v>493</v>
      </c>
      <c r="H126" s="159">
        <f t="shared" ref="H126:T126" si="40">H123-H124</f>
        <v>0</v>
      </c>
      <c r="I126" s="159">
        <f t="shared" si="40"/>
        <v>0</v>
      </c>
      <c r="J126" s="159">
        <f t="shared" si="40"/>
        <v>45.488174978912923</v>
      </c>
      <c r="K126" s="159">
        <f t="shared" si="40"/>
        <v>47.932088080973941</v>
      </c>
      <c r="L126" s="159">
        <f t="shared" si="40"/>
        <v>49.607489650995774</v>
      </c>
      <c r="M126" s="159">
        <f t="shared" si="40"/>
        <v>51.325058759223033</v>
      </c>
      <c r="N126" s="159">
        <f t="shared" si="40"/>
        <v>53.086060431801911</v>
      </c>
      <c r="O126" s="159">
        <f t="shared" si="40"/>
        <v>54.891797645662962</v>
      </c>
      <c r="P126" s="159">
        <f t="shared" si="40"/>
        <v>56.743612467044642</v>
      </c>
      <c r="Q126" s="159">
        <f t="shared" si="40"/>
        <v>58.64288722417259</v>
      </c>
      <c r="R126" s="159">
        <f t="shared" si="40"/>
        <v>60.591045715119144</v>
      </c>
      <c r="S126" s="159">
        <f t="shared" si="40"/>
        <v>59.351750893818007</v>
      </c>
      <c r="T126" s="159">
        <f t="shared" si="40"/>
        <v>61.132303420632553</v>
      </c>
    </row>
    <row r="127" spans="2:20" x14ac:dyDescent="0.25">
      <c r="B127" s="23" t="s">
        <v>2835</v>
      </c>
      <c r="C127" s="28" t="s">
        <v>493</v>
      </c>
      <c r="H127" s="159">
        <f>('Cost Calculation'!H145-'Capex &amp; Depreciation'!H237)</f>
        <v>0</v>
      </c>
      <c r="I127" s="159">
        <f>('Cost Calculation'!I145-'Capex &amp; Depreciation'!I237)</f>
        <v>0</v>
      </c>
      <c r="J127" s="159">
        <f>('Cost Calculation'!J145-'Capex &amp; Depreciation'!J237)</f>
        <v>0</v>
      </c>
      <c r="K127" s="159">
        <f>('Cost Calculation'!K145-'Capex &amp; Depreciation'!K237)</f>
        <v>21.209512799999999</v>
      </c>
      <c r="L127" s="159">
        <f>('Cost Calculation'!L145-'Capex &amp; Depreciation'!L237)</f>
        <v>21.845798184</v>
      </c>
      <c r="M127" s="159">
        <f>('Cost Calculation'!M145-'Capex &amp; Depreciation'!M237)</f>
        <v>22.501172129520004</v>
      </c>
      <c r="N127" s="159">
        <f>('Cost Calculation'!N145-'Capex &amp; Depreciation'!N237)</f>
        <v>23.176207293405596</v>
      </c>
      <c r="O127" s="159">
        <f>('Cost Calculation'!O145-'Capex &amp; Depreciation'!O237)</f>
        <v>23.871493512207774</v>
      </c>
      <c r="P127" s="159">
        <f>('Cost Calculation'!P145-'Capex &amp; Depreciation'!P237)</f>
        <v>24.587638317574005</v>
      </c>
      <c r="Q127" s="159">
        <f>('Cost Calculation'!Q145-'Capex &amp; Depreciation'!Q237)</f>
        <v>25.325267467101231</v>
      </c>
      <c r="R127" s="159">
        <f>('Cost Calculation'!R145-'Capex &amp; Depreciation'!R237)</f>
        <v>26.085025491114259</v>
      </c>
      <c r="S127" s="159">
        <f>('Cost Calculation'!S145-'Capex &amp; Depreciation'!S237)</f>
        <v>26.867576255847695</v>
      </c>
      <c r="T127" s="159">
        <f>('Cost Calculation'!T145-'Capex &amp; Depreciation'!T237)</f>
        <v>27.673603543523122</v>
      </c>
    </row>
    <row r="128" spans="2:20" x14ac:dyDescent="0.25">
      <c r="B128" s="23" t="s">
        <v>2836</v>
      </c>
      <c r="C128" s="28" t="s">
        <v>493</v>
      </c>
      <c r="H128" s="159">
        <f t="shared" ref="H128:T128" si="41">H127</f>
        <v>0</v>
      </c>
      <c r="I128" s="159">
        <f t="shared" si="41"/>
        <v>0</v>
      </c>
      <c r="J128" s="159">
        <f t="shared" si="41"/>
        <v>0</v>
      </c>
      <c r="K128" s="159">
        <f t="shared" si="41"/>
        <v>21.209512799999999</v>
      </c>
      <c r="L128" s="159">
        <f t="shared" si="41"/>
        <v>21.845798184</v>
      </c>
      <c r="M128" s="159">
        <f t="shared" si="41"/>
        <v>22.501172129520004</v>
      </c>
      <c r="N128" s="159">
        <f t="shared" si="41"/>
        <v>23.176207293405596</v>
      </c>
      <c r="O128" s="159">
        <f t="shared" si="41"/>
        <v>23.871493512207774</v>
      </c>
      <c r="P128" s="159">
        <f t="shared" si="41"/>
        <v>24.587638317574005</v>
      </c>
      <c r="Q128" s="159">
        <f t="shared" si="41"/>
        <v>25.325267467101231</v>
      </c>
      <c r="R128" s="159">
        <f t="shared" si="41"/>
        <v>26.085025491114259</v>
      </c>
      <c r="S128" s="159">
        <f t="shared" si="41"/>
        <v>26.867576255847695</v>
      </c>
      <c r="T128" s="159">
        <f t="shared" si="41"/>
        <v>27.673603543523122</v>
      </c>
    </row>
    <row r="129" spans="2:20" x14ac:dyDescent="0.25">
      <c r="B129" s="23" t="s">
        <v>2837</v>
      </c>
      <c r="C129" s="28" t="s">
        <v>493</v>
      </c>
      <c r="H129" s="159">
        <f>Inputs!H522*MAX(0,H128)</f>
        <v>0</v>
      </c>
      <c r="I129" s="159">
        <f>Inputs!I522*MAX(0,I128)</f>
        <v>0</v>
      </c>
      <c r="J129" s="159">
        <f>Inputs!J522*MAX(0,J128)</f>
        <v>0</v>
      </c>
      <c r="K129" s="159">
        <f>Inputs!K522*MAX(0,K128)</f>
        <v>4.6660928159999999</v>
      </c>
      <c r="L129" s="159">
        <f>Inputs!L522*MAX(0,L128)</f>
        <v>4.8060756004799998</v>
      </c>
      <c r="M129" s="159">
        <f>Inputs!M522*MAX(0,M128)</f>
        <v>4.9502578684944005</v>
      </c>
      <c r="N129" s="159">
        <f>Inputs!N522*MAX(0,N128)</f>
        <v>5.0987656045492313</v>
      </c>
      <c r="O129" s="159">
        <f>Inputs!O522*MAX(0,O128)</f>
        <v>5.2517285726857104</v>
      </c>
      <c r="P129" s="159">
        <f>Inputs!P522*MAX(0,P128)</f>
        <v>5.4092804298662811</v>
      </c>
      <c r="Q129" s="159">
        <f>Inputs!Q522*MAX(0,Q128)</f>
        <v>5.5715588427622711</v>
      </c>
      <c r="R129" s="159">
        <f>Inputs!R522*MAX(0,R128)</f>
        <v>5.7387056080451373</v>
      </c>
      <c r="S129" s="159">
        <f>Inputs!S522*MAX(0,S128)</f>
        <v>5.9108667762864933</v>
      </c>
      <c r="T129" s="159">
        <f>Inputs!T522*MAX(0,T128)</f>
        <v>6.0881927795750865</v>
      </c>
    </row>
    <row r="130" spans="2:20" x14ac:dyDescent="0.25">
      <c r="B130" s="23" t="s">
        <v>2838</v>
      </c>
      <c r="C130" s="28" t="s">
        <v>493</v>
      </c>
      <c r="H130" s="159">
        <f>Inputs!H522*MAX(0,H127)</f>
        <v>0</v>
      </c>
      <c r="I130" s="159">
        <f>Inputs!I522*MAX(0,I127)</f>
        <v>0</v>
      </c>
      <c r="J130" s="159">
        <f>Inputs!J522*MAX(0,J127)</f>
        <v>0</v>
      </c>
      <c r="K130" s="159">
        <f>Inputs!K522*MAX(0,K127)</f>
        <v>4.6660928159999999</v>
      </c>
      <c r="L130" s="159">
        <f>Inputs!L522*MAX(0,L127)</f>
        <v>4.8060756004799998</v>
      </c>
      <c r="M130" s="159">
        <f>Inputs!M522*MAX(0,M127)</f>
        <v>4.9502578684944005</v>
      </c>
      <c r="N130" s="159">
        <f>Inputs!N522*MAX(0,N127)</f>
        <v>5.0987656045492313</v>
      </c>
      <c r="O130" s="159">
        <f>Inputs!O522*MAX(0,O127)</f>
        <v>5.2517285726857104</v>
      </c>
      <c r="P130" s="159">
        <f>Inputs!P522*MAX(0,P127)</f>
        <v>5.4092804298662811</v>
      </c>
      <c r="Q130" s="159">
        <f>Inputs!Q522*MAX(0,Q127)</f>
        <v>5.5715588427622711</v>
      </c>
      <c r="R130" s="159">
        <f>Inputs!R522*MAX(0,R127)</f>
        <v>5.7387056080451373</v>
      </c>
      <c r="S130" s="159">
        <f>Inputs!S522*MAX(0,S127)</f>
        <v>5.9108667762864933</v>
      </c>
      <c r="T130" s="159">
        <f>Inputs!T522*MAX(0,T127)</f>
        <v>6.0881927795750865</v>
      </c>
    </row>
    <row r="131" spans="2:20" x14ac:dyDescent="0.25">
      <c r="B131" s="23" t="s">
        <v>2839</v>
      </c>
      <c r="C131" s="28" t="s">
        <v>493</v>
      </c>
      <c r="H131" s="159">
        <f t="shared" ref="H131:T131" si="42">H128-H129</f>
        <v>0</v>
      </c>
      <c r="I131" s="159">
        <f t="shared" si="42"/>
        <v>0</v>
      </c>
      <c r="J131" s="159">
        <f t="shared" si="42"/>
        <v>0</v>
      </c>
      <c r="K131" s="159">
        <f t="shared" si="42"/>
        <v>16.543419984</v>
      </c>
      <c r="L131" s="159">
        <f t="shared" si="42"/>
        <v>17.03972258352</v>
      </c>
      <c r="M131" s="159">
        <f t="shared" si="42"/>
        <v>17.550914261025603</v>
      </c>
      <c r="N131" s="159">
        <f t="shared" si="42"/>
        <v>18.077441688856364</v>
      </c>
      <c r="O131" s="159">
        <f t="shared" si="42"/>
        <v>18.619764939522064</v>
      </c>
      <c r="P131" s="159">
        <f t="shared" si="42"/>
        <v>19.178357887707723</v>
      </c>
      <c r="Q131" s="159">
        <f t="shared" si="42"/>
        <v>19.753708624338959</v>
      </c>
      <c r="R131" s="159">
        <f t="shared" si="42"/>
        <v>20.346319883069121</v>
      </c>
      <c r="S131" s="159">
        <f t="shared" si="42"/>
        <v>20.956709479561201</v>
      </c>
      <c r="T131" s="159">
        <f t="shared" si="42"/>
        <v>21.585410763948033</v>
      </c>
    </row>
    <row r="132" spans="2:20" x14ac:dyDescent="0.25">
      <c r="B132" s="23" t="s">
        <v>2840</v>
      </c>
      <c r="C132" s="28" t="s">
        <v>493</v>
      </c>
      <c r="H132" s="159">
        <f>('Cost Calculation'!H168-'Capex &amp; Depreciation'!H243)</f>
        <v>0</v>
      </c>
      <c r="I132" s="159">
        <f>('Cost Calculation'!I168-'Capex &amp; Depreciation'!I243)</f>
        <v>0</v>
      </c>
      <c r="J132" s="159">
        <f>('Cost Calculation'!J168-'Capex &amp; Depreciation'!J243)</f>
        <v>0</v>
      </c>
      <c r="K132" s="159">
        <f>('Cost Calculation'!K168-'Capex &amp; Depreciation'!K243)</f>
        <v>1.1182113248000001</v>
      </c>
      <c r="L132" s="159">
        <f>('Cost Calculation'!L168-'Capex &amp; Depreciation'!L243)</f>
        <v>1.1556612645440003</v>
      </c>
      <c r="M132" s="159">
        <f>('Cost Calculation'!M168-'Capex &amp; Depreciation'!M243)</f>
        <v>1.1942347024803202</v>
      </c>
      <c r="N132" s="159">
        <f>('Cost Calculation'!N168-'Capex &amp; Depreciation'!N243)</f>
        <v>1.2339653435547298</v>
      </c>
      <c r="O132" s="159">
        <f>('Cost Calculation'!O168-'Capex &amp; Depreciation'!O243)</f>
        <v>1.2748879038613719</v>
      </c>
      <c r="P132" s="159">
        <f>('Cost Calculation'!P168-'Capex &amp; Depreciation'!P243)</f>
        <v>1.3170381409772129</v>
      </c>
      <c r="Q132" s="159">
        <f>('Cost Calculation'!Q168-'Capex &amp; Depreciation'!Q243)</f>
        <v>1.3604528852065292</v>
      </c>
      <c r="R132" s="159">
        <f>('Cost Calculation'!R168-'Capex &amp; Depreciation'!R243)</f>
        <v>1.4051700717627251</v>
      </c>
      <c r="S132" s="159">
        <f>('Cost Calculation'!S168-'Capex &amp; Depreciation'!S243)</f>
        <v>1.4512287739156069</v>
      </c>
      <c r="T132" s="159">
        <f>('Cost Calculation'!T168-'Capex &amp; Depreciation'!T243)</f>
        <v>1.4986692371330752</v>
      </c>
    </row>
    <row r="133" spans="2:20" x14ac:dyDescent="0.25">
      <c r="B133" s="23" t="s">
        <v>2841</v>
      </c>
      <c r="C133" s="28" t="s">
        <v>493</v>
      </c>
      <c r="H133" s="159">
        <f t="shared" ref="H133:T133" si="43">H132</f>
        <v>0</v>
      </c>
      <c r="I133" s="159">
        <f t="shared" si="43"/>
        <v>0</v>
      </c>
      <c r="J133" s="159">
        <f t="shared" si="43"/>
        <v>0</v>
      </c>
      <c r="K133" s="159">
        <f t="shared" si="43"/>
        <v>1.1182113248000001</v>
      </c>
      <c r="L133" s="159">
        <f t="shared" si="43"/>
        <v>1.1556612645440003</v>
      </c>
      <c r="M133" s="159">
        <f t="shared" si="43"/>
        <v>1.1942347024803202</v>
      </c>
      <c r="N133" s="159">
        <f t="shared" si="43"/>
        <v>1.2339653435547298</v>
      </c>
      <c r="O133" s="159">
        <f t="shared" si="43"/>
        <v>1.2748879038613719</v>
      </c>
      <c r="P133" s="159">
        <f t="shared" si="43"/>
        <v>1.3170381409772129</v>
      </c>
      <c r="Q133" s="159">
        <f t="shared" si="43"/>
        <v>1.3604528852065292</v>
      </c>
      <c r="R133" s="159">
        <f t="shared" si="43"/>
        <v>1.4051700717627251</v>
      </c>
      <c r="S133" s="159">
        <f t="shared" si="43"/>
        <v>1.4512287739156069</v>
      </c>
      <c r="T133" s="159">
        <f t="shared" si="43"/>
        <v>1.4986692371330752</v>
      </c>
    </row>
    <row r="134" spans="2:20" x14ac:dyDescent="0.25">
      <c r="B134" s="23" t="s">
        <v>2842</v>
      </c>
      <c r="C134" s="28" t="s">
        <v>493</v>
      </c>
      <c r="H134" s="159">
        <f>Inputs!H522*MAX(0,H133)</f>
        <v>0</v>
      </c>
      <c r="I134" s="159">
        <f>Inputs!I522*MAX(0,I133)</f>
        <v>0</v>
      </c>
      <c r="J134" s="159">
        <f>Inputs!J522*MAX(0,J133)</f>
        <v>0</v>
      </c>
      <c r="K134" s="159">
        <f>Inputs!K522*MAX(0,K133)</f>
        <v>0.24600649145600001</v>
      </c>
      <c r="L134" s="159">
        <f>Inputs!L522*MAX(0,L133)</f>
        <v>0.25424547819968008</v>
      </c>
      <c r="M134" s="159">
        <f>Inputs!M522*MAX(0,M133)</f>
        <v>0.26273163454567044</v>
      </c>
      <c r="N134" s="159">
        <f>Inputs!N522*MAX(0,N133)</f>
        <v>0.27147237558204057</v>
      </c>
      <c r="O134" s="159">
        <f>Inputs!O522*MAX(0,O133)</f>
        <v>0.28047533884950182</v>
      </c>
      <c r="P134" s="159">
        <f>Inputs!P522*MAX(0,P133)</f>
        <v>0.28974839101498684</v>
      </c>
      <c r="Q134" s="159">
        <f>Inputs!Q522*MAX(0,Q133)</f>
        <v>0.29929963474543642</v>
      </c>
      <c r="R134" s="159">
        <f>Inputs!R522*MAX(0,R133)</f>
        <v>0.30913741578779952</v>
      </c>
      <c r="S134" s="159">
        <f>Inputs!S522*MAX(0,S133)</f>
        <v>0.31927033026143353</v>
      </c>
      <c r="T134" s="159">
        <f>Inputs!T522*MAX(0,T133)</f>
        <v>0.32970723216927655</v>
      </c>
    </row>
    <row r="135" spans="2:20" x14ac:dyDescent="0.25">
      <c r="B135" s="23" t="s">
        <v>2843</v>
      </c>
      <c r="C135" s="28" t="s">
        <v>493</v>
      </c>
      <c r="H135" s="159">
        <f>Inputs!H522*MAX(0,H132)</f>
        <v>0</v>
      </c>
      <c r="I135" s="159">
        <f>Inputs!I522*MAX(0,I132)</f>
        <v>0</v>
      </c>
      <c r="J135" s="159">
        <f>Inputs!J522*MAX(0,J132)</f>
        <v>0</v>
      </c>
      <c r="K135" s="159">
        <f>Inputs!K522*MAX(0,K132)</f>
        <v>0.24600649145600001</v>
      </c>
      <c r="L135" s="159">
        <f>Inputs!L522*MAX(0,L132)</f>
        <v>0.25424547819968008</v>
      </c>
      <c r="M135" s="159">
        <f>Inputs!M522*MAX(0,M132)</f>
        <v>0.26273163454567044</v>
      </c>
      <c r="N135" s="159">
        <f>Inputs!N522*MAX(0,N132)</f>
        <v>0.27147237558204057</v>
      </c>
      <c r="O135" s="159">
        <f>Inputs!O522*MAX(0,O132)</f>
        <v>0.28047533884950182</v>
      </c>
      <c r="P135" s="159">
        <f>Inputs!P522*MAX(0,P132)</f>
        <v>0.28974839101498684</v>
      </c>
      <c r="Q135" s="159">
        <f>Inputs!Q522*MAX(0,Q132)</f>
        <v>0.29929963474543642</v>
      </c>
      <c r="R135" s="159">
        <f>Inputs!R522*MAX(0,R132)</f>
        <v>0.30913741578779952</v>
      </c>
      <c r="S135" s="159">
        <f>Inputs!S522*MAX(0,S132)</f>
        <v>0.31927033026143353</v>
      </c>
      <c r="T135" s="159">
        <f>Inputs!T522*MAX(0,T132)</f>
        <v>0.32970723216927655</v>
      </c>
    </row>
    <row r="136" spans="2:20" x14ac:dyDescent="0.25">
      <c r="B136" s="23" t="s">
        <v>2844</v>
      </c>
      <c r="C136" s="28" t="s">
        <v>493</v>
      </c>
      <c r="H136" s="159">
        <f t="shared" ref="H136:T136" si="44">H133-H134</f>
        <v>0</v>
      </c>
      <c r="I136" s="159">
        <f t="shared" si="44"/>
        <v>0</v>
      </c>
      <c r="J136" s="159">
        <f t="shared" si="44"/>
        <v>0</v>
      </c>
      <c r="K136" s="159">
        <f t="shared" si="44"/>
        <v>0.87220483334400001</v>
      </c>
      <c r="L136" s="159">
        <f t="shared" si="44"/>
        <v>0.90141578634432018</v>
      </c>
      <c r="M136" s="159">
        <f t="shared" si="44"/>
        <v>0.93150306793464965</v>
      </c>
      <c r="N136" s="159">
        <f t="shared" si="44"/>
        <v>0.96249296797268924</v>
      </c>
      <c r="O136" s="159">
        <f t="shared" si="44"/>
        <v>0.99441256501187003</v>
      </c>
      <c r="P136" s="159">
        <f t="shared" si="44"/>
        <v>1.0272897499622262</v>
      </c>
      <c r="Q136" s="159">
        <f t="shared" si="44"/>
        <v>1.0611532504610928</v>
      </c>
      <c r="R136" s="159">
        <f t="shared" si="44"/>
        <v>1.0960326559749256</v>
      </c>
      <c r="S136" s="159">
        <f t="shared" si="44"/>
        <v>1.1319584436541734</v>
      </c>
      <c r="T136" s="159">
        <f t="shared" si="44"/>
        <v>1.1689620049637988</v>
      </c>
    </row>
    <row r="137" spans="2:20" x14ac:dyDescent="0.25">
      <c r="B137" s="23" t="s">
        <v>2845</v>
      </c>
      <c r="C137" s="28" t="s">
        <v>493</v>
      </c>
      <c r="H137" s="159">
        <f>('Cost Calculation'!H157-'Capex &amp; Depreciation'!H240)</f>
        <v>0</v>
      </c>
      <c r="I137" s="159">
        <f>('Cost Calculation'!I157-'Capex &amp; Depreciation'!I240)</f>
        <v>0</v>
      </c>
      <c r="J137" s="159">
        <f>('Cost Calculation'!J157-'Capex &amp; Depreciation'!J240)</f>
        <v>0</v>
      </c>
      <c r="K137" s="159">
        <f>('Cost Calculation'!K157-'Capex &amp; Depreciation'!K240)</f>
        <v>0</v>
      </c>
      <c r="L137" s="159">
        <f>('Cost Calculation'!L157-'Capex &amp; Depreciation'!L240)</f>
        <v>25.955081932767591</v>
      </c>
      <c r="M137" s="159">
        <f>('Cost Calculation'!M157-'Capex &amp; Depreciation'!M240)</f>
        <v>39.320207794090699</v>
      </c>
      <c r="N137" s="159">
        <f>('Cost Calculation'!N157-'Capex &amp; Depreciation'!N240)</f>
        <v>43.729687846797951</v>
      </c>
      <c r="O137" s="159">
        <f>('Cost Calculation'!O157-'Capex &amp; Depreciation'!O240)</f>
        <v>56.443051453044326</v>
      </c>
      <c r="P137" s="159">
        <f>('Cost Calculation'!P157-'Capex &amp; Depreciation'!P240)</f>
        <v>59.906601095884589</v>
      </c>
      <c r="Q137" s="159">
        <f>('Cost Calculation'!Q157-'Capex &amp; Depreciation'!Q240)</f>
        <v>70.495735986530491</v>
      </c>
      <c r="R137" s="159">
        <f>('Cost Calculation'!R157-'Capex &amp; Depreciation'!R240)</f>
        <v>74.788333104942708</v>
      </c>
      <c r="S137" s="159">
        <f>('Cost Calculation'!S157-'Capex &amp; Depreciation'!S240)</f>
        <v>84.491412246498896</v>
      </c>
      <c r="T137" s="159">
        <f>('Cost Calculation'!T157-'Capex &amp; Depreciation'!T240)</f>
        <v>89.525654573726428</v>
      </c>
    </row>
    <row r="138" spans="2:20" x14ac:dyDescent="0.25">
      <c r="B138" s="23" t="s">
        <v>2846</v>
      </c>
      <c r="C138" s="28" t="s">
        <v>493</v>
      </c>
      <c r="H138" s="159">
        <f t="shared" ref="H138:T138" si="45">H137</f>
        <v>0</v>
      </c>
      <c r="I138" s="159">
        <f t="shared" si="45"/>
        <v>0</v>
      </c>
      <c r="J138" s="159">
        <f t="shared" si="45"/>
        <v>0</v>
      </c>
      <c r="K138" s="159">
        <f t="shared" si="45"/>
        <v>0</v>
      </c>
      <c r="L138" s="159">
        <f t="shared" si="45"/>
        <v>25.955081932767591</v>
      </c>
      <c r="M138" s="159">
        <f t="shared" si="45"/>
        <v>39.320207794090699</v>
      </c>
      <c r="N138" s="159">
        <f t="shared" si="45"/>
        <v>43.729687846797951</v>
      </c>
      <c r="O138" s="159">
        <f t="shared" si="45"/>
        <v>56.443051453044326</v>
      </c>
      <c r="P138" s="159">
        <f t="shared" si="45"/>
        <v>59.906601095884589</v>
      </c>
      <c r="Q138" s="159">
        <f t="shared" si="45"/>
        <v>70.495735986530491</v>
      </c>
      <c r="R138" s="159">
        <f t="shared" si="45"/>
        <v>74.788333104942708</v>
      </c>
      <c r="S138" s="159">
        <f t="shared" si="45"/>
        <v>84.491412246498896</v>
      </c>
      <c r="T138" s="159">
        <f t="shared" si="45"/>
        <v>89.525654573726428</v>
      </c>
    </row>
    <row r="139" spans="2:20" x14ac:dyDescent="0.25">
      <c r="B139" s="23" t="s">
        <v>2847</v>
      </c>
      <c r="C139" s="28" t="s">
        <v>493</v>
      </c>
      <c r="H139" s="159">
        <f>Inputs!H522*MAX(0,H138)</f>
        <v>0</v>
      </c>
      <c r="I139" s="159">
        <f>Inputs!I522*MAX(0,I138)</f>
        <v>0</v>
      </c>
      <c r="J139" s="159">
        <f>Inputs!J522*MAX(0,J138)</f>
        <v>0</v>
      </c>
      <c r="K139" s="159">
        <f>Inputs!K522*MAX(0,K138)</f>
        <v>0</v>
      </c>
      <c r="L139" s="159">
        <f>Inputs!L522*MAX(0,L138)</f>
        <v>5.7101180252088701</v>
      </c>
      <c r="M139" s="159">
        <f>Inputs!M522*MAX(0,M138)</f>
        <v>8.6504457146999538</v>
      </c>
      <c r="N139" s="159">
        <f>Inputs!N522*MAX(0,N138)</f>
        <v>9.6205313262955485</v>
      </c>
      <c r="O139" s="159">
        <f>Inputs!O522*MAX(0,O138)</f>
        <v>12.417471319669751</v>
      </c>
      <c r="P139" s="159">
        <f>Inputs!P522*MAX(0,P138)</f>
        <v>13.17945224109461</v>
      </c>
      <c r="Q139" s="159">
        <f>Inputs!Q522*MAX(0,Q138)</f>
        <v>15.509061917036709</v>
      </c>
      <c r="R139" s="159">
        <f>Inputs!R522*MAX(0,R138)</f>
        <v>16.453433283087396</v>
      </c>
      <c r="S139" s="159">
        <f>Inputs!S522*MAX(0,S138)</f>
        <v>18.588110694229758</v>
      </c>
      <c r="T139" s="159">
        <f>Inputs!T522*MAX(0,T138)</f>
        <v>19.695644006219815</v>
      </c>
    </row>
    <row r="140" spans="2:20" x14ac:dyDescent="0.25">
      <c r="B140" s="23" t="s">
        <v>2848</v>
      </c>
      <c r="C140" s="28" t="s">
        <v>493</v>
      </c>
      <c r="H140" s="159">
        <f>Inputs!H522*MAX(0,H137)</f>
        <v>0</v>
      </c>
      <c r="I140" s="159">
        <f>Inputs!I522*MAX(0,I137)</f>
        <v>0</v>
      </c>
      <c r="J140" s="159">
        <f>Inputs!J522*MAX(0,J137)</f>
        <v>0</v>
      </c>
      <c r="K140" s="159">
        <f>Inputs!K522*MAX(0,K137)</f>
        <v>0</v>
      </c>
      <c r="L140" s="159">
        <f>Inputs!L522*MAX(0,L137)</f>
        <v>5.7101180252088701</v>
      </c>
      <c r="M140" s="159">
        <f>Inputs!M522*MAX(0,M137)</f>
        <v>8.6504457146999538</v>
      </c>
      <c r="N140" s="159">
        <f>Inputs!N522*MAX(0,N137)</f>
        <v>9.6205313262955485</v>
      </c>
      <c r="O140" s="159">
        <f>Inputs!O522*MAX(0,O137)</f>
        <v>12.417471319669751</v>
      </c>
      <c r="P140" s="159">
        <f>Inputs!P522*MAX(0,P137)</f>
        <v>13.17945224109461</v>
      </c>
      <c r="Q140" s="159">
        <f>Inputs!Q522*MAX(0,Q137)</f>
        <v>15.509061917036709</v>
      </c>
      <c r="R140" s="159">
        <f>Inputs!R522*MAX(0,R137)</f>
        <v>16.453433283087396</v>
      </c>
      <c r="S140" s="159">
        <f>Inputs!S522*MAX(0,S137)</f>
        <v>18.588110694229758</v>
      </c>
      <c r="T140" s="159">
        <f>Inputs!T522*MAX(0,T137)</f>
        <v>19.695644006219815</v>
      </c>
    </row>
    <row r="141" spans="2:20" x14ac:dyDescent="0.25">
      <c r="B141" s="23" t="s">
        <v>2849</v>
      </c>
      <c r="C141" s="28" t="s">
        <v>493</v>
      </c>
      <c r="H141" s="159">
        <f t="shared" ref="H141:T141" si="46">H138-H139</f>
        <v>0</v>
      </c>
      <c r="I141" s="159">
        <f t="shared" si="46"/>
        <v>0</v>
      </c>
      <c r="J141" s="159">
        <f t="shared" si="46"/>
        <v>0</v>
      </c>
      <c r="K141" s="159">
        <f t="shared" si="46"/>
        <v>0</v>
      </c>
      <c r="L141" s="159">
        <f t="shared" si="46"/>
        <v>20.24496390755872</v>
      </c>
      <c r="M141" s="159">
        <f t="shared" si="46"/>
        <v>30.669762079390743</v>
      </c>
      <c r="N141" s="159">
        <f t="shared" si="46"/>
        <v>34.109156520502403</v>
      </c>
      <c r="O141" s="159">
        <f t="shared" si="46"/>
        <v>44.025580133374575</v>
      </c>
      <c r="P141" s="159">
        <f t="shared" si="46"/>
        <v>46.727148854789981</v>
      </c>
      <c r="Q141" s="159">
        <f t="shared" si="46"/>
        <v>54.98667406949378</v>
      </c>
      <c r="R141" s="159">
        <f t="shared" si="46"/>
        <v>58.334899821855316</v>
      </c>
      <c r="S141" s="159">
        <f t="shared" si="46"/>
        <v>65.903301552269141</v>
      </c>
      <c r="T141" s="159">
        <f t="shared" si="46"/>
        <v>69.830010567506605</v>
      </c>
    </row>
    <row r="142" spans="2:20" x14ac:dyDescent="0.25">
      <c r="B142" s="23" t="s">
        <v>2850</v>
      </c>
      <c r="C142" s="28" t="s">
        <v>493</v>
      </c>
      <c r="H142" s="159">
        <f>('Cost Calculation'!H171-'Capex &amp; Depreciation'!H244)</f>
        <v>0</v>
      </c>
      <c r="I142" s="159">
        <f>('Cost Calculation'!I171-'Capex &amp; Depreciation'!I244)</f>
        <v>0</v>
      </c>
      <c r="J142" s="159">
        <f>('Cost Calculation'!J171-'Capex &amp; Depreciation'!J244)</f>
        <v>0</v>
      </c>
      <c r="K142" s="159">
        <f>('Cost Calculation'!K171-'Capex &amp; Depreciation'!K244)</f>
        <v>0</v>
      </c>
      <c r="L142" s="159">
        <f>('Cost Calculation'!L171-'Capex &amp; Depreciation'!L244)</f>
        <v>0.27361000000000002</v>
      </c>
      <c r="M142" s="159">
        <f>('Cost Calculation'!M171-'Capex &amp; Depreciation'!M244)</f>
        <v>0.31073000000000006</v>
      </c>
      <c r="N142" s="159">
        <f>('Cost Calculation'!N171-'Capex &amp; Depreciation'!N244)</f>
        <v>0.3515620000000001</v>
      </c>
      <c r="O142" s="159">
        <f>('Cost Calculation'!O171-'Capex &amp; Depreciation'!O244)</f>
        <v>0.39647720000000009</v>
      </c>
      <c r="P142" s="159">
        <f>('Cost Calculation'!P171-'Capex &amp; Depreciation'!P244)</f>
        <v>0.42612123200000024</v>
      </c>
      <c r="Q142" s="159">
        <f>('Cost Calculation'!Q171-'Capex &amp; Depreciation'!Q244)</f>
        <v>0.45754390592000022</v>
      </c>
      <c r="R142" s="159">
        <f>('Cost Calculation'!R171-'Capex &amp; Depreciation'!R244)</f>
        <v>0.49085194027520024</v>
      </c>
      <c r="S142" s="159">
        <f>('Cost Calculation'!S171-'Capex &amp; Depreciation'!S244)</f>
        <v>0.52615845669171235</v>
      </c>
      <c r="T142" s="159">
        <f>('Cost Calculation'!T171-'Capex &amp; Depreciation'!T244)</f>
        <v>0.56358336409321519</v>
      </c>
    </row>
    <row r="143" spans="2:20" x14ac:dyDescent="0.25">
      <c r="B143" s="23" t="s">
        <v>2851</v>
      </c>
      <c r="C143" s="28" t="s">
        <v>493</v>
      </c>
      <c r="H143" s="159">
        <f t="shared" ref="H143:T143" si="47">H142</f>
        <v>0</v>
      </c>
      <c r="I143" s="159">
        <f t="shared" si="47"/>
        <v>0</v>
      </c>
      <c r="J143" s="159">
        <f t="shared" si="47"/>
        <v>0</v>
      </c>
      <c r="K143" s="159">
        <f t="shared" si="47"/>
        <v>0</v>
      </c>
      <c r="L143" s="159">
        <f t="shared" si="47"/>
        <v>0.27361000000000002</v>
      </c>
      <c r="M143" s="159">
        <f t="shared" si="47"/>
        <v>0.31073000000000006</v>
      </c>
      <c r="N143" s="159">
        <f t="shared" si="47"/>
        <v>0.3515620000000001</v>
      </c>
      <c r="O143" s="159">
        <f t="shared" si="47"/>
        <v>0.39647720000000009</v>
      </c>
      <c r="P143" s="159">
        <f t="shared" si="47"/>
        <v>0.42612123200000024</v>
      </c>
      <c r="Q143" s="159">
        <f t="shared" si="47"/>
        <v>0.45754390592000022</v>
      </c>
      <c r="R143" s="159">
        <f t="shared" si="47"/>
        <v>0.49085194027520024</v>
      </c>
      <c r="S143" s="159">
        <f t="shared" si="47"/>
        <v>0.52615845669171235</v>
      </c>
      <c r="T143" s="159">
        <f t="shared" si="47"/>
        <v>0.56358336409321519</v>
      </c>
    </row>
    <row r="144" spans="2:20" x14ac:dyDescent="0.25">
      <c r="B144" s="23" t="s">
        <v>2852</v>
      </c>
      <c r="C144" s="28" t="s">
        <v>493</v>
      </c>
      <c r="H144" s="159">
        <f>Inputs!H522*MAX(0,H143)</f>
        <v>0</v>
      </c>
      <c r="I144" s="159">
        <f>Inputs!I522*MAX(0,I143)</f>
        <v>0</v>
      </c>
      <c r="J144" s="159">
        <f>Inputs!J522*MAX(0,J143)</f>
        <v>0</v>
      </c>
      <c r="K144" s="159">
        <f>Inputs!K522*MAX(0,K143)</f>
        <v>0</v>
      </c>
      <c r="L144" s="159">
        <f>Inputs!L522*MAX(0,L143)</f>
        <v>6.0194200000000003E-2</v>
      </c>
      <c r="M144" s="159">
        <f>Inputs!M522*MAX(0,M143)</f>
        <v>6.8360600000000007E-2</v>
      </c>
      <c r="N144" s="159">
        <f>Inputs!N522*MAX(0,N143)</f>
        <v>7.7343640000000019E-2</v>
      </c>
      <c r="O144" s="159">
        <f>Inputs!O522*MAX(0,O143)</f>
        <v>8.7224984000000019E-2</v>
      </c>
      <c r="P144" s="159">
        <f>Inputs!P522*MAX(0,P143)</f>
        <v>9.3746671040000049E-2</v>
      </c>
      <c r="Q144" s="159">
        <f>Inputs!Q522*MAX(0,Q143)</f>
        <v>0.10065965930240005</v>
      </c>
      <c r="R144" s="159">
        <f>Inputs!R522*MAX(0,R143)</f>
        <v>0.10798742686054405</v>
      </c>
      <c r="S144" s="159">
        <f>Inputs!S522*MAX(0,S143)</f>
        <v>0.11575486047217672</v>
      </c>
      <c r="T144" s="159">
        <f>Inputs!T522*MAX(0,T143)</f>
        <v>0.12398834010050734</v>
      </c>
    </row>
    <row r="145" spans="2:20" x14ac:dyDescent="0.25">
      <c r="B145" s="23" t="s">
        <v>2853</v>
      </c>
      <c r="C145" s="28" t="s">
        <v>493</v>
      </c>
      <c r="H145" s="159">
        <f>Inputs!H522*MAX(0,H142)</f>
        <v>0</v>
      </c>
      <c r="I145" s="159">
        <f>Inputs!I522*MAX(0,I142)</f>
        <v>0</v>
      </c>
      <c r="J145" s="159">
        <f>Inputs!J522*MAX(0,J142)</f>
        <v>0</v>
      </c>
      <c r="K145" s="159">
        <f>Inputs!K522*MAX(0,K142)</f>
        <v>0</v>
      </c>
      <c r="L145" s="159">
        <f>Inputs!L522*MAX(0,L142)</f>
        <v>6.0194200000000003E-2</v>
      </c>
      <c r="M145" s="159">
        <f>Inputs!M522*MAX(0,M142)</f>
        <v>6.8360600000000007E-2</v>
      </c>
      <c r="N145" s="159">
        <f>Inputs!N522*MAX(0,N142)</f>
        <v>7.7343640000000019E-2</v>
      </c>
      <c r="O145" s="159">
        <f>Inputs!O522*MAX(0,O142)</f>
        <v>8.7224984000000019E-2</v>
      </c>
      <c r="P145" s="159">
        <f>Inputs!P522*MAX(0,P142)</f>
        <v>9.3746671040000049E-2</v>
      </c>
      <c r="Q145" s="159">
        <f>Inputs!Q522*MAX(0,Q142)</f>
        <v>0.10065965930240005</v>
      </c>
      <c r="R145" s="159">
        <f>Inputs!R522*MAX(0,R142)</f>
        <v>0.10798742686054405</v>
      </c>
      <c r="S145" s="159">
        <f>Inputs!S522*MAX(0,S142)</f>
        <v>0.11575486047217672</v>
      </c>
      <c r="T145" s="159">
        <f>Inputs!T522*MAX(0,T142)</f>
        <v>0.12398834010050734</v>
      </c>
    </row>
    <row r="146" spans="2:20" x14ac:dyDescent="0.25">
      <c r="B146" s="23" t="s">
        <v>2854</v>
      </c>
      <c r="C146" s="28" t="s">
        <v>493</v>
      </c>
      <c r="H146" s="159">
        <f t="shared" ref="H146:T146" si="48">H143-H144</f>
        <v>0</v>
      </c>
      <c r="I146" s="159">
        <f t="shared" si="48"/>
        <v>0</v>
      </c>
      <c r="J146" s="159">
        <f t="shared" si="48"/>
        <v>0</v>
      </c>
      <c r="K146" s="159">
        <f t="shared" si="48"/>
        <v>0</v>
      </c>
      <c r="L146" s="159">
        <f t="shared" si="48"/>
        <v>0.21341580000000002</v>
      </c>
      <c r="M146" s="159">
        <f t="shared" si="48"/>
        <v>0.24236940000000007</v>
      </c>
      <c r="N146" s="159">
        <f t="shared" si="48"/>
        <v>0.27421836000000011</v>
      </c>
      <c r="O146" s="159">
        <f t="shared" si="48"/>
        <v>0.30925221600000008</v>
      </c>
      <c r="P146" s="159">
        <f t="shared" si="48"/>
        <v>0.33237456096000018</v>
      </c>
      <c r="Q146" s="159">
        <f t="shared" si="48"/>
        <v>0.35688424661760015</v>
      </c>
      <c r="R146" s="159">
        <f t="shared" si="48"/>
        <v>0.38286451341465622</v>
      </c>
      <c r="S146" s="159">
        <f t="shared" si="48"/>
        <v>0.41040359621953565</v>
      </c>
      <c r="T146" s="159">
        <f t="shared" si="48"/>
        <v>0.43959502399270783</v>
      </c>
    </row>
    <row r="147" spans="2:20" x14ac:dyDescent="0.25">
      <c r="B147" s="23" t="s">
        <v>2855</v>
      </c>
      <c r="C147" s="28" t="s">
        <v>493</v>
      </c>
      <c r="H147" s="159">
        <f>('Cost Calculation'!H94-'Capex &amp; Depreciation'!H233)+('Cost Calculation'!H161-'Capex &amp; Depreciation'!H241)</f>
        <v>5.9116309505207232</v>
      </c>
      <c r="I147" s="159">
        <f>('Cost Calculation'!I94-'Capex &amp; Depreciation'!I233)+('Cost Calculation'!I161-'Capex &amp; Depreciation'!I241)</f>
        <v>6.162107249004829</v>
      </c>
      <c r="J147" s="159">
        <f>('Cost Calculation'!J94-'Capex &amp; Depreciation'!J233)+('Cost Calculation'!J161-'Capex &amp; Depreciation'!J241)</f>
        <v>6.57390149654168</v>
      </c>
      <c r="K147" s="159">
        <f>('Cost Calculation'!K94-'Capex &amp; Depreciation'!K233)+('Cost Calculation'!K161-'Capex &amp; Depreciation'!K241)</f>
        <v>17.787814606907077</v>
      </c>
      <c r="L147" s="159">
        <f>('Cost Calculation'!L94-'Capex &amp; Depreciation'!L233)+('Cost Calculation'!L161-'Capex &amp; Depreciation'!L241)</f>
        <v>21.767436888584861</v>
      </c>
      <c r="M147" s="159">
        <f>('Cost Calculation'!M94-'Capex &amp; Depreciation'!M233)+('Cost Calculation'!M161-'Capex &amp; Depreciation'!M241)</f>
        <v>25.988363681565016</v>
      </c>
      <c r="N147" s="159">
        <f>('Cost Calculation'!N94-'Capex &amp; Depreciation'!N233)+('Cost Calculation'!N161-'Capex &amp; Depreciation'!N241)</f>
        <v>30.46337294461479</v>
      </c>
      <c r="O147" s="159">
        <f>('Cost Calculation'!O94-'Capex &amp; Depreciation'!O233)+('Cost Calculation'!O161-'Capex &amp; Depreciation'!O241)</f>
        <v>35.205906933997319</v>
      </c>
      <c r="P147" s="159">
        <f>('Cost Calculation'!P94-'Capex &amp; Depreciation'!P233)+('Cost Calculation'!P161-'Capex &amp; Depreciation'!P241)</f>
        <v>40.230107555857636</v>
      </c>
      <c r="Q147" s="159">
        <f>('Cost Calculation'!Q94-'Capex &amp; Depreciation'!Q233)+('Cost Calculation'!Q161-'Capex &amp; Depreciation'!Q241)</f>
        <v>45.550853667752655</v>
      </c>
      <c r="R147" s="159">
        <f>('Cost Calculation'!R94-'Capex &amp; Depreciation'!R233)+('Cost Calculation'!R161-'Capex &amp; Depreciation'!R241)</f>
        <v>51.18380044037464</v>
      </c>
      <c r="S147" s="159">
        <f>('Cost Calculation'!S94-'Capex &amp; Depreciation'!S233)+('Cost Calculation'!S161-'Capex &amp; Depreciation'!S241)</f>
        <v>26.828529718454128</v>
      </c>
      <c r="T147" s="159">
        <f>('Cost Calculation'!T94-'Capex &amp; Depreciation'!T233)+('Cost Calculation'!T161-'Capex &amp; Depreciation'!T241)</f>
        <v>29.625819872109076</v>
      </c>
    </row>
    <row r="148" spans="2:20" x14ac:dyDescent="0.25">
      <c r="B148" s="23" t="s">
        <v>2856</v>
      </c>
      <c r="C148" s="28" t="s">
        <v>493</v>
      </c>
      <c r="H148" s="159">
        <f t="shared" ref="H148:T148" si="49">H147</f>
        <v>5.9116309505207232</v>
      </c>
      <c r="I148" s="159">
        <f t="shared" si="49"/>
        <v>6.162107249004829</v>
      </c>
      <c r="J148" s="159">
        <f t="shared" si="49"/>
        <v>6.57390149654168</v>
      </c>
      <c r="K148" s="159">
        <f t="shared" si="49"/>
        <v>17.787814606907077</v>
      </c>
      <c r="L148" s="159">
        <f t="shared" si="49"/>
        <v>21.767436888584861</v>
      </c>
      <c r="M148" s="159">
        <f t="shared" si="49"/>
        <v>25.988363681565016</v>
      </c>
      <c r="N148" s="159">
        <f t="shared" si="49"/>
        <v>30.46337294461479</v>
      </c>
      <c r="O148" s="159">
        <f t="shared" si="49"/>
        <v>35.205906933997319</v>
      </c>
      <c r="P148" s="159">
        <f t="shared" si="49"/>
        <v>40.230107555857636</v>
      </c>
      <c r="Q148" s="159">
        <f t="shared" si="49"/>
        <v>45.550853667752655</v>
      </c>
      <c r="R148" s="159">
        <f t="shared" si="49"/>
        <v>51.18380044037464</v>
      </c>
      <c r="S148" s="159">
        <f t="shared" si="49"/>
        <v>26.828529718454128</v>
      </c>
      <c r="T148" s="159">
        <f t="shared" si="49"/>
        <v>29.625819872109076</v>
      </c>
    </row>
    <row r="149" spans="2:20" x14ac:dyDescent="0.25">
      <c r="B149" s="23" t="s">
        <v>2857</v>
      </c>
      <c r="C149" s="28" t="s">
        <v>493</v>
      </c>
      <c r="H149" s="159">
        <f>Inputs!H522*MAX(0,H148)</f>
        <v>1.300558809114559</v>
      </c>
      <c r="I149" s="159">
        <f>Inputs!I522*MAX(0,I148)</f>
        <v>1.3556635947810625</v>
      </c>
      <c r="J149" s="159">
        <f>Inputs!J522*MAX(0,J148)</f>
        <v>1.4462583292391695</v>
      </c>
      <c r="K149" s="159">
        <f>Inputs!K522*MAX(0,K148)</f>
        <v>3.9133192135195567</v>
      </c>
      <c r="L149" s="159">
        <f>Inputs!L522*MAX(0,L148)</f>
        <v>4.7888361154886692</v>
      </c>
      <c r="M149" s="159">
        <f>Inputs!M522*MAX(0,M148)</f>
        <v>5.7174400099443039</v>
      </c>
      <c r="N149" s="159">
        <f>Inputs!N522*MAX(0,N148)</f>
        <v>6.7019420478152538</v>
      </c>
      <c r="O149" s="159">
        <f>Inputs!O522*MAX(0,O148)</f>
        <v>7.7452995254794104</v>
      </c>
      <c r="P149" s="159">
        <f>Inputs!P522*MAX(0,P148)</f>
        <v>8.8506236622886796</v>
      </c>
      <c r="Q149" s="159">
        <f>Inputs!Q522*MAX(0,Q148)</f>
        <v>10.021187806905584</v>
      </c>
      <c r="R149" s="159">
        <f>Inputs!R522*MAX(0,R148)</f>
        <v>11.260436096882421</v>
      </c>
      <c r="S149" s="159">
        <f>Inputs!S522*MAX(0,S148)</f>
        <v>5.9022765380599083</v>
      </c>
      <c r="T149" s="159">
        <f>Inputs!T522*MAX(0,T148)</f>
        <v>6.5176803718639968</v>
      </c>
    </row>
    <row r="150" spans="2:20" x14ac:dyDescent="0.25">
      <c r="B150" s="23" t="s">
        <v>2858</v>
      </c>
      <c r="C150" s="28" t="s">
        <v>493</v>
      </c>
      <c r="H150" s="159">
        <f>Inputs!H522*MAX(0,H147)</f>
        <v>1.300558809114559</v>
      </c>
      <c r="I150" s="159">
        <f>Inputs!I522*MAX(0,I147)</f>
        <v>1.3556635947810625</v>
      </c>
      <c r="J150" s="159">
        <f>Inputs!J522*MAX(0,J147)</f>
        <v>1.4462583292391695</v>
      </c>
      <c r="K150" s="159">
        <f>Inputs!K522*MAX(0,K147)</f>
        <v>3.9133192135195567</v>
      </c>
      <c r="L150" s="159">
        <f>Inputs!L522*MAX(0,L147)</f>
        <v>4.7888361154886692</v>
      </c>
      <c r="M150" s="159">
        <f>Inputs!M522*MAX(0,M147)</f>
        <v>5.7174400099443039</v>
      </c>
      <c r="N150" s="159">
        <f>Inputs!N522*MAX(0,N147)</f>
        <v>6.7019420478152538</v>
      </c>
      <c r="O150" s="159">
        <f>Inputs!O522*MAX(0,O147)</f>
        <v>7.7452995254794104</v>
      </c>
      <c r="P150" s="159">
        <f>Inputs!P522*MAX(0,P147)</f>
        <v>8.8506236622886796</v>
      </c>
      <c r="Q150" s="159">
        <f>Inputs!Q522*MAX(0,Q147)</f>
        <v>10.021187806905584</v>
      </c>
      <c r="R150" s="159">
        <f>Inputs!R522*MAX(0,R147)</f>
        <v>11.260436096882421</v>
      </c>
      <c r="S150" s="159">
        <f>Inputs!S522*MAX(0,S147)</f>
        <v>5.9022765380599083</v>
      </c>
      <c r="T150" s="159">
        <f>Inputs!T522*MAX(0,T147)</f>
        <v>6.5176803718639968</v>
      </c>
    </row>
    <row r="151" spans="2:20" x14ac:dyDescent="0.25">
      <c r="B151" s="23" t="s">
        <v>2859</v>
      </c>
      <c r="C151" s="28" t="s">
        <v>493</v>
      </c>
      <c r="H151" s="159">
        <f t="shared" ref="H151:T151" si="50">H148-H149</f>
        <v>4.6110721414061642</v>
      </c>
      <c r="I151" s="159">
        <f t="shared" si="50"/>
        <v>4.8064436542237665</v>
      </c>
      <c r="J151" s="159">
        <f t="shared" si="50"/>
        <v>5.1276431673025105</v>
      </c>
      <c r="K151" s="159">
        <f t="shared" si="50"/>
        <v>13.874495393387519</v>
      </c>
      <c r="L151" s="159">
        <f t="shared" si="50"/>
        <v>16.97860077309619</v>
      </c>
      <c r="M151" s="159">
        <f t="shared" si="50"/>
        <v>20.270923671620711</v>
      </c>
      <c r="N151" s="159">
        <f t="shared" si="50"/>
        <v>23.761430896799535</v>
      </c>
      <c r="O151" s="159">
        <f t="shared" si="50"/>
        <v>27.460607408517909</v>
      </c>
      <c r="P151" s="159">
        <f t="shared" si="50"/>
        <v>31.379483893568956</v>
      </c>
      <c r="Q151" s="159">
        <f t="shared" si="50"/>
        <v>35.529665860847075</v>
      </c>
      <c r="R151" s="159">
        <f t="shared" si="50"/>
        <v>39.923364343492217</v>
      </c>
      <c r="S151" s="159">
        <f t="shared" si="50"/>
        <v>20.92625318039422</v>
      </c>
      <c r="T151" s="159">
        <f t="shared" si="50"/>
        <v>23.10813950024508</v>
      </c>
    </row>
    <row r="152" spans="2:20" x14ac:dyDescent="0.25">
      <c r="B152" s="23" t="s">
        <v>2860</v>
      </c>
      <c r="C152" s="28" t="s">
        <v>493</v>
      </c>
      <c r="H152" s="159">
        <f>('Cost Calculation'!H174-'Capex &amp; Depreciation'!H245)</f>
        <v>0</v>
      </c>
      <c r="I152" s="159">
        <f>('Cost Calculation'!I174-'Capex &amp; Depreciation'!I245)</f>
        <v>0</v>
      </c>
      <c r="J152" s="159">
        <f>('Cost Calculation'!J174-'Capex &amp; Depreciation'!J245)</f>
        <v>0</v>
      </c>
      <c r="K152" s="159">
        <f>('Cost Calculation'!K174-'Capex &amp; Depreciation'!K245)</f>
        <v>0.23047990999999995</v>
      </c>
      <c r="L152" s="159">
        <f>('Cost Calculation'!L174-'Capex &amp; Depreciation'!L245)</f>
        <v>0.24129790730000006</v>
      </c>
      <c r="M152" s="159">
        <f>('Cost Calculation'!M174-'Capex &amp; Depreciation'!M245)</f>
        <v>0.25244044451900005</v>
      </c>
      <c r="N152" s="159">
        <f>('Cost Calculation'!N174-'Capex &amp; Depreciation'!N245)</f>
        <v>0.26391725785457004</v>
      </c>
      <c r="O152" s="159">
        <f>('Cost Calculation'!O174-'Capex &amp; Depreciation'!O245)</f>
        <v>0.2757383755902072</v>
      </c>
      <c r="P152" s="159">
        <f>('Cost Calculation'!P174-'Capex &amp; Depreciation'!P245)</f>
        <v>0.2879141268579134</v>
      </c>
      <c r="Q152" s="159">
        <f>('Cost Calculation'!Q174-'Capex &amp; Depreciation'!Q245)</f>
        <v>0.30045515066365075</v>
      </c>
      <c r="R152" s="159">
        <f>('Cost Calculation'!R174-'Capex &amp; Depreciation'!R245)</f>
        <v>0.3133724051835603</v>
      </c>
      <c r="S152" s="159">
        <f>('Cost Calculation'!S174-'Capex &amp; Depreciation'!S245)</f>
        <v>0.32667717733906715</v>
      </c>
      <c r="T152" s="159">
        <f>('Cost Calculation'!T174-'Capex &amp; Depreciation'!T245)</f>
        <v>0.34038109265923927</v>
      </c>
    </row>
    <row r="153" spans="2:20" x14ac:dyDescent="0.25">
      <c r="B153" s="23" t="s">
        <v>2861</v>
      </c>
      <c r="C153" s="28" t="s">
        <v>493</v>
      </c>
      <c r="H153" s="159">
        <f t="shared" ref="H153:T153" si="51">H152</f>
        <v>0</v>
      </c>
      <c r="I153" s="159">
        <f t="shared" si="51"/>
        <v>0</v>
      </c>
      <c r="J153" s="159">
        <f t="shared" si="51"/>
        <v>0</v>
      </c>
      <c r="K153" s="159">
        <f t="shared" si="51"/>
        <v>0.23047990999999995</v>
      </c>
      <c r="L153" s="159">
        <f t="shared" si="51"/>
        <v>0.24129790730000006</v>
      </c>
      <c r="M153" s="159">
        <f t="shared" si="51"/>
        <v>0.25244044451900005</v>
      </c>
      <c r="N153" s="159">
        <f t="shared" si="51"/>
        <v>0.26391725785457004</v>
      </c>
      <c r="O153" s="159">
        <f t="shared" si="51"/>
        <v>0.2757383755902072</v>
      </c>
      <c r="P153" s="159">
        <f t="shared" si="51"/>
        <v>0.2879141268579134</v>
      </c>
      <c r="Q153" s="159">
        <f t="shared" si="51"/>
        <v>0.30045515066365075</v>
      </c>
      <c r="R153" s="159">
        <f t="shared" si="51"/>
        <v>0.3133724051835603</v>
      </c>
      <c r="S153" s="159">
        <f t="shared" si="51"/>
        <v>0.32667717733906715</v>
      </c>
      <c r="T153" s="159">
        <f t="shared" si="51"/>
        <v>0.34038109265923927</v>
      </c>
    </row>
    <row r="154" spans="2:20" x14ac:dyDescent="0.25">
      <c r="B154" s="23" t="s">
        <v>2862</v>
      </c>
      <c r="C154" s="28" t="s">
        <v>493</v>
      </c>
      <c r="H154" s="159">
        <f>Inputs!H522*MAX(0,H153)</f>
        <v>0</v>
      </c>
      <c r="I154" s="159">
        <f>Inputs!I522*MAX(0,I153)</f>
        <v>0</v>
      </c>
      <c r="J154" s="159">
        <f>Inputs!J522*MAX(0,J153)</f>
        <v>0</v>
      </c>
      <c r="K154" s="159">
        <f>Inputs!K522*MAX(0,K153)</f>
        <v>5.0705580199999989E-2</v>
      </c>
      <c r="L154" s="159">
        <f>Inputs!L522*MAX(0,L153)</f>
        <v>5.3085539606000015E-2</v>
      </c>
      <c r="M154" s="159">
        <f>Inputs!M522*MAX(0,M153)</f>
        <v>5.5536897794180008E-2</v>
      </c>
      <c r="N154" s="159">
        <f>Inputs!N522*MAX(0,N153)</f>
        <v>5.8061796728005412E-2</v>
      </c>
      <c r="O154" s="159">
        <f>Inputs!O522*MAX(0,O153)</f>
        <v>6.0662442629845582E-2</v>
      </c>
      <c r="P154" s="159">
        <f>Inputs!P522*MAX(0,P153)</f>
        <v>6.3341107908740951E-2</v>
      </c>
      <c r="Q154" s="159">
        <f>Inputs!Q522*MAX(0,Q153)</f>
        <v>6.6100133146003159E-2</v>
      </c>
      <c r="R154" s="159">
        <f>Inputs!R522*MAX(0,R153)</f>
        <v>6.894192914038326E-2</v>
      </c>
      <c r="S154" s="159">
        <f>Inputs!S522*MAX(0,S153)</f>
        <v>7.1868979014594769E-2</v>
      </c>
      <c r="T154" s="159">
        <f>Inputs!T522*MAX(0,T153)</f>
        <v>7.4883840385032638E-2</v>
      </c>
    </row>
    <row r="155" spans="2:20" x14ac:dyDescent="0.25">
      <c r="B155" s="23" t="s">
        <v>2863</v>
      </c>
      <c r="C155" s="28" t="s">
        <v>493</v>
      </c>
      <c r="H155" s="159">
        <f>Inputs!H522*MAX(0,H152)</f>
        <v>0</v>
      </c>
      <c r="I155" s="159">
        <f>Inputs!I522*MAX(0,I152)</f>
        <v>0</v>
      </c>
      <c r="J155" s="159">
        <f>Inputs!J522*MAX(0,J152)</f>
        <v>0</v>
      </c>
      <c r="K155" s="159">
        <f>Inputs!K522*MAX(0,K152)</f>
        <v>5.0705580199999989E-2</v>
      </c>
      <c r="L155" s="159">
        <f>Inputs!L522*MAX(0,L152)</f>
        <v>5.3085539606000015E-2</v>
      </c>
      <c r="M155" s="159">
        <f>Inputs!M522*MAX(0,M152)</f>
        <v>5.5536897794180008E-2</v>
      </c>
      <c r="N155" s="159">
        <f>Inputs!N522*MAX(0,N152)</f>
        <v>5.8061796728005412E-2</v>
      </c>
      <c r="O155" s="159">
        <f>Inputs!O522*MAX(0,O152)</f>
        <v>6.0662442629845582E-2</v>
      </c>
      <c r="P155" s="159">
        <f>Inputs!P522*MAX(0,P152)</f>
        <v>6.3341107908740951E-2</v>
      </c>
      <c r="Q155" s="159">
        <f>Inputs!Q522*MAX(0,Q152)</f>
        <v>6.6100133146003159E-2</v>
      </c>
      <c r="R155" s="159">
        <f>Inputs!R522*MAX(0,R152)</f>
        <v>6.894192914038326E-2</v>
      </c>
      <c r="S155" s="159">
        <f>Inputs!S522*MAX(0,S152)</f>
        <v>7.1868979014594769E-2</v>
      </c>
      <c r="T155" s="159">
        <f>Inputs!T522*MAX(0,T152)</f>
        <v>7.4883840385032638E-2</v>
      </c>
    </row>
    <row r="156" spans="2:20" x14ac:dyDescent="0.25">
      <c r="B156" s="23" t="s">
        <v>2864</v>
      </c>
      <c r="C156" s="28" t="s">
        <v>493</v>
      </c>
      <c r="H156" s="159">
        <f t="shared" ref="H156:T156" si="52">H153-H154</f>
        <v>0</v>
      </c>
      <c r="I156" s="159">
        <f t="shared" si="52"/>
        <v>0</v>
      </c>
      <c r="J156" s="159">
        <f t="shared" si="52"/>
        <v>0</v>
      </c>
      <c r="K156" s="159">
        <f t="shared" si="52"/>
        <v>0.17977432979999997</v>
      </c>
      <c r="L156" s="159">
        <f t="shared" si="52"/>
        <v>0.18821236769400004</v>
      </c>
      <c r="M156" s="159">
        <f t="shared" si="52"/>
        <v>0.19690354672482005</v>
      </c>
      <c r="N156" s="159">
        <f t="shared" si="52"/>
        <v>0.20585546112656464</v>
      </c>
      <c r="O156" s="159">
        <f t="shared" si="52"/>
        <v>0.21507593296036162</v>
      </c>
      <c r="P156" s="159">
        <f t="shared" si="52"/>
        <v>0.22457301894917245</v>
      </c>
      <c r="Q156" s="159">
        <f t="shared" si="52"/>
        <v>0.23435501751764759</v>
      </c>
      <c r="R156" s="159">
        <f t="shared" si="52"/>
        <v>0.24443047604317703</v>
      </c>
      <c r="S156" s="159">
        <f t="shared" si="52"/>
        <v>0.25480819832447238</v>
      </c>
      <c r="T156" s="159">
        <f t="shared" si="52"/>
        <v>0.26549725227420662</v>
      </c>
    </row>
    <row r="157" spans="2:20" x14ac:dyDescent="0.25">
      <c r="B157" s="23" t="s">
        <v>2865</v>
      </c>
      <c r="C157" s="28" t="s">
        <v>493</v>
      </c>
      <c r="H157" s="159">
        <f>('Cost Calculation'!H131-'Capex &amp; Depreciation'!H234)</f>
        <v>14.056001106053959</v>
      </c>
      <c r="I157" s="159">
        <f>('Cost Calculation'!I131-'Capex &amp; Depreciation'!I234)</f>
        <v>13.506276227960301</v>
      </c>
      <c r="J157" s="159">
        <f>('Cost Calculation'!J131-'Capex &amp; Depreciation'!J234)</f>
        <v>16.285784965481337</v>
      </c>
      <c r="K157" s="159">
        <f>('Cost Calculation'!K131-'Capex &amp; Depreciation'!K234)</f>
        <v>17.991600298124762</v>
      </c>
      <c r="L157" s="159">
        <f>('Cost Calculation'!L131-'Capex &amp; Depreciation'!L234)</f>
        <v>19.843153528591625</v>
      </c>
      <c r="M157" s="159">
        <f>('Cost Calculation'!M131-'Capex &amp; Depreciation'!M234)</f>
        <v>21.852439448913419</v>
      </c>
      <c r="N157" s="159">
        <f>('Cost Calculation'!N131-'Capex &amp; Depreciation'!N234)</f>
        <v>24.032428704292943</v>
      </c>
      <c r="O157" s="159">
        <f>('Cost Calculation'!O131-'Capex &amp; Depreciation'!O234)</f>
        <v>26.397146875945854</v>
      </c>
      <c r="P157" s="159">
        <f>('Cost Calculation'!P131-'Capex &amp; Depreciation'!P234)</f>
        <v>28.961759966038734</v>
      </c>
      <c r="Q157" s="159">
        <f>('Cost Calculation'!Q131-'Capex &amp; Depreciation'!Q234)</f>
        <v>31.74266680303273</v>
      </c>
      <c r="R157" s="159">
        <f>('Cost Calculation'!R131-'Capex &amp; Depreciation'!R234)</f>
        <v>30.763298074730912</v>
      </c>
      <c r="S157" s="159">
        <f>('Cost Calculation'!S131-'Capex &amp; Depreciation'!S234)</f>
        <v>32.491152439901335</v>
      </c>
      <c r="T157" s="159">
        <f>('Cost Calculation'!T131-'Capex &amp; Depreciation'!T234)</f>
        <v>34.308611805261592</v>
      </c>
    </row>
    <row r="158" spans="2:20" x14ac:dyDescent="0.25">
      <c r="B158" s="23" t="s">
        <v>2866</v>
      </c>
      <c r="C158" s="28" t="s">
        <v>493</v>
      </c>
      <c r="H158" s="159">
        <f t="shared" ref="H158:T158" si="53">H157</f>
        <v>14.056001106053959</v>
      </c>
      <c r="I158" s="159">
        <f t="shared" si="53"/>
        <v>13.506276227960301</v>
      </c>
      <c r="J158" s="159">
        <f t="shared" si="53"/>
        <v>16.285784965481337</v>
      </c>
      <c r="K158" s="159">
        <f t="shared" si="53"/>
        <v>17.991600298124762</v>
      </c>
      <c r="L158" s="159">
        <f t="shared" si="53"/>
        <v>19.843153528591625</v>
      </c>
      <c r="M158" s="159">
        <f t="shared" si="53"/>
        <v>21.852439448913419</v>
      </c>
      <c r="N158" s="159">
        <f t="shared" si="53"/>
        <v>24.032428704292943</v>
      </c>
      <c r="O158" s="159">
        <f t="shared" si="53"/>
        <v>26.397146875945854</v>
      </c>
      <c r="P158" s="159">
        <f t="shared" si="53"/>
        <v>28.961759966038734</v>
      </c>
      <c r="Q158" s="159">
        <f t="shared" si="53"/>
        <v>31.74266680303273</v>
      </c>
      <c r="R158" s="159">
        <f t="shared" si="53"/>
        <v>30.763298074730912</v>
      </c>
      <c r="S158" s="159">
        <f t="shared" si="53"/>
        <v>32.491152439901335</v>
      </c>
      <c r="T158" s="159">
        <f t="shared" si="53"/>
        <v>34.308611805261592</v>
      </c>
    </row>
    <row r="159" spans="2:20" x14ac:dyDescent="0.25">
      <c r="B159" s="23" t="s">
        <v>2867</v>
      </c>
      <c r="C159" s="28" t="s">
        <v>493</v>
      </c>
      <c r="H159" s="159">
        <f>Inputs!H522*MAX(0,H158)</f>
        <v>3.0923202433318711</v>
      </c>
      <c r="I159" s="159">
        <f>Inputs!I522*MAX(0,I158)</f>
        <v>2.9713807701512662</v>
      </c>
      <c r="J159" s="159">
        <f>Inputs!J522*MAX(0,J158)</f>
        <v>3.582872692405894</v>
      </c>
      <c r="K159" s="159">
        <f>Inputs!K522*MAX(0,K158)</f>
        <v>3.9581520655874476</v>
      </c>
      <c r="L159" s="159">
        <f>Inputs!L522*MAX(0,L158)</f>
        <v>4.3654937762901573</v>
      </c>
      <c r="M159" s="159">
        <f>Inputs!M522*MAX(0,M158)</f>
        <v>4.8075366787609521</v>
      </c>
      <c r="N159" s="159">
        <f>Inputs!N522*MAX(0,N158)</f>
        <v>5.2871343149444474</v>
      </c>
      <c r="O159" s="159">
        <f>Inputs!O522*MAX(0,O158)</f>
        <v>5.8073723127080878</v>
      </c>
      <c r="P159" s="159">
        <f>Inputs!P522*MAX(0,P158)</f>
        <v>6.3715871925285219</v>
      </c>
      <c r="Q159" s="159">
        <f>Inputs!Q522*MAX(0,Q158)</f>
        <v>6.9833866966672007</v>
      </c>
      <c r="R159" s="159">
        <f>Inputs!R522*MAX(0,R158)</f>
        <v>6.7679255764408008</v>
      </c>
      <c r="S159" s="159">
        <f>Inputs!S522*MAX(0,S158)</f>
        <v>7.1480535367782938</v>
      </c>
      <c r="T159" s="159">
        <f>Inputs!T522*MAX(0,T158)</f>
        <v>7.5478945971575504</v>
      </c>
    </row>
    <row r="160" spans="2:20" x14ac:dyDescent="0.25">
      <c r="B160" s="23" t="s">
        <v>2868</v>
      </c>
      <c r="C160" s="28" t="s">
        <v>493</v>
      </c>
      <c r="H160" s="159">
        <f>Inputs!H522*MAX(0,H157)</f>
        <v>3.0923202433318711</v>
      </c>
      <c r="I160" s="159">
        <f>Inputs!I522*MAX(0,I157)</f>
        <v>2.9713807701512662</v>
      </c>
      <c r="J160" s="159">
        <f>Inputs!J522*MAX(0,J157)</f>
        <v>3.582872692405894</v>
      </c>
      <c r="K160" s="159">
        <f>Inputs!K522*MAX(0,K157)</f>
        <v>3.9581520655874476</v>
      </c>
      <c r="L160" s="159">
        <f>Inputs!L522*MAX(0,L157)</f>
        <v>4.3654937762901573</v>
      </c>
      <c r="M160" s="159">
        <f>Inputs!M522*MAX(0,M157)</f>
        <v>4.8075366787609521</v>
      </c>
      <c r="N160" s="159">
        <f>Inputs!N522*MAX(0,N157)</f>
        <v>5.2871343149444474</v>
      </c>
      <c r="O160" s="159">
        <f>Inputs!O522*MAX(0,O157)</f>
        <v>5.8073723127080878</v>
      </c>
      <c r="P160" s="159">
        <f>Inputs!P522*MAX(0,P157)</f>
        <v>6.3715871925285219</v>
      </c>
      <c r="Q160" s="159">
        <f>Inputs!Q522*MAX(0,Q157)</f>
        <v>6.9833866966672007</v>
      </c>
      <c r="R160" s="159">
        <f>Inputs!R522*MAX(0,R157)</f>
        <v>6.7679255764408008</v>
      </c>
      <c r="S160" s="159">
        <f>Inputs!S522*MAX(0,S157)</f>
        <v>7.1480535367782938</v>
      </c>
      <c r="T160" s="159">
        <f>Inputs!T522*MAX(0,T157)</f>
        <v>7.5478945971575504</v>
      </c>
    </row>
    <row r="161" spans="2:20" x14ac:dyDescent="0.25">
      <c r="B161" s="23" t="s">
        <v>2869</v>
      </c>
      <c r="C161" s="28" t="s">
        <v>493</v>
      </c>
      <c r="H161" s="159">
        <f t="shared" ref="H161:T161" si="54">H158-H159</f>
        <v>10.963680862722088</v>
      </c>
      <c r="I161" s="159">
        <f t="shared" si="54"/>
        <v>10.534895457809036</v>
      </c>
      <c r="J161" s="159">
        <f t="shared" si="54"/>
        <v>12.702912273075443</v>
      </c>
      <c r="K161" s="159">
        <f t="shared" si="54"/>
        <v>14.033448232537314</v>
      </c>
      <c r="L161" s="159">
        <f t="shared" si="54"/>
        <v>15.477659752301467</v>
      </c>
      <c r="M161" s="159">
        <f t="shared" si="54"/>
        <v>17.044902770152468</v>
      </c>
      <c r="N161" s="159">
        <f t="shared" si="54"/>
        <v>18.745294389348494</v>
      </c>
      <c r="O161" s="159">
        <f t="shared" si="54"/>
        <v>20.589774563237768</v>
      </c>
      <c r="P161" s="159">
        <f t="shared" si="54"/>
        <v>22.590172773510211</v>
      </c>
      <c r="Q161" s="159">
        <f t="shared" si="54"/>
        <v>24.75928010636553</v>
      </c>
      <c r="R161" s="159">
        <f t="shared" si="54"/>
        <v>23.995372498290109</v>
      </c>
      <c r="S161" s="159">
        <f t="shared" si="54"/>
        <v>25.343098903123042</v>
      </c>
      <c r="T161" s="159">
        <f t="shared" si="54"/>
        <v>26.76071720810404</v>
      </c>
    </row>
    <row r="162" spans="2:20" x14ac:dyDescent="0.25">
      <c r="B162" s="23" t="s">
        <v>2870</v>
      </c>
      <c r="C162" s="28" t="s">
        <v>493</v>
      </c>
      <c r="H162" s="159">
        <f>('Cost Calculation'!H178-'Capex &amp; Depreciation'!H249)</f>
        <v>0</v>
      </c>
      <c r="I162" s="159">
        <f>('Cost Calculation'!I178-'Capex &amp; Depreciation'!I249)</f>
        <v>0</v>
      </c>
      <c r="J162" s="159">
        <f>('Cost Calculation'!J178-'Capex &amp; Depreciation'!J249)</f>
        <v>0</v>
      </c>
      <c r="K162" s="159">
        <f>('Cost Calculation'!K178-'Capex &amp; Depreciation'!K249)</f>
        <v>0</v>
      </c>
      <c r="L162" s="159">
        <f>('Cost Calculation'!L178-'Capex &amp; Depreciation'!L249)</f>
        <v>0</v>
      </c>
      <c r="M162" s="159">
        <f>('Cost Calculation'!M178-'Capex &amp; Depreciation'!M249)</f>
        <v>0</v>
      </c>
      <c r="N162" s="159">
        <f>('Cost Calculation'!N178-'Capex &amp; Depreciation'!N249)</f>
        <v>0</v>
      </c>
      <c r="O162" s="159">
        <f>('Cost Calculation'!O178-'Capex &amp; Depreciation'!O249)</f>
        <v>0</v>
      </c>
      <c r="P162" s="159">
        <f>('Cost Calculation'!P178-'Capex &amp; Depreciation'!P249)</f>
        <v>0</v>
      </c>
      <c r="Q162" s="159">
        <f>('Cost Calculation'!Q178-'Capex &amp; Depreciation'!Q249)</f>
        <v>0</v>
      </c>
      <c r="R162" s="159">
        <f>('Cost Calculation'!R178-'Capex &amp; Depreciation'!R249)</f>
        <v>0</v>
      </c>
      <c r="S162" s="159">
        <f>('Cost Calculation'!S178-'Capex &amp; Depreciation'!S249)</f>
        <v>0</v>
      </c>
      <c r="T162" s="159">
        <f>('Cost Calculation'!T178-'Capex &amp; Depreciation'!T249)</f>
        <v>0</v>
      </c>
    </row>
    <row r="163" spans="2:20" x14ac:dyDescent="0.25">
      <c r="B163" s="23" t="s">
        <v>2871</v>
      </c>
      <c r="C163" s="28" t="s">
        <v>493</v>
      </c>
      <c r="H163" s="159">
        <f t="shared" ref="H163:T163" si="55">H162</f>
        <v>0</v>
      </c>
      <c r="I163" s="159">
        <f t="shared" si="55"/>
        <v>0</v>
      </c>
      <c r="J163" s="159">
        <f t="shared" si="55"/>
        <v>0</v>
      </c>
      <c r="K163" s="159">
        <f t="shared" si="55"/>
        <v>0</v>
      </c>
      <c r="L163" s="159">
        <f t="shared" si="55"/>
        <v>0</v>
      </c>
      <c r="M163" s="159">
        <f t="shared" si="55"/>
        <v>0</v>
      </c>
      <c r="N163" s="159">
        <f t="shared" si="55"/>
        <v>0</v>
      </c>
      <c r="O163" s="159">
        <f t="shared" si="55"/>
        <v>0</v>
      </c>
      <c r="P163" s="159">
        <f t="shared" si="55"/>
        <v>0</v>
      </c>
      <c r="Q163" s="159">
        <f t="shared" si="55"/>
        <v>0</v>
      </c>
      <c r="R163" s="159">
        <f t="shared" si="55"/>
        <v>0</v>
      </c>
      <c r="S163" s="159">
        <f t="shared" si="55"/>
        <v>0</v>
      </c>
      <c r="T163" s="159">
        <f t="shared" si="55"/>
        <v>0</v>
      </c>
    </row>
    <row r="164" spans="2:20" x14ac:dyDescent="0.25">
      <c r="B164" s="23" t="s">
        <v>2872</v>
      </c>
      <c r="C164" s="28" t="s">
        <v>493</v>
      </c>
      <c r="H164" s="159">
        <f>Inputs!H522*MAX(0,H163)</f>
        <v>0</v>
      </c>
      <c r="I164" s="159">
        <f>Inputs!I522*MAX(0,I163)</f>
        <v>0</v>
      </c>
      <c r="J164" s="159">
        <f>Inputs!J522*MAX(0,J163)</f>
        <v>0</v>
      </c>
      <c r="K164" s="159">
        <f>Inputs!K522*MAX(0,K163)</f>
        <v>0</v>
      </c>
      <c r="L164" s="159">
        <f>Inputs!L522*MAX(0,L163)</f>
        <v>0</v>
      </c>
      <c r="M164" s="159">
        <f>Inputs!M522*MAX(0,M163)</f>
        <v>0</v>
      </c>
      <c r="N164" s="159">
        <f>Inputs!N522*MAX(0,N163)</f>
        <v>0</v>
      </c>
      <c r="O164" s="159">
        <f>Inputs!O522*MAX(0,O163)</f>
        <v>0</v>
      </c>
      <c r="P164" s="159">
        <f>Inputs!P522*MAX(0,P163)</f>
        <v>0</v>
      </c>
      <c r="Q164" s="159">
        <f>Inputs!Q522*MAX(0,Q163)</f>
        <v>0</v>
      </c>
      <c r="R164" s="159">
        <f>Inputs!R522*MAX(0,R163)</f>
        <v>0</v>
      </c>
      <c r="S164" s="159">
        <f>Inputs!S522*MAX(0,S163)</f>
        <v>0</v>
      </c>
      <c r="T164" s="159">
        <f>Inputs!T522*MAX(0,T163)</f>
        <v>0</v>
      </c>
    </row>
    <row r="165" spans="2:20" x14ac:dyDescent="0.25">
      <c r="B165" s="23" t="s">
        <v>2873</v>
      </c>
      <c r="C165" s="28" t="s">
        <v>493</v>
      </c>
      <c r="H165" s="159">
        <f>Inputs!H522*MAX(0,H162)</f>
        <v>0</v>
      </c>
      <c r="I165" s="159">
        <f>Inputs!I522*MAX(0,I162)</f>
        <v>0</v>
      </c>
      <c r="J165" s="159">
        <f>Inputs!J522*MAX(0,J162)</f>
        <v>0</v>
      </c>
      <c r="K165" s="159">
        <f>Inputs!K522*MAX(0,K162)</f>
        <v>0</v>
      </c>
      <c r="L165" s="159">
        <f>Inputs!L522*MAX(0,L162)</f>
        <v>0</v>
      </c>
      <c r="M165" s="159">
        <f>Inputs!M522*MAX(0,M162)</f>
        <v>0</v>
      </c>
      <c r="N165" s="159">
        <f>Inputs!N522*MAX(0,N162)</f>
        <v>0</v>
      </c>
      <c r="O165" s="159">
        <f>Inputs!O522*MAX(0,O162)</f>
        <v>0</v>
      </c>
      <c r="P165" s="159">
        <f>Inputs!P522*MAX(0,P162)</f>
        <v>0</v>
      </c>
      <c r="Q165" s="159">
        <f>Inputs!Q522*MAX(0,Q162)</f>
        <v>0</v>
      </c>
      <c r="R165" s="159">
        <f>Inputs!R522*MAX(0,R162)</f>
        <v>0</v>
      </c>
      <c r="S165" s="159">
        <f>Inputs!S522*MAX(0,S162)</f>
        <v>0</v>
      </c>
      <c r="T165" s="159">
        <f>Inputs!T522*MAX(0,T162)</f>
        <v>0</v>
      </c>
    </row>
    <row r="166" spans="2:20" x14ac:dyDescent="0.25">
      <c r="B166" s="23" t="s">
        <v>2874</v>
      </c>
      <c r="C166" s="28" t="s">
        <v>493</v>
      </c>
      <c r="H166" s="159">
        <f t="shared" ref="H166:T166" si="56">H163-H164</f>
        <v>0</v>
      </c>
      <c r="I166" s="159">
        <f t="shared" si="56"/>
        <v>0</v>
      </c>
      <c r="J166" s="159">
        <f t="shared" si="56"/>
        <v>0</v>
      </c>
      <c r="K166" s="159">
        <f t="shared" si="56"/>
        <v>0</v>
      </c>
      <c r="L166" s="159">
        <f t="shared" si="56"/>
        <v>0</v>
      </c>
      <c r="M166" s="159">
        <f t="shared" si="56"/>
        <v>0</v>
      </c>
      <c r="N166" s="159">
        <f t="shared" si="56"/>
        <v>0</v>
      </c>
      <c r="O166" s="159">
        <f t="shared" si="56"/>
        <v>0</v>
      </c>
      <c r="P166" s="159">
        <f t="shared" si="56"/>
        <v>0</v>
      </c>
      <c r="Q166" s="159">
        <f t="shared" si="56"/>
        <v>0</v>
      </c>
      <c r="R166" s="159">
        <f t="shared" si="56"/>
        <v>0</v>
      </c>
      <c r="S166" s="159">
        <f t="shared" si="56"/>
        <v>0</v>
      </c>
      <c r="T166" s="159">
        <f t="shared" si="56"/>
        <v>0</v>
      </c>
    </row>
    <row r="167" spans="2:20" x14ac:dyDescent="0.25">
      <c r="B167" s="23" t="str">
        <f>"P16  "&amp;Inputs!$E$605&amp;" - EBIT (placeholder line, not in v29; taxed like a v29 line)"</f>
        <v>P16  Lampung - EBIT (placeholder line, not in v29; taxed like a v29 line)</v>
      </c>
      <c r="C167" s="28" t="s">
        <v>493</v>
      </c>
      <c r="H167" s="159">
        <f>'Cost Calculation'!H186-'Capex &amp; Depreciation'!H250</f>
        <v>0</v>
      </c>
      <c r="I167" s="159">
        <f>'Cost Calculation'!I186-'Capex &amp; Depreciation'!I250</f>
        <v>0</v>
      </c>
      <c r="J167" s="159">
        <f>'Cost Calculation'!J186-'Capex &amp; Depreciation'!J250</f>
        <v>0</v>
      </c>
      <c r="K167" s="159">
        <f>'Cost Calculation'!K186-'Capex &amp; Depreciation'!K250</f>
        <v>0</v>
      </c>
      <c r="L167" s="159">
        <f>'Cost Calculation'!L186-'Capex &amp; Depreciation'!L250</f>
        <v>0</v>
      </c>
      <c r="M167" s="159">
        <f>'Cost Calculation'!M186-'Capex &amp; Depreciation'!M250</f>
        <v>0</v>
      </c>
      <c r="N167" s="159">
        <f>'Cost Calculation'!N186-'Capex &amp; Depreciation'!N250</f>
        <v>0</v>
      </c>
      <c r="O167" s="159">
        <f>'Cost Calculation'!O186-'Capex &amp; Depreciation'!O250</f>
        <v>0</v>
      </c>
      <c r="P167" s="159">
        <f>'Cost Calculation'!P186-'Capex &amp; Depreciation'!P250</f>
        <v>0</v>
      </c>
      <c r="Q167" s="159">
        <f>'Cost Calculation'!Q186-'Capex &amp; Depreciation'!Q250</f>
        <v>0</v>
      </c>
      <c r="R167" s="159">
        <f>'Cost Calculation'!R186-'Capex &amp; Depreciation'!R250</f>
        <v>0</v>
      </c>
      <c r="S167" s="159">
        <f>'Cost Calculation'!S186-'Capex &amp; Depreciation'!S250</f>
        <v>0</v>
      </c>
      <c r="T167" s="159">
        <f>'Cost Calculation'!T186-'Capex &amp; Depreciation'!T250</f>
        <v>0</v>
      </c>
    </row>
    <row r="168" spans="2:20" x14ac:dyDescent="0.25">
      <c r="B168" s="23" t="s">
        <v>2875</v>
      </c>
      <c r="C168" s="28" t="s">
        <v>493</v>
      </c>
      <c r="H168" s="159">
        <f t="shared" ref="H168:T168" si="57">H167</f>
        <v>0</v>
      </c>
      <c r="I168" s="159">
        <f t="shared" si="57"/>
        <v>0</v>
      </c>
      <c r="J168" s="159">
        <f t="shared" si="57"/>
        <v>0</v>
      </c>
      <c r="K168" s="159">
        <f t="shared" si="57"/>
        <v>0</v>
      </c>
      <c r="L168" s="159">
        <f t="shared" si="57"/>
        <v>0</v>
      </c>
      <c r="M168" s="159">
        <f t="shared" si="57"/>
        <v>0</v>
      </c>
      <c r="N168" s="159">
        <f t="shared" si="57"/>
        <v>0</v>
      </c>
      <c r="O168" s="159">
        <f t="shared" si="57"/>
        <v>0</v>
      </c>
      <c r="P168" s="159">
        <f t="shared" si="57"/>
        <v>0</v>
      </c>
      <c r="Q168" s="159">
        <f t="shared" si="57"/>
        <v>0</v>
      </c>
      <c r="R168" s="159">
        <f t="shared" si="57"/>
        <v>0</v>
      </c>
      <c r="S168" s="159">
        <f t="shared" si="57"/>
        <v>0</v>
      </c>
      <c r="T168" s="159">
        <f t="shared" si="57"/>
        <v>0</v>
      </c>
    </row>
    <row r="169" spans="2:20" x14ac:dyDescent="0.25">
      <c r="B169" s="23" t="s">
        <v>2876</v>
      </c>
      <c r="C169" s="28" t="s">
        <v>493</v>
      </c>
      <c r="H169" s="159">
        <f>Inputs!H522*MAX(0,H168)</f>
        <v>0</v>
      </c>
      <c r="I169" s="159">
        <f>Inputs!I522*MAX(0,I168)</f>
        <v>0</v>
      </c>
      <c r="J169" s="159">
        <f>Inputs!J522*MAX(0,J168)</f>
        <v>0</v>
      </c>
      <c r="K169" s="159">
        <f>Inputs!K522*MAX(0,K168)</f>
        <v>0</v>
      </c>
      <c r="L169" s="159">
        <f>Inputs!L522*MAX(0,L168)</f>
        <v>0</v>
      </c>
      <c r="M169" s="159">
        <f>Inputs!M522*MAX(0,M168)</f>
        <v>0</v>
      </c>
      <c r="N169" s="159">
        <f>Inputs!N522*MAX(0,N168)</f>
        <v>0</v>
      </c>
      <c r="O169" s="159">
        <f>Inputs!O522*MAX(0,O168)</f>
        <v>0</v>
      </c>
      <c r="P169" s="159">
        <f>Inputs!P522*MAX(0,P168)</f>
        <v>0</v>
      </c>
      <c r="Q169" s="159">
        <f>Inputs!Q522*MAX(0,Q168)</f>
        <v>0</v>
      </c>
      <c r="R169" s="159">
        <f>Inputs!R522*MAX(0,R168)</f>
        <v>0</v>
      </c>
      <c r="S169" s="159">
        <f>Inputs!S522*MAX(0,S168)</f>
        <v>0</v>
      </c>
      <c r="T169" s="159">
        <f>Inputs!T522*MAX(0,T168)</f>
        <v>0</v>
      </c>
    </row>
    <row r="170" spans="2:20" x14ac:dyDescent="0.25">
      <c r="B170" s="23" t="s">
        <v>2877</v>
      </c>
      <c r="C170" s="28" t="s">
        <v>493</v>
      </c>
      <c r="H170" s="159">
        <f>Inputs!H522*MAX(0,H167)</f>
        <v>0</v>
      </c>
      <c r="I170" s="159">
        <f>Inputs!I522*MAX(0,I167)</f>
        <v>0</v>
      </c>
      <c r="J170" s="159">
        <f>Inputs!J522*MAX(0,J167)</f>
        <v>0</v>
      </c>
      <c r="K170" s="159">
        <f>Inputs!K522*MAX(0,K167)</f>
        <v>0</v>
      </c>
      <c r="L170" s="159">
        <f>Inputs!L522*MAX(0,L167)</f>
        <v>0</v>
      </c>
      <c r="M170" s="159">
        <f>Inputs!M522*MAX(0,M167)</f>
        <v>0</v>
      </c>
      <c r="N170" s="159">
        <f>Inputs!N522*MAX(0,N167)</f>
        <v>0</v>
      </c>
      <c r="O170" s="159">
        <f>Inputs!O522*MAX(0,O167)</f>
        <v>0</v>
      </c>
      <c r="P170" s="159">
        <f>Inputs!P522*MAX(0,P167)</f>
        <v>0</v>
      </c>
      <c r="Q170" s="159">
        <f>Inputs!Q522*MAX(0,Q167)</f>
        <v>0</v>
      </c>
      <c r="R170" s="159">
        <f>Inputs!R522*MAX(0,R167)</f>
        <v>0</v>
      </c>
      <c r="S170" s="159">
        <f>Inputs!S522*MAX(0,S167)</f>
        <v>0</v>
      </c>
      <c r="T170" s="159">
        <f>Inputs!T522*MAX(0,T167)</f>
        <v>0</v>
      </c>
    </row>
    <row r="171" spans="2:20" x14ac:dyDescent="0.25">
      <c r="B171" s="23" t="s">
        <v>2878</v>
      </c>
      <c r="C171" s="28" t="s">
        <v>493</v>
      </c>
      <c r="H171" s="159">
        <f t="shared" ref="H171:T171" si="58">H168-H169</f>
        <v>0</v>
      </c>
      <c r="I171" s="159">
        <f t="shared" si="58"/>
        <v>0</v>
      </c>
      <c r="J171" s="159">
        <f t="shared" si="58"/>
        <v>0</v>
      </c>
      <c r="K171" s="159">
        <f t="shared" si="58"/>
        <v>0</v>
      </c>
      <c r="L171" s="159">
        <f t="shared" si="58"/>
        <v>0</v>
      </c>
      <c r="M171" s="159">
        <f t="shared" si="58"/>
        <v>0</v>
      </c>
      <c r="N171" s="159">
        <f t="shared" si="58"/>
        <v>0</v>
      </c>
      <c r="O171" s="159">
        <f t="shared" si="58"/>
        <v>0</v>
      </c>
      <c r="P171" s="159">
        <f t="shared" si="58"/>
        <v>0</v>
      </c>
      <c r="Q171" s="159">
        <f t="shared" si="58"/>
        <v>0</v>
      </c>
      <c r="R171" s="159">
        <f t="shared" si="58"/>
        <v>0</v>
      </c>
      <c r="S171" s="159">
        <f t="shared" si="58"/>
        <v>0</v>
      </c>
      <c r="T171" s="159">
        <f t="shared" si="58"/>
        <v>0</v>
      </c>
    </row>
    <row r="172" spans="2:20" x14ac:dyDescent="0.25">
      <c r="B172" s="23" t="str">
        <f>"P17  "&amp;Inputs!$E$639&amp;" - EBIT (placeholder line, not in v29; taxed like a v29 line)"</f>
        <v>P17  Pipeline Project 2 - EBIT (placeholder line, not in v29; taxed like a v29 line)</v>
      </c>
      <c r="C172" s="28" t="s">
        <v>493</v>
      </c>
      <c r="H172" s="159">
        <f>'Cost Calculation'!H192-'Capex &amp; Depreciation'!H251</f>
        <v>0</v>
      </c>
      <c r="I172" s="159">
        <f>'Cost Calculation'!I192-'Capex &amp; Depreciation'!I251</f>
        <v>0</v>
      </c>
      <c r="J172" s="159">
        <f>'Cost Calculation'!J192-'Capex &amp; Depreciation'!J251</f>
        <v>0</v>
      </c>
      <c r="K172" s="159">
        <f>'Cost Calculation'!K192-'Capex &amp; Depreciation'!K251</f>
        <v>0</v>
      </c>
      <c r="L172" s="159">
        <f>'Cost Calculation'!L192-'Capex &amp; Depreciation'!L251</f>
        <v>0</v>
      </c>
      <c r="M172" s="159">
        <f>'Cost Calculation'!M192-'Capex &amp; Depreciation'!M251</f>
        <v>0</v>
      </c>
      <c r="N172" s="159">
        <f>'Cost Calculation'!N192-'Capex &amp; Depreciation'!N251</f>
        <v>0</v>
      </c>
      <c r="O172" s="159">
        <f>'Cost Calculation'!O192-'Capex &amp; Depreciation'!O251</f>
        <v>0</v>
      </c>
      <c r="P172" s="159">
        <f>'Cost Calculation'!P192-'Capex &amp; Depreciation'!P251</f>
        <v>0</v>
      </c>
      <c r="Q172" s="159">
        <f>'Cost Calculation'!Q192-'Capex &amp; Depreciation'!Q251</f>
        <v>0</v>
      </c>
      <c r="R172" s="159">
        <f>'Cost Calculation'!R192-'Capex &amp; Depreciation'!R251</f>
        <v>0</v>
      </c>
      <c r="S172" s="159">
        <f>'Cost Calculation'!S192-'Capex &amp; Depreciation'!S251</f>
        <v>0</v>
      </c>
      <c r="T172" s="159">
        <f>'Cost Calculation'!T192-'Capex &amp; Depreciation'!T251</f>
        <v>0</v>
      </c>
    </row>
    <row r="173" spans="2:20" x14ac:dyDescent="0.25">
      <c r="B173" s="23" t="s">
        <v>2879</v>
      </c>
      <c r="C173" s="28" t="s">
        <v>493</v>
      </c>
      <c r="H173" s="159">
        <f t="shared" ref="H173:T173" si="59">H172</f>
        <v>0</v>
      </c>
      <c r="I173" s="159">
        <f t="shared" si="59"/>
        <v>0</v>
      </c>
      <c r="J173" s="159">
        <f t="shared" si="59"/>
        <v>0</v>
      </c>
      <c r="K173" s="159">
        <f t="shared" si="59"/>
        <v>0</v>
      </c>
      <c r="L173" s="159">
        <f t="shared" si="59"/>
        <v>0</v>
      </c>
      <c r="M173" s="159">
        <f t="shared" si="59"/>
        <v>0</v>
      </c>
      <c r="N173" s="159">
        <f t="shared" si="59"/>
        <v>0</v>
      </c>
      <c r="O173" s="159">
        <f t="shared" si="59"/>
        <v>0</v>
      </c>
      <c r="P173" s="159">
        <f t="shared" si="59"/>
        <v>0</v>
      </c>
      <c r="Q173" s="159">
        <f t="shared" si="59"/>
        <v>0</v>
      </c>
      <c r="R173" s="159">
        <f t="shared" si="59"/>
        <v>0</v>
      </c>
      <c r="S173" s="159">
        <f t="shared" si="59"/>
        <v>0</v>
      </c>
      <c r="T173" s="159">
        <f t="shared" si="59"/>
        <v>0</v>
      </c>
    </row>
    <row r="174" spans="2:20" x14ac:dyDescent="0.25">
      <c r="B174" s="23" t="s">
        <v>2880</v>
      </c>
      <c r="C174" s="28" t="s">
        <v>493</v>
      </c>
      <c r="H174" s="159">
        <f>Inputs!H522*MAX(0,H173)</f>
        <v>0</v>
      </c>
      <c r="I174" s="159">
        <f>Inputs!I522*MAX(0,I173)</f>
        <v>0</v>
      </c>
      <c r="J174" s="159">
        <f>Inputs!J522*MAX(0,J173)</f>
        <v>0</v>
      </c>
      <c r="K174" s="159">
        <f>Inputs!K522*MAX(0,K173)</f>
        <v>0</v>
      </c>
      <c r="L174" s="159">
        <f>Inputs!L522*MAX(0,L173)</f>
        <v>0</v>
      </c>
      <c r="M174" s="159">
        <f>Inputs!M522*MAX(0,M173)</f>
        <v>0</v>
      </c>
      <c r="N174" s="159">
        <f>Inputs!N522*MAX(0,N173)</f>
        <v>0</v>
      </c>
      <c r="O174" s="159">
        <f>Inputs!O522*MAX(0,O173)</f>
        <v>0</v>
      </c>
      <c r="P174" s="159">
        <f>Inputs!P522*MAX(0,P173)</f>
        <v>0</v>
      </c>
      <c r="Q174" s="159">
        <f>Inputs!Q522*MAX(0,Q173)</f>
        <v>0</v>
      </c>
      <c r="R174" s="159">
        <f>Inputs!R522*MAX(0,R173)</f>
        <v>0</v>
      </c>
      <c r="S174" s="159">
        <f>Inputs!S522*MAX(0,S173)</f>
        <v>0</v>
      </c>
      <c r="T174" s="159">
        <f>Inputs!T522*MAX(0,T173)</f>
        <v>0</v>
      </c>
    </row>
    <row r="175" spans="2:20" x14ac:dyDescent="0.25">
      <c r="B175" s="23" t="s">
        <v>2881</v>
      </c>
      <c r="C175" s="28" t="s">
        <v>493</v>
      </c>
      <c r="H175" s="159">
        <f>Inputs!H522*MAX(0,H172)</f>
        <v>0</v>
      </c>
      <c r="I175" s="159">
        <f>Inputs!I522*MAX(0,I172)</f>
        <v>0</v>
      </c>
      <c r="J175" s="159">
        <f>Inputs!J522*MAX(0,J172)</f>
        <v>0</v>
      </c>
      <c r="K175" s="159">
        <f>Inputs!K522*MAX(0,K172)</f>
        <v>0</v>
      </c>
      <c r="L175" s="159">
        <f>Inputs!L522*MAX(0,L172)</f>
        <v>0</v>
      </c>
      <c r="M175" s="159">
        <f>Inputs!M522*MAX(0,M172)</f>
        <v>0</v>
      </c>
      <c r="N175" s="159">
        <f>Inputs!N522*MAX(0,N172)</f>
        <v>0</v>
      </c>
      <c r="O175" s="159">
        <f>Inputs!O522*MAX(0,O172)</f>
        <v>0</v>
      </c>
      <c r="P175" s="159">
        <f>Inputs!P522*MAX(0,P172)</f>
        <v>0</v>
      </c>
      <c r="Q175" s="159">
        <f>Inputs!Q522*MAX(0,Q172)</f>
        <v>0</v>
      </c>
      <c r="R175" s="159">
        <f>Inputs!R522*MAX(0,R172)</f>
        <v>0</v>
      </c>
      <c r="S175" s="159">
        <f>Inputs!S522*MAX(0,S172)</f>
        <v>0</v>
      </c>
      <c r="T175" s="159">
        <f>Inputs!T522*MAX(0,T172)</f>
        <v>0</v>
      </c>
    </row>
    <row r="176" spans="2:20" x14ac:dyDescent="0.25">
      <c r="B176" s="23" t="s">
        <v>2882</v>
      </c>
      <c r="C176" s="28" t="s">
        <v>493</v>
      </c>
      <c r="H176" s="159">
        <f t="shared" ref="H176:T176" si="60">H173-H174</f>
        <v>0</v>
      </c>
      <c r="I176" s="159">
        <f t="shared" si="60"/>
        <v>0</v>
      </c>
      <c r="J176" s="159">
        <f t="shared" si="60"/>
        <v>0</v>
      </c>
      <c r="K176" s="159">
        <f t="shared" si="60"/>
        <v>0</v>
      </c>
      <c r="L176" s="159">
        <f t="shared" si="60"/>
        <v>0</v>
      </c>
      <c r="M176" s="159">
        <f t="shared" si="60"/>
        <v>0</v>
      </c>
      <c r="N176" s="159">
        <f t="shared" si="60"/>
        <v>0</v>
      </c>
      <c r="O176" s="159">
        <f t="shared" si="60"/>
        <v>0</v>
      </c>
      <c r="P176" s="159">
        <f t="shared" si="60"/>
        <v>0</v>
      </c>
      <c r="Q176" s="159">
        <f t="shared" si="60"/>
        <v>0</v>
      </c>
      <c r="R176" s="159">
        <f t="shared" si="60"/>
        <v>0</v>
      </c>
      <c r="S176" s="159">
        <f t="shared" si="60"/>
        <v>0</v>
      </c>
      <c r="T176" s="159">
        <f t="shared" si="60"/>
        <v>0</v>
      </c>
    </row>
    <row r="177" spans="2:20" x14ac:dyDescent="0.25">
      <c r="B177" s="23" t="str">
        <f>"P18  "&amp;Inputs!$E$673&amp;" - EBIT (placeholder line, not in v29; taxed like a v29 line)"</f>
        <v>P18  Pipeline Project 3 - EBIT (placeholder line, not in v29; taxed like a v29 line)</v>
      </c>
      <c r="C177" s="28" t="s">
        <v>493</v>
      </c>
      <c r="H177" s="159">
        <f>'Cost Calculation'!H198-'Capex &amp; Depreciation'!H252</f>
        <v>0</v>
      </c>
      <c r="I177" s="159">
        <f>'Cost Calculation'!I198-'Capex &amp; Depreciation'!I252</f>
        <v>0</v>
      </c>
      <c r="J177" s="159">
        <f>'Cost Calculation'!J198-'Capex &amp; Depreciation'!J252</f>
        <v>0</v>
      </c>
      <c r="K177" s="159">
        <f>'Cost Calculation'!K198-'Capex &amp; Depreciation'!K252</f>
        <v>0</v>
      </c>
      <c r="L177" s="159">
        <f>'Cost Calculation'!L198-'Capex &amp; Depreciation'!L252</f>
        <v>0</v>
      </c>
      <c r="M177" s="159">
        <f>'Cost Calculation'!M198-'Capex &amp; Depreciation'!M252</f>
        <v>0</v>
      </c>
      <c r="N177" s="159">
        <f>'Cost Calculation'!N198-'Capex &amp; Depreciation'!N252</f>
        <v>0</v>
      </c>
      <c r="O177" s="159">
        <f>'Cost Calculation'!O198-'Capex &amp; Depreciation'!O252</f>
        <v>0</v>
      </c>
      <c r="P177" s="159">
        <f>'Cost Calculation'!P198-'Capex &amp; Depreciation'!P252</f>
        <v>0</v>
      </c>
      <c r="Q177" s="159">
        <f>'Cost Calculation'!Q198-'Capex &amp; Depreciation'!Q252</f>
        <v>0</v>
      </c>
      <c r="R177" s="159">
        <f>'Cost Calculation'!R198-'Capex &amp; Depreciation'!R252</f>
        <v>0</v>
      </c>
      <c r="S177" s="159">
        <f>'Cost Calculation'!S198-'Capex &amp; Depreciation'!S252</f>
        <v>0</v>
      </c>
      <c r="T177" s="159">
        <f>'Cost Calculation'!T198-'Capex &amp; Depreciation'!T252</f>
        <v>0</v>
      </c>
    </row>
    <row r="178" spans="2:20" x14ac:dyDescent="0.25">
      <c r="B178" s="23" t="s">
        <v>2883</v>
      </c>
      <c r="C178" s="28" t="s">
        <v>493</v>
      </c>
      <c r="H178" s="159">
        <f t="shared" ref="H178:T178" si="61">H177</f>
        <v>0</v>
      </c>
      <c r="I178" s="159">
        <f t="shared" si="61"/>
        <v>0</v>
      </c>
      <c r="J178" s="159">
        <f t="shared" si="61"/>
        <v>0</v>
      </c>
      <c r="K178" s="159">
        <f t="shared" si="61"/>
        <v>0</v>
      </c>
      <c r="L178" s="159">
        <f t="shared" si="61"/>
        <v>0</v>
      </c>
      <c r="M178" s="159">
        <f t="shared" si="61"/>
        <v>0</v>
      </c>
      <c r="N178" s="159">
        <f t="shared" si="61"/>
        <v>0</v>
      </c>
      <c r="O178" s="159">
        <f t="shared" si="61"/>
        <v>0</v>
      </c>
      <c r="P178" s="159">
        <f t="shared" si="61"/>
        <v>0</v>
      </c>
      <c r="Q178" s="159">
        <f t="shared" si="61"/>
        <v>0</v>
      </c>
      <c r="R178" s="159">
        <f t="shared" si="61"/>
        <v>0</v>
      </c>
      <c r="S178" s="159">
        <f t="shared" si="61"/>
        <v>0</v>
      </c>
      <c r="T178" s="159">
        <f t="shared" si="61"/>
        <v>0</v>
      </c>
    </row>
    <row r="179" spans="2:20" x14ac:dyDescent="0.25">
      <c r="B179" s="23" t="s">
        <v>2884</v>
      </c>
      <c r="C179" s="28" t="s">
        <v>493</v>
      </c>
      <c r="H179" s="159">
        <f>Inputs!H522*MAX(0,H178)</f>
        <v>0</v>
      </c>
      <c r="I179" s="159">
        <f>Inputs!I522*MAX(0,I178)</f>
        <v>0</v>
      </c>
      <c r="J179" s="159">
        <f>Inputs!J522*MAX(0,J178)</f>
        <v>0</v>
      </c>
      <c r="K179" s="159">
        <f>Inputs!K522*MAX(0,K178)</f>
        <v>0</v>
      </c>
      <c r="L179" s="159">
        <f>Inputs!L522*MAX(0,L178)</f>
        <v>0</v>
      </c>
      <c r="M179" s="159">
        <f>Inputs!M522*MAX(0,M178)</f>
        <v>0</v>
      </c>
      <c r="N179" s="159">
        <f>Inputs!N522*MAX(0,N178)</f>
        <v>0</v>
      </c>
      <c r="O179" s="159">
        <f>Inputs!O522*MAX(0,O178)</f>
        <v>0</v>
      </c>
      <c r="P179" s="159">
        <f>Inputs!P522*MAX(0,P178)</f>
        <v>0</v>
      </c>
      <c r="Q179" s="159">
        <f>Inputs!Q522*MAX(0,Q178)</f>
        <v>0</v>
      </c>
      <c r="R179" s="159">
        <f>Inputs!R522*MAX(0,R178)</f>
        <v>0</v>
      </c>
      <c r="S179" s="159">
        <f>Inputs!S522*MAX(0,S178)</f>
        <v>0</v>
      </c>
      <c r="T179" s="159">
        <f>Inputs!T522*MAX(0,T178)</f>
        <v>0</v>
      </c>
    </row>
    <row r="180" spans="2:20" x14ac:dyDescent="0.25">
      <c r="B180" s="23" t="s">
        <v>2885</v>
      </c>
      <c r="C180" s="28" t="s">
        <v>493</v>
      </c>
      <c r="H180" s="159">
        <f>Inputs!H522*MAX(0,H177)</f>
        <v>0</v>
      </c>
      <c r="I180" s="159">
        <f>Inputs!I522*MAX(0,I177)</f>
        <v>0</v>
      </c>
      <c r="J180" s="159">
        <f>Inputs!J522*MAX(0,J177)</f>
        <v>0</v>
      </c>
      <c r="K180" s="159">
        <f>Inputs!K522*MAX(0,K177)</f>
        <v>0</v>
      </c>
      <c r="L180" s="159">
        <f>Inputs!L522*MAX(0,L177)</f>
        <v>0</v>
      </c>
      <c r="M180" s="159">
        <f>Inputs!M522*MAX(0,M177)</f>
        <v>0</v>
      </c>
      <c r="N180" s="159">
        <f>Inputs!N522*MAX(0,N177)</f>
        <v>0</v>
      </c>
      <c r="O180" s="159">
        <f>Inputs!O522*MAX(0,O177)</f>
        <v>0</v>
      </c>
      <c r="P180" s="159">
        <f>Inputs!P522*MAX(0,P177)</f>
        <v>0</v>
      </c>
      <c r="Q180" s="159">
        <f>Inputs!Q522*MAX(0,Q177)</f>
        <v>0</v>
      </c>
      <c r="R180" s="159">
        <f>Inputs!R522*MAX(0,R177)</f>
        <v>0</v>
      </c>
      <c r="S180" s="159">
        <f>Inputs!S522*MAX(0,S177)</f>
        <v>0</v>
      </c>
      <c r="T180" s="159">
        <f>Inputs!T522*MAX(0,T177)</f>
        <v>0</v>
      </c>
    </row>
    <row r="181" spans="2:20" x14ac:dyDescent="0.25">
      <c r="B181" s="23" t="s">
        <v>2886</v>
      </c>
      <c r="C181" s="28" t="s">
        <v>493</v>
      </c>
      <c r="H181" s="159">
        <f t="shared" ref="H181:T181" si="62">H178-H179</f>
        <v>0</v>
      </c>
      <c r="I181" s="159">
        <f t="shared" si="62"/>
        <v>0</v>
      </c>
      <c r="J181" s="159">
        <f t="shared" si="62"/>
        <v>0</v>
      </c>
      <c r="K181" s="159">
        <f t="shared" si="62"/>
        <v>0</v>
      </c>
      <c r="L181" s="159">
        <f t="shared" si="62"/>
        <v>0</v>
      </c>
      <c r="M181" s="159">
        <f t="shared" si="62"/>
        <v>0</v>
      </c>
      <c r="N181" s="159">
        <f t="shared" si="62"/>
        <v>0</v>
      </c>
      <c r="O181" s="159">
        <f t="shared" si="62"/>
        <v>0</v>
      </c>
      <c r="P181" s="159">
        <f t="shared" si="62"/>
        <v>0</v>
      </c>
      <c r="Q181" s="159">
        <f t="shared" si="62"/>
        <v>0</v>
      </c>
      <c r="R181" s="159">
        <f t="shared" si="62"/>
        <v>0</v>
      </c>
      <c r="S181" s="159">
        <f t="shared" si="62"/>
        <v>0</v>
      </c>
      <c r="T181" s="159">
        <f t="shared" si="62"/>
        <v>0</v>
      </c>
    </row>
    <row r="182" spans="2:20" ht="26.25" customHeight="1" x14ac:dyDescent="0.25">
      <c r="B182" s="64" t="s">
        <v>2887</v>
      </c>
      <c r="C182" s="28" t="s">
        <v>493</v>
      </c>
      <c r="H182" s="159">
        <f>'Cost Calculation'!H214-'Capex &amp; Depreciation'!H253</f>
        <v>0</v>
      </c>
      <c r="I182" s="159">
        <f>'Cost Calculation'!I214-'Capex &amp; Depreciation'!I253</f>
        <v>0</v>
      </c>
      <c r="J182" s="159">
        <f>'Cost Calculation'!J214-'Capex &amp; Depreciation'!J253</f>
        <v>0</v>
      </c>
      <c r="K182" s="159">
        <f>'Cost Calculation'!K214-'Capex &amp; Depreciation'!K253</f>
        <v>0</v>
      </c>
      <c r="L182" s="159">
        <f>'Cost Calculation'!L214-'Capex &amp; Depreciation'!L253</f>
        <v>-1.5</v>
      </c>
      <c r="M182" s="159">
        <f>'Cost Calculation'!M214-'Capex &amp; Depreciation'!M253</f>
        <v>1.8200429500342192</v>
      </c>
      <c r="N182" s="159">
        <f>'Cost Calculation'!N214-'Capex &amp; Depreciation'!N253</f>
        <v>8.6247929500342195</v>
      </c>
      <c r="O182" s="159">
        <f>'Cost Calculation'!O214-'Capex &amp; Depreciation'!O253</f>
        <v>13.161292950034222</v>
      </c>
      <c r="P182" s="159">
        <f>'Cost Calculation'!P214-'Capex &amp; Depreciation'!P253</f>
        <v>15.398371149897327</v>
      </c>
      <c r="Q182" s="159">
        <f>'Cost Calculation'!Q214-'Capex &amp; Depreciation'!Q253</f>
        <v>15.42954295003422</v>
      </c>
      <c r="R182" s="159">
        <f>'Cost Calculation'!R214-'Capex &amp; Depreciation'!R253</f>
        <v>15.429542950034229</v>
      </c>
      <c r="S182" s="159">
        <f>'Cost Calculation'!S214-'Capex &amp; Depreciation'!S253</f>
        <v>15.42954295003422</v>
      </c>
      <c r="T182" s="159">
        <f>'Cost Calculation'!T214-'Capex &amp; Depreciation'!T253</f>
        <v>15.398371149897327</v>
      </c>
    </row>
    <row r="183" spans="2:20" x14ac:dyDescent="0.25">
      <c r="B183" s="23" t="s">
        <v>2888</v>
      </c>
      <c r="C183" s="28" t="s">
        <v>493</v>
      </c>
      <c r="H183" s="159">
        <f>H182-Financing!H54</f>
        <v>0</v>
      </c>
      <c r="I183" s="159">
        <f>I182-Financing!I54</f>
        <v>0</v>
      </c>
      <c r="J183" s="159">
        <f>J182-Financing!J54</f>
        <v>0</v>
      </c>
      <c r="K183" s="159">
        <f>K182-Financing!K54</f>
        <v>0</v>
      </c>
      <c r="L183" s="159">
        <f>L182-Financing!L54</f>
        <v>-4.9156499999999994</v>
      </c>
      <c r="M183" s="159">
        <f>M182-Financing!M54</f>
        <v>-6.7190820499657811</v>
      </c>
      <c r="N183" s="159">
        <f>N182-Financing!N54</f>
        <v>8.5667950034219231E-2</v>
      </c>
      <c r="O183" s="159">
        <f>O182-Financing!O54</f>
        <v>5.3052979500342214</v>
      </c>
      <c r="P183" s="159">
        <f>P182-Financing!P54</f>
        <v>9.2502011498973271</v>
      </c>
      <c r="Q183" s="159">
        <f>Q182-Financing!Q54</f>
        <v>10.989197950034221</v>
      </c>
      <c r="R183" s="159">
        <f>R182-Financing!R54</f>
        <v>12.697022950034228</v>
      </c>
      <c r="S183" s="159">
        <f>S182-Financing!S54</f>
        <v>14.40484795003422</v>
      </c>
      <c r="T183" s="159">
        <f>T182-Financing!T54</f>
        <v>15.398371149897327</v>
      </c>
    </row>
    <row r="184" spans="2:20" x14ac:dyDescent="0.25">
      <c r="B184" s="23" t="s">
        <v>2889</v>
      </c>
      <c r="C184" s="28" t="s">
        <v>493</v>
      </c>
      <c r="H184" s="159">
        <f>Inputs!H522*MAX(0,H183)</f>
        <v>0</v>
      </c>
      <c r="I184" s="159">
        <f>Inputs!I522*MAX(0,I183)</f>
        <v>0</v>
      </c>
      <c r="J184" s="159">
        <f>Inputs!J522*MAX(0,J183)</f>
        <v>0</v>
      </c>
      <c r="K184" s="159">
        <f>Inputs!K522*MAX(0,K183)</f>
        <v>0</v>
      </c>
      <c r="L184" s="159">
        <f>Inputs!L522*MAX(0,L183)</f>
        <v>0</v>
      </c>
      <c r="M184" s="159">
        <f>Inputs!M522*MAX(0,M183)</f>
        <v>0</v>
      </c>
      <c r="N184" s="159">
        <f>Inputs!N522*MAX(0,N183)</f>
        <v>1.884694900752823E-2</v>
      </c>
      <c r="O184" s="159">
        <f>Inputs!O522*MAX(0,O183)</f>
        <v>1.1671655490075288</v>
      </c>
      <c r="P184" s="159">
        <f>Inputs!P522*MAX(0,P183)</f>
        <v>2.035044252977412</v>
      </c>
      <c r="Q184" s="159">
        <f>Inputs!Q522*MAX(0,Q183)</f>
        <v>2.4176235490075286</v>
      </c>
      <c r="R184" s="159">
        <f>Inputs!R522*MAX(0,R183)</f>
        <v>2.79334504900753</v>
      </c>
      <c r="S184" s="159">
        <f>Inputs!S522*MAX(0,S183)</f>
        <v>3.1690665490075287</v>
      </c>
      <c r="T184" s="159">
        <f>Inputs!T522*MAX(0,T183)</f>
        <v>3.387641652977412</v>
      </c>
    </row>
    <row r="185" spans="2:20" x14ac:dyDescent="0.25">
      <c r="B185" s="23" t="s">
        <v>2890</v>
      </c>
      <c r="C185" s="28" t="s">
        <v>493</v>
      </c>
      <c r="H185" s="159">
        <f>Inputs!H522*MAX(0,H182)</f>
        <v>0</v>
      </c>
      <c r="I185" s="159">
        <f>Inputs!I522*MAX(0,I182)</f>
        <v>0</v>
      </c>
      <c r="J185" s="159">
        <f>Inputs!J522*MAX(0,J182)</f>
        <v>0</v>
      </c>
      <c r="K185" s="159">
        <f>Inputs!K522*MAX(0,K182)</f>
        <v>0</v>
      </c>
      <c r="L185" s="159">
        <f>Inputs!L522*MAX(0,L182)</f>
        <v>0</v>
      </c>
      <c r="M185" s="159">
        <f>Inputs!M522*MAX(0,M182)</f>
        <v>0.40040944900752823</v>
      </c>
      <c r="N185" s="159">
        <f>Inputs!N522*MAX(0,N182)</f>
        <v>1.8974544490075282</v>
      </c>
      <c r="O185" s="159">
        <f>Inputs!O522*MAX(0,O182)</f>
        <v>2.8954844490075287</v>
      </c>
      <c r="P185" s="159">
        <f>Inputs!P522*MAX(0,P182)</f>
        <v>3.387641652977412</v>
      </c>
      <c r="Q185" s="159">
        <f>Inputs!Q522*MAX(0,Q182)</f>
        <v>3.3944994490075282</v>
      </c>
      <c r="R185" s="159">
        <f>Inputs!R522*MAX(0,R182)</f>
        <v>3.3944994490075304</v>
      </c>
      <c r="S185" s="159">
        <f>Inputs!S522*MAX(0,S182)</f>
        <v>3.3944994490075282</v>
      </c>
      <c r="T185" s="159">
        <f>Inputs!T522*MAX(0,T182)</f>
        <v>3.387641652977412</v>
      </c>
    </row>
    <row r="186" spans="2:20" x14ac:dyDescent="0.25">
      <c r="B186" s="23" t="s">
        <v>2891</v>
      </c>
      <c r="C186" s="28" t="s">
        <v>493</v>
      </c>
      <c r="H186" s="159">
        <f t="shared" ref="H186:T186" si="63">H183-H184</f>
        <v>0</v>
      </c>
      <c r="I186" s="159">
        <f t="shared" si="63"/>
        <v>0</v>
      </c>
      <c r="J186" s="159">
        <f t="shared" si="63"/>
        <v>0</v>
      </c>
      <c r="K186" s="159">
        <f t="shared" si="63"/>
        <v>0</v>
      </c>
      <c r="L186" s="159">
        <f t="shared" si="63"/>
        <v>-4.9156499999999994</v>
      </c>
      <c r="M186" s="159">
        <f t="shared" si="63"/>
        <v>-6.7190820499657811</v>
      </c>
      <c r="N186" s="159">
        <f t="shared" si="63"/>
        <v>6.6821001026691002E-2</v>
      </c>
      <c r="O186" s="159">
        <f t="shared" si="63"/>
        <v>4.1381324010266924</v>
      </c>
      <c r="P186" s="159">
        <f t="shared" si="63"/>
        <v>7.2151568969199147</v>
      </c>
      <c r="Q186" s="159">
        <f t="shared" si="63"/>
        <v>8.5715744010266928</v>
      </c>
      <c r="R186" s="159">
        <f t="shared" si="63"/>
        <v>9.9036779010266969</v>
      </c>
      <c r="S186" s="159">
        <f t="shared" si="63"/>
        <v>11.235781401026692</v>
      </c>
      <c r="T186" s="159">
        <f t="shared" si="63"/>
        <v>12.010729496919915</v>
      </c>
    </row>
    <row r="187" spans="2:20" ht="38.25" customHeight="1" x14ac:dyDescent="0.25">
      <c r="B187" s="64" t="s">
        <v>2892</v>
      </c>
      <c r="C187" s="28" t="s">
        <v>493</v>
      </c>
      <c r="H187" s="159">
        <f>H66+H70-Financing!H34+H73</f>
        <v>0</v>
      </c>
      <c r="I187" s="159">
        <f>I66+I70-Financing!I34+I73</f>
        <v>0</v>
      </c>
      <c r="J187" s="159">
        <f>J66+J70-Financing!J34+J73</f>
        <v>0</v>
      </c>
      <c r="K187" s="159">
        <f>K66+K70-Financing!K34+K73</f>
        <v>0</v>
      </c>
      <c r="L187" s="159">
        <f>L66+L70-Financing!L34+L73</f>
        <v>0</v>
      </c>
      <c r="M187" s="159">
        <f>M66+M70-Financing!M34+M73</f>
        <v>0</v>
      </c>
      <c r="N187" s="159">
        <f>N66+N70-Financing!N34+N73</f>
        <v>0</v>
      </c>
      <c r="O187" s="159">
        <f>O66+O70-Financing!O34+O73</f>
        <v>0</v>
      </c>
      <c r="P187" s="159">
        <f>P66+P70-Financing!P34+P73</f>
        <v>0</v>
      </c>
      <c r="Q187" s="159">
        <f>Q66+Q70-Financing!Q34+Q73</f>
        <v>0</v>
      </c>
      <c r="R187" s="159">
        <f>R66+R70-Financing!R34+R73</f>
        <v>0</v>
      </c>
      <c r="S187" s="159">
        <f>S66+S70-Financing!S34+S73</f>
        <v>0</v>
      </c>
      <c r="T187" s="159">
        <f>T66+T70-Financing!T34+T73</f>
        <v>0</v>
      </c>
    </row>
    <row r="188" spans="2:20" x14ac:dyDescent="0.25">
      <c r="B188" s="23" t="s">
        <v>2893</v>
      </c>
      <c r="C188" s="28" t="s">
        <v>493</v>
      </c>
      <c r="H188" s="159">
        <f>Inputs!H522*MAX(0,H187)</f>
        <v>0</v>
      </c>
      <c r="I188" s="159">
        <f>Inputs!I522*MAX(0,I187)</f>
        <v>0</v>
      </c>
      <c r="J188" s="159">
        <f>Inputs!J522*MAX(0,J187)</f>
        <v>0</v>
      </c>
      <c r="K188" s="159">
        <f>Inputs!K522*MAX(0,K187)</f>
        <v>0</v>
      </c>
      <c r="L188" s="159">
        <f>Inputs!L522*MAX(0,L187)</f>
        <v>0</v>
      </c>
      <c r="M188" s="159">
        <f>Inputs!M522*MAX(0,M187)</f>
        <v>0</v>
      </c>
      <c r="N188" s="159">
        <f>Inputs!N522*MAX(0,N187)</f>
        <v>0</v>
      </c>
      <c r="O188" s="159">
        <f>Inputs!O522*MAX(0,O187)</f>
        <v>0</v>
      </c>
      <c r="P188" s="159">
        <f>Inputs!P522*MAX(0,P187)</f>
        <v>0</v>
      </c>
      <c r="Q188" s="159">
        <f>Inputs!Q522*MAX(0,Q187)</f>
        <v>0</v>
      </c>
      <c r="R188" s="159">
        <f>Inputs!R522*MAX(0,R187)</f>
        <v>0</v>
      </c>
      <c r="S188" s="159">
        <f>Inputs!S522*MAX(0,S187)</f>
        <v>0</v>
      </c>
      <c r="T188" s="159">
        <f>Inputs!T522*MAX(0,T187)</f>
        <v>0</v>
      </c>
    </row>
    <row r="189" spans="2:20" x14ac:dyDescent="0.25">
      <c r="B189" s="21" t="s">
        <v>2894</v>
      </c>
      <c r="C189" s="28" t="s">
        <v>493</v>
      </c>
      <c r="G189" s="157"/>
      <c r="H189" s="158">
        <f t="shared" ref="H189:T189" si="64">H89+H94+H99+H104+H109+H114+H119+H124+H129+H134+H139+H144+H149+H154+H159+H164+H169+H174+H179+H184+H188</f>
        <v>19.962283512427824</v>
      </c>
      <c r="I189" s="158">
        <f t="shared" si="64"/>
        <v>34.011742338910175</v>
      </c>
      <c r="J189" s="158">
        <f t="shared" si="64"/>
        <v>52.286568273349772</v>
      </c>
      <c r="K189" s="158">
        <f t="shared" si="64"/>
        <v>69.25448187053756</v>
      </c>
      <c r="L189" s="158">
        <f t="shared" si="64"/>
        <v>79.691245471648969</v>
      </c>
      <c r="M189" s="158">
        <f t="shared" si="64"/>
        <v>89.972075216019149</v>
      </c>
      <c r="N189" s="158">
        <f t="shared" si="64"/>
        <v>94.460604401384614</v>
      </c>
      <c r="O189" s="158">
        <f t="shared" si="64"/>
        <v>105.03962418641458</v>
      </c>
      <c r="P189" s="158">
        <f t="shared" si="64"/>
        <v>111.77871101869141</v>
      </c>
      <c r="Q189" s="158">
        <f t="shared" si="64"/>
        <v>122.54818660232972</v>
      </c>
      <c r="R189" s="158">
        <f t="shared" si="64"/>
        <v>128.89598710907174</v>
      </c>
      <c r="S189" s="158">
        <f t="shared" si="64"/>
        <v>128.26544114666288</v>
      </c>
      <c r="T189" s="158">
        <f t="shared" si="64"/>
        <v>133.52589358839438</v>
      </c>
    </row>
    <row r="190" spans="2:20" x14ac:dyDescent="0.25">
      <c r="B190" s="21" t="s">
        <v>2895</v>
      </c>
      <c r="C190" s="28" t="s">
        <v>493</v>
      </c>
      <c r="G190" s="157"/>
      <c r="H190" s="158">
        <f t="shared" ref="H190:T190" si="65">H90+H95+H100+H105+H110+H115+H120+H125+H130+H135+H140+H145+H150+H155+H160+H165+H170+H175+H180+H185+H188</f>
        <v>19.962283512427824</v>
      </c>
      <c r="I190" s="158">
        <f t="shared" si="65"/>
        <v>36.944623657090176</v>
      </c>
      <c r="J190" s="158">
        <f t="shared" si="65"/>
        <v>55.219449591529774</v>
      </c>
      <c r="K190" s="158">
        <f t="shared" si="65"/>
        <v>70.708869592703536</v>
      </c>
      <c r="L190" s="158">
        <f t="shared" si="65"/>
        <v>79.691245471648969</v>
      </c>
      <c r="M190" s="158">
        <f t="shared" si="65"/>
        <v>90.372484665026676</v>
      </c>
      <c r="N190" s="158">
        <f t="shared" si="65"/>
        <v>96.339211901384616</v>
      </c>
      <c r="O190" s="158">
        <f t="shared" si="65"/>
        <v>106.76794308641458</v>
      </c>
      <c r="P190" s="158">
        <f t="shared" si="65"/>
        <v>113.1313084186914</v>
      </c>
      <c r="Q190" s="158">
        <f t="shared" si="65"/>
        <v>123.52506250232972</v>
      </c>
      <c r="R190" s="158">
        <f t="shared" si="65"/>
        <v>129.49714150907175</v>
      </c>
      <c r="S190" s="158">
        <f t="shared" si="65"/>
        <v>128.4908740466629</v>
      </c>
      <c r="T190" s="158">
        <f t="shared" si="65"/>
        <v>133.52589358839438</v>
      </c>
    </row>
    <row r="191" spans="2:20" x14ac:dyDescent="0.25">
      <c r="B191" s="23" t="s">
        <v>2896</v>
      </c>
      <c r="C191" s="28" t="s">
        <v>493</v>
      </c>
      <c r="H191" s="161">
        <f t="shared" ref="H191:T191" si="66">ROUND(H88+H93+H98+H103+H108+H113+H118+H123+H128+H133+H138+H143+H148+H153+H158+H163+H168+H173+H178+H183+H187+H72-H75,6)</f>
        <v>0</v>
      </c>
      <c r="I191" s="161">
        <f t="shared" si="66"/>
        <v>0</v>
      </c>
      <c r="J191" s="161">
        <f t="shared" si="66"/>
        <v>0</v>
      </c>
      <c r="K191" s="161">
        <f t="shared" si="66"/>
        <v>0</v>
      </c>
      <c r="L191" s="161">
        <f t="shared" si="66"/>
        <v>0</v>
      </c>
      <c r="M191" s="161">
        <f t="shared" si="66"/>
        <v>0</v>
      </c>
      <c r="N191" s="161">
        <f t="shared" si="66"/>
        <v>0</v>
      </c>
      <c r="O191" s="161">
        <f t="shared" si="66"/>
        <v>0</v>
      </c>
      <c r="P191" s="161">
        <f t="shared" si="66"/>
        <v>0</v>
      </c>
      <c r="Q191" s="161">
        <f t="shared" si="66"/>
        <v>0</v>
      </c>
      <c r="R191" s="161">
        <f t="shared" si="66"/>
        <v>0</v>
      </c>
      <c r="S191" s="161">
        <f t="shared" si="66"/>
        <v>0</v>
      </c>
      <c r="T191" s="161">
        <f t="shared" si="66"/>
        <v>0</v>
      </c>
    </row>
    <row r="192" spans="2:20" x14ac:dyDescent="0.25">
      <c r="B192" s="154" t="s">
        <v>2897</v>
      </c>
    </row>
    <row r="193" spans="2:20" ht="26.25" customHeight="1" x14ac:dyDescent="0.25">
      <c r="B193" s="64" t="s">
        <v>3054</v>
      </c>
      <c r="C193" s="28" t="s">
        <v>493</v>
      </c>
      <c r="H193" s="159">
        <f>('Cost Calculation'!H35-'Capex &amp; Depreciation'!H231)+('Cost Calculation'!H149-'Capex &amp; Depreciation'!H238)+('Cost Calculation'!H165-'Capex &amp; Depreciation'!H242)+('BUMN Synergy Calculation'!H37-'Capex &amp; Depreciation'!H246)</f>
        <v>70.770020272642711</v>
      </c>
      <c r="I193" s="159">
        <f>('Cost Calculation'!I35-'Capex &amp; Depreciation'!I231)+('Cost Calculation'!I149-'Capex &amp; Depreciation'!I238)+('Cost Calculation'!I165-'Capex &amp; Depreciation'!I242)+('BUMN Synergy Calculation'!I37-'Capex &amp; Depreciation'!I246)</f>
        <v>73.672579313635111</v>
      </c>
      <c r="J193" s="159">
        <f>('Cost Calculation'!J35-'Capex &amp; Depreciation'!J231)+('Cost Calculation'!J149-'Capex &amp; Depreciation'!J238)+('Cost Calculation'!J165-'Capex &amp; Depreciation'!J242)+('BUMN Synergy Calculation'!J37-'Capex &amp; Depreciation'!J246)</f>
        <v>104.16131812511067</v>
      </c>
      <c r="K193" s="159">
        <f>('Cost Calculation'!K35-'Capex &amp; Depreciation'!K231)+('Cost Calculation'!K149-'Capex &amp; Depreciation'!K238)+('Cost Calculation'!K165-'Capex &amp; Depreciation'!K242)+('BUMN Synergy Calculation'!K37-'Capex &amp; Depreciation'!K246)</f>
        <v>117.50658168981508</v>
      </c>
      <c r="L193" s="159">
        <f>('Cost Calculation'!L35-'Capex &amp; Depreciation'!L231)+('Cost Calculation'!L149-'Capex &amp; Depreciation'!L238)+('Cost Calculation'!L165-'Capex &amp; Depreciation'!L242)+('BUMN Synergy Calculation'!L37-'Capex &amp; Depreciation'!L246)</f>
        <v>121.48495526903089</v>
      </c>
      <c r="M193" s="159">
        <f>('Cost Calculation'!M35-'Capex &amp; Depreciation'!M231)+('Cost Calculation'!M149-'Capex &amp; Depreciation'!M238)+('Cost Calculation'!M165-'Capex &amp; Depreciation'!M242)+('BUMN Synergy Calculation'!M37-'Capex &amp; Depreciation'!M246)</f>
        <v>129.96760314237517</v>
      </c>
      <c r="N193" s="159">
        <f>('Cost Calculation'!N35-'Capex &amp; Depreciation'!N231)+('Cost Calculation'!N149-'Capex &amp; Depreciation'!N238)+('Cost Calculation'!N165-'Capex &amp; Depreciation'!N242)+('BUMN Synergy Calculation'!N37-'Capex &amp; Depreciation'!N246)</f>
        <v>134.27952869840169</v>
      </c>
      <c r="O193" s="159">
        <f>('Cost Calculation'!O35-'Capex &amp; Depreciation'!O231)+('Cost Calculation'!O149-'Capex &amp; Depreciation'!O238)+('Cost Calculation'!O165-'Capex &amp; Depreciation'!O242)+('BUMN Synergy Calculation'!O37-'Capex &amp; Depreciation'!O246)</f>
        <v>138.68213445152105</v>
      </c>
      <c r="P193" s="159">
        <f>('Cost Calculation'!P35-'Capex &amp; Depreciation'!P231)+('Cost Calculation'!P149-'Capex &amp; Depreciation'!P238)+('Cost Calculation'!P165-'Capex &amp; Depreciation'!P242)+('BUMN Synergy Calculation'!P37-'Capex &amp; Depreciation'!P246)</f>
        <v>148.27802117398164</v>
      </c>
      <c r="Q193" s="159">
        <f>('Cost Calculation'!Q35-'Capex &amp; Depreciation'!Q231)+('Cost Calculation'!Q149-'Capex &amp; Depreciation'!Q238)+('Cost Calculation'!Q165-'Capex &amp; Depreciation'!Q242)+('BUMN Synergy Calculation'!Q37-'Capex &amp; Depreciation'!Q246)</f>
        <v>153.04676386367953</v>
      </c>
      <c r="R193" s="159">
        <f>('Cost Calculation'!R35-'Capex &amp; Depreciation'!R231)+('Cost Calculation'!R149-'Capex &amp; Depreciation'!R238)+('Cost Calculation'!R165-'Capex &amp; Depreciation'!R242)+('BUMN Synergy Calculation'!R37-'Capex &amp; Depreciation'!R246)</f>
        <v>157.91249904373092</v>
      </c>
      <c r="S193" s="159">
        <f>('Cost Calculation'!S35-'Capex &amp; Depreciation'!S231)+('Cost Calculation'!S149-'Capex &amp; Depreciation'!S238)+('Cost Calculation'!S165-'Capex &amp; Depreciation'!S242)+('BUMN Synergy Calculation'!S37-'Capex &amp; Depreciation'!S246)</f>
        <v>162.87536704226875</v>
      </c>
      <c r="T193" s="159">
        <f>('Cost Calculation'!T35-'Capex &amp; Depreciation'!T231)+('Cost Calculation'!T149-'Capex &amp; Depreciation'!T238)+('Cost Calculation'!T165-'Capex &amp; Depreciation'!T242)+('BUMN Synergy Calculation'!T37-'Capex &amp; Depreciation'!T246)</f>
        <v>167.93534395992205</v>
      </c>
    </row>
    <row r="194" spans="2:20" x14ac:dyDescent="0.25">
      <c r="B194" s="23" t="s">
        <v>2899</v>
      </c>
      <c r="C194" s="28" t="s">
        <v>493</v>
      </c>
      <c r="G194" s="159">
        <f>N(Inputs!$E$524)</f>
        <v>0</v>
      </c>
      <c r="H194" s="159">
        <f t="shared" ref="H194:T194" si="67">MAX(0,G194-MAX(0,H193))+MAX(0,-H193)</f>
        <v>0</v>
      </c>
      <c r="I194" s="159">
        <f t="shared" si="67"/>
        <v>0</v>
      </c>
      <c r="J194" s="159">
        <f t="shared" si="67"/>
        <v>0</v>
      </c>
      <c r="K194" s="159">
        <f t="shared" si="67"/>
        <v>0</v>
      </c>
      <c r="L194" s="159">
        <f t="shared" si="67"/>
        <v>0</v>
      </c>
      <c r="M194" s="159">
        <f t="shared" si="67"/>
        <v>0</v>
      </c>
      <c r="N194" s="159">
        <f t="shared" si="67"/>
        <v>0</v>
      </c>
      <c r="O194" s="159">
        <f t="shared" si="67"/>
        <v>0</v>
      </c>
      <c r="P194" s="159">
        <f t="shared" si="67"/>
        <v>0</v>
      </c>
      <c r="Q194" s="159">
        <f t="shared" si="67"/>
        <v>0</v>
      </c>
      <c r="R194" s="159">
        <f t="shared" si="67"/>
        <v>0</v>
      </c>
      <c r="S194" s="159">
        <f t="shared" si="67"/>
        <v>0</v>
      </c>
      <c r="T194" s="159">
        <f t="shared" si="67"/>
        <v>0</v>
      </c>
    </row>
    <row r="195" spans="2:20" x14ac:dyDescent="0.25">
      <c r="B195" s="23" t="s">
        <v>2900</v>
      </c>
      <c r="C195" s="28" t="s">
        <v>493</v>
      </c>
      <c r="H195" s="159">
        <f>Inputs!H522*MAX(0,H193-G194)</f>
        <v>15.569404459981396</v>
      </c>
      <c r="I195" s="159">
        <f>Inputs!I522*MAX(0,I193-H194)</f>
        <v>16.207967448999725</v>
      </c>
      <c r="J195" s="159">
        <f>Inputs!J522*MAX(0,J193-I194)</f>
        <v>22.915489987524346</v>
      </c>
      <c r="K195" s="159">
        <f>Inputs!K522*MAX(0,K193-J194)</f>
        <v>25.851447971759317</v>
      </c>
      <c r="L195" s="159">
        <f>Inputs!L522*MAX(0,L193-K194)</f>
        <v>26.726690159186795</v>
      </c>
      <c r="M195" s="159">
        <f>Inputs!M522*MAX(0,M193-L194)</f>
        <v>28.592872691322537</v>
      </c>
      <c r="N195" s="159">
        <f>Inputs!N522*MAX(0,N193-M194)</f>
        <v>29.541496313648373</v>
      </c>
      <c r="O195" s="159">
        <f>Inputs!O522*MAX(0,O193-N194)</f>
        <v>30.51006957933463</v>
      </c>
      <c r="P195" s="159">
        <f>Inputs!P522*MAX(0,P193-O194)</f>
        <v>32.621164658275958</v>
      </c>
      <c r="Q195" s="159">
        <f>Inputs!Q522*MAX(0,Q193-P194)</f>
        <v>33.670288050009496</v>
      </c>
      <c r="R195" s="159">
        <f>Inputs!R522*MAX(0,R193-Q194)</f>
        <v>34.7407497896208</v>
      </c>
      <c r="S195" s="159">
        <f>Inputs!S522*MAX(0,S193-R194)</f>
        <v>35.832580749299126</v>
      </c>
      <c r="T195" s="159">
        <f>Inputs!T522*MAX(0,T193-S194)</f>
        <v>36.945775671182851</v>
      </c>
    </row>
    <row r="196" spans="2:20" ht="26.25" customHeight="1" x14ac:dyDescent="0.25">
      <c r="B196" s="64" t="s">
        <v>3055</v>
      </c>
      <c r="C196" s="28" t="s">
        <v>493</v>
      </c>
      <c r="H196" s="159">
        <f>('Cost Calculation'!H66-'Capex &amp; Depreciation'!H232)+('Cost Calculation'!H137-'Capex &amp; Depreciation'!H235)+('Cost Calculation'!H141-'Capex &amp; Depreciation'!H236)+('Cost Calculation'!H145-'Capex &amp; Depreciation'!H237)+('Cost Calculation'!H168-'Capex &amp; Depreciation'!H243)+('BUMN Synergy Calculation'!H62-'Capex &amp; Depreciation'!H247)-'Cost Calculation'!H299-'Capex &amp; Depreciation'!H316</f>
        <v>-24.875239335289663</v>
      </c>
      <c r="I196" s="159">
        <f>('Cost Calculation'!I66-'Capex &amp; Depreciation'!I232)+('Cost Calculation'!I137-'Capex &amp; Depreciation'!I235)+('Cost Calculation'!I141-'Capex &amp; Depreciation'!I236)+('Cost Calculation'!I145-'Capex &amp; Depreciation'!I237)+('Cost Calculation'!I168-'Capex &amp; Depreciation'!I243)+('BUMN Synergy Calculation'!I62-'Capex &amp; Depreciation'!I247)-'Cost Calculation'!I299-'Capex &amp; Depreciation'!I316</f>
        <v>56.617885806122516</v>
      </c>
      <c r="J196" s="159">
        <f>('Cost Calculation'!J66-'Capex &amp; Depreciation'!J232)+('Cost Calculation'!J137-'Capex &amp; Depreciation'!J235)+('Cost Calculation'!J141-'Capex &amp; Depreciation'!J236)+('Cost Calculation'!J145-'Capex &amp; Depreciation'!J237)+('Cost Calculation'!J168-'Capex &amp; Depreciation'!J243)+('BUMN Synergy Calculation'!J62-'Capex &amp; Depreciation'!J247)-'Cost Calculation'!J299-'Capex &amp; Depreciation'!J316</f>
        <v>83.106429562521811</v>
      </c>
      <c r="K196" s="159">
        <f>('Cost Calculation'!K66-'Capex &amp; Depreciation'!K232)+('Cost Calculation'!K137-'Capex &amp; Depreciation'!K235)+('Cost Calculation'!K141-'Capex &amp; Depreciation'!K236)+('Cost Calculation'!K145-'Capex &amp; Depreciation'!K237)+('Cost Calculation'!K168-'Capex &amp; Depreciation'!K243)+('BUMN Synergy Calculation'!K62-'Capex &amp; Depreciation'!K247)-'Cost Calculation'!K299-'Capex &amp; Depreciation'!K316</f>
        <v>136.35811888068952</v>
      </c>
      <c r="L196" s="159">
        <f>('Cost Calculation'!L66-'Capex &amp; Depreciation'!L232)+('Cost Calculation'!L137-'Capex &amp; Depreciation'!L235)+('Cost Calculation'!L141-'Capex &amp; Depreciation'!L236)+('Cost Calculation'!L145-'Capex &amp; Depreciation'!L237)+('Cost Calculation'!L168-'Capex &amp; Depreciation'!L243)+('BUMN Synergy Calculation'!L62-'Capex &amp; Depreciation'!L247)-'Cost Calculation'!L299-'Capex &amp; Depreciation'!L316</f>
        <v>141.98179244713546</v>
      </c>
      <c r="M196" s="159">
        <f>('Cost Calculation'!M66-'Capex &amp; Depreciation'!M232)+('Cost Calculation'!M137-'Capex &amp; Depreciation'!M235)+('Cost Calculation'!M141-'Capex &amp; Depreciation'!M236)+('Cost Calculation'!M145-'Capex &amp; Depreciation'!M237)+('Cost Calculation'!M168-'Capex &amp; Depreciation'!M243)+('BUMN Synergy Calculation'!M62-'Capex &amp; Depreciation'!M247)-'Cost Calculation'!M299-'Capex &amp; Depreciation'!M316</f>
        <v>163.81178082275736</v>
      </c>
      <c r="N196" s="159">
        <f>('Cost Calculation'!N66-'Capex &amp; Depreciation'!N232)+('Cost Calculation'!N137-'Capex &amp; Depreciation'!N235)+('Cost Calculation'!N141-'Capex &amp; Depreciation'!N236)+('Cost Calculation'!N145-'Capex &amp; Depreciation'!N237)+('Cost Calculation'!N168-'Capex &amp; Depreciation'!N243)+('BUMN Synergy Calculation'!N62-'Capex &amp; Depreciation'!N247)-'Cost Calculation'!N299-'Capex &amp; Depreciation'!N316</f>
        <v>170.22155903844205</v>
      </c>
      <c r="O196" s="159">
        <f>('Cost Calculation'!O66-'Capex &amp; Depreciation'!O232)+('Cost Calculation'!O137-'Capex &amp; Depreciation'!O235)+('Cost Calculation'!O141-'Capex &amp; Depreciation'!O236)+('Cost Calculation'!O145-'Capex &amp; Depreciation'!O237)+('Cost Calculation'!O168-'Capex &amp; Depreciation'!O243)+('BUMN Synergy Calculation'!O62-'Capex &amp; Depreciation'!O247)-'Cost Calculation'!O299-'Capex &amp; Depreciation'!O316</f>
        <v>188.76246381069146</v>
      </c>
      <c r="P196" s="159">
        <f>('Cost Calculation'!P66-'Capex &amp; Depreciation'!P232)+('Cost Calculation'!P137-'Capex &amp; Depreciation'!P235)+('Cost Calculation'!P141-'Capex &amp; Depreciation'!P236)+('Cost Calculation'!P145-'Capex &amp; Depreciation'!P237)+('Cost Calculation'!P168-'Capex &amp; Depreciation'!P243)+('BUMN Synergy Calculation'!P62-'Capex &amp; Depreciation'!P247)-'Cost Calculation'!P299-'Capex &amp; Depreciation'!P316</f>
        <v>194.81076289418115</v>
      </c>
      <c r="Q196" s="159">
        <f>('Cost Calculation'!Q66-'Capex &amp; Depreciation'!Q232)+('Cost Calculation'!Q137-'Capex &amp; Depreciation'!Q235)+('Cost Calculation'!Q141-'Capex &amp; Depreciation'!Q236)+('Cost Calculation'!Q145-'Capex &amp; Depreciation'!Q237)+('Cost Calculation'!Q168-'Capex &amp; Depreciation'!Q243)+('BUMN Synergy Calculation'!Q62-'Capex &amp; Depreciation'!Q247)-'Cost Calculation'!Q299-'Capex &amp; Depreciation'!Q316</f>
        <v>215.53064035013767</v>
      </c>
      <c r="R196" s="159">
        <f>('Cost Calculation'!R66-'Capex &amp; Depreciation'!R232)+('Cost Calculation'!R137-'Capex &amp; Depreciation'!R235)+('Cost Calculation'!R141-'Capex &amp; Depreciation'!R236)+('Cost Calculation'!R145-'Capex &amp; Depreciation'!R237)+('Cost Calculation'!R168-'Capex &amp; Depreciation'!R243)+('BUMN Synergy Calculation'!R62-'Capex &amp; Depreciation'!R247)-'Cost Calculation'!R299-'Capex &amp; Depreciation'!R316</f>
        <v>223.35995668115743</v>
      </c>
      <c r="S196" s="159">
        <f>('Cost Calculation'!S66-'Capex &amp; Depreciation'!S232)+('Cost Calculation'!S137-'Capex &amp; Depreciation'!S235)+('Cost Calculation'!S141-'Capex &amp; Depreciation'!S236)+('Cost Calculation'!S145-'Capex &amp; Depreciation'!S237)+('Cost Calculation'!S168-'Capex &amp; Depreciation'!S243)+('BUMN Synergy Calculation'!S62-'Capex &amp; Depreciation'!S247)-'Cost Calculation'!S299-'Capex &amp; Depreciation'!S316</f>
        <v>231.37719249303055</v>
      </c>
      <c r="T196" s="159">
        <f>('Cost Calculation'!T66-'Capex &amp; Depreciation'!T232)+('Cost Calculation'!T137-'Capex &amp; Depreciation'!T235)+('Cost Calculation'!T141-'Capex &amp; Depreciation'!T236)+('Cost Calculation'!T145-'Capex &amp; Depreciation'!T237)+('Cost Calculation'!T168-'Capex &amp; Depreciation'!T243)+('BUMN Synergy Calculation'!T62-'Capex &amp; Depreciation'!T247)-'Cost Calculation'!T299-'Capex &amp; Depreciation'!T316</f>
        <v>239.58520213030215</v>
      </c>
    </row>
    <row r="197" spans="2:20" x14ac:dyDescent="0.25">
      <c r="B197" s="23" t="s">
        <v>2902</v>
      </c>
      <c r="C197" s="28" t="s">
        <v>493</v>
      </c>
      <c r="G197" s="159">
        <f>N(Inputs!$E$525)</f>
        <v>0</v>
      </c>
      <c r="H197" s="159">
        <f t="shared" ref="H197:T197" si="68">MAX(0,G197-MAX(0,H196))+MAX(0,-H196)</f>
        <v>24.875239335289663</v>
      </c>
      <c r="I197" s="159">
        <f t="shared" si="68"/>
        <v>0</v>
      </c>
      <c r="J197" s="159">
        <f t="shared" si="68"/>
        <v>0</v>
      </c>
      <c r="K197" s="159">
        <f t="shared" si="68"/>
        <v>0</v>
      </c>
      <c r="L197" s="159">
        <f t="shared" si="68"/>
        <v>0</v>
      </c>
      <c r="M197" s="159">
        <f t="shared" si="68"/>
        <v>0</v>
      </c>
      <c r="N197" s="159">
        <f t="shared" si="68"/>
        <v>0</v>
      </c>
      <c r="O197" s="159">
        <f t="shared" si="68"/>
        <v>0</v>
      </c>
      <c r="P197" s="159">
        <f t="shared" si="68"/>
        <v>0</v>
      </c>
      <c r="Q197" s="159">
        <f t="shared" si="68"/>
        <v>0</v>
      </c>
      <c r="R197" s="159">
        <f t="shared" si="68"/>
        <v>0</v>
      </c>
      <c r="S197" s="159">
        <f t="shared" si="68"/>
        <v>0</v>
      </c>
      <c r="T197" s="159">
        <f t="shared" si="68"/>
        <v>0</v>
      </c>
    </row>
    <row r="198" spans="2:20" x14ac:dyDescent="0.25">
      <c r="B198" s="23" t="s">
        <v>2903</v>
      </c>
      <c r="C198" s="28" t="s">
        <v>493</v>
      </c>
      <c r="H198" s="159">
        <f>Inputs!H522*MAX(0,H196-G197)</f>
        <v>0</v>
      </c>
      <c r="I198" s="159">
        <f>Inputs!I522*MAX(0,I196-H197)</f>
        <v>6.9833822235832272</v>
      </c>
      <c r="J198" s="159">
        <f>Inputs!J522*MAX(0,J196-I197)</f>
        <v>18.283414503754798</v>
      </c>
      <c r="K198" s="159">
        <f>Inputs!K522*MAX(0,K196-J197)</f>
        <v>29.998786153751695</v>
      </c>
      <c r="L198" s="159">
        <f>Inputs!L522*MAX(0,L196-K197)</f>
        <v>31.235994338369803</v>
      </c>
      <c r="M198" s="159">
        <f>Inputs!M522*MAX(0,M196-L197)</f>
        <v>36.038591781006616</v>
      </c>
      <c r="N198" s="159">
        <f>Inputs!N522*MAX(0,N196-M197)</f>
        <v>37.448742988457255</v>
      </c>
      <c r="O198" s="159">
        <f>Inputs!O522*MAX(0,O196-N197)</f>
        <v>41.527742038352123</v>
      </c>
      <c r="P198" s="159">
        <f>Inputs!P522*MAX(0,P196-O197)</f>
        <v>42.858367836719857</v>
      </c>
      <c r="Q198" s="159">
        <f>Inputs!Q522*MAX(0,Q196-P197)</f>
        <v>47.416740877030286</v>
      </c>
      <c r="R198" s="159">
        <f>Inputs!R522*MAX(0,R196-Q197)</f>
        <v>49.139190469854633</v>
      </c>
      <c r="S198" s="159">
        <f>Inputs!S522*MAX(0,S196-R197)</f>
        <v>50.902982348466722</v>
      </c>
      <c r="T198" s="159">
        <f>Inputs!T522*MAX(0,T196-S197)</f>
        <v>52.708744468666474</v>
      </c>
    </row>
    <row r="199" spans="2:20" x14ac:dyDescent="0.25">
      <c r="B199" s="23" t="s">
        <v>3056</v>
      </c>
      <c r="C199" s="28" t="s">
        <v>493</v>
      </c>
      <c r="H199" s="159">
        <f>('Cost Calculation'!H94-'Capex &amp; Depreciation'!H233)+('Cost Calculation'!H161-'Capex &amp; Depreciation'!H241)+('Cost Calculation'!H174-'Capex &amp; Depreciation'!H245)+('BUMN Synergy Calculation'!H84-'Capex &amp; Depreciation'!H248)</f>
        <v>5.9116309505207232</v>
      </c>
      <c r="I199" s="159">
        <f>('Cost Calculation'!I94-'Capex &amp; Depreciation'!I233)+('Cost Calculation'!I161-'Capex &amp; Depreciation'!I241)+('Cost Calculation'!I174-'Capex &amp; Depreciation'!I245)+('BUMN Synergy Calculation'!I84-'Capex &amp; Depreciation'!I248)</f>
        <v>6.162107249004829</v>
      </c>
      <c r="J199" s="159">
        <f>('Cost Calculation'!J94-'Capex &amp; Depreciation'!J233)+('Cost Calculation'!J161-'Capex &amp; Depreciation'!J241)+('Cost Calculation'!J174-'Capex &amp; Depreciation'!J245)+('BUMN Synergy Calculation'!J84-'Capex &amp; Depreciation'!J248)</f>
        <v>12.078686424054521</v>
      </c>
      <c r="K199" s="159">
        <f>('Cost Calculation'!K94-'Capex &amp; Depreciation'!K233)+('Cost Calculation'!K161-'Capex &amp; Depreciation'!K241)+('Cost Calculation'!K174-'Capex &amp; Depreciation'!K245)+('BUMN Synergy Calculation'!K84-'Capex &amp; Depreciation'!K248)</f>
        <v>25.071899726467905</v>
      </c>
      <c r="L199" s="159">
        <f>('Cost Calculation'!L94-'Capex &amp; Depreciation'!L233)+('Cost Calculation'!L161-'Capex &amp; Depreciation'!L241)+('Cost Calculation'!L174-'Capex &amp; Depreciation'!L245)+('BUMN Synergy Calculation'!L84-'Capex &amp; Depreciation'!L248)</f>
        <v>29.578357043261491</v>
      </c>
      <c r="M199" s="159">
        <f>('Cost Calculation'!M94-'Capex &amp; Depreciation'!M233)+('Cost Calculation'!M161-'Capex &amp; Depreciation'!M241)+('Cost Calculation'!M174-'Capex &amp; Depreciation'!M245)+('BUMN Synergy Calculation'!M84-'Capex &amp; Depreciation'!M248)</f>
        <v>34.33154634690424</v>
      </c>
      <c r="N199" s="159">
        <f>('Cost Calculation'!N94-'Capex &amp; Depreciation'!N233)+('Cost Calculation'!N161-'Capex &amp; Depreciation'!N241)+('Cost Calculation'!N174-'Capex &amp; Depreciation'!N245)+('BUMN Synergy Calculation'!N84-'Capex &amp; Depreciation'!N248)</f>
        <v>39.344408420429822</v>
      </c>
      <c r="O199" s="159">
        <f>('Cost Calculation'!O94-'Capex &amp; Depreciation'!O233)+('Cost Calculation'!O161-'Capex &amp; Depreciation'!O241)+('Cost Calculation'!O174-'Capex &amp; Depreciation'!O245)+('BUMN Synergy Calculation'!O84-'Capex &amp; Depreciation'!O248)</f>
        <v>44.630553229095774</v>
      </c>
      <c r="P199" s="159">
        <f>('Cost Calculation'!P94-'Capex &amp; Depreciation'!P233)+('Cost Calculation'!P161-'Capex &amp; Depreciation'!P241)+('Cost Calculation'!P174-'Capex &amp; Depreciation'!P245)+('BUMN Synergy Calculation'!P84-'Capex &amp; Depreciation'!P248)</f>
        <v>50.204295419311336</v>
      </c>
      <c r="Q199" s="159">
        <f>('Cost Calculation'!Q94-'Capex &amp; Depreciation'!Q233)+('Cost Calculation'!Q161-'Capex &amp; Depreciation'!Q241)+('Cost Calculation'!Q174-'Capex &amp; Depreciation'!Q245)+('BUMN Synergy Calculation'!Q84-'Capex &amp; Depreciation'!Q248)</f>
        <v>56.080691771105592</v>
      </c>
      <c r="R199" s="159">
        <f>('Cost Calculation'!R94-'Capex &amp; Depreciation'!R233)+('Cost Calculation'!R161-'Capex &amp; Depreciation'!R241)+('Cost Calculation'!R174-'Capex &amp; Depreciation'!R245)+('BUMN Synergy Calculation'!R84-'Capex &amp; Depreciation'!R248)</f>
        <v>62.275580715317119</v>
      </c>
      <c r="S199" s="159">
        <f>('Cost Calculation'!S94-'Capex &amp; Depreciation'!S233)+('Cost Calculation'!S161-'Capex &amp; Depreciation'!S241)+('Cost Calculation'!S174-'Capex &amp; Depreciation'!S245)+('BUMN Synergy Calculation'!S84-'Capex &amp; Depreciation'!S248)</f>
        <v>34.337702651959361</v>
      </c>
      <c r="T199" s="159">
        <f>('Cost Calculation'!T94-'Capex &amp; Depreciation'!T233)+('Cost Calculation'!T161-'Capex &amp; Depreciation'!T241)+('Cost Calculation'!T174-'Capex &amp; Depreciation'!T245)+('BUMN Synergy Calculation'!T84-'Capex &amp; Depreciation'!T248)</f>
        <v>37.364171593619467</v>
      </c>
    </row>
    <row r="200" spans="2:20" x14ac:dyDescent="0.25">
      <c r="B200" s="23" t="s">
        <v>2905</v>
      </c>
      <c r="C200" s="28" t="s">
        <v>493</v>
      </c>
      <c r="G200" s="159">
        <f>N(Inputs!$E$526)</f>
        <v>0</v>
      </c>
      <c r="H200" s="159">
        <f t="shared" ref="H200:T200" si="69">MAX(0,G200-MAX(0,H199))+MAX(0,-H199)</f>
        <v>0</v>
      </c>
      <c r="I200" s="159">
        <f t="shared" si="69"/>
        <v>0</v>
      </c>
      <c r="J200" s="159">
        <f t="shared" si="69"/>
        <v>0</v>
      </c>
      <c r="K200" s="159">
        <f t="shared" si="69"/>
        <v>0</v>
      </c>
      <c r="L200" s="159">
        <f t="shared" si="69"/>
        <v>0</v>
      </c>
      <c r="M200" s="159">
        <f t="shared" si="69"/>
        <v>0</v>
      </c>
      <c r="N200" s="159">
        <f t="shared" si="69"/>
        <v>0</v>
      </c>
      <c r="O200" s="159">
        <f t="shared" si="69"/>
        <v>0</v>
      </c>
      <c r="P200" s="159">
        <f t="shared" si="69"/>
        <v>0</v>
      </c>
      <c r="Q200" s="159">
        <f t="shared" si="69"/>
        <v>0</v>
      </c>
      <c r="R200" s="159">
        <f t="shared" si="69"/>
        <v>0</v>
      </c>
      <c r="S200" s="159">
        <f t="shared" si="69"/>
        <v>0</v>
      </c>
      <c r="T200" s="159">
        <f t="shared" si="69"/>
        <v>0</v>
      </c>
    </row>
    <row r="201" spans="2:20" x14ac:dyDescent="0.25">
      <c r="B201" s="23" t="s">
        <v>2906</v>
      </c>
      <c r="C201" s="28" t="s">
        <v>493</v>
      </c>
      <c r="H201" s="159">
        <f>Inputs!H522*MAX(0,H199-G200)</f>
        <v>1.300558809114559</v>
      </c>
      <c r="I201" s="159">
        <f>Inputs!I522*MAX(0,I199-H200)</f>
        <v>1.3556635947810625</v>
      </c>
      <c r="J201" s="159">
        <f>Inputs!J522*MAX(0,J199-I200)</f>
        <v>2.6573110132919946</v>
      </c>
      <c r="K201" s="159">
        <f>Inputs!K522*MAX(0,K199-J200)</f>
        <v>5.5158179398229388</v>
      </c>
      <c r="L201" s="159">
        <f>Inputs!L522*MAX(0,L199-K200)</f>
        <v>6.5072385495175284</v>
      </c>
      <c r="M201" s="159">
        <f>Inputs!M522*MAX(0,M199-L200)</f>
        <v>7.5529401963189331</v>
      </c>
      <c r="N201" s="159">
        <f>Inputs!N522*MAX(0,N199-M200)</f>
        <v>8.6557698524945614</v>
      </c>
      <c r="O201" s="159">
        <f>Inputs!O522*MAX(0,O199-N200)</f>
        <v>9.8187217104010696</v>
      </c>
      <c r="P201" s="159">
        <f>Inputs!P522*MAX(0,P199-O200)</f>
        <v>11.044944992248494</v>
      </c>
      <c r="Q201" s="159">
        <f>Inputs!Q522*MAX(0,Q199-P200)</f>
        <v>12.337752189643231</v>
      </c>
      <c r="R201" s="159">
        <f>Inputs!R522*MAX(0,R199-Q200)</f>
        <v>13.700627757369766</v>
      </c>
      <c r="S201" s="159">
        <f>Inputs!S522*MAX(0,S199-R200)</f>
        <v>7.5542945834310595</v>
      </c>
      <c r="T201" s="159">
        <f>Inputs!T522*MAX(0,T199-S200)</f>
        <v>8.2201177505962821</v>
      </c>
    </row>
    <row r="202" spans="2:20" x14ac:dyDescent="0.25">
      <c r="B202" s="23" t="s">
        <v>2907</v>
      </c>
      <c r="C202" s="28" t="s">
        <v>493</v>
      </c>
      <c r="H202" s="159">
        <f>('Cost Calculation'!H131-'Capex &amp; Depreciation'!H234)</f>
        <v>14.056001106053959</v>
      </c>
      <c r="I202" s="159">
        <f>('Cost Calculation'!I131-'Capex &amp; Depreciation'!I234)</f>
        <v>13.506276227960301</v>
      </c>
      <c r="J202" s="159">
        <f>('Cost Calculation'!J131-'Capex &amp; Depreciation'!J234)</f>
        <v>16.285784965481337</v>
      </c>
      <c r="K202" s="159">
        <f>('Cost Calculation'!K131-'Capex &amp; Depreciation'!K234)</f>
        <v>17.991600298124762</v>
      </c>
      <c r="L202" s="159">
        <f>('Cost Calculation'!L131-'Capex &amp; Depreciation'!L234)</f>
        <v>19.843153528591625</v>
      </c>
      <c r="M202" s="159">
        <f>('Cost Calculation'!M131-'Capex &amp; Depreciation'!M234)</f>
        <v>21.852439448913419</v>
      </c>
      <c r="N202" s="159">
        <f>('Cost Calculation'!N131-'Capex &amp; Depreciation'!N234)</f>
        <v>24.032428704292943</v>
      </c>
      <c r="O202" s="159">
        <f>('Cost Calculation'!O131-'Capex &amp; Depreciation'!O234)</f>
        <v>26.397146875945854</v>
      </c>
      <c r="P202" s="159">
        <f>('Cost Calculation'!P131-'Capex &amp; Depreciation'!P234)</f>
        <v>28.961759966038734</v>
      </c>
      <c r="Q202" s="159">
        <f>('Cost Calculation'!Q131-'Capex &amp; Depreciation'!Q234)</f>
        <v>31.74266680303273</v>
      </c>
      <c r="R202" s="159">
        <f>('Cost Calculation'!R131-'Capex &amp; Depreciation'!R234)</f>
        <v>30.763298074730912</v>
      </c>
      <c r="S202" s="159">
        <f>('Cost Calculation'!S131-'Capex &amp; Depreciation'!S234)</f>
        <v>32.491152439901335</v>
      </c>
      <c r="T202" s="159">
        <f>('Cost Calculation'!T131-'Capex &amp; Depreciation'!T234)</f>
        <v>34.308611805261592</v>
      </c>
    </row>
    <row r="203" spans="2:20" x14ac:dyDescent="0.25">
      <c r="B203" s="23" t="s">
        <v>2908</v>
      </c>
      <c r="C203" s="28" t="s">
        <v>493</v>
      </c>
      <c r="G203" s="159">
        <f>N(Inputs!$E$527)</f>
        <v>0</v>
      </c>
      <c r="H203" s="159">
        <f t="shared" ref="H203:T203" si="70">MAX(0,G203-MAX(0,H202))+MAX(0,-H202)</f>
        <v>0</v>
      </c>
      <c r="I203" s="159">
        <f t="shared" si="70"/>
        <v>0</v>
      </c>
      <c r="J203" s="159">
        <f t="shared" si="70"/>
        <v>0</v>
      </c>
      <c r="K203" s="159">
        <f t="shared" si="70"/>
        <v>0</v>
      </c>
      <c r="L203" s="159">
        <f t="shared" si="70"/>
        <v>0</v>
      </c>
      <c r="M203" s="159">
        <f t="shared" si="70"/>
        <v>0</v>
      </c>
      <c r="N203" s="159">
        <f t="shared" si="70"/>
        <v>0</v>
      </c>
      <c r="O203" s="159">
        <f t="shared" si="70"/>
        <v>0</v>
      </c>
      <c r="P203" s="159">
        <f t="shared" si="70"/>
        <v>0</v>
      </c>
      <c r="Q203" s="159">
        <f t="shared" si="70"/>
        <v>0</v>
      </c>
      <c r="R203" s="159">
        <f t="shared" si="70"/>
        <v>0</v>
      </c>
      <c r="S203" s="159">
        <f t="shared" si="70"/>
        <v>0</v>
      </c>
      <c r="T203" s="159">
        <f t="shared" si="70"/>
        <v>0</v>
      </c>
    </row>
    <row r="204" spans="2:20" x14ac:dyDescent="0.25">
      <c r="B204" s="23" t="s">
        <v>2909</v>
      </c>
      <c r="C204" s="28" t="s">
        <v>493</v>
      </c>
      <c r="H204" s="159">
        <f>Inputs!H522*MAX(0,H202-G203)</f>
        <v>3.0923202433318711</v>
      </c>
      <c r="I204" s="159">
        <f>Inputs!I522*MAX(0,I202-H203)</f>
        <v>2.9713807701512662</v>
      </c>
      <c r="J204" s="159">
        <f>Inputs!J522*MAX(0,J202-I203)</f>
        <v>3.582872692405894</v>
      </c>
      <c r="K204" s="159">
        <f>Inputs!K522*MAX(0,K202-J203)</f>
        <v>3.9581520655874476</v>
      </c>
      <c r="L204" s="159">
        <f>Inputs!L522*MAX(0,L202-K203)</f>
        <v>4.3654937762901573</v>
      </c>
      <c r="M204" s="159">
        <f>Inputs!M522*MAX(0,M202-L203)</f>
        <v>4.8075366787609521</v>
      </c>
      <c r="N204" s="159">
        <f>Inputs!N522*MAX(0,N202-M203)</f>
        <v>5.2871343149444474</v>
      </c>
      <c r="O204" s="159">
        <f>Inputs!O522*MAX(0,O202-N203)</f>
        <v>5.8073723127080878</v>
      </c>
      <c r="P204" s="159">
        <f>Inputs!P522*MAX(0,P202-O203)</f>
        <v>6.3715871925285219</v>
      </c>
      <c r="Q204" s="159">
        <f>Inputs!Q522*MAX(0,Q202-P203)</f>
        <v>6.9833866966672007</v>
      </c>
      <c r="R204" s="159">
        <f>Inputs!R522*MAX(0,R202-Q203)</f>
        <v>6.7679255764408008</v>
      </c>
      <c r="S204" s="159">
        <f>Inputs!S522*MAX(0,S202-R203)</f>
        <v>7.1480535367782938</v>
      </c>
      <c r="T204" s="159">
        <f>Inputs!T522*MAX(0,T202-S203)</f>
        <v>7.5478945971575504</v>
      </c>
    </row>
    <row r="205" spans="2:20" x14ac:dyDescent="0.25">
      <c r="B205" s="23" t="s">
        <v>2910</v>
      </c>
      <c r="C205" s="28" t="s">
        <v>493</v>
      </c>
      <c r="H205" s="159">
        <f>('Cost Calculation'!H153-'Capex &amp; Depreciation'!H239)</f>
        <v>0</v>
      </c>
      <c r="I205" s="159">
        <f>('Cost Calculation'!I153-'Capex &amp; Depreciation'!I239)</f>
        <v>0</v>
      </c>
      <c r="J205" s="159">
        <f>('Cost Calculation'!J153-'Capex &amp; Depreciation'!J239)</f>
        <v>16.890265050924867</v>
      </c>
      <c r="K205" s="159">
        <f>('Cost Calculation'!K153-'Capex &amp; Depreciation'!K239)</f>
        <v>16.378591047467374</v>
      </c>
      <c r="L205" s="159">
        <f>('Cost Calculation'!L153-'Capex &amp; Depreciation'!L239)</f>
        <v>15.854125193923464</v>
      </c>
      <c r="M205" s="159">
        <f>('Cost Calculation'!M153-'Capex &amp; Depreciation'!M239)</f>
        <v>18.188870434615083</v>
      </c>
      <c r="N205" s="159">
        <f>('Cost Calculation'!N153-'Capex &amp; Depreciation'!N239)</f>
        <v>17.19077202670934</v>
      </c>
      <c r="O205" s="159">
        <f>('Cost Calculation'!O153-'Capex &amp; Depreciation'!O239)</f>
        <v>16.835712240642728</v>
      </c>
      <c r="P205" s="159">
        <f>('Cost Calculation'!P153-'Capex &amp; Depreciation'!P239)</f>
        <v>16.247287153666193</v>
      </c>
      <c r="Q205" s="159">
        <f>('Cost Calculation'!Q153-'Capex &amp; Depreciation'!Q239)</f>
        <v>18.693971198331248</v>
      </c>
      <c r="R205" s="159">
        <f>('Cost Calculation'!R153-'Capex &amp; Depreciation'!R239)</f>
        <v>23.603307985592185</v>
      </c>
      <c r="S205" s="159">
        <f>('Cost Calculation'!S153-'Capex &amp; Depreciation'!S239)</f>
        <v>22.520899204446547</v>
      </c>
      <c r="T205" s="159">
        <f>('Cost Calculation'!T153-'Capex &amp; Depreciation'!T239)</f>
        <v>22.254941370425133</v>
      </c>
    </row>
    <row r="206" spans="2:20" x14ac:dyDescent="0.25">
      <c r="B206" s="23" t="s">
        <v>2911</v>
      </c>
      <c r="C206" s="28" t="s">
        <v>493</v>
      </c>
      <c r="G206" s="159">
        <f>N(Inputs!$E$528)</f>
        <v>0</v>
      </c>
      <c r="H206" s="159">
        <f t="shared" ref="H206:T206" si="71">MAX(0,G206-MAX(0,H205))+MAX(0,-H205)</f>
        <v>0</v>
      </c>
      <c r="I206" s="159">
        <f t="shared" si="71"/>
        <v>0</v>
      </c>
      <c r="J206" s="159">
        <f t="shared" si="71"/>
        <v>0</v>
      </c>
      <c r="K206" s="159">
        <f t="shared" si="71"/>
        <v>0</v>
      </c>
      <c r="L206" s="159">
        <f t="shared" si="71"/>
        <v>0</v>
      </c>
      <c r="M206" s="159">
        <f t="shared" si="71"/>
        <v>0</v>
      </c>
      <c r="N206" s="159">
        <f t="shared" si="71"/>
        <v>0</v>
      </c>
      <c r="O206" s="159">
        <f t="shared" si="71"/>
        <v>0</v>
      </c>
      <c r="P206" s="159">
        <f t="shared" si="71"/>
        <v>0</v>
      </c>
      <c r="Q206" s="159">
        <f t="shared" si="71"/>
        <v>0</v>
      </c>
      <c r="R206" s="159">
        <f t="shared" si="71"/>
        <v>0</v>
      </c>
      <c r="S206" s="159">
        <f t="shared" si="71"/>
        <v>0</v>
      </c>
      <c r="T206" s="159">
        <f t="shared" si="71"/>
        <v>0</v>
      </c>
    </row>
    <row r="207" spans="2:20" x14ac:dyDescent="0.25">
      <c r="B207" s="23" t="s">
        <v>2912</v>
      </c>
      <c r="C207" s="28" t="s">
        <v>493</v>
      </c>
      <c r="H207" s="159">
        <f>Inputs!H522*MAX(0,H205-G206)</f>
        <v>0</v>
      </c>
      <c r="I207" s="159">
        <f>Inputs!I522*MAX(0,I205-H206)</f>
        <v>0</v>
      </c>
      <c r="J207" s="159">
        <f>Inputs!J522*MAX(0,J205-I206)</f>
        <v>3.7158583112034709</v>
      </c>
      <c r="K207" s="159">
        <f>Inputs!K522*MAX(0,K205-J206)</f>
        <v>3.6032900304428224</v>
      </c>
      <c r="L207" s="159">
        <f>Inputs!L522*MAX(0,L205-K206)</f>
        <v>3.4879075426631618</v>
      </c>
      <c r="M207" s="159">
        <f>Inputs!M522*MAX(0,M205-L206)</f>
        <v>4.0015514956153186</v>
      </c>
      <c r="N207" s="159">
        <f>Inputs!N522*MAX(0,N205-M206)</f>
        <v>3.7819698458760547</v>
      </c>
      <c r="O207" s="159">
        <f>Inputs!O522*MAX(0,O205-N206)</f>
        <v>3.7038566929414003</v>
      </c>
      <c r="P207" s="159">
        <f>Inputs!P522*MAX(0,P205-O206)</f>
        <v>3.5744031738065623</v>
      </c>
      <c r="Q207" s="159">
        <f>Inputs!Q522*MAX(0,Q205-P206)</f>
        <v>4.1126736636328749</v>
      </c>
      <c r="R207" s="159">
        <f>Inputs!R522*MAX(0,R205-Q206)</f>
        <v>5.1927277568302808</v>
      </c>
      <c r="S207" s="159">
        <f>Inputs!S522*MAX(0,S205-R206)</f>
        <v>4.9545978249782401</v>
      </c>
      <c r="T207" s="159">
        <f>Inputs!T522*MAX(0,T205-S206)</f>
        <v>4.8960871014935297</v>
      </c>
    </row>
    <row r="208" spans="2:20" x14ac:dyDescent="0.25">
      <c r="B208" s="23" t="s">
        <v>2913</v>
      </c>
      <c r="C208" s="28" t="s">
        <v>493</v>
      </c>
      <c r="H208" s="159">
        <f>('Cost Calculation'!H157-'Capex &amp; Depreciation'!H240)+('Cost Calculation'!H171-'Capex &amp; Depreciation'!H244)</f>
        <v>0</v>
      </c>
      <c r="I208" s="159">
        <f>('Cost Calculation'!I157-'Capex &amp; Depreciation'!I240)+('Cost Calculation'!I171-'Capex &amp; Depreciation'!I244)</f>
        <v>0</v>
      </c>
      <c r="J208" s="159">
        <f>('Cost Calculation'!J157-'Capex &amp; Depreciation'!J240)+('Cost Calculation'!J171-'Capex &amp; Depreciation'!J244)</f>
        <v>0</v>
      </c>
      <c r="K208" s="159">
        <f>('Cost Calculation'!K157-'Capex &amp; Depreciation'!K240)+('Cost Calculation'!K171-'Capex &amp; Depreciation'!K244)</f>
        <v>0</v>
      </c>
      <c r="L208" s="159">
        <f>('Cost Calculation'!L157-'Capex &amp; Depreciation'!L240)+('Cost Calculation'!L171-'Capex &amp; Depreciation'!L244)</f>
        <v>26.228691932767592</v>
      </c>
      <c r="M208" s="159">
        <f>('Cost Calculation'!M157-'Capex &amp; Depreciation'!M240)+('Cost Calculation'!M171-'Capex &amp; Depreciation'!M244)</f>
        <v>39.630937794090698</v>
      </c>
      <c r="N208" s="159">
        <f>('Cost Calculation'!N157-'Capex &amp; Depreciation'!N240)+('Cost Calculation'!N171-'Capex &amp; Depreciation'!N244)</f>
        <v>44.081249846797952</v>
      </c>
      <c r="O208" s="159">
        <f>('Cost Calculation'!O157-'Capex &amp; Depreciation'!O240)+('Cost Calculation'!O171-'Capex &amp; Depreciation'!O244)</f>
        <v>56.839528653044326</v>
      </c>
      <c r="P208" s="159">
        <f>('Cost Calculation'!P157-'Capex &amp; Depreciation'!P240)+('Cost Calculation'!P171-'Capex &amp; Depreciation'!P244)</f>
        <v>60.332722327884589</v>
      </c>
      <c r="Q208" s="159">
        <f>('Cost Calculation'!Q157-'Capex &amp; Depreciation'!Q240)+('Cost Calculation'!Q171-'Capex &amp; Depreciation'!Q244)</f>
        <v>70.953279892450496</v>
      </c>
      <c r="R208" s="159">
        <f>('Cost Calculation'!R157-'Capex &amp; Depreciation'!R240)+('Cost Calculation'!R171-'Capex &amp; Depreciation'!R244)</f>
        <v>75.279185045217915</v>
      </c>
      <c r="S208" s="159">
        <f>('Cost Calculation'!S157-'Capex &amp; Depreciation'!S240)+('Cost Calculation'!S171-'Capex &amp; Depreciation'!S244)</f>
        <v>85.017570703190614</v>
      </c>
      <c r="T208" s="159">
        <f>('Cost Calculation'!T157-'Capex &amp; Depreciation'!T240)+('Cost Calculation'!T171-'Capex &amp; Depreciation'!T244)</f>
        <v>90.089237937819647</v>
      </c>
    </row>
    <row r="209" spans="2:20" x14ac:dyDescent="0.25">
      <c r="B209" s="23" t="s">
        <v>2914</v>
      </c>
      <c r="C209" s="28" t="s">
        <v>493</v>
      </c>
      <c r="G209" s="159">
        <f>N(Inputs!$E$529)</f>
        <v>0</v>
      </c>
      <c r="H209" s="159">
        <f t="shared" ref="H209:T209" si="72">MAX(0,G209-MAX(0,H208))+MAX(0,-H208)</f>
        <v>0</v>
      </c>
      <c r="I209" s="159">
        <f t="shared" si="72"/>
        <v>0</v>
      </c>
      <c r="J209" s="159">
        <f t="shared" si="72"/>
        <v>0</v>
      </c>
      <c r="K209" s="159">
        <f t="shared" si="72"/>
        <v>0</v>
      </c>
      <c r="L209" s="159">
        <f t="shared" si="72"/>
        <v>0</v>
      </c>
      <c r="M209" s="159">
        <f t="shared" si="72"/>
        <v>0</v>
      </c>
      <c r="N209" s="159">
        <f t="shared" si="72"/>
        <v>0</v>
      </c>
      <c r="O209" s="159">
        <f t="shared" si="72"/>
        <v>0</v>
      </c>
      <c r="P209" s="159">
        <f t="shared" si="72"/>
        <v>0</v>
      </c>
      <c r="Q209" s="159">
        <f t="shared" si="72"/>
        <v>0</v>
      </c>
      <c r="R209" s="159">
        <f t="shared" si="72"/>
        <v>0</v>
      </c>
      <c r="S209" s="159">
        <f t="shared" si="72"/>
        <v>0</v>
      </c>
      <c r="T209" s="159">
        <f t="shared" si="72"/>
        <v>0</v>
      </c>
    </row>
    <row r="210" spans="2:20" x14ac:dyDescent="0.25">
      <c r="B210" s="23" t="s">
        <v>2915</v>
      </c>
      <c r="C210" s="28" t="s">
        <v>493</v>
      </c>
      <c r="H210" s="159">
        <f>Inputs!H522*MAX(0,H208-G209)</f>
        <v>0</v>
      </c>
      <c r="I210" s="159">
        <f>Inputs!I522*MAX(0,I208-H209)</f>
        <v>0</v>
      </c>
      <c r="J210" s="159">
        <f>Inputs!J522*MAX(0,J208-I209)</f>
        <v>0</v>
      </c>
      <c r="K210" s="159">
        <f>Inputs!K522*MAX(0,K208-J209)</f>
        <v>0</v>
      </c>
      <c r="L210" s="159">
        <f>Inputs!L522*MAX(0,L208-K209)</f>
        <v>5.7703122252088708</v>
      </c>
      <c r="M210" s="159">
        <f>Inputs!M522*MAX(0,M208-L209)</f>
        <v>8.7188063146999539</v>
      </c>
      <c r="N210" s="159">
        <f>Inputs!N522*MAX(0,N208-M209)</f>
        <v>9.697874966295549</v>
      </c>
      <c r="O210" s="159">
        <f>Inputs!O522*MAX(0,O208-N209)</f>
        <v>12.504696303669752</v>
      </c>
      <c r="P210" s="159">
        <f>Inputs!P522*MAX(0,P208-O209)</f>
        <v>13.27319891213461</v>
      </c>
      <c r="Q210" s="159">
        <f>Inputs!Q522*MAX(0,Q208-P209)</f>
        <v>15.609721576339108</v>
      </c>
      <c r="R210" s="159">
        <f>Inputs!R522*MAX(0,R208-Q209)</f>
        <v>16.561420709947942</v>
      </c>
      <c r="S210" s="159">
        <f>Inputs!S522*MAX(0,S208-R209)</f>
        <v>18.703865554701935</v>
      </c>
      <c r="T210" s="159">
        <f>Inputs!T522*MAX(0,T208-S209)</f>
        <v>19.819632346320322</v>
      </c>
    </row>
    <row r="211" spans="2:20" x14ac:dyDescent="0.25">
      <c r="B211" s="23" t="s">
        <v>2916</v>
      </c>
      <c r="C211" s="28" t="s">
        <v>493</v>
      </c>
      <c r="H211" s="159">
        <f>('Cost Calculation'!H178-'Capex &amp; Depreciation'!H249)</f>
        <v>0</v>
      </c>
      <c r="I211" s="159">
        <f>('Cost Calculation'!I178-'Capex &amp; Depreciation'!I249)</f>
        <v>0</v>
      </c>
      <c r="J211" s="159">
        <f>('Cost Calculation'!J178-'Capex &amp; Depreciation'!J249)</f>
        <v>0</v>
      </c>
      <c r="K211" s="159">
        <f>('Cost Calculation'!K178-'Capex &amp; Depreciation'!K249)</f>
        <v>0</v>
      </c>
      <c r="L211" s="159">
        <f>('Cost Calculation'!L178-'Capex &amp; Depreciation'!L249)</f>
        <v>0</v>
      </c>
      <c r="M211" s="159">
        <f>('Cost Calculation'!M178-'Capex &amp; Depreciation'!M249)</f>
        <v>0</v>
      </c>
      <c r="N211" s="159">
        <f>('Cost Calculation'!N178-'Capex &amp; Depreciation'!N249)</f>
        <v>0</v>
      </c>
      <c r="O211" s="159">
        <f>('Cost Calculation'!O178-'Capex &amp; Depreciation'!O249)</f>
        <v>0</v>
      </c>
      <c r="P211" s="159">
        <f>('Cost Calculation'!P178-'Capex &amp; Depreciation'!P249)</f>
        <v>0</v>
      </c>
      <c r="Q211" s="159">
        <f>('Cost Calculation'!Q178-'Capex &amp; Depreciation'!Q249)</f>
        <v>0</v>
      </c>
      <c r="R211" s="159">
        <f>('Cost Calculation'!R178-'Capex &amp; Depreciation'!R249)</f>
        <v>0</v>
      </c>
      <c r="S211" s="159">
        <f>('Cost Calculation'!S178-'Capex &amp; Depreciation'!S249)</f>
        <v>0</v>
      </c>
      <c r="T211" s="159">
        <f>('Cost Calculation'!T178-'Capex &amp; Depreciation'!T249)</f>
        <v>0</v>
      </c>
    </row>
    <row r="212" spans="2:20" x14ac:dyDescent="0.25">
      <c r="B212" s="23" t="s">
        <v>2917</v>
      </c>
      <c r="C212" s="28" t="s">
        <v>493</v>
      </c>
      <c r="G212" s="159">
        <f>N(Inputs!$E$530)</f>
        <v>0</v>
      </c>
      <c r="H212" s="159">
        <f t="shared" ref="H212:T212" si="73">MAX(0,G212-MAX(0,H211))+MAX(0,-H211)</f>
        <v>0</v>
      </c>
      <c r="I212" s="159">
        <f t="shared" si="73"/>
        <v>0</v>
      </c>
      <c r="J212" s="159">
        <f t="shared" si="73"/>
        <v>0</v>
      </c>
      <c r="K212" s="159">
        <f t="shared" si="73"/>
        <v>0</v>
      </c>
      <c r="L212" s="159">
        <f t="shared" si="73"/>
        <v>0</v>
      </c>
      <c r="M212" s="159">
        <f t="shared" si="73"/>
        <v>0</v>
      </c>
      <c r="N212" s="159">
        <f t="shared" si="73"/>
        <v>0</v>
      </c>
      <c r="O212" s="159">
        <f t="shared" si="73"/>
        <v>0</v>
      </c>
      <c r="P212" s="159">
        <f t="shared" si="73"/>
        <v>0</v>
      </c>
      <c r="Q212" s="159">
        <f t="shared" si="73"/>
        <v>0</v>
      </c>
      <c r="R212" s="159">
        <f t="shared" si="73"/>
        <v>0</v>
      </c>
      <c r="S212" s="159">
        <f t="shared" si="73"/>
        <v>0</v>
      </c>
      <c r="T212" s="159">
        <f t="shared" si="73"/>
        <v>0</v>
      </c>
    </row>
    <row r="213" spans="2:20" x14ac:dyDescent="0.25">
      <c r="B213" s="23" t="s">
        <v>2918</v>
      </c>
      <c r="C213" s="28" t="s">
        <v>493</v>
      </c>
      <c r="H213" s="159">
        <f>Inputs!H522*MAX(0,H211-G212)</f>
        <v>0</v>
      </c>
      <c r="I213" s="159">
        <f>Inputs!I522*MAX(0,I211-H212)</f>
        <v>0</v>
      </c>
      <c r="J213" s="159">
        <f>Inputs!J522*MAX(0,J211-I212)</f>
        <v>0</v>
      </c>
      <c r="K213" s="159">
        <f>Inputs!K522*MAX(0,K211-J212)</f>
        <v>0</v>
      </c>
      <c r="L213" s="159">
        <f>Inputs!L522*MAX(0,L211-K212)</f>
        <v>0</v>
      </c>
      <c r="M213" s="159">
        <f>Inputs!M522*MAX(0,M211-L212)</f>
        <v>0</v>
      </c>
      <c r="N213" s="159">
        <f>Inputs!N522*MAX(0,N211-M212)</f>
        <v>0</v>
      </c>
      <c r="O213" s="159">
        <f>Inputs!O522*MAX(0,O211-N212)</f>
        <v>0</v>
      </c>
      <c r="P213" s="159">
        <f>Inputs!P522*MAX(0,P211-O212)</f>
        <v>0</v>
      </c>
      <c r="Q213" s="159">
        <f>Inputs!Q522*MAX(0,Q211-P212)</f>
        <v>0</v>
      </c>
      <c r="R213" s="159">
        <f>Inputs!R522*MAX(0,R211-Q212)</f>
        <v>0</v>
      </c>
      <c r="S213" s="159">
        <f>Inputs!S522*MAX(0,S211-R212)</f>
        <v>0</v>
      </c>
      <c r="T213" s="159">
        <f>Inputs!T522*MAX(0,T211-S212)</f>
        <v>0</v>
      </c>
    </row>
    <row r="214" spans="2:20" x14ac:dyDescent="0.25">
      <c r="B214" s="23" t="s">
        <v>2919</v>
      </c>
      <c r="C214" s="28" t="s">
        <v>493</v>
      </c>
      <c r="H214" s="159">
        <f>('Cost Calculation'!H186-'Capex &amp; Depreciation'!H250)</f>
        <v>0</v>
      </c>
      <c r="I214" s="159">
        <f>('Cost Calculation'!I186-'Capex &amp; Depreciation'!I250)</f>
        <v>0</v>
      </c>
      <c r="J214" s="159">
        <f>('Cost Calculation'!J186-'Capex &amp; Depreciation'!J250)</f>
        <v>0</v>
      </c>
      <c r="K214" s="159">
        <f>('Cost Calculation'!K186-'Capex &amp; Depreciation'!K250)</f>
        <v>0</v>
      </c>
      <c r="L214" s="159">
        <f>('Cost Calculation'!L186-'Capex &amp; Depreciation'!L250)</f>
        <v>0</v>
      </c>
      <c r="M214" s="159">
        <f>('Cost Calculation'!M186-'Capex &amp; Depreciation'!M250)</f>
        <v>0</v>
      </c>
      <c r="N214" s="159">
        <f>('Cost Calculation'!N186-'Capex &amp; Depreciation'!N250)</f>
        <v>0</v>
      </c>
      <c r="O214" s="159">
        <f>('Cost Calculation'!O186-'Capex &amp; Depreciation'!O250)</f>
        <v>0</v>
      </c>
      <c r="P214" s="159">
        <f>('Cost Calculation'!P186-'Capex &amp; Depreciation'!P250)</f>
        <v>0</v>
      </c>
      <c r="Q214" s="159">
        <f>('Cost Calculation'!Q186-'Capex &amp; Depreciation'!Q250)</f>
        <v>0</v>
      </c>
      <c r="R214" s="159">
        <f>('Cost Calculation'!R186-'Capex &amp; Depreciation'!R250)</f>
        <v>0</v>
      </c>
      <c r="S214" s="159">
        <f>('Cost Calculation'!S186-'Capex &amp; Depreciation'!S250)</f>
        <v>0</v>
      </c>
      <c r="T214" s="159">
        <f>('Cost Calculation'!T186-'Capex &amp; Depreciation'!T250)</f>
        <v>0</v>
      </c>
    </row>
    <row r="215" spans="2:20" x14ac:dyDescent="0.25">
      <c r="B215" s="23" t="s">
        <v>2920</v>
      </c>
      <c r="C215" s="28" t="s">
        <v>493</v>
      </c>
      <c r="G215" s="159">
        <v>0</v>
      </c>
      <c r="H215" s="159">
        <f t="shared" ref="H215:T215" si="74">MAX(0,G215-MAX(0,H214))+MAX(0,-H214)</f>
        <v>0</v>
      </c>
      <c r="I215" s="159">
        <f t="shared" si="74"/>
        <v>0</v>
      </c>
      <c r="J215" s="159">
        <f t="shared" si="74"/>
        <v>0</v>
      </c>
      <c r="K215" s="159">
        <f t="shared" si="74"/>
        <v>0</v>
      </c>
      <c r="L215" s="159">
        <f t="shared" si="74"/>
        <v>0</v>
      </c>
      <c r="M215" s="159">
        <f t="shared" si="74"/>
        <v>0</v>
      </c>
      <c r="N215" s="159">
        <f t="shared" si="74"/>
        <v>0</v>
      </c>
      <c r="O215" s="159">
        <f t="shared" si="74"/>
        <v>0</v>
      </c>
      <c r="P215" s="159">
        <f t="shared" si="74"/>
        <v>0</v>
      </c>
      <c r="Q215" s="159">
        <f t="shared" si="74"/>
        <v>0</v>
      </c>
      <c r="R215" s="159">
        <f t="shared" si="74"/>
        <v>0</v>
      </c>
      <c r="S215" s="159">
        <f t="shared" si="74"/>
        <v>0</v>
      </c>
      <c r="T215" s="159">
        <f t="shared" si="74"/>
        <v>0</v>
      </c>
    </row>
    <row r="216" spans="2:20" x14ac:dyDescent="0.25">
      <c r="B216" s="23" t="s">
        <v>2921</v>
      </c>
      <c r="C216" s="28" t="s">
        <v>493</v>
      </c>
      <c r="H216" s="159">
        <f>Inputs!H522*MAX(0,H214-G215)</f>
        <v>0</v>
      </c>
      <c r="I216" s="159">
        <f>Inputs!I522*MAX(0,I214-H215)</f>
        <v>0</v>
      </c>
      <c r="J216" s="159">
        <f>Inputs!J522*MAX(0,J214-I215)</f>
        <v>0</v>
      </c>
      <c r="K216" s="159">
        <f>Inputs!K522*MAX(0,K214-J215)</f>
        <v>0</v>
      </c>
      <c r="L216" s="159">
        <f>Inputs!L522*MAX(0,L214-K215)</f>
        <v>0</v>
      </c>
      <c r="M216" s="159">
        <f>Inputs!M522*MAX(0,M214-L215)</f>
        <v>0</v>
      </c>
      <c r="N216" s="159">
        <f>Inputs!N522*MAX(0,N214-M215)</f>
        <v>0</v>
      </c>
      <c r="O216" s="159">
        <f>Inputs!O522*MAX(0,O214-N215)</f>
        <v>0</v>
      </c>
      <c r="P216" s="159">
        <f>Inputs!P522*MAX(0,P214-O215)</f>
        <v>0</v>
      </c>
      <c r="Q216" s="159">
        <f>Inputs!Q522*MAX(0,Q214-P215)</f>
        <v>0</v>
      </c>
      <c r="R216" s="159">
        <f>Inputs!R522*MAX(0,R214-Q215)</f>
        <v>0</v>
      </c>
      <c r="S216" s="159">
        <f>Inputs!S522*MAX(0,S214-R215)</f>
        <v>0</v>
      </c>
      <c r="T216" s="159">
        <f>Inputs!T522*MAX(0,T214-S215)</f>
        <v>0</v>
      </c>
    </row>
    <row r="217" spans="2:20" x14ac:dyDescent="0.25">
      <c r="B217" s="23" t="s">
        <v>2922</v>
      </c>
      <c r="C217" s="28" t="s">
        <v>493</v>
      </c>
      <c r="H217" s="159">
        <f>('Cost Calculation'!H192-'Capex &amp; Depreciation'!H251)</f>
        <v>0</v>
      </c>
      <c r="I217" s="159">
        <f>('Cost Calculation'!I192-'Capex &amp; Depreciation'!I251)</f>
        <v>0</v>
      </c>
      <c r="J217" s="159">
        <f>('Cost Calculation'!J192-'Capex &amp; Depreciation'!J251)</f>
        <v>0</v>
      </c>
      <c r="K217" s="159">
        <f>('Cost Calculation'!K192-'Capex &amp; Depreciation'!K251)</f>
        <v>0</v>
      </c>
      <c r="L217" s="159">
        <f>('Cost Calculation'!L192-'Capex &amp; Depreciation'!L251)</f>
        <v>0</v>
      </c>
      <c r="M217" s="159">
        <f>('Cost Calculation'!M192-'Capex &amp; Depreciation'!M251)</f>
        <v>0</v>
      </c>
      <c r="N217" s="159">
        <f>('Cost Calculation'!N192-'Capex &amp; Depreciation'!N251)</f>
        <v>0</v>
      </c>
      <c r="O217" s="159">
        <f>('Cost Calculation'!O192-'Capex &amp; Depreciation'!O251)</f>
        <v>0</v>
      </c>
      <c r="P217" s="159">
        <f>('Cost Calculation'!P192-'Capex &amp; Depreciation'!P251)</f>
        <v>0</v>
      </c>
      <c r="Q217" s="159">
        <f>('Cost Calculation'!Q192-'Capex &amp; Depreciation'!Q251)</f>
        <v>0</v>
      </c>
      <c r="R217" s="159">
        <f>('Cost Calculation'!R192-'Capex &amp; Depreciation'!R251)</f>
        <v>0</v>
      </c>
      <c r="S217" s="159">
        <f>('Cost Calculation'!S192-'Capex &amp; Depreciation'!S251)</f>
        <v>0</v>
      </c>
      <c r="T217" s="159">
        <f>('Cost Calculation'!T192-'Capex &amp; Depreciation'!T251)</f>
        <v>0</v>
      </c>
    </row>
    <row r="218" spans="2:20" x14ac:dyDescent="0.25">
      <c r="B218" s="23" t="s">
        <v>2923</v>
      </c>
      <c r="C218" s="28" t="s">
        <v>493</v>
      </c>
      <c r="G218" s="159">
        <v>0</v>
      </c>
      <c r="H218" s="159">
        <f t="shared" ref="H218:T218" si="75">MAX(0,G218-MAX(0,H217))+MAX(0,-H217)</f>
        <v>0</v>
      </c>
      <c r="I218" s="159">
        <f t="shared" si="75"/>
        <v>0</v>
      </c>
      <c r="J218" s="159">
        <f t="shared" si="75"/>
        <v>0</v>
      </c>
      <c r="K218" s="159">
        <f t="shared" si="75"/>
        <v>0</v>
      </c>
      <c r="L218" s="159">
        <f t="shared" si="75"/>
        <v>0</v>
      </c>
      <c r="M218" s="159">
        <f t="shared" si="75"/>
        <v>0</v>
      </c>
      <c r="N218" s="159">
        <f t="shared" si="75"/>
        <v>0</v>
      </c>
      <c r="O218" s="159">
        <f t="shared" si="75"/>
        <v>0</v>
      </c>
      <c r="P218" s="159">
        <f t="shared" si="75"/>
        <v>0</v>
      </c>
      <c r="Q218" s="159">
        <f t="shared" si="75"/>
        <v>0</v>
      </c>
      <c r="R218" s="159">
        <f t="shared" si="75"/>
        <v>0</v>
      </c>
      <c r="S218" s="159">
        <f t="shared" si="75"/>
        <v>0</v>
      </c>
      <c r="T218" s="159">
        <f t="shared" si="75"/>
        <v>0</v>
      </c>
    </row>
    <row r="219" spans="2:20" x14ac:dyDescent="0.25">
      <c r="B219" s="23" t="s">
        <v>2924</v>
      </c>
      <c r="C219" s="28" t="s">
        <v>493</v>
      </c>
      <c r="H219" s="159">
        <f>Inputs!H522*MAX(0,H217-G218)</f>
        <v>0</v>
      </c>
      <c r="I219" s="159">
        <f>Inputs!I522*MAX(0,I217-H218)</f>
        <v>0</v>
      </c>
      <c r="J219" s="159">
        <f>Inputs!J522*MAX(0,J217-I218)</f>
        <v>0</v>
      </c>
      <c r="K219" s="159">
        <f>Inputs!K522*MAX(0,K217-J218)</f>
        <v>0</v>
      </c>
      <c r="L219" s="159">
        <f>Inputs!L522*MAX(0,L217-K218)</f>
        <v>0</v>
      </c>
      <c r="M219" s="159">
        <f>Inputs!M522*MAX(0,M217-L218)</f>
        <v>0</v>
      </c>
      <c r="N219" s="159">
        <f>Inputs!N522*MAX(0,N217-M218)</f>
        <v>0</v>
      </c>
      <c r="O219" s="159">
        <f>Inputs!O522*MAX(0,O217-N218)</f>
        <v>0</v>
      </c>
      <c r="P219" s="159">
        <f>Inputs!P522*MAX(0,P217-O218)</f>
        <v>0</v>
      </c>
      <c r="Q219" s="159">
        <f>Inputs!Q522*MAX(0,Q217-P218)</f>
        <v>0</v>
      </c>
      <c r="R219" s="159">
        <f>Inputs!R522*MAX(0,R217-Q218)</f>
        <v>0</v>
      </c>
      <c r="S219" s="159">
        <f>Inputs!S522*MAX(0,S217-R218)</f>
        <v>0</v>
      </c>
      <c r="T219" s="159">
        <f>Inputs!T522*MAX(0,T217-S218)</f>
        <v>0</v>
      </c>
    </row>
    <row r="220" spans="2:20" x14ac:dyDescent="0.25">
      <c r="B220" s="23" t="s">
        <v>2925</v>
      </c>
      <c r="C220" s="28" t="s">
        <v>493</v>
      </c>
      <c r="H220" s="159">
        <f>('Cost Calculation'!H198-'Capex &amp; Depreciation'!H252)</f>
        <v>0</v>
      </c>
      <c r="I220" s="159">
        <f>('Cost Calculation'!I198-'Capex &amp; Depreciation'!I252)</f>
        <v>0</v>
      </c>
      <c r="J220" s="159">
        <f>('Cost Calculation'!J198-'Capex &amp; Depreciation'!J252)</f>
        <v>0</v>
      </c>
      <c r="K220" s="159">
        <f>('Cost Calculation'!K198-'Capex &amp; Depreciation'!K252)</f>
        <v>0</v>
      </c>
      <c r="L220" s="159">
        <f>('Cost Calculation'!L198-'Capex &amp; Depreciation'!L252)</f>
        <v>0</v>
      </c>
      <c r="M220" s="159">
        <f>('Cost Calculation'!M198-'Capex &amp; Depreciation'!M252)</f>
        <v>0</v>
      </c>
      <c r="N220" s="159">
        <f>('Cost Calculation'!N198-'Capex &amp; Depreciation'!N252)</f>
        <v>0</v>
      </c>
      <c r="O220" s="159">
        <f>('Cost Calculation'!O198-'Capex &amp; Depreciation'!O252)</f>
        <v>0</v>
      </c>
      <c r="P220" s="159">
        <f>('Cost Calculation'!P198-'Capex &amp; Depreciation'!P252)</f>
        <v>0</v>
      </c>
      <c r="Q220" s="159">
        <f>('Cost Calculation'!Q198-'Capex &amp; Depreciation'!Q252)</f>
        <v>0</v>
      </c>
      <c r="R220" s="159">
        <f>('Cost Calculation'!R198-'Capex &amp; Depreciation'!R252)</f>
        <v>0</v>
      </c>
      <c r="S220" s="159">
        <f>('Cost Calculation'!S198-'Capex &amp; Depreciation'!S252)</f>
        <v>0</v>
      </c>
      <c r="T220" s="159">
        <f>('Cost Calculation'!T198-'Capex &amp; Depreciation'!T252)</f>
        <v>0</v>
      </c>
    </row>
    <row r="221" spans="2:20" x14ac:dyDescent="0.25">
      <c r="B221" s="23" t="s">
        <v>2926</v>
      </c>
      <c r="C221" s="28" t="s">
        <v>493</v>
      </c>
      <c r="G221" s="159">
        <v>0</v>
      </c>
      <c r="H221" s="159">
        <f t="shared" ref="H221:T221" si="76">MAX(0,G221-MAX(0,H220))+MAX(0,-H220)</f>
        <v>0</v>
      </c>
      <c r="I221" s="159">
        <f t="shared" si="76"/>
        <v>0</v>
      </c>
      <c r="J221" s="159">
        <f t="shared" si="76"/>
        <v>0</v>
      </c>
      <c r="K221" s="159">
        <f t="shared" si="76"/>
        <v>0</v>
      </c>
      <c r="L221" s="159">
        <f t="shared" si="76"/>
        <v>0</v>
      </c>
      <c r="M221" s="159">
        <f t="shared" si="76"/>
        <v>0</v>
      </c>
      <c r="N221" s="159">
        <f t="shared" si="76"/>
        <v>0</v>
      </c>
      <c r="O221" s="159">
        <f t="shared" si="76"/>
        <v>0</v>
      </c>
      <c r="P221" s="159">
        <f t="shared" si="76"/>
        <v>0</v>
      </c>
      <c r="Q221" s="159">
        <f t="shared" si="76"/>
        <v>0</v>
      </c>
      <c r="R221" s="159">
        <f t="shared" si="76"/>
        <v>0</v>
      </c>
      <c r="S221" s="159">
        <f t="shared" si="76"/>
        <v>0</v>
      </c>
      <c r="T221" s="159">
        <f t="shared" si="76"/>
        <v>0</v>
      </c>
    </row>
    <row r="222" spans="2:20" x14ac:dyDescent="0.25">
      <c r="B222" s="23" t="s">
        <v>2927</v>
      </c>
      <c r="C222" s="28" t="s">
        <v>493</v>
      </c>
      <c r="H222" s="159">
        <f>Inputs!H522*MAX(0,H220-G221)</f>
        <v>0</v>
      </c>
      <c r="I222" s="159">
        <f>Inputs!I522*MAX(0,I220-H221)</f>
        <v>0</v>
      </c>
      <c r="J222" s="159">
        <f>Inputs!J522*MAX(0,J220-I221)</f>
        <v>0</v>
      </c>
      <c r="K222" s="159">
        <f>Inputs!K522*MAX(0,K220-J221)</f>
        <v>0</v>
      </c>
      <c r="L222" s="159">
        <f>Inputs!L522*MAX(0,L220-K221)</f>
        <v>0</v>
      </c>
      <c r="M222" s="159">
        <f>Inputs!M522*MAX(0,M220-L221)</f>
        <v>0</v>
      </c>
      <c r="N222" s="159">
        <f>Inputs!N522*MAX(0,N220-M221)</f>
        <v>0</v>
      </c>
      <c r="O222" s="159">
        <f>Inputs!O522*MAX(0,O220-N221)</f>
        <v>0</v>
      </c>
      <c r="P222" s="159">
        <f>Inputs!P522*MAX(0,P220-O221)</f>
        <v>0</v>
      </c>
      <c r="Q222" s="159">
        <f>Inputs!Q522*MAX(0,Q220-P221)</f>
        <v>0</v>
      </c>
      <c r="R222" s="159">
        <f>Inputs!R522*MAX(0,R220-Q221)</f>
        <v>0</v>
      </c>
      <c r="S222" s="159">
        <f>Inputs!S522*MAX(0,S220-R221)</f>
        <v>0</v>
      </c>
      <c r="T222" s="159">
        <f>Inputs!T522*MAX(0,T220-S221)</f>
        <v>0</v>
      </c>
    </row>
    <row r="223" spans="2:20" x14ac:dyDescent="0.25">
      <c r="B223" s="23" t="s">
        <v>2928</v>
      </c>
      <c r="C223" s="28" t="s">
        <v>493</v>
      </c>
      <c r="H223" s="159">
        <f>('Cost Calculation'!H214-'Capex &amp; Depreciation'!H253)</f>
        <v>0</v>
      </c>
      <c r="I223" s="159">
        <f>('Cost Calculation'!I214-'Capex &amp; Depreciation'!I253)</f>
        <v>0</v>
      </c>
      <c r="J223" s="159">
        <f>('Cost Calculation'!J214-'Capex &amp; Depreciation'!J253)</f>
        <v>0</v>
      </c>
      <c r="K223" s="159">
        <f>('Cost Calculation'!K214-'Capex &amp; Depreciation'!K253)</f>
        <v>0</v>
      </c>
      <c r="L223" s="159">
        <f>('Cost Calculation'!L214-'Capex &amp; Depreciation'!L253)</f>
        <v>-1.5</v>
      </c>
      <c r="M223" s="159">
        <f>('Cost Calculation'!M214-'Capex &amp; Depreciation'!M253)</f>
        <v>1.8200429500342192</v>
      </c>
      <c r="N223" s="159">
        <f>('Cost Calculation'!N214-'Capex &amp; Depreciation'!N253)</f>
        <v>8.6247929500342195</v>
      </c>
      <c r="O223" s="159">
        <f>('Cost Calculation'!O214-'Capex &amp; Depreciation'!O253)</f>
        <v>13.161292950034222</v>
      </c>
      <c r="P223" s="159">
        <f>('Cost Calculation'!P214-'Capex &amp; Depreciation'!P253)</f>
        <v>15.398371149897327</v>
      </c>
      <c r="Q223" s="159">
        <f>('Cost Calculation'!Q214-'Capex &amp; Depreciation'!Q253)</f>
        <v>15.42954295003422</v>
      </c>
      <c r="R223" s="159">
        <f>('Cost Calculation'!R214-'Capex &amp; Depreciation'!R253)</f>
        <v>15.429542950034229</v>
      </c>
      <c r="S223" s="159">
        <f>('Cost Calculation'!S214-'Capex &amp; Depreciation'!S253)</f>
        <v>15.42954295003422</v>
      </c>
      <c r="T223" s="159">
        <f>('Cost Calculation'!T214-'Capex &amp; Depreciation'!T253)</f>
        <v>15.398371149897327</v>
      </c>
    </row>
    <row r="224" spans="2:20" x14ac:dyDescent="0.25">
      <c r="B224" s="23" t="s">
        <v>2929</v>
      </c>
      <c r="C224" s="28" t="s">
        <v>493</v>
      </c>
      <c r="G224" s="159">
        <v>0</v>
      </c>
      <c r="H224" s="159">
        <f t="shared" ref="H224:T224" si="77">MAX(0,G224-MAX(0,H223))+MAX(0,-H223)</f>
        <v>0</v>
      </c>
      <c r="I224" s="159">
        <f t="shared" si="77"/>
        <v>0</v>
      </c>
      <c r="J224" s="159">
        <f t="shared" si="77"/>
        <v>0</v>
      </c>
      <c r="K224" s="159">
        <f t="shared" si="77"/>
        <v>0</v>
      </c>
      <c r="L224" s="159">
        <f t="shared" si="77"/>
        <v>1.5</v>
      </c>
      <c r="M224" s="159">
        <f t="shared" si="77"/>
        <v>0</v>
      </c>
      <c r="N224" s="159">
        <f t="shared" si="77"/>
        <v>0</v>
      </c>
      <c r="O224" s="159">
        <f t="shared" si="77"/>
        <v>0</v>
      </c>
      <c r="P224" s="159">
        <f t="shared" si="77"/>
        <v>0</v>
      </c>
      <c r="Q224" s="159">
        <f t="shared" si="77"/>
        <v>0</v>
      </c>
      <c r="R224" s="159">
        <f t="shared" si="77"/>
        <v>0</v>
      </c>
      <c r="S224" s="159">
        <f t="shared" si="77"/>
        <v>0</v>
      </c>
      <c r="T224" s="159">
        <f t="shared" si="77"/>
        <v>0</v>
      </c>
    </row>
    <row r="225" spans="2:20" x14ac:dyDescent="0.25">
      <c r="B225" s="23" t="s">
        <v>2930</v>
      </c>
      <c r="C225" s="28" t="s">
        <v>493</v>
      </c>
      <c r="H225" s="159">
        <f>Inputs!H522*MAX(0,H223-G224)</f>
        <v>0</v>
      </c>
      <c r="I225" s="159">
        <f>Inputs!I522*MAX(0,I223-H224)</f>
        <v>0</v>
      </c>
      <c r="J225" s="159">
        <f>Inputs!J522*MAX(0,J223-I224)</f>
        <v>0</v>
      </c>
      <c r="K225" s="159">
        <f>Inputs!K522*MAX(0,K223-J224)</f>
        <v>0</v>
      </c>
      <c r="L225" s="159">
        <f>Inputs!L522*MAX(0,L223-K224)</f>
        <v>0</v>
      </c>
      <c r="M225" s="159">
        <f>Inputs!M522*MAX(0,M223-L224)</f>
        <v>7.0409449007528227E-2</v>
      </c>
      <c r="N225" s="159">
        <f>Inputs!N522*MAX(0,N223-M224)</f>
        <v>1.8974544490075282</v>
      </c>
      <c r="O225" s="159">
        <f>Inputs!O522*MAX(0,O223-N224)</f>
        <v>2.8954844490075287</v>
      </c>
      <c r="P225" s="159">
        <f>Inputs!P522*MAX(0,P223-O224)</f>
        <v>3.387641652977412</v>
      </c>
      <c r="Q225" s="159">
        <f>Inputs!Q522*MAX(0,Q223-P224)</f>
        <v>3.3944994490075282</v>
      </c>
      <c r="R225" s="159">
        <f>Inputs!R522*MAX(0,R223-Q224)</f>
        <v>3.3944994490075304</v>
      </c>
      <c r="S225" s="159">
        <f>Inputs!S522*MAX(0,S223-R224)</f>
        <v>3.3944994490075282</v>
      </c>
      <c r="T225" s="159">
        <f>Inputs!T522*MAX(0,T223-S224)</f>
        <v>3.387641652977412</v>
      </c>
    </row>
    <row r="226" spans="2:20" x14ac:dyDescent="0.25">
      <c r="B226" s="21" t="s">
        <v>2931</v>
      </c>
      <c r="C226" s="28" t="s">
        <v>493</v>
      </c>
      <c r="G226" s="157"/>
      <c r="H226" s="158">
        <f t="shared" ref="H226:T226" si="78">H195+H198+H201+H204+H207+H210+H213+H216+H219+H222+H225</f>
        <v>19.962283512427824</v>
      </c>
      <c r="I226" s="158">
        <f t="shared" si="78"/>
        <v>27.518394037515282</v>
      </c>
      <c r="J226" s="158">
        <f t="shared" si="78"/>
        <v>51.154946508180501</v>
      </c>
      <c r="K226" s="158">
        <f t="shared" si="78"/>
        <v>68.927494161364208</v>
      </c>
      <c r="L226" s="158">
        <f t="shared" si="78"/>
        <v>78.093636591236304</v>
      </c>
      <c r="M226" s="158">
        <f t="shared" si="78"/>
        <v>89.782708606731845</v>
      </c>
      <c r="N226" s="158">
        <f t="shared" si="78"/>
        <v>96.310442730723764</v>
      </c>
      <c r="O226" s="158">
        <f t="shared" si="78"/>
        <v>106.76794308641458</v>
      </c>
      <c r="P226" s="158">
        <f t="shared" si="78"/>
        <v>113.13130841869142</v>
      </c>
      <c r="Q226" s="158">
        <f t="shared" si="78"/>
        <v>123.52506250232972</v>
      </c>
      <c r="R226" s="158">
        <f t="shared" si="78"/>
        <v>129.49714150907175</v>
      </c>
      <c r="S226" s="158">
        <f t="shared" si="78"/>
        <v>128.4908740466629</v>
      </c>
      <c r="T226" s="158">
        <f t="shared" si="78"/>
        <v>133.52589358839444</v>
      </c>
    </row>
    <row r="227" spans="2:20" x14ac:dyDescent="0.25">
      <c r="B227" s="23" t="s">
        <v>2932</v>
      </c>
      <c r="C227" s="28" t="s">
        <v>493</v>
      </c>
      <c r="H227" s="159">
        <f>Inputs!H522*(Financing!H24+Financing!H34+Financing!H54-Financing!H60)</f>
        <v>1.2035992138854201</v>
      </c>
      <c r="I227" s="159">
        <f>Inputs!I522*(Financing!I24+Financing!I34+Financing!I54-Financing!I60)</f>
        <v>3.3601590391093255</v>
      </c>
      <c r="J227" s="159">
        <f>Inputs!J522*(Financing!J24+Financing!J34+Financing!J54-Financing!J60)</f>
        <v>3.360159039109325</v>
      </c>
      <c r="K227" s="159">
        <f>Inputs!K522*(Financing!K24+Financing!K34+Financing!K54-Financing!K60)</f>
        <v>1.6662706467911996</v>
      </c>
      <c r="L227" s="159">
        <f>Inputs!L522*(Financing!L24+Financing!L34+Financing!L54-Financing!L60)</f>
        <v>0.75144299999999997</v>
      </c>
      <c r="M227" s="159">
        <f>Inputs!M522*(Financing!M24+Financing!M34+Financing!M54-Financing!M60)</f>
        <v>1.8786075</v>
      </c>
      <c r="N227" s="159">
        <f>Inputs!N522*(Financing!N24+Financing!N34+Financing!N54-Financing!N60)</f>
        <v>1.8786075</v>
      </c>
      <c r="O227" s="159">
        <f>Inputs!O522*(Financing!O24+Financing!O34+Financing!O54-Financing!O60)</f>
        <v>1.7283189000000001</v>
      </c>
      <c r="P227" s="159">
        <f>Inputs!P522*(Financing!P24+Financing!P34+Financing!P54-Financing!P60)</f>
        <v>1.3525974000000001</v>
      </c>
      <c r="Q227" s="159">
        <f>Inputs!Q522*(Financing!Q24+Financing!Q34+Financing!Q54-Financing!Q60)</f>
        <v>0.97687589999999991</v>
      </c>
      <c r="R227" s="159">
        <f>Inputs!R522*(Financing!R24+Financing!R34+Financing!R54-Financing!R60)</f>
        <v>0.60115439999999998</v>
      </c>
      <c r="S227" s="159">
        <f>Inputs!S522*(Financing!S24+Financing!S34+Financing!S54-Financing!S60)</f>
        <v>0.22543289999999999</v>
      </c>
      <c r="T227" s="159">
        <f>Inputs!T522*(Financing!T24+Financing!T34+Financing!T54-Financing!T60)</f>
        <v>0</v>
      </c>
    </row>
    <row r="228" spans="2:20" x14ac:dyDescent="0.25">
      <c r="B228" s="21" t="s">
        <v>2933</v>
      </c>
      <c r="C228" s="28" t="s">
        <v>493</v>
      </c>
      <c r="G228" s="157"/>
      <c r="H228" s="158">
        <f t="shared" ref="H228:T228" si="79">MAX(0,H226-H227)</f>
        <v>18.758684298542406</v>
      </c>
      <c r="I228" s="158">
        <f t="shared" si="79"/>
        <v>24.158234998405955</v>
      </c>
      <c r="J228" s="158">
        <f t="shared" si="79"/>
        <v>47.794787469071174</v>
      </c>
      <c r="K228" s="158">
        <f t="shared" si="79"/>
        <v>67.261223514573004</v>
      </c>
      <c r="L228" s="158">
        <f t="shared" si="79"/>
        <v>77.34219359123631</v>
      </c>
      <c r="M228" s="158">
        <f t="shared" si="79"/>
        <v>87.904101106731844</v>
      </c>
      <c r="N228" s="158">
        <f t="shared" si="79"/>
        <v>94.431835230723763</v>
      </c>
      <c r="O228" s="158">
        <f t="shared" si="79"/>
        <v>105.03962418641457</v>
      </c>
      <c r="P228" s="158">
        <f t="shared" si="79"/>
        <v>111.77871101869142</v>
      </c>
      <c r="Q228" s="158">
        <f t="shared" si="79"/>
        <v>122.54818660232972</v>
      </c>
      <c r="R228" s="158">
        <f t="shared" si="79"/>
        <v>128.89598710907174</v>
      </c>
      <c r="S228" s="158">
        <f t="shared" si="79"/>
        <v>128.26544114666291</v>
      </c>
      <c r="T228" s="158">
        <f t="shared" si="79"/>
        <v>133.52589358839444</v>
      </c>
    </row>
    <row r="229" spans="2:20" x14ac:dyDescent="0.25">
      <c r="B229" s="154" t="s">
        <v>2934</v>
      </c>
    </row>
    <row r="230" spans="2:20" ht="26.25" customHeight="1" x14ac:dyDescent="0.25">
      <c r="B230" s="133" t="s">
        <v>2935</v>
      </c>
      <c r="C230" s="28" t="s">
        <v>493</v>
      </c>
      <c r="G230" s="157"/>
      <c r="H230" s="158">
        <f>IF(Inputs!$E$745=1,H228,H189)</f>
        <v>19.962283512427824</v>
      </c>
      <c r="I230" s="158">
        <f>IF(Inputs!$E$745=1,I228,I189)</f>
        <v>34.011742338910175</v>
      </c>
      <c r="J230" s="158">
        <f>IF(Inputs!$E$745=1,J228,J189)</f>
        <v>52.286568273349772</v>
      </c>
      <c r="K230" s="158">
        <f>IF(Inputs!$E$745=1,K228,K189)</f>
        <v>69.25448187053756</v>
      </c>
      <c r="L230" s="158">
        <f>IF(Inputs!$E$745=1,L228,L189)</f>
        <v>79.691245471648969</v>
      </c>
      <c r="M230" s="158">
        <f>IF(Inputs!$E$745=1,M228,M189)</f>
        <v>89.972075216019149</v>
      </c>
      <c r="N230" s="158">
        <f>IF(Inputs!$E$745=1,N228,N189)</f>
        <v>94.460604401384614</v>
      </c>
      <c r="O230" s="158">
        <f>IF(Inputs!$E$745=1,O228,O189)</f>
        <v>105.03962418641458</v>
      </c>
      <c r="P230" s="158">
        <f>IF(Inputs!$E$745=1,P228,P189)</f>
        <v>111.77871101869141</v>
      </c>
      <c r="Q230" s="158">
        <f>IF(Inputs!$E$745=1,Q228,Q189)</f>
        <v>122.54818660232972</v>
      </c>
      <c r="R230" s="158">
        <f>IF(Inputs!$E$745=1,R228,R189)</f>
        <v>128.89598710907174</v>
      </c>
      <c r="S230" s="158">
        <f>IF(Inputs!$E$745=1,S228,S189)</f>
        <v>128.26544114666288</v>
      </c>
      <c r="T230" s="158">
        <f>IF(Inputs!$E$745=1,T228,T189)</f>
        <v>133.52589358839438</v>
      </c>
    </row>
    <row r="231" spans="2:20" ht="26.25" customHeight="1" x14ac:dyDescent="0.25">
      <c r="B231" s="133" t="s">
        <v>2936</v>
      </c>
      <c r="C231" s="28" t="s">
        <v>493</v>
      </c>
      <c r="H231" s="160">
        <f>IF(Inputs!$E$745=1,H226,H190)</f>
        <v>19.962283512427824</v>
      </c>
      <c r="I231" s="160">
        <f>IF(Inputs!$E$745=1,I226,I190)</f>
        <v>36.944623657090176</v>
      </c>
      <c r="J231" s="160">
        <f>IF(Inputs!$E$745=1,J226,J190)</f>
        <v>55.219449591529774</v>
      </c>
      <c r="K231" s="160">
        <f>IF(Inputs!$E$745=1,K226,K190)</f>
        <v>70.708869592703536</v>
      </c>
      <c r="L231" s="160">
        <f>IF(Inputs!$E$745=1,L226,L190)</f>
        <v>79.691245471648969</v>
      </c>
      <c r="M231" s="160">
        <f>IF(Inputs!$E$745=1,M226,M190)</f>
        <v>90.372484665026676</v>
      </c>
      <c r="N231" s="160">
        <f>IF(Inputs!$E$745=1,N226,N190)</f>
        <v>96.339211901384616</v>
      </c>
      <c r="O231" s="160">
        <f>IF(Inputs!$E$745=1,O226,O190)</f>
        <v>106.76794308641458</v>
      </c>
      <c r="P231" s="160">
        <f>IF(Inputs!$E$745=1,P226,P190)</f>
        <v>113.1313084186914</v>
      </c>
      <c r="Q231" s="160">
        <f>IF(Inputs!$E$745=1,Q226,Q190)</f>
        <v>123.52506250232972</v>
      </c>
      <c r="R231" s="160">
        <f>IF(Inputs!$E$745=1,R226,R190)</f>
        <v>129.49714150907175</v>
      </c>
      <c r="S231" s="160">
        <f>IF(Inputs!$E$745=1,S226,S190)</f>
        <v>128.4908740466629</v>
      </c>
      <c r="T231" s="160">
        <f>IF(Inputs!$E$745=1,T226,T190)</f>
        <v>133.52589358839438</v>
      </c>
    </row>
    <row r="232" spans="2:20" ht="26.25" customHeight="1" x14ac:dyDescent="0.25">
      <c r="B232" s="64" t="s">
        <v>2937</v>
      </c>
      <c r="C232" s="28" t="s">
        <v>493</v>
      </c>
      <c r="H232" s="161">
        <f t="shared" ref="H232:T232" si="80">ROUND(H193+H196+H199+H202+H205+H208+H211+H214+H217+H220+H223-H69-H70,6)</f>
        <v>0</v>
      </c>
      <c r="I232" s="161">
        <f t="shared" si="80"/>
        <v>0</v>
      </c>
      <c r="J232" s="161">
        <f t="shared" si="80"/>
        <v>0</v>
      </c>
      <c r="K232" s="161">
        <f t="shared" si="80"/>
        <v>0</v>
      </c>
      <c r="L232" s="161">
        <f t="shared" si="80"/>
        <v>0</v>
      </c>
      <c r="M232" s="161">
        <f t="shared" si="80"/>
        <v>0</v>
      </c>
      <c r="N232" s="161">
        <f t="shared" si="80"/>
        <v>0</v>
      </c>
      <c r="O232" s="161">
        <f t="shared" si="80"/>
        <v>0</v>
      </c>
      <c r="P232" s="161">
        <f t="shared" si="80"/>
        <v>0</v>
      </c>
      <c r="Q232" s="161">
        <f t="shared" si="80"/>
        <v>0</v>
      </c>
      <c r="R232" s="161">
        <f t="shared" si="80"/>
        <v>0</v>
      </c>
      <c r="S232" s="161">
        <f t="shared" si="80"/>
        <v>0</v>
      </c>
      <c r="T232" s="161">
        <f t="shared" si="80"/>
        <v>0</v>
      </c>
    </row>
    <row r="233" spans="2:20" ht="26.25" customHeight="1" x14ac:dyDescent="0.25">
      <c r="B233" s="64" t="s">
        <v>2938</v>
      </c>
      <c r="C233" s="28" t="s">
        <v>493</v>
      </c>
      <c r="H233" s="159">
        <f t="shared" ref="H233:T233" si="81">H91+H106</f>
        <v>55.200615812661312</v>
      </c>
      <c r="I233" s="159">
        <f t="shared" si="81"/>
        <v>57.464611864635387</v>
      </c>
      <c r="J233" s="159">
        <f t="shared" si="81"/>
        <v>58.977353517222681</v>
      </c>
      <c r="K233" s="159">
        <f t="shared" si="81"/>
        <v>61.693122921581207</v>
      </c>
      <c r="L233" s="159">
        <f t="shared" si="81"/>
        <v>64.108158447600289</v>
      </c>
      <c r="M233" s="159">
        <f t="shared" si="81"/>
        <v>70.015885047066519</v>
      </c>
      <c r="N233" s="159">
        <f t="shared" si="81"/>
        <v>72.649186076772637</v>
      </c>
      <c r="O233" s="159">
        <f t="shared" si="81"/>
        <v>75.331317633091317</v>
      </c>
      <c r="P233" s="159">
        <f t="shared" si="81"/>
        <v>82.041651317562724</v>
      </c>
      <c r="Q233" s="159">
        <f t="shared" si="81"/>
        <v>84.963578917707764</v>
      </c>
      <c r="R233" s="159">
        <f t="shared" si="81"/>
        <v>87.937229909393992</v>
      </c>
      <c r="S233" s="159">
        <f t="shared" si="81"/>
        <v>90.961995826037011</v>
      </c>
      <c r="T233" s="159">
        <f t="shared" si="81"/>
        <v>94.037118565923649</v>
      </c>
    </row>
    <row r="234" spans="2:20" x14ac:dyDescent="0.25">
      <c r="B234" s="23" t="s">
        <v>3057</v>
      </c>
      <c r="C234" s="28" t="s">
        <v>493</v>
      </c>
      <c r="H234" s="159">
        <f>IF(Inputs!$E$745=1,H193-H195,(('Cost Calculation'!H35-'Capex &amp; Depreciation'!H231)-Inputs!H522*MAX(0,'Cost Calculation'!H35-'Capex &amp; Depreciation'!H231))+(('Cost Calculation'!H149-'Capex &amp; Depreciation'!H238)-Inputs!H522*MAX(0,'Cost Calculation'!H149-'Capex &amp; Depreciation'!H238))+(('Cost Calculation'!H165-'Capex &amp; Depreciation'!H242)-Inputs!H522*MAX(0,'Cost Calculation'!H165-'Capex &amp; Depreciation'!H242))+(('BUMN Synergy Calculation'!H37-'Capex &amp; Depreciation'!H246)-Inputs!H522*MAX(0,'BUMN Synergy Calculation'!H37-'Capex &amp; Depreciation'!H246)))</f>
        <v>55.200615812661312</v>
      </c>
      <c r="I234" s="159">
        <f>IF(Inputs!$E$745=1,I193-I195,(('Cost Calculation'!I35-'Capex &amp; Depreciation'!I231)-Inputs!I522*MAX(0,'Cost Calculation'!I35-'Capex &amp; Depreciation'!I231))+(('Cost Calculation'!I149-'Capex &amp; Depreciation'!I238)-Inputs!I522*MAX(0,'Cost Calculation'!I149-'Capex &amp; Depreciation'!I238))+(('Cost Calculation'!I165-'Capex &amp; Depreciation'!I242)-Inputs!I522*MAX(0,'Cost Calculation'!I165-'Capex &amp; Depreciation'!I242))+(('BUMN Synergy Calculation'!I37-'Capex &amp; Depreciation'!I246)-Inputs!I522*MAX(0,'BUMN Synergy Calculation'!I37-'Capex &amp; Depreciation'!I246)))</f>
        <v>57.464611864635387</v>
      </c>
      <c r="J234" s="159">
        <f>IF(Inputs!$E$745=1,J193-J195,(('Cost Calculation'!J35-'Capex &amp; Depreciation'!J231)-Inputs!J522*MAX(0,'Cost Calculation'!J35-'Capex &amp; Depreciation'!J231))+(('Cost Calculation'!J149-'Capex &amp; Depreciation'!J238)-Inputs!J522*MAX(0,'Cost Calculation'!J149-'Capex &amp; Depreciation'!J238))+(('Cost Calculation'!J165-'Capex &amp; Depreciation'!J242)-Inputs!J522*MAX(0,'Cost Calculation'!J165-'Capex &amp; Depreciation'!J242))+(('BUMN Synergy Calculation'!J37-'Capex &amp; Depreciation'!J246)-Inputs!J522*MAX(0,'BUMN Synergy Calculation'!J37-'Capex &amp; Depreciation'!J246)))</f>
        <v>81.245828137586329</v>
      </c>
      <c r="K234" s="159">
        <f>IF(Inputs!$E$745=1,K193-K195,(('Cost Calculation'!K35-'Capex &amp; Depreciation'!K231)-Inputs!K522*MAX(0,'Cost Calculation'!K35-'Capex &amp; Depreciation'!K231))+(('Cost Calculation'!K149-'Capex &amp; Depreciation'!K238)-Inputs!K522*MAX(0,'Cost Calculation'!K149-'Capex &amp; Depreciation'!K238))+(('Cost Calculation'!K165-'Capex &amp; Depreciation'!K242)-Inputs!K522*MAX(0,'Cost Calculation'!K165-'Capex &amp; Depreciation'!K242))+(('BUMN Synergy Calculation'!K37-'Capex &amp; Depreciation'!K246)-Inputs!K522*MAX(0,'BUMN Synergy Calculation'!K37-'Capex &amp; Depreciation'!K246)))</f>
        <v>91.655133718055751</v>
      </c>
      <c r="L234" s="159">
        <f>IF(Inputs!$E$745=1,L193-L195,(('Cost Calculation'!L35-'Capex &amp; Depreciation'!L231)-Inputs!L522*MAX(0,'Cost Calculation'!L35-'Capex &amp; Depreciation'!L231))+(('Cost Calculation'!L149-'Capex &amp; Depreciation'!L238)-Inputs!L522*MAX(0,'Cost Calculation'!L149-'Capex &amp; Depreciation'!L238))+(('Cost Calculation'!L165-'Capex &amp; Depreciation'!L242)-Inputs!L522*MAX(0,'Cost Calculation'!L165-'Capex &amp; Depreciation'!L242))+(('BUMN Synergy Calculation'!L37-'Capex &amp; Depreciation'!L246)-Inputs!L522*MAX(0,'BUMN Synergy Calculation'!L37-'Capex &amp; Depreciation'!L246)))</f>
        <v>94.758265109844089</v>
      </c>
      <c r="M234" s="159">
        <f>IF(Inputs!$E$745=1,M193-M195,(('Cost Calculation'!M35-'Capex &amp; Depreciation'!M231)-Inputs!M522*MAX(0,'Cost Calculation'!M35-'Capex &amp; Depreciation'!M231))+(('Cost Calculation'!M149-'Capex &amp; Depreciation'!M238)-Inputs!M522*MAX(0,'Cost Calculation'!M149-'Capex &amp; Depreciation'!M238))+(('Cost Calculation'!M165-'Capex &amp; Depreciation'!M242)-Inputs!M522*MAX(0,'Cost Calculation'!M165-'Capex &amp; Depreciation'!M242))+(('BUMN Synergy Calculation'!M37-'Capex &amp; Depreciation'!M246)-Inputs!M522*MAX(0,'BUMN Synergy Calculation'!M37-'Capex &amp; Depreciation'!M246)))</f>
        <v>101.37473045105263</v>
      </c>
      <c r="N234" s="159">
        <f>IF(Inputs!$E$745=1,N193-N195,(('Cost Calculation'!N35-'Capex &amp; Depreciation'!N231)-Inputs!N522*MAX(0,'Cost Calculation'!N35-'Capex &amp; Depreciation'!N231))+(('Cost Calculation'!N149-'Capex &amp; Depreciation'!N238)-Inputs!N522*MAX(0,'Cost Calculation'!N149-'Capex &amp; Depreciation'!N238))+(('Cost Calculation'!N165-'Capex &amp; Depreciation'!N242)-Inputs!N522*MAX(0,'Cost Calculation'!N165-'Capex &amp; Depreciation'!N242))+(('BUMN Synergy Calculation'!N37-'Capex &amp; Depreciation'!N246)-Inputs!N522*MAX(0,'BUMN Synergy Calculation'!N37-'Capex &amp; Depreciation'!N246)))</f>
        <v>104.73803238475332</v>
      </c>
      <c r="O234" s="159">
        <f>IF(Inputs!$E$745=1,O193-O195,(('Cost Calculation'!O35-'Capex &amp; Depreciation'!O231)-Inputs!O522*MAX(0,'Cost Calculation'!O35-'Capex &amp; Depreciation'!O231))+(('Cost Calculation'!O149-'Capex &amp; Depreciation'!O238)-Inputs!O522*MAX(0,'Cost Calculation'!O149-'Capex &amp; Depreciation'!O238))+(('Cost Calculation'!O165-'Capex &amp; Depreciation'!O242)-Inputs!O522*MAX(0,'Cost Calculation'!O165-'Capex &amp; Depreciation'!O242))+(('BUMN Synergy Calculation'!O37-'Capex &amp; Depreciation'!O246)-Inputs!O522*MAX(0,'BUMN Synergy Calculation'!O37-'Capex &amp; Depreciation'!O246)))</f>
        <v>108.17206487218644</v>
      </c>
      <c r="P234" s="159">
        <f>IF(Inputs!$E$745=1,P193-P195,(('Cost Calculation'!P35-'Capex &amp; Depreciation'!P231)-Inputs!P522*MAX(0,'Cost Calculation'!P35-'Capex &amp; Depreciation'!P231))+(('Cost Calculation'!P149-'Capex &amp; Depreciation'!P238)-Inputs!P522*MAX(0,'Cost Calculation'!P149-'Capex &amp; Depreciation'!P238))+(('Cost Calculation'!P165-'Capex &amp; Depreciation'!P242)-Inputs!P522*MAX(0,'Cost Calculation'!P165-'Capex &amp; Depreciation'!P242))+(('BUMN Synergy Calculation'!P37-'Capex &amp; Depreciation'!P246)-Inputs!P522*MAX(0,'BUMN Synergy Calculation'!P37-'Capex &amp; Depreciation'!P246)))</f>
        <v>115.65685651570568</v>
      </c>
      <c r="Q234" s="159">
        <f>IF(Inputs!$E$745=1,Q193-Q195,(('Cost Calculation'!Q35-'Capex &amp; Depreciation'!Q231)-Inputs!Q522*MAX(0,'Cost Calculation'!Q35-'Capex &amp; Depreciation'!Q231))+(('Cost Calculation'!Q149-'Capex &amp; Depreciation'!Q238)-Inputs!Q522*MAX(0,'Cost Calculation'!Q149-'Capex &amp; Depreciation'!Q238))+(('Cost Calculation'!Q165-'Capex &amp; Depreciation'!Q242)-Inputs!Q522*MAX(0,'Cost Calculation'!Q165-'Capex &amp; Depreciation'!Q242))+(('BUMN Synergy Calculation'!Q37-'Capex &amp; Depreciation'!Q246)-Inputs!Q522*MAX(0,'BUMN Synergy Calculation'!Q37-'Capex &amp; Depreciation'!Q246)))</f>
        <v>119.37647581367003</v>
      </c>
      <c r="R234" s="159">
        <f>IF(Inputs!$E$745=1,R193-R195,(('Cost Calculation'!R35-'Capex &amp; Depreciation'!R231)-Inputs!R522*MAX(0,'Cost Calculation'!R35-'Capex &amp; Depreciation'!R231))+(('Cost Calculation'!R149-'Capex &amp; Depreciation'!R238)-Inputs!R522*MAX(0,'Cost Calculation'!R149-'Capex &amp; Depreciation'!R238))+(('Cost Calculation'!R165-'Capex &amp; Depreciation'!R242)-Inputs!R522*MAX(0,'Cost Calculation'!R165-'Capex &amp; Depreciation'!R242))+(('BUMN Synergy Calculation'!R37-'Capex &amp; Depreciation'!R246)-Inputs!R522*MAX(0,'BUMN Synergy Calculation'!R37-'Capex &amp; Depreciation'!R246)))</f>
        <v>123.17174925411013</v>
      </c>
      <c r="S234" s="159">
        <f>IF(Inputs!$E$745=1,S193-S195,(('Cost Calculation'!S35-'Capex &amp; Depreciation'!S231)-Inputs!S522*MAX(0,'Cost Calculation'!S35-'Capex &amp; Depreciation'!S231))+(('Cost Calculation'!S149-'Capex &amp; Depreciation'!S238)-Inputs!S522*MAX(0,'Cost Calculation'!S149-'Capex &amp; Depreciation'!S238))+(('Cost Calculation'!S165-'Capex &amp; Depreciation'!S242)-Inputs!S522*MAX(0,'Cost Calculation'!S165-'Capex &amp; Depreciation'!S242))+(('BUMN Synergy Calculation'!S37-'Capex &amp; Depreciation'!S246)-Inputs!S522*MAX(0,'BUMN Synergy Calculation'!S37-'Capex &amp; Depreciation'!S246)))</f>
        <v>127.04278629296962</v>
      </c>
      <c r="T234" s="159">
        <f>IF(Inputs!$E$745=1,T193-T195,(('Cost Calculation'!T35-'Capex &amp; Depreciation'!T231)-Inputs!T522*MAX(0,'Cost Calculation'!T35-'Capex &amp; Depreciation'!T231))+(('Cost Calculation'!T149-'Capex &amp; Depreciation'!T238)-Inputs!T522*MAX(0,'Cost Calculation'!T149-'Capex &amp; Depreciation'!T238))+(('Cost Calculation'!T165-'Capex &amp; Depreciation'!T242)-Inputs!T522*MAX(0,'Cost Calculation'!T165-'Capex &amp; Depreciation'!T242))+(('BUMN Synergy Calculation'!T37-'Capex &amp; Depreciation'!T246)-Inputs!T522*MAX(0,'BUMN Synergy Calculation'!T37-'Capex &amp; Depreciation'!T246)))</f>
        <v>130.98956828873924</v>
      </c>
    </row>
    <row r="235" spans="2:20" ht="26.25" customHeight="1" x14ac:dyDescent="0.25">
      <c r="B235" s="64" t="s">
        <v>2940</v>
      </c>
      <c r="C235" s="28" t="s">
        <v>493</v>
      </c>
      <c r="H235" s="159">
        <f>(1-Inputs!$E$531)*IF(Inputs!$E$750=1,H234,H233)+(1-IF(ISNUMBER(Inputs!$E$606),Inputs!$E$606,1))*(H214-H216)+(1-IF(ISNUMBER(Inputs!$E$640),Inputs!$E$640,1))*(H217-H219)+(1-IF(ISNUMBER(Inputs!$E$674),Inputs!$E$674,1))*(H220-H222)+(1-Inputs!$E$569)*IF(Inputs!$E$745=1,H223-Financing!H54-H225,H186)</f>
        <v>19.320215534431458</v>
      </c>
      <c r="I235" s="159">
        <f>(1-Inputs!$E$531)*IF(Inputs!$E$750=1,I234,I233)+(1-IF(ISNUMBER(Inputs!$E$606),Inputs!$E$606,1))*(I214-I216)+(1-IF(ISNUMBER(Inputs!$E$640),Inputs!$E$640,1))*(I217-I219)+(1-IF(ISNUMBER(Inputs!$E$674),Inputs!$E$674,1))*(I220-I222)+(1-Inputs!$E$569)*IF(Inputs!$E$745=1,I223-Financing!I54-I225,I186)</f>
        <v>20.112614152622385</v>
      </c>
      <c r="J235" s="159">
        <f>(1-Inputs!$E$531)*IF(Inputs!$E$750=1,J234,J233)+(1-IF(ISNUMBER(Inputs!$E$606),Inputs!$E$606,1))*(J214-J216)+(1-IF(ISNUMBER(Inputs!$E$640),Inputs!$E$640,1))*(J217-J219)+(1-IF(ISNUMBER(Inputs!$E$674),Inputs!$E$674,1))*(J220-J222)+(1-Inputs!$E$569)*IF(Inputs!$E$745=1,J223-Financing!J54-J225,J186)</f>
        <v>20.642073731027939</v>
      </c>
      <c r="K235" s="159">
        <f>(1-Inputs!$E$531)*IF(Inputs!$E$750=1,K234,K233)+(1-IF(ISNUMBER(Inputs!$E$606),Inputs!$E$606,1))*(K214-K216)+(1-IF(ISNUMBER(Inputs!$E$640),Inputs!$E$640,1))*(K217-K219)+(1-IF(ISNUMBER(Inputs!$E$674),Inputs!$E$674,1))*(K220-K222)+(1-Inputs!$E$569)*IF(Inputs!$E$745=1,K223-Financing!K54-K225,K186)</f>
        <v>21.59259302255342</v>
      </c>
      <c r="L235" s="159">
        <f>(1-Inputs!$E$531)*IF(Inputs!$E$750=1,L234,L233)+(1-IF(ISNUMBER(Inputs!$E$606),Inputs!$E$606,1))*(L214-L216)+(1-IF(ISNUMBER(Inputs!$E$640),Inputs!$E$640,1))*(L217-L219)+(1-IF(ISNUMBER(Inputs!$E$674),Inputs!$E$674,1))*(L220-L222)+(1-Inputs!$E$569)*IF(Inputs!$E$745=1,L223-Financing!L54-L225,L186)</f>
        <v>22.437855456660099</v>
      </c>
      <c r="M235" s="159">
        <f>(1-Inputs!$E$531)*IF(Inputs!$E$750=1,M234,M233)+(1-IF(ISNUMBER(Inputs!$E$606),Inputs!$E$606,1))*(M214-M216)+(1-IF(ISNUMBER(Inputs!$E$640),Inputs!$E$640,1))*(M217-M219)+(1-IF(ISNUMBER(Inputs!$E$674),Inputs!$E$674,1))*(M220-M222)+(1-Inputs!$E$569)*IF(Inputs!$E$745=1,M223-Financing!M54-M225,M186)</f>
        <v>24.505559766473279</v>
      </c>
      <c r="N235" s="159">
        <f>(1-Inputs!$E$531)*IF(Inputs!$E$750=1,N234,N233)+(1-IF(ISNUMBER(Inputs!$E$606),Inputs!$E$606,1))*(N214-N216)+(1-IF(ISNUMBER(Inputs!$E$640),Inputs!$E$640,1))*(N217-N219)+(1-IF(ISNUMBER(Inputs!$E$674),Inputs!$E$674,1))*(N220-N222)+(1-Inputs!$E$569)*IF(Inputs!$E$745=1,N223-Financing!N54-N225,N186)</f>
        <v>25.427215126870422</v>
      </c>
      <c r="O235" s="159">
        <f>(1-Inputs!$E$531)*IF(Inputs!$E$750=1,O234,O233)+(1-IF(ISNUMBER(Inputs!$E$606),Inputs!$E$606,1))*(O214-O216)+(1-IF(ISNUMBER(Inputs!$E$640),Inputs!$E$640,1))*(O217-O219)+(1-IF(ISNUMBER(Inputs!$E$674),Inputs!$E$674,1))*(O220-O222)+(1-Inputs!$E$569)*IF(Inputs!$E$745=1,O223-Financing!O54-O225,O186)</f>
        <v>26.365961171581958</v>
      </c>
      <c r="P235" s="159">
        <f>(1-Inputs!$E$531)*IF(Inputs!$E$750=1,P234,P233)+(1-IF(ISNUMBER(Inputs!$E$606),Inputs!$E$606,1))*(P214-P216)+(1-IF(ISNUMBER(Inputs!$E$640),Inputs!$E$640,1))*(P217-P219)+(1-IF(ISNUMBER(Inputs!$E$674),Inputs!$E$674,1))*(P220-P222)+(1-Inputs!$E$569)*IF(Inputs!$E$745=1,P223-Financing!P54-P225,P186)</f>
        <v>28.714577961146951</v>
      </c>
      <c r="Q235" s="159">
        <f>(1-Inputs!$E$531)*IF(Inputs!$E$750=1,Q234,Q233)+(1-IF(ISNUMBER(Inputs!$E$606),Inputs!$E$606,1))*(Q214-Q216)+(1-IF(ISNUMBER(Inputs!$E$640),Inputs!$E$640,1))*(Q217-Q219)+(1-IF(ISNUMBER(Inputs!$E$674),Inputs!$E$674,1))*(Q220-Q222)+(1-Inputs!$E$569)*IF(Inputs!$E$745=1,Q223-Financing!Q54-Q225,Q186)</f>
        <v>29.737252621197715</v>
      </c>
      <c r="R235" s="159">
        <f>(1-Inputs!$E$531)*IF(Inputs!$E$750=1,R234,R233)+(1-IF(ISNUMBER(Inputs!$E$606),Inputs!$E$606,1))*(R214-R216)+(1-IF(ISNUMBER(Inputs!$E$640),Inputs!$E$640,1))*(R217-R219)+(1-IF(ISNUMBER(Inputs!$E$674),Inputs!$E$674,1))*(R220-R222)+(1-Inputs!$E$569)*IF(Inputs!$E$745=1,R223-Financing!R54-R225,R186)</f>
        <v>30.778030468287895</v>
      </c>
      <c r="S235" s="159">
        <f>(1-Inputs!$E$531)*IF(Inputs!$E$750=1,S234,S233)+(1-IF(ISNUMBER(Inputs!$E$606),Inputs!$E$606,1))*(S214-S216)+(1-IF(ISNUMBER(Inputs!$E$640),Inputs!$E$640,1))*(S217-S219)+(1-IF(ISNUMBER(Inputs!$E$674),Inputs!$E$674,1))*(S220-S222)+(1-Inputs!$E$569)*IF(Inputs!$E$745=1,S223-Financing!S54-S225,S186)</f>
        <v>31.836698539112952</v>
      </c>
      <c r="T235" s="159">
        <f>(1-Inputs!$E$531)*IF(Inputs!$E$750=1,T234,T233)+(1-IF(ISNUMBER(Inputs!$E$606),Inputs!$E$606,1))*(T214-T216)+(1-IF(ISNUMBER(Inputs!$E$640),Inputs!$E$640,1))*(T217-T219)+(1-IF(ISNUMBER(Inputs!$E$674),Inputs!$E$674,1))*(T220-T222)+(1-Inputs!$E$569)*IF(Inputs!$E$745=1,T223-Financing!T54-T225,T186)</f>
        <v>32.912991498073275</v>
      </c>
    </row>
    <row r="236" spans="2:20" x14ac:dyDescent="0.25">
      <c r="B236" s="23" t="s">
        <v>2941</v>
      </c>
      <c r="C236" s="28" t="s">
        <v>292</v>
      </c>
      <c r="H236" s="105">
        <f t="shared" ref="H236:T236" si="82">IF(H75&lt;=0,0,H230/H75)</f>
        <v>0.33054785923787056</v>
      </c>
      <c r="I236" s="105">
        <f t="shared" si="82"/>
        <v>0.25252731727542643</v>
      </c>
      <c r="J236" s="105">
        <f t="shared" si="82"/>
        <v>0.24067572279886726</v>
      </c>
      <c r="K236" s="105">
        <f t="shared" si="82"/>
        <v>0.22651960840731949</v>
      </c>
      <c r="L236" s="105">
        <f t="shared" si="82"/>
        <v>0.22765322199259957</v>
      </c>
      <c r="M236" s="105">
        <f t="shared" si="82"/>
        <v>0.22433340737024898</v>
      </c>
      <c r="N236" s="105">
        <f t="shared" si="82"/>
        <v>0.22006702419295285</v>
      </c>
      <c r="O236" s="105">
        <f t="shared" si="82"/>
        <v>0.22000000000000006</v>
      </c>
      <c r="P236" s="105">
        <f t="shared" si="82"/>
        <v>0.22</v>
      </c>
      <c r="Q236" s="105">
        <f t="shared" si="82"/>
        <v>0.21999999999999992</v>
      </c>
      <c r="R236" s="105">
        <f t="shared" si="82"/>
        <v>0.21999999999999995</v>
      </c>
      <c r="S236" s="105">
        <f t="shared" si="82"/>
        <v>0.21999999999999992</v>
      </c>
      <c r="T236" s="105">
        <f t="shared" si="82"/>
        <v>0.21999999999999989</v>
      </c>
    </row>
    <row r="237" spans="2:20" x14ac:dyDescent="0.25">
      <c r="B237" s="145" t="s">
        <v>2942</v>
      </c>
    </row>
    <row r="239" spans="2:20" x14ac:dyDescent="0.25">
      <c r="B239" s="58" t="s">
        <v>3058</v>
      </c>
      <c r="C239" s="19"/>
      <c r="D239" s="19"/>
      <c r="E239" s="19"/>
      <c r="F239" s="19"/>
      <c r="G239" s="19"/>
      <c r="H239" s="19"/>
      <c r="I239" s="19"/>
      <c r="J239" s="19"/>
      <c r="K239" s="19"/>
      <c r="L239" s="19"/>
      <c r="M239" s="19"/>
      <c r="N239" s="19"/>
      <c r="O239" s="19"/>
      <c r="P239" s="19"/>
      <c r="Q239" s="19"/>
      <c r="R239" s="19"/>
      <c r="S239" s="19"/>
      <c r="T239" s="19"/>
    </row>
    <row r="240" spans="2:20" x14ac:dyDescent="0.25">
      <c r="B240" s="154" t="s">
        <v>2944</v>
      </c>
    </row>
    <row r="241" spans="2:20" x14ac:dyDescent="0.25">
      <c r="B241" s="23" t="s">
        <v>2945</v>
      </c>
      <c r="C241" s="28" t="s">
        <v>493</v>
      </c>
      <c r="G241" s="29">
        <f>'Funding Requirement'!G62</f>
        <v>60.638905050280002</v>
      </c>
      <c r="H241" s="29">
        <f>'Funding Requirement'!H62</f>
        <v>31.366562544943211</v>
      </c>
      <c r="I241" s="29">
        <f>'Funding Requirement'!I62</f>
        <v>191.0299126301345</v>
      </c>
      <c r="J241" s="29">
        <f>'Funding Requirement'!J62</f>
        <v>3.7172272628511678</v>
      </c>
      <c r="K241" s="29">
        <f>'Funding Requirement'!K62</f>
        <v>3</v>
      </c>
      <c r="L241" s="29">
        <f>'Funding Requirement'!L62</f>
        <v>285.75388391879335</v>
      </c>
      <c r="M241" s="29">
        <f>'Funding Requirement'!M62</f>
        <v>657.0791567809805</v>
      </c>
      <c r="N241" s="29">
        <f>'Funding Requirement'!N62</f>
        <v>1045.2337768886682</v>
      </c>
      <c r="O241" s="29">
        <f>'Funding Requirement'!O62</f>
        <v>1447.579866305218</v>
      </c>
      <c r="P241" s="29">
        <f>'Funding Requirement'!P62</f>
        <v>1872.1249970514179</v>
      </c>
      <c r="Q241" s="29">
        <f>'Funding Requirement'!Q62</f>
        <v>2320.664820523014</v>
      </c>
      <c r="R241" s="29">
        <f>'Funding Requirement'!R62</f>
        <v>2784.6756756413865</v>
      </c>
      <c r="S241" s="29">
        <f>'Funding Requirement'!S62</f>
        <v>3256.5737736086317</v>
      </c>
      <c r="T241" s="29">
        <f>'Funding Requirement'!T62</f>
        <v>3748.1514464465854</v>
      </c>
    </row>
    <row r="242" spans="2:20" x14ac:dyDescent="0.25">
      <c r="B242" s="23" t="s">
        <v>2946</v>
      </c>
      <c r="C242" s="28" t="s">
        <v>493</v>
      </c>
      <c r="G242" s="29">
        <f>'Working Capital'!G113</f>
        <v>0.51981068748259995</v>
      </c>
      <c r="H242" s="29">
        <f>'Working Capital'!H113</f>
        <v>0.51981068748259995</v>
      </c>
      <c r="I242" s="29">
        <f>'Working Capital'!I113</f>
        <v>0.51981068748259995</v>
      </c>
      <c r="J242" s="29">
        <f>'Working Capital'!J113</f>
        <v>0.51981068748259995</v>
      </c>
      <c r="K242" s="29">
        <f>'Working Capital'!K113</f>
        <v>0.51981068748259995</v>
      </c>
      <c r="L242" s="29">
        <f>'Working Capital'!L113</f>
        <v>0.51981068748259995</v>
      </c>
      <c r="M242" s="29">
        <f>'Working Capital'!M113</f>
        <v>0.51981068748259995</v>
      </c>
      <c r="N242" s="29">
        <f>'Working Capital'!N113</f>
        <v>0.51981068748259995</v>
      </c>
      <c r="O242" s="29">
        <f>'Working Capital'!O113</f>
        <v>0.51981068748259995</v>
      </c>
      <c r="P242" s="29">
        <f>'Working Capital'!P113</f>
        <v>0.51981068748259995</v>
      </c>
      <c r="Q242" s="29">
        <f>'Working Capital'!Q113</f>
        <v>0.51981068748259995</v>
      </c>
      <c r="R242" s="29">
        <f>'Working Capital'!R113</f>
        <v>0</v>
      </c>
      <c r="S242" s="29">
        <f>'Working Capital'!S113</f>
        <v>0</v>
      </c>
      <c r="T242" s="29">
        <f>'Working Capital'!T113</f>
        <v>0</v>
      </c>
    </row>
    <row r="243" spans="2:20" x14ac:dyDescent="0.25">
      <c r="B243" s="23" t="s">
        <v>2947</v>
      </c>
      <c r="C243" s="28" t="s">
        <v>493</v>
      </c>
      <c r="G243" s="29">
        <f>'Working Capital'!G112</f>
        <v>45</v>
      </c>
      <c r="H243" s="29">
        <f>'Working Capital'!H112</f>
        <v>37.535488103522205</v>
      </c>
      <c r="I243" s="29">
        <f>'Working Capital'!I112</f>
        <v>52.718161619628056</v>
      </c>
      <c r="J243" s="29">
        <f>'Working Capital'!J112</f>
        <v>76.692931186010412</v>
      </c>
      <c r="K243" s="29">
        <f>'Working Capital'!K112</f>
        <v>93.015965696990918</v>
      </c>
      <c r="L243" s="29">
        <f>'Working Capital'!L112</f>
        <v>103.43970209330853</v>
      </c>
      <c r="M243" s="29">
        <f>'Working Capital'!M112</f>
        <v>117.01134705587819</v>
      </c>
      <c r="N243" s="29">
        <f>'Working Capital'!N112</f>
        <v>122.88167003495755</v>
      </c>
      <c r="O243" s="29">
        <f>'Working Capital'!O112</f>
        <v>131.52367104292077</v>
      </c>
      <c r="P243" s="29">
        <f>'Working Capital'!P112</f>
        <v>137.27755539346026</v>
      </c>
      <c r="Q243" s="29">
        <f>'Working Capital'!Q112</f>
        <v>146.14729361605518</v>
      </c>
      <c r="R243" s="29">
        <f>'Working Capital'!R112</f>
        <v>149.27387263707655</v>
      </c>
      <c r="S243" s="29">
        <f>'Working Capital'!S112</f>
        <v>150.33814055702325</v>
      </c>
      <c r="T243" s="29">
        <f>'Working Capital'!T112</f>
        <v>154.9776044637218</v>
      </c>
    </row>
    <row r="244" spans="2:20" ht="26.25" customHeight="1" x14ac:dyDescent="0.25">
      <c r="B244" s="64" t="s">
        <v>2948</v>
      </c>
      <c r="C244" s="28" t="s">
        <v>493</v>
      </c>
      <c r="G244" s="29">
        <f>'Capex &amp; Depreciation'!G326</f>
        <v>826.022318932997</v>
      </c>
      <c r="H244" s="29">
        <f>'Capex &amp; Depreciation'!H326</f>
        <v>862.88975652406168</v>
      </c>
      <c r="I244" s="29">
        <f>'Capex &amp; Depreciation'!I326</f>
        <v>763.9285713420602</v>
      </c>
      <c r="J244" s="29">
        <f>'Capex &amp; Depreciation'!J326</f>
        <v>1048.7327972008522</v>
      </c>
      <c r="K244" s="29">
        <f>'Capex &amp; Depreciation'!K326</f>
        <v>1136.8550805136435</v>
      </c>
      <c r="L244" s="29">
        <f>'Capex &amp; Depreciation'!L326</f>
        <v>1090.2466504503075</v>
      </c>
      <c r="M244" s="29">
        <f>'Capex &amp; Depreciation'!M326</f>
        <v>932.6617812433559</v>
      </c>
      <c r="N244" s="29">
        <f>'Capex &amp; Depreciation'!N326</f>
        <v>775.0680053008814</v>
      </c>
      <c r="O244" s="29">
        <f>'Capex &amp; Depreciation'!O326</f>
        <v>617.46514448817356</v>
      </c>
      <c r="P244" s="29">
        <f>'Capex &amp; Depreciation'!P326</f>
        <v>457.82184530769092</v>
      </c>
      <c r="Q244" s="29">
        <f>'Capex &amp; Depreciation'!Q326</f>
        <v>298.20026602835441</v>
      </c>
      <c r="R244" s="29">
        <f>'Capex &amp; Depreciation'!R326</f>
        <v>144.10689105014259</v>
      </c>
      <c r="S244" s="29">
        <f>'Capex &amp; Depreciation'!S326</f>
        <v>-9.9963176837791821</v>
      </c>
      <c r="T244" s="29">
        <f>'Capex &amp; Depreciation'!T326</f>
        <v>-164.14072864866202</v>
      </c>
    </row>
    <row r="245" spans="2:20" ht="26.25" customHeight="1" x14ac:dyDescent="0.25">
      <c r="B245" s="64" t="s">
        <v>2949</v>
      </c>
      <c r="C245" s="28" t="s">
        <v>493</v>
      </c>
      <c r="G245" s="159">
        <f>'Source Data'!$E$804-Inputs!$E$744*'Source Data'!$E$803</f>
        <v>331.262624869158</v>
      </c>
      <c r="H245" s="159">
        <f>'Source Data'!$E$804-Inputs!$E$744*'Source Data'!$E$803</f>
        <v>331.262624869158</v>
      </c>
      <c r="I245" s="159">
        <f>'Source Data'!$E$804-Inputs!$E$744*'Source Data'!$E$803</f>
        <v>331.262624869158</v>
      </c>
      <c r="J245" s="159">
        <f>'Source Data'!$E$804-Inputs!$E$744*'Source Data'!$E$803</f>
        <v>331.262624869158</v>
      </c>
      <c r="K245" s="159">
        <f>'Source Data'!$E$804-Inputs!$E$744*'Source Data'!$E$803</f>
        <v>331.262624869158</v>
      </c>
      <c r="L245" s="159">
        <f>'Source Data'!$E$804-Inputs!$E$744*'Source Data'!$E$803</f>
        <v>331.262624869158</v>
      </c>
      <c r="M245" s="159">
        <f>'Source Data'!$E$804-Inputs!$E$744*'Source Data'!$E$803</f>
        <v>331.262624869158</v>
      </c>
      <c r="N245" s="159">
        <f>'Source Data'!$E$804-Inputs!$E$744*'Source Data'!$E$803</f>
        <v>331.262624869158</v>
      </c>
      <c r="O245" s="159">
        <f>'Source Data'!$E$804-Inputs!$E$744*'Source Data'!$E$803</f>
        <v>331.262624869158</v>
      </c>
      <c r="P245" s="159">
        <f>'Source Data'!$E$804-Inputs!$E$744*'Source Data'!$E$803</f>
        <v>331.262624869158</v>
      </c>
      <c r="Q245" s="159">
        <f>'Source Data'!$E$804-Inputs!$E$744*'Source Data'!$E$803</f>
        <v>331.262624869158</v>
      </c>
      <c r="R245" s="159">
        <f>'Source Data'!$E$804-Inputs!$E$744*'Source Data'!$E$803</f>
        <v>331.262624869158</v>
      </c>
      <c r="S245" s="159">
        <f>'Source Data'!$E$804-Inputs!$E$744*'Source Data'!$E$803</f>
        <v>331.262624869158</v>
      </c>
      <c r="T245" s="159">
        <f>'Source Data'!$E$804-Inputs!$E$744*'Source Data'!$E$803</f>
        <v>331.262624869158</v>
      </c>
    </row>
    <row r="246" spans="2:20" x14ac:dyDescent="0.25">
      <c r="B246" s="21" t="s">
        <v>2950</v>
      </c>
      <c r="C246" s="28" t="s">
        <v>493</v>
      </c>
      <c r="G246" s="158">
        <f t="shared" ref="G246:T246" si="83">SUM(G241:G245)</f>
        <v>1263.4436595399175</v>
      </c>
      <c r="H246" s="158">
        <f t="shared" si="83"/>
        <v>1263.5742427291677</v>
      </c>
      <c r="I246" s="158">
        <f t="shared" si="83"/>
        <v>1339.4590811484634</v>
      </c>
      <c r="J246" s="158">
        <f t="shared" si="83"/>
        <v>1460.9253912063546</v>
      </c>
      <c r="K246" s="158">
        <f t="shared" si="83"/>
        <v>1564.653481767275</v>
      </c>
      <c r="L246" s="158">
        <f t="shared" si="83"/>
        <v>1811.2226720190502</v>
      </c>
      <c r="M246" s="158">
        <f t="shared" si="83"/>
        <v>2038.5347206368551</v>
      </c>
      <c r="N246" s="158">
        <f t="shared" si="83"/>
        <v>2274.9658877811476</v>
      </c>
      <c r="O246" s="158">
        <f t="shared" si="83"/>
        <v>2528.3511173929533</v>
      </c>
      <c r="P246" s="158">
        <f t="shared" si="83"/>
        <v>2799.0068333092099</v>
      </c>
      <c r="Q246" s="158">
        <f t="shared" si="83"/>
        <v>3096.7948157240644</v>
      </c>
      <c r="R246" s="158">
        <f t="shared" si="83"/>
        <v>3409.319064197764</v>
      </c>
      <c r="S246" s="158">
        <f t="shared" si="83"/>
        <v>3728.1782213510337</v>
      </c>
      <c r="T246" s="158">
        <f t="shared" si="83"/>
        <v>4070.2509471308035</v>
      </c>
    </row>
    <row r="247" spans="2:20" x14ac:dyDescent="0.25">
      <c r="B247" s="23" t="s">
        <v>2951</v>
      </c>
      <c r="C247" s="28" t="s">
        <v>493</v>
      </c>
      <c r="G247" s="29">
        <f>'Source Data'!$E$805</f>
        <v>61</v>
      </c>
      <c r="H247" s="29">
        <f>'Source Data'!$E$805</f>
        <v>61</v>
      </c>
      <c r="I247" s="29">
        <f>'Source Data'!$E$805</f>
        <v>61</v>
      </c>
      <c r="J247" s="29">
        <f>'Source Data'!$E$805</f>
        <v>61</v>
      </c>
      <c r="K247" s="29">
        <f>'Source Data'!$E$805</f>
        <v>61</v>
      </c>
      <c r="L247" s="29">
        <f>'Source Data'!$E$805</f>
        <v>61</v>
      </c>
      <c r="M247" s="29">
        <f>'Source Data'!$E$805</f>
        <v>61</v>
      </c>
      <c r="N247" s="29">
        <f>'Source Data'!$E$805</f>
        <v>61</v>
      </c>
      <c r="O247" s="29">
        <f>'Source Data'!$E$805</f>
        <v>61</v>
      </c>
      <c r="P247" s="29">
        <f>'Source Data'!$E$805</f>
        <v>61</v>
      </c>
      <c r="Q247" s="29">
        <f>'Source Data'!$E$805</f>
        <v>61</v>
      </c>
      <c r="R247" s="29">
        <f>'Source Data'!$E$805</f>
        <v>61</v>
      </c>
      <c r="S247" s="29">
        <f>'Source Data'!$E$805</f>
        <v>61</v>
      </c>
      <c r="T247" s="29">
        <f>'Source Data'!$E$805</f>
        <v>61</v>
      </c>
    </row>
    <row r="248" spans="2:20" x14ac:dyDescent="0.25">
      <c r="B248" s="154" t="s">
        <v>2952</v>
      </c>
    </row>
    <row r="249" spans="2:20" x14ac:dyDescent="0.25">
      <c r="B249" s="23" t="s">
        <v>2953</v>
      </c>
      <c r="C249" s="28" t="s">
        <v>493</v>
      </c>
      <c r="G249" s="29">
        <f>'Working Capital'!G114</f>
        <v>14.6719859829049</v>
      </c>
      <c r="H249" s="29">
        <f>'Working Capital'!H114</f>
        <v>10.04451298589832</v>
      </c>
      <c r="I249" s="29">
        <f>'Working Capital'!I114</f>
        <v>9.4240079033771647</v>
      </c>
      <c r="J249" s="29">
        <f>'Working Capital'!J114</f>
        <v>9.2239698680783473</v>
      </c>
      <c r="K249" s="29">
        <f>'Working Capital'!K114</f>
        <v>10.239545383745051</v>
      </c>
      <c r="L249" s="29">
        <f>'Working Capital'!L114</f>
        <v>12.027453038379001</v>
      </c>
      <c r="M249" s="29">
        <f>'Working Capital'!M114</f>
        <v>14.223419219672557</v>
      </c>
      <c r="N249" s="29">
        <f>'Working Capital'!N114</f>
        <v>15.189914627297753</v>
      </c>
      <c r="O249" s="29">
        <f>'Working Capital'!O114</f>
        <v>16.241106770435881</v>
      </c>
      <c r="P249" s="29">
        <f>'Working Capital'!P114</f>
        <v>17.133011951959769</v>
      </c>
      <c r="Q249" s="29">
        <f>'Working Capital'!Q114</f>
        <v>18.122500921945168</v>
      </c>
      <c r="R249" s="29">
        <f>'Working Capital'!R114</f>
        <v>17.781935884461795</v>
      </c>
      <c r="S249" s="29">
        <f>'Working Capital'!S114</f>
        <v>18.517579539280291</v>
      </c>
      <c r="T249" s="29">
        <f>'Working Capital'!T114</f>
        <v>19.329417418430562</v>
      </c>
    </row>
    <row r="250" spans="2:20" ht="26.25" customHeight="1" x14ac:dyDescent="0.25">
      <c r="B250" s="64" t="s">
        <v>2954</v>
      </c>
      <c r="C250" s="28" t="s">
        <v>493</v>
      </c>
      <c r="G250" s="29">
        <f>Financing!G20</f>
        <v>224.51846524876001</v>
      </c>
      <c r="H250" s="29">
        <f>Financing!H20</f>
        <v>195.18</v>
      </c>
      <c r="I250" s="29">
        <f>Financing!I20</f>
        <v>195.18</v>
      </c>
      <c r="J250" s="29">
        <f>Financing!J20</f>
        <v>195.18</v>
      </c>
      <c r="K250" s="29">
        <f>Financing!K20</f>
        <v>0</v>
      </c>
      <c r="L250" s="29">
        <f>Financing!L20</f>
        <v>0</v>
      </c>
      <c r="M250" s="29">
        <f>Financing!M20</f>
        <v>0</v>
      </c>
      <c r="N250" s="29">
        <f>Financing!N20</f>
        <v>0</v>
      </c>
      <c r="O250" s="29">
        <f>Financing!O20</f>
        <v>0</v>
      </c>
      <c r="P250" s="29">
        <f>Financing!P20</f>
        <v>0</v>
      </c>
      <c r="Q250" s="29">
        <f>Financing!Q20</f>
        <v>0</v>
      </c>
      <c r="R250" s="29">
        <f>Financing!R20</f>
        <v>0</v>
      </c>
      <c r="S250" s="29">
        <f>Financing!S20</f>
        <v>0</v>
      </c>
      <c r="T250" s="29">
        <f>Financing!T20</f>
        <v>0</v>
      </c>
    </row>
    <row r="251" spans="2:20" x14ac:dyDescent="0.25">
      <c r="B251" s="23" t="s">
        <v>2955</v>
      </c>
      <c r="C251" s="28" t="s">
        <v>493</v>
      </c>
      <c r="G251" s="159">
        <v>0</v>
      </c>
      <c r="H251" s="29">
        <f>Financing!H33</f>
        <v>0</v>
      </c>
      <c r="I251" s="29">
        <f>Financing!I33</f>
        <v>0</v>
      </c>
      <c r="J251" s="29">
        <f>Financing!J33</f>
        <v>0</v>
      </c>
      <c r="K251" s="29">
        <f>Financing!K33</f>
        <v>0</v>
      </c>
      <c r="L251" s="29">
        <f>Financing!L33</f>
        <v>0</v>
      </c>
      <c r="M251" s="29">
        <f>Financing!M33</f>
        <v>0</v>
      </c>
      <c r="N251" s="29">
        <f>Financing!N33</f>
        <v>0</v>
      </c>
      <c r="O251" s="29">
        <f>Financing!O33</f>
        <v>0</v>
      </c>
      <c r="P251" s="29">
        <f>Financing!P33</f>
        <v>0</v>
      </c>
      <c r="Q251" s="29">
        <f>Financing!Q33</f>
        <v>0</v>
      </c>
      <c r="R251" s="29">
        <f>Financing!R33</f>
        <v>0</v>
      </c>
      <c r="S251" s="29">
        <f>Financing!S33</f>
        <v>0</v>
      </c>
      <c r="T251" s="29">
        <f>Financing!T33</f>
        <v>0</v>
      </c>
    </row>
    <row r="252" spans="2:20" x14ac:dyDescent="0.25">
      <c r="B252" s="23" t="s">
        <v>2956</v>
      </c>
      <c r="C252" s="28" t="s">
        <v>493</v>
      </c>
      <c r="G252" s="159">
        <v>0</v>
      </c>
      <c r="H252" s="29">
        <f>Financing!H55</f>
        <v>0</v>
      </c>
      <c r="I252" s="29">
        <f>Financing!I55</f>
        <v>0</v>
      </c>
      <c r="J252" s="29">
        <f>Financing!J55</f>
        <v>0</v>
      </c>
      <c r="K252" s="29">
        <f>Financing!K55</f>
        <v>32.53</v>
      </c>
      <c r="L252" s="29">
        <f>Financing!L55</f>
        <v>81.325000000000003</v>
      </c>
      <c r="M252" s="29">
        <f>Financing!M55</f>
        <v>81.325000000000003</v>
      </c>
      <c r="N252" s="29">
        <f>Financing!N55</f>
        <v>74.819000000000003</v>
      </c>
      <c r="O252" s="29">
        <f>Financing!O55</f>
        <v>58.554000000000002</v>
      </c>
      <c r="P252" s="29">
        <f>Financing!P55</f>
        <v>42.289000000000001</v>
      </c>
      <c r="Q252" s="29">
        <f>Financing!Q55</f>
        <v>26.024000000000001</v>
      </c>
      <c r="R252" s="29">
        <f>Financing!R55</f>
        <v>9.7590000000000003</v>
      </c>
      <c r="S252" s="29">
        <f>Financing!S55</f>
        <v>0</v>
      </c>
      <c r="T252" s="29">
        <f>Financing!T55</f>
        <v>0</v>
      </c>
    </row>
    <row r="253" spans="2:20" ht="26.25" customHeight="1" x14ac:dyDescent="0.25">
      <c r="B253" s="64" t="s">
        <v>2957</v>
      </c>
      <c r="C253" s="28" t="s">
        <v>493</v>
      </c>
      <c r="G253" s="29">
        <f>'Source Data'!$E$808</f>
        <v>55.924464057122997</v>
      </c>
      <c r="H253" s="29">
        <f>'Source Data'!$E$808</f>
        <v>55.924464057122997</v>
      </c>
      <c r="I253" s="29">
        <f>'Source Data'!$E$808</f>
        <v>55.924464057122997</v>
      </c>
      <c r="J253" s="29">
        <f>'Source Data'!$E$808</f>
        <v>55.924464057122997</v>
      </c>
      <c r="K253" s="29">
        <f>'Source Data'!$E$808</f>
        <v>55.924464057122997</v>
      </c>
      <c r="L253" s="29">
        <f>'Source Data'!$E$808</f>
        <v>55.924464057122997</v>
      </c>
      <c r="M253" s="29">
        <f>'Source Data'!$E$808</f>
        <v>55.924464057122997</v>
      </c>
      <c r="N253" s="29">
        <f>'Source Data'!$E$808</f>
        <v>55.924464057122997</v>
      </c>
      <c r="O253" s="29">
        <f>'Source Data'!$E$808</f>
        <v>55.924464057122997</v>
      </c>
      <c r="P253" s="29">
        <f>'Source Data'!$E$808</f>
        <v>55.924464057122997</v>
      </c>
      <c r="Q253" s="29">
        <f>'Source Data'!$E$808</f>
        <v>55.924464057122997</v>
      </c>
      <c r="R253" s="29">
        <f>'Source Data'!$E$808</f>
        <v>55.924464057122997</v>
      </c>
      <c r="S253" s="29">
        <f>'Source Data'!$E$808</f>
        <v>55.924464057122997</v>
      </c>
      <c r="T253" s="29">
        <f>'Source Data'!$E$808</f>
        <v>55.924464057122997</v>
      </c>
    </row>
    <row r="254" spans="2:20" x14ac:dyDescent="0.25">
      <c r="B254" s="21" t="s">
        <v>2958</v>
      </c>
      <c r="C254" s="28" t="s">
        <v>493</v>
      </c>
      <c r="G254" s="158">
        <f t="shared" ref="G254:T254" si="84">SUM(G249:G253)</f>
        <v>295.11491528878787</v>
      </c>
      <c r="H254" s="158">
        <f t="shared" si="84"/>
        <v>261.14897704302132</v>
      </c>
      <c r="I254" s="158">
        <f t="shared" si="84"/>
        <v>260.52847196050016</v>
      </c>
      <c r="J254" s="158">
        <f t="shared" si="84"/>
        <v>260.32843392520135</v>
      </c>
      <c r="K254" s="158">
        <f t="shared" si="84"/>
        <v>98.694009440868058</v>
      </c>
      <c r="L254" s="158">
        <f t="shared" si="84"/>
        <v>149.276917095502</v>
      </c>
      <c r="M254" s="158">
        <f t="shared" si="84"/>
        <v>151.47288327679556</v>
      </c>
      <c r="N254" s="158">
        <f t="shared" si="84"/>
        <v>145.93337868442075</v>
      </c>
      <c r="O254" s="158">
        <f t="shared" si="84"/>
        <v>130.71957082755887</v>
      </c>
      <c r="P254" s="158">
        <f t="shared" si="84"/>
        <v>115.34647600908278</v>
      </c>
      <c r="Q254" s="158">
        <f t="shared" si="84"/>
        <v>100.07096497906817</v>
      </c>
      <c r="R254" s="158">
        <f t="shared" si="84"/>
        <v>83.465399941584792</v>
      </c>
      <c r="S254" s="158">
        <f t="shared" si="84"/>
        <v>74.442043596403295</v>
      </c>
      <c r="T254" s="158">
        <f t="shared" si="84"/>
        <v>75.253881475553555</v>
      </c>
    </row>
    <row r="255" spans="2:20" x14ac:dyDescent="0.25">
      <c r="B255" s="23" t="s">
        <v>2959</v>
      </c>
      <c r="C255" s="28" t="s">
        <v>493</v>
      </c>
      <c r="G255" s="29">
        <f>'Source Data'!$E$809</f>
        <v>3.8611135376500001</v>
      </c>
      <c r="H255" s="29">
        <f>'Source Data'!$E$809</f>
        <v>3.8611135376500001</v>
      </c>
      <c r="I255" s="29">
        <f>'Source Data'!$E$809</f>
        <v>3.8611135376500001</v>
      </c>
      <c r="J255" s="29">
        <f>'Source Data'!$E$809</f>
        <v>3.8611135376500001</v>
      </c>
      <c r="K255" s="29">
        <f>'Source Data'!$E$809</f>
        <v>3.8611135376500001</v>
      </c>
      <c r="L255" s="29">
        <f>'Source Data'!$E$809</f>
        <v>3.8611135376500001</v>
      </c>
      <c r="M255" s="29">
        <f>'Source Data'!$E$809</f>
        <v>3.8611135376500001</v>
      </c>
      <c r="N255" s="29">
        <f>'Source Data'!$E$809</f>
        <v>3.8611135376500001</v>
      </c>
      <c r="O255" s="29">
        <f>'Source Data'!$E$809</f>
        <v>3.8611135376500001</v>
      </c>
      <c r="P255" s="29">
        <f>'Source Data'!$E$809</f>
        <v>3.8611135376500001</v>
      </c>
      <c r="Q255" s="29">
        <f>'Source Data'!$E$809</f>
        <v>3.8611135376500001</v>
      </c>
      <c r="R255" s="29">
        <f>'Source Data'!$E$809</f>
        <v>3.8611135376500001</v>
      </c>
      <c r="S255" s="29">
        <f>'Source Data'!$E$809</f>
        <v>3.8611135376500001</v>
      </c>
      <c r="T255" s="29">
        <f>'Source Data'!$E$809</f>
        <v>3.8611135376500001</v>
      </c>
    </row>
    <row r="256" spans="2:20" x14ac:dyDescent="0.25">
      <c r="B256" s="23" t="s">
        <v>2960</v>
      </c>
      <c r="C256" s="28" t="s">
        <v>493</v>
      </c>
      <c r="G256" s="29">
        <f>'Source Data'!$E$810</f>
        <v>16.26364090081</v>
      </c>
      <c r="H256" s="29">
        <f>'Source Data'!$E$810</f>
        <v>16.26364090081</v>
      </c>
      <c r="I256" s="29">
        <f>'Source Data'!$E$810</f>
        <v>16.26364090081</v>
      </c>
      <c r="J256" s="29">
        <f>'Source Data'!$E$810</f>
        <v>16.26364090081</v>
      </c>
      <c r="K256" s="29">
        <f>'Source Data'!$E$810</f>
        <v>16.26364090081</v>
      </c>
      <c r="L256" s="29">
        <f>'Source Data'!$E$810</f>
        <v>16.26364090081</v>
      </c>
      <c r="M256" s="29">
        <f>'Source Data'!$E$810</f>
        <v>16.26364090081</v>
      </c>
      <c r="N256" s="29">
        <f>'Source Data'!$E$810</f>
        <v>16.26364090081</v>
      </c>
      <c r="O256" s="29">
        <f>'Source Data'!$E$810</f>
        <v>16.26364090081</v>
      </c>
      <c r="P256" s="29">
        <f>'Source Data'!$E$810</f>
        <v>16.26364090081</v>
      </c>
      <c r="Q256" s="29">
        <f>'Source Data'!$E$810</f>
        <v>16.26364090081</v>
      </c>
      <c r="R256" s="29">
        <f>'Source Data'!$E$810</f>
        <v>16.26364090081</v>
      </c>
      <c r="S256" s="29">
        <f>'Source Data'!$E$810</f>
        <v>16.26364090081</v>
      </c>
      <c r="T256" s="29">
        <f>'Source Data'!$E$810</f>
        <v>16.26364090081</v>
      </c>
    </row>
    <row r="257" spans="2:20" x14ac:dyDescent="0.25">
      <c r="B257" s="154" t="s">
        <v>2961</v>
      </c>
    </row>
    <row r="258" spans="2:20" x14ac:dyDescent="0.25">
      <c r="B258" s="23" t="s">
        <v>2962</v>
      </c>
      <c r="C258" s="28" t="s">
        <v>493</v>
      </c>
      <c r="G258" s="29">
        <f>Financing!G75</f>
        <v>677.73059999999998</v>
      </c>
      <c r="H258" s="29">
        <f>Financing!H75</f>
        <v>677.73059999999998</v>
      </c>
      <c r="I258" s="29">
        <f>Financing!I75</f>
        <v>677.73059999999998</v>
      </c>
      <c r="J258" s="29">
        <f>Financing!J75</f>
        <v>677.73059999999998</v>
      </c>
      <c r="K258" s="29">
        <f>Financing!K75</f>
        <v>706.61476275864152</v>
      </c>
      <c r="L258" s="29">
        <f>Financing!L75</f>
        <v>706.61476275864152</v>
      </c>
      <c r="M258" s="29">
        <f>Financing!M75</f>
        <v>706.61476275864152</v>
      </c>
      <c r="N258" s="29">
        <f>Financing!N75</f>
        <v>706.61476275864152</v>
      </c>
      <c r="O258" s="29">
        <f>Financing!O75</f>
        <v>706.61476275864152</v>
      </c>
      <c r="P258" s="29">
        <f>Financing!P75</f>
        <v>706.61476275864152</v>
      </c>
      <c r="Q258" s="29">
        <f>Financing!Q75</f>
        <v>706.61476275864152</v>
      </c>
      <c r="R258" s="29">
        <f>Financing!R75</f>
        <v>706.61476275864152</v>
      </c>
      <c r="S258" s="29">
        <f>Financing!S75</f>
        <v>706.61476275864152</v>
      </c>
      <c r="T258" s="29">
        <f>Financing!T75</f>
        <v>706.61476275864152</v>
      </c>
    </row>
    <row r="259" spans="2:20" x14ac:dyDescent="0.25">
      <c r="B259" s="23" t="s">
        <v>2963</v>
      </c>
      <c r="C259" s="28" t="s">
        <v>493</v>
      </c>
      <c r="G259" s="29">
        <f>Financing!G76</f>
        <v>290.59201234880999</v>
      </c>
      <c r="H259" s="29">
        <f>Financing!H76</f>
        <v>324.6885337838267</v>
      </c>
      <c r="I259" s="29">
        <f>Financing!I76</f>
        <v>401.1938772856434</v>
      </c>
      <c r="J259" s="29">
        <f>Financing!J76</f>
        <v>522.86022537883343</v>
      </c>
      <c r="K259" s="29">
        <f>Financing!K76</f>
        <v>759.33857766544588</v>
      </c>
      <c r="L259" s="29">
        <f>Financing!L76</f>
        <v>955.32486026258698</v>
      </c>
      <c r="M259" s="29">
        <f>Financing!M76</f>
        <v>1180.4409426990987</v>
      </c>
      <c r="N259" s="29">
        <f>Financing!N76</f>
        <v>1422.4116144357663</v>
      </c>
      <c r="O259" s="29">
        <f>Financing!O76</f>
        <v>1691.0106519044334</v>
      </c>
      <c r="P259" s="29">
        <f>Financing!P76</f>
        <v>1977.0394626391662</v>
      </c>
      <c r="Q259" s="29">
        <f>Financing!Q76</f>
        <v>2290.1029560840348</v>
      </c>
      <c r="R259" s="29">
        <f>Financing!R76</f>
        <v>2619.2327695952176</v>
      </c>
      <c r="S259" s="29">
        <f>Financing!S76</f>
        <v>2947.1152830936694</v>
      </c>
      <c r="T259" s="29">
        <f>Financing!T76</f>
        <v>3288.3761709942887</v>
      </c>
    </row>
    <row r="260" spans="2:20" x14ac:dyDescent="0.25">
      <c r="B260" s="21" t="s">
        <v>2964</v>
      </c>
      <c r="C260" s="28" t="s">
        <v>493</v>
      </c>
      <c r="G260" s="158">
        <f t="shared" ref="G260:T260" si="85">SUM(G258:G259)</f>
        <v>968.32261234881003</v>
      </c>
      <c r="H260" s="158">
        <f t="shared" si="85"/>
        <v>1002.4191337838267</v>
      </c>
      <c r="I260" s="158">
        <f t="shared" si="85"/>
        <v>1078.9244772856434</v>
      </c>
      <c r="J260" s="158">
        <f t="shared" si="85"/>
        <v>1200.5908253788334</v>
      </c>
      <c r="K260" s="158">
        <f t="shared" si="85"/>
        <v>1465.9533404240874</v>
      </c>
      <c r="L260" s="158">
        <f t="shared" si="85"/>
        <v>1661.9396230212285</v>
      </c>
      <c r="M260" s="158">
        <f t="shared" si="85"/>
        <v>1887.0557054577403</v>
      </c>
      <c r="N260" s="158">
        <f t="shared" si="85"/>
        <v>2129.0263771944078</v>
      </c>
      <c r="O260" s="158">
        <f t="shared" si="85"/>
        <v>2397.6254146630749</v>
      </c>
      <c r="P260" s="158">
        <f t="shared" si="85"/>
        <v>2683.6542253978077</v>
      </c>
      <c r="Q260" s="158">
        <f t="shared" si="85"/>
        <v>2996.7177188426763</v>
      </c>
      <c r="R260" s="158">
        <f t="shared" si="85"/>
        <v>3325.8475323538592</v>
      </c>
      <c r="S260" s="158">
        <f t="shared" si="85"/>
        <v>3653.7300458523109</v>
      </c>
      <c r="T260" s="158">
        <f t="shared" si="85"/>
        <v>3994.9909337529302</v>
      </c>
    </row>
    <row r="261" spans="2:20" x14ac:dyDescent="0.25">
      <c r="B261" s="23" t="s">
        <v>2965</v>
      </c>
      <c r="C261" s="28" t="s">
        <v>493</v>
      </c>
      <c r="G261" s="29">
        <f>Financing!G77</f>
        <v>123.70530996843949</v>
      </c>
      <c r="H261" s="29">
        <f>Financing!H77</f>
        <v>143.02552550287095</v>
      </c>
      <c r="I261" s="29">
        <f>Financing!I77</f>
        <v>163.13813965549332</v>
      </c>
      <c r="J261" s="29">
        <f>Financing!J77</f>
        <v>183.78021338652127</v>
      </c>
      <c r="K261" s="29">
        <f>Financing!K77</f>
        <v>205.37280640907468</v>
      </c>
      <c r="L261" s="29">
        <f>Financing!L77</f>
        <v>227.81066186573477</v>
      </c>
      <c r="M261" s="29">
        <f>Financing!M77</f>
        <v>252.31622163220806</v>
      </c>
      <c r="N261" s="29">
        <f>Financing!N77</f>
        <v>277.74343675907846</v>
      </c>
      <c r="O261" s="29">
        <f>Financing!O77</f>
        <v>304.10939793066041</v>
      </c>
      <c r="P261" s="29">
        <f>Financing!P77</f>
        <v>332.82397589180738</v>
      </c>
      <c r="Q261" s="29">
        <f>Financing!Q77</f>
        <v>362.56122851300512</v>
      </c>
      <c r="R261" s="29">
        <f>Financing!R77</f>
        <v>393.33925898129303</v>
      </c>
      <c r="S261" s="29">
        <f>Financing!S77</f>
        <v>425.17595752040597</v>
      </c>
      <c r="T261" s="29">
        <f>Financing!T77</f>
        <v>458.08894901847924</v>
      </c>
    </row>
    <row r="262" spans="2:20" x14ac:dyDescent="0.25">
      <c r="B262" s="21" t="s">
        <v>2966</v>
      </c>
      <c r="C262" s="28" t="s">
        <v>493</v>
      </c>
      <c r="G262" s="158">
        <f t="shared" ref="G262:T262" si="86">G254+G260</f>
        <v>1263.4375276375979</v>
      </c>
      <c r="H262" s="158">
        <f t="shared" si="86"/>
        <v>1263.5681108268482</v>
      </c>
      <c r="I262" s="158">
        <f t="shared" si="86"/>
        <v>1339.4529492461436</v>
      </c>
      <c r="J262" s="158">
        <f t="shared" si="86"/>
        <v>1460.9192593040348</v>
      </c>
      <c r="K262" s="158">
        <f t="shared" si="86"/>
        <v>1564.6473498649555</v>
      </c>
      <c r="L262" s="158">
        <f t="shared" si="86"/>
        <v>1811.2165401167306</v>
      </c>
      <c r="M262" s="158">
        <f t="shared" si="86"/>
        <v>2038.5285887345358</v>
      </c>
      <c r="N262" s="158">
        <f t="shared" si="86"/>
        <v>2274.9597558788287</v>
      </c>
      <c r="O262" s="158">
        <f t="shared" si="86"/>
        <v>2528.3449854906339</v>
      </c>
      <c r="P262" s="158">
        <f t="shared" si="86"/>
        <v>2799.0007014068906</v>
      </c>
      <c r="Q262" s="158">
        <f t="shared" si="86"/>
        <v>3096.7886838217446</v>
      </c>
      <c r="R262" s="158">
        <f t="shared" si="86"/>
        <v>3409.3129322954437</v>
      </c>
      <c r="S262" s="158">
        <f t="shared" si="86"/>
        <v>3728.1720894487144</v>
      </c>
      <c r="T262" s="158">
        <f t="shared" si="86"/>
        <v>4070.2448152284837</v>
      </c>
    </row>
    <row r="263" spans="2:20" ht="26.25" customHeight="1" x14ac:dyDescent="0.25">
      <c r="B263" s="64" t="s">
        <v>2967</v>
      </c>
      <c r="C263" s="28" t="s">
        <v>493</v>
      </c>
      <c r="G263" s="161">
        <f t="shared" ref="G263:T263" si="87">G246-G262</f>
        <v>6.1319023195665068E-3</v>
      </c>
      <c r="H263" s="161">
        <f t="shared" si="87"/>
        <v>6.1319023195665068E-3</v>
      </c>
      <c r="I263" s="161">
        <f t="shared" si="87"/>
        <v>6.1319023197938805E-3</v>
      </c>
      <c r="J263" s="161">
        <f t="shared" si="87"/>
        <v>6.1319023197938805E-3</v>
      </c>
      <c r="K263" s="161">
        <f t="shared" si="87"/>
        <v>6.1319023195665068E-3</v>
      </c>
      <c r="L263" s="161">
        <f t="shared" si="87"/>
        <v>6.1319023195665068E-3</v>
      </c>
      <c r="M263" s="161">
        <f t="shared" si="87"/>
        <v>6.1319023193391331E-3</v>
      </c>
      <c r="N263" s="161">
        <f t="shared" si="87"/>
        <v>6.1319023188843857E-3</v>
      </c>
      <c r="O263" s="161">
        <f t="shared" si="87"/>
        <v>6.1319023193391331E-3</v>
      </c>
      <c r="P263" s="161">
        <f t="shared" si="87"/>
        <v>6.1319023193391331E-3</v>
      </c>
      <c r="Q263" s="161">
        <f t="shared" si="87"/>
        <v>6.1319023197938805E-3</v>
      </c>
      <c r="R263" s="161">
        <f t="shared" si="87"/>
        <v>6.1319023202486278E-3</v>
      </c>
      <c r="S263" s="161">
        <f t="shared" si="87"/>
        <v>6.1319023193391331E-3</v>
      </c>
      <c r="T263" s="161">
        <f t="shared" si="87"/>
        <v>6.1319023197938805E-3</v>
      </c>
    </row>
    <row r="264" spans="2:20" ht="26.25" customHeight="1" x14ac:dyDescent="0.25">
      <c r="B264" s="64" t="s">
        <v>2968</v>
      </c>
      <c r="C264" s="28" t="s">
        <v>493</v>
      </c>
      <c r="G264" s="165">
        <f t="shared" ref="G264:T264" si="88">ROUNDDOWN(G263,2)</f>
        <v>0</v>
      </c>
      <c r="H264" s="165">
        <f t="shared" si="88"/>
        <v>0</v>
      </c>
      <c r="I264" s="165">
        <f t="shared" si="88"/>
        <v>0</v>
      </c>
      <c r="J264" s="165">
        <f t="shared" si="88"/>
        <v>0</v>
      </c>
      <c r="K264" s="165">
        <f t="shared" si="88"/>
        <v>0</v>
      </c>
      <c r="L264" s="165">
        <f t="shared" si="88"/>
        <v>0</v>
      </c>
      <c r="M264" s="165">
        <f t="shared" si="88"/>
        <v>0</v>
      </c>
      <c r="N264" s="165">
        <f t="shared" si="88"/>
        <v>0</v>
      </c>
      <c r="O264" s="165">
        <f t="shared" si="88"/>
        <v>0</v>
      </c>
      <c r="P264" s="165">
        <f t="shared" si="88"/>
        <v>0</v>
      </c>
      <c r="Q264" s="165">
        <f t="shared" si="88"/>
        <v>0</v>
      </c>
      <c r="R264" s="165">
        <f t="shared" si="88"/>
        <v>0</v>
      </c>
      <c r="S264" s="165">
        <f t="shared" si="88"/>
        <v>0</v>
      </c>
      <c r="T264" s="165">
        <f t="shared" si="88"/>
        <v>0</v>
      </c>
    </row>
    <row r="265" spans="2:20" ht="26.25" customHeight="1" x14ac:dyDescent="0.25">
      <c r="B265" s="64" t="s">
        <v>2969</v>
      </c>
      <c r="C265" s="28" t="s">
        <v>493</v>
      </c>
      <c r="G265" s="161">
        <f>ROUND(G263-'Source Data'!$E$813,4)</f>
        <v>0</v>
      </c>
      <c r="H265" s="161">
        <f>ROUND(H263-'Source Data'!$E$813,4)</f>
        <v>0</v>
      </c>
      <c r="I265" s="161">
        <f>ROUND(I263-'Source Data'!$E$813,4)</f>
        <v>0</v>
      </c>
      <c r="J265" s="161">
        <f>ROUND(J263-'Source Data'!$E$813,4)</f>
        <v>0</v>
      </c>
      <c r="K265" s="161">
        <f>ROUND(K263-'Source Data'!$E$813,4)</f>
        <v>0</v>
      </c>
      <c r="L265" s="161">
        <f>ROUND(L263-'Source Data'!$E$813,4)</f>
        <v>0</v>
      </c>
      <c r="M265" s="161">
        <f>ROUND(M263-'Source Data'!$E$813,4)</f>
        <v>0</v>
      </c>
      <c r="N265" s="161">
        <f>ROUND(N263-'Source Data'!$E$813,4)</f>
        <v>0</v>
      </c>
      <c r="O265" s="161">
        <f>ROUND(O263-'Source Data'!$E$813,4)</f>
        <v>0</v>
      </c>
      <c r="P265" s="161">
        <f>ROUND(P263-'Source Data'!$E$813,4)</f>
        <v>0</v>
      </c>
      <c r="Q265" s="161">
        <f>ROUND(Q263-'Source Data'!$E$813,4)</f>
        <v>0</v>
      </c>
      <c r="R265" s="161">
        <f>ROUND(R263-'Source Data'!$E$813,4)</f>
        <v>0</v>
      </c>
      <c r="S265" s="161">
        <f>ROUND(S263-'Source Data'!$E$813,4)</f>
        <v>0</v>
      </c>
      <c r="T265" s="161">
        <f>ROUND(T263-'Source Data'!$E$813,4)</f>
        <v>0</v>
      </c>
    </row>
    <row r="266" spans="2:20" x14ac:dyDescent="0.25">
      <c r="B266" s="23" t="s">
        <v>2970</v>
      </c>
      <c r="C266" s="28" t="s">
        <v>493</v>
      </c>
      <c r="G266" s="159">
        <f>G250-G241-G247</f>
        <v>102.87956019848002</v>
      </c>
      <c r="H266" s="159">
        <f t="shared" ref="H266:T266" si="89">H250+H251+H252-H241-H247</f>
        <v>102.8134374550568</v>
      </c>
      <c r="I266" s="159">
        <f t="shared" si="89"/>
        <v>-56.849912630134497</v>
      </c>
      <c r="J266" s="159">
        <f t="shared" si="89"/>
        <v>130.46277273714884</v>
      </c>
      <c r="K266" s="159">
        <f t="shared" si="89"/>
        <v>-31.47</v>
      </c>
      <c r="L266" s="159">
        <f t="shared" si="89"/>
        <v>-265.42888391879336</v>
      </c>
      <c r="M266" s="159">
        <f t="shared" si="89"/>
        <v>-636.75415678098045</v>
      </c>
      <c r="N266" s="159">
        <f t="shared" si="89"/>
        <v>-1031.4147768886683</v>
      </c>
      <c r="O266" s="159">
        <f t="shared" si="89"/>
        <v>-1450.025866305218</v>
      </c>
      <c r="P266" s="159">
        <f t="shared" si="89"/>
        <v>-1890.835997051418</v>
      </c>
      <c r="Q266" s="159">
        <f t="shared" si="89"/>
        <v>-2355.6408205230141</v>
      </c>
      <c r="R266" s="159">
        <f t="shared" si="89"/>
        <v>-2835.9166756413865</v>
      </c>
      <c r="S266" s="159">
        <f t="shared" si="89"/>
        <v>-3317.5737736086317</v>
      </c>
      <c r="T266" s="159">
        <f t="shared" si="89"/>
        <v>-3809.1514464465854</v>
      </c>
    </row>
    <row r="268" spans="2:20" x14ac:dyDescent="0.25">
      <c r="B268" s="58" t="s">
        <v>3059</v>
      </c>
      <c r="C268" s="19"/>
      <c r="D268" s="19"/>
      <c r="E268" s="19"/>
      <c r="F268" s="19"/>
      <c r="G268" s="19"/>
      <c r="H268" s="19"/>
      <c r="I268" s="19"/>
      <c r="J268" s="19"/>
      <c r="K268" s="19"/>
      <c r="L268" s="19"/>
      <c r="M268" s="19"/>
      <c r="N268" s="19"/>
      <c r="O268" s="19"/>
      <c r="P268" s="19"/>
      <c r="Q268" s="19"/>
      <c r="R268" s="19"/>
      <c r="S268" s="19"/>
      <c r="T268" s="19"/>
    </row>
    <row r="269" spans="2:20" x14ac:dyDescent="0.25">
      <c r="B269" s="23" t="s">
        <v>2972</v>
      </c>
      <c r="C269" s="28" t="s">
        <v>493</v>
      </c>
      <c r="H269" s="159">
        <f t="shared" ref="H269:T269" si="90">H77</f>
        <v>40.429223963838908</v>
      </c>
      <c r="I269" s="159">
        <f t="shared" si="90"/>
        <v>100.67365608004286</v>
      </c>
      <c r="J269" s="159">
        <f t="shared" si="90"/>
        <v>164.96246567697375</v>
      </c>
      <c r="K269" s="159">
        <f t="shared" si="90"/>
        <v>236.47835228661239</v>
      </c>
      <c r="L269" s="159">
        <f t="shared" si="90"/>
        <v>270.36417994306152</v>
      </c>
      <c r="M269" s="159">
        <f t="shared" si="90"/>
        <v>311.09202072367106</v>
      </c>
      <c r="N269" s="159">
        <f t="shared" si="90"/>
        <v>334.77501028372325</v>
      </c>
      <c r="O269" s="159">
        <f t="shared" si="90"/>
        <v>372.41321302456066</v>
      </c>
      <c r="P269" s="159">
        <f t="shared" si="90"/>
        <v>396.30633906626957</v>
      </c>
      <c r="Q269" s="159">
        <f t="shared" si="90"/>
        <v>434.48902522644192</v>
      </c>
      <c r="R269" s="159">
        <f t="shared" si="90"/>
        <v>456.99486338670908</v>
      </c>
      <c r="S269" s="159">
        <f t="shared" si="90"/>
        <v>454.75929133816862</v>
      </c>
      <c r="T269" s="159">
        <f t="shared" si="90"/>
        <v>473.40998635885308</v>
      </c>
    </row>
    <row r="270" spans="2:20" x14ac:dyDescent="0.25">
      <c r="B270" s="23" t="s">
        <v>2973</v>
      </c>
      <c r="C270" s="28" t="s">
        <v>493</v>
      </c>
      <c r="H270" s="29">
        <f>'Capex &amp; Depreciation'!H256</f>
        <v>88.373062408935311</v>
      </c>
      <c r="I270" s="29">
        <f>'Capex &amp; Depreciation'!I256</f>
        <v>113.59968518200155</v>
      </c>
      <c r="J270" s="29">
        <f>'Capex &amp; Depreciation'!J256</f>
        <v>134.96780390311255</v>
      </c>
      <c r="K270" s="29">
        <f>'Capex &amp; Depreciation'!K256</f>
        <v>136.94134168720865</v>
      </c>
      <c r="L270" s="29">
        <f>'Capex &amp; Depreciation'!L256</f>
        <v>144.19843006333596</v>
      </c>
      <c r="M270" s="29">
        <f>'Capex &amp; Depreciation'!M256</f>
        <v>157.58486920695159</v>
      </c>
      <c r="N270" s="29">
        <f>'Capex &amp; Depreciation'!N256</f>
        <v>157.59377594247448</v>
      </c>
      <c r="O270" s="29">
        <f>'Capex &amp; Depreciation'!O256</f>
        <v>157.60286081270777</v>
      </c>
      <c r="P270" s="29">
        <f>'Capex &amp; Depreciation'!P256</f>
        <v>159.64329918048264</v>
      </c>
      <c r="Q270" s="29">
        <f>'Capex &amp; Depreciation'!Q256</f>
        <v>159.62157927933652</v>
      </c>
      <c r="R270" s="29">
        <f>'Capex &amp; Depreciation'!R256</f>
        <v>154.09337497821181</v>
      </c>
      <c r="S270" s="29">
        <f>'Capex &amp; Depreciation'!S256</f>
        <v>154.10320873392178</v>
      </c>
      <c r="T270" s="29">
        <f>'Capex &amp; Depreciation'!T256</f>
        <v>154.14441096488284</v>
      </c>
    </row>
    <row r="271" spans="2:20" x14ac:dyDescent="0.25">
      <c r="B271" s="23" t="s">
        <v>2974</v>
      </c>
      <c r="C271" s="28" t="s">
        <v>493</v>
      </c>
      <c r="H271" s="29">
        <f>'Capex &amp; Depreciation'!H316</f>
        <v>0</v>
      </c>
      <c r="I271" s="29">
        <f>'Capex &amp; Depreciation'!I316</f>
        <v>0</v>
      </c>
      <c r="J271" s="29">
        <f>'Capex &amp; Depreciation'!J316</f>
        <v>0</v>
      </c>
      <c r="K271" s="29">
        <f>'Capex &amp; Depreciation'!K316</f>
        <v>0</v>
      </c>
      <c r="L271" s="29">
        <f>'Capex &amp; Depreciation'!L316</f>
        <v>0</v>
      </c>
      <c r="M271" s="29">
        <f>'Capex &amp; Depreciation'!M316</f>
        <v>0</v>
      </c>
      <c r="N271" s="29">
        <f>'Capex &amp; Depreciation'!N316</f>
        <v>0</v>
      </c>
      <c r="O271" s="29">
        <f>'Capex &amp; Depreciation'!O316</f>
        <v>0</v>
      </c>
      <c r="P271" s="29">
        <f>'Capex &amp; Depreciation'!P316</f>
        <v>0</v>
      </c>
      <c r="Q271" s="29">
        <f>'Capex &amp; Depreciation'!Q316</f>
        <v>0</v>
      </c>
      <c r="R271" s="29">
        <f>'Capex &amp; Depreciation'!R316</f>
        <v>0</v>
      </c>
      <c r="S271" s="29">
        <f>'Capex &amp; Depreciation'!S316</f>
        <v>0</v>
      </c>
      <c r="T271" s="29">
        <f>'Capex &amp; Depreciation'!T316</f>
        <v>0</v>
      </c>
    </row>
    <row r="272" spans="2:20" x14ac:dyDescent="0.25">
      <c r="B272" s="23" t="s">
        <v>2975</v>
      </c>
      <c r="C272" s="28" t="s">
        <v>493</v>
      </c>
      <c r="H272" s="159">
        <f>-'Working Capital'!H116</f>
        <v>2.8370388994712172</v>
      </c>
      <c r="I272" s="159">
        <f>-'Working Capital'!I116</f>
        <v>-15.803178598627007</v>
      </c>
      <c r="J272" s="159">
        <f>-'Working Capital'!J116</f>
        <v>-24.174807601681188</v>
      </c>
      <c r="K272" s="159">
        <f>-'Working Capital'!K116</f>
        <v>-15.307458995313795</v>
      </c>
      <c r="L272" s="159">
        <f>-'Working Capital'!L116</f>
        <v>-8.6358287416836532</v>
      </c>
      <c r="M272" s="159">
        <f>-'Working Capital'!M116</f>
        <v>-11.375678781276122</v>
      </c>
      <c r="N272" s="159">
        <f>-'Working Capital'!N116</f>
        <v>-4.9038275714541584</v>
      </c>
      <c r="O272" s="159">
        <f>-'Working Capital'!O116</f>
        <v>-7.5908088648250782</v>
      </c>
      <c r="P272" s="159">
        <f>-'Working Capital'!P116</f>
        <v>-4.8619791690155978</v>
      </c>
      <c r="Q272" s="159">
        <f>-'Working Capital'!Q116</f>
        <v>-7.8802492526095165</v>
      </c>
      <c r="R272" s="159">
        <f>-'Working Capital'!R116</f>
        <v>-2.9473333710221539</v>
      </c>
      <c r="S272" s="159">
        <f>-'Working Capital'!S116</f>
        <v>-0.3286242651282123</v>
      </c>
      <c r="T272" s="159">
        <f>-'Working Capital'!T116</f>
        <v>-3.8276260275482912</v>
      </c>
    </row>
    <row r="273" spans="2:20" x14ac:dyDescent="0.25">
      <c r="B273" s="21" t="s">
        <v>2976</v>
      </c>
      <c r="C273" s="28" t="s">
        <v>493</v>
      </c>
      <c r="G273" s="157"/>
      <c r="H273" s="158">
        <f t="shared" ref="H273:T273" si="91">SUM(H269:H272)</f>
        <v>131.63932527224546</v>
      </c>
      <c r="I273" s="158">
        <f t="shared" si="91"/>
        <v>198.47016266341743</v>
      </c>
      <c r="J273" s="158">
        <f t="shared" si="91"/>
        <v>275.75546197840509</v>
      </c>
      <c r="K273" s="158">
        <f t="shared" si="91"/>
        <v>358.11223497850722</v>
      </c>
      <c r="L273" s="158">
        <f t="shared" si="91"/>
        <v>405.92678126471378</v>
      </c>
      <c r="M273" s="158">
        <f t="shared" si="91"/>
        <v>457.30121114934656</v>
      </c>
      <c r="N273" s="158">
        <f t="shared" si="91"/>
        <v>487.46495865474355</v>
      </c>
      <c r="O273" s="158">
        <f t="shared" si="91"/>
        <v>522.4252649724433</v>
      </c>
      <c r="P273" s="158">
        <f t="shared" si="91"/>
        <v>551.08765907773659</v>
      </c>
      <c r="Q273" s="158">
        <f t="shared" si="91"/>
        <v>586.23035525316891</v>
      </c>
      <c r="R273" s="158">
        <f t="shared" si="91"/>
        <v>608.14090499389874</v>
      </c>
      <c r="S273" s="158">
        <f t="shared" si="91"/>
        <v>608.53387580696221</v>
      </c>
      <c r="T273" s="158">
        <f t="shared" si="91"/>
        <v>623.72677129618762</v>
      </c>
    </row>
    <row r="274" spans="2:20" x14ac:dyDescent="0.25">
      <c r="B274" s="23" t="s">
        <v>2977</v>
      </c>
      <c r="C274" s="28" t="s">
        <v>493</v>
      </c>
      <c r="H274" s="159">
        <f>-'Capex &amp; Depreciation'!H81</f>
        <v>-125.24050000000001</v>
      </c>
      <c r="I274" s="159">
        <f>-'Capex &amp; Depreciation'!I81</f>
        <v>-14.638500000000001</v>
      </c>
      <c r="J274" s="159">
        <f>-'Capex &amp; Depreciation'!J81</f>
        <v>-419.77202976190472</v>
      </c>
      <c r="K274" s="159">
        <f>-'Capex &amp; Depreciation'!K81</f>
        <v>-225.06362499999994</v>
      </c>
      <c r="L274" s="159">
        <f>-'Capex &amp; Depreciation'!L81</f>
        <v>-97.59</v>
      </c>
      <c r="M274" s="159">
        <f>-'Capex &amp; Depreciation'!M81</f>
        <v>0</v>
      </c>
      <c r="N274" s="159">
        <f>-'Capex &amp; Depreciation'!N81</f>
        <v>0</v>
      </c>
      <c r="O274" s="159">
        <f>-'Capex &amp; Depreciation'!O81</f>
        <v>0</v>
      </c>
      <c r="P274" s="159">
        <f>-'Capex &amp; Depreciation'!P81</f>
        <v>0</v>
      </c>
      <c r="Q274" s="159">
        <f>-'Capex &amp; Depreciation'!Q81</f>
        <v>0</v>
      </c>
      <c r="R274" s="159">
        <f>-'Capex &amp; Depreciation'!R81</f>
        <v>0</v>
      </c>
      <c r="S274" s="159">
        <f>-'Capex &amp; Depreciation'!S81</f>
        <v>0</v>
      </c>
      <c r="T274" s="159">
        <f>-'Capex &amp; Depreciation'!T81</f>
        <v>0</v>
      </c>
    </row>
    <row r="275" spans="2:20" x14ac:dyDescent="0.25">
      <c r="B275" s="23" t="s">
        <v>2978</v>
      </c>
      <c r="C275" s="28" t="s">
        <v>493</v>
      </c>
      <c r="H275" s="159">
        <f>-'Capex &amp; Depreciation'!H210</f>
        <v>0</v>
      </c>
      <c r="I275" s="159">
        <f>-'Capex &amp; Depreciation'!I210</f>
        <v>0</v>
      </c>
      <c r="J275" s="159">
        <f>-'Capex &amp; Depreciation'!J210</f>
        <v>0</v>
      </c>
      <c r="K275" s="159">
        <f>-'Capex &amp; Depreciation'!K210</f>
        <v>0</v>
      </c>
      <c r="L275" s="159">
        <f>-'Capex &amp; Depreciation'!L210</f>
        <v>0</v>
      </c>
      <c r="M275" s="159">
        <f>-'Capex &amp; Depreciation'!M210</f>
        <v>0</v>
      </c>
      <c r="N275" s="159">
        <f>-'Capex &amp; Depreciation'!N210</f>
        <v>0</v>
      </c>
      <c r="O275" s="159">
        <f>-'Capex &amp; Depreciation'!O210</f>
        <v>0</v>
      </c>
      <c r="P275" s="159">
        <f>-'Capex &amp; Depreciation'!P210</f>
        <v>0</v>
      </c>
      <c r="Q275" s="159">
        <f>-'Capex &amp; Depreciation'!Q210</f>
        <v>0</v>
      </c>
      <c r="R275" s="159">
        <f>-'Capex &amp; Depreciation'!R210</f>
        <v>0</v>
      </c>
      <c r="S275" s="159">
        <f>-'Capex &amp; Depreciation'!S210</f>
        <v>0</v>
      </c>
      <c r="T275" s="159">
        <f>-'Capex &amp; Depreciation'!T210</f>
        <v>0</v>
      </c>
    </row>
    <row r="276" spans="2:20" ht="26.25" customHeight="1" x14ac:dyDescent="0.25">
      <c r="B276" s="133" t="s">
        <v>2979</v>
      </c>
      <c r="C276" s="28" t="s">
        <v>493</v>
      </c>
      <c r="G276" s="157"/>
      <c r="H276" s="158">
        <f t="shared" ref="H276:T276" si="92">H274+H275</f>
        <v>-125.24050000000001</v>
      </c>
      <c r="I276" s="158">
        <f t="shared" si="92"/>
        <v>-14.638500000000001</v>
      </c>
      <c r="J276" s="158">
        <f t="shared" si="92"/>
        <v>-419.77202976190472</v>
      </c>
      <c r="K276" s="158">
        <f t="shared" si="92"/>
        <v>-225.06362499999994</v>
      </c>
      <c r="L276" s="158">
        <f t="shared" si="92"/>
        <v>-97.59</v>
      </c>
      <c r="M276" s="158">
        <f t="shared" si="92"/>
        <v>0</v>
      </c>
      <c r="N276" s="158">
        <f t="shared" si="92"/>
        <v>0</v>
      </c>
      <c r="O276" s="158">
        <f t="shared" si="92"/>
        <v>0</v>
      </c>
      <c r="P276" s="158">
        <f t="shared" si="92"/>
        <v>0</v>
      </c>
      <c r="Q276" s="158">
        <f t="shared" si="92"/>
        <v>0</v>
      </c>
      <c r="R276" s="158">
        <f t="shared" si="92"/>
        <v>0</v>
      </c>
      <c r="S276" s="158">
        <f t="shared" si="92"/>
        <v>0</v>
      </c>
      <c r="T276" s="158">
        <f t="shared" si="92"/>
        <v>0</v>
      </c>
    </row>
    <row r="277" spans="2:20" x14ac:dyDescent="0.25">
      <c r="B277" s="23" t="s">
        <v>2980</v>
      </c>
      <c r="C277" s="28" t="s">
        <v>493</v>
      </c>
      <c r="H277" s="29">
        <f>Financing!H61</f>
        <v>0</v>
      </c>
      <c r="I277" s="29">
        <f>Financing!I61</f>
        <v>0</v>
      </c>
      <c r="J277" s="29">
        <f>Financing!J61</f>
        <v>0</v>
      </c>
      <c r="K277" s="29">
        <f>Financing!K61</f>
        <v>28.884162758641565</v>
      </c>
      <c r="L277" s="29">
        <f>Financing!L61</f>
        <v>0</v>
      </c>
      <c r="M277" s="29">
        <f>Financing!M61</f>
        <v>0</v>
      </c>
      <c r="N277" s="29">
        <f>Financing!N61</f>
        <v>0</v>
      </c>
      <c r="O277" s="29">
        <f>Financing!O61</f>
        <v>0</v>
      </c>
      <c r="P277" s="29">
        <f>Financing!P61</f>
        <v>0</v>
      </c>
      <c r="Q277" s="29">
        <f>Financing!Q61</f>
        <v>0</v>
      </c>
      <c r="R277" s="29">
        <f>Financing!R61</f>
        <v>0</v>
      </c>
      <c r="S277" s="29">
        <f>Financing!S61</f>
        <v>0</v>
      </c>
      <c r="T277" s="29">
        <f>Financing!T61</f>
        <v>0</v>
      </c>
    </row>
    <row r="278" spans="2:20" x14ac:dyDescent="0.25">
      <c r="B278" s="23" t="s">
        <v>2981</v>
      </c>
      <c r="C278" s="28" t="s">
        <v>493</v>
      </c>
      <c r="H278" s="159">
        <f>Financing!H31+Financing!H52</f>
        <v>0</v>
      </c>
      <c r="I278" s="159">
        <f>Financing!I31+Financing!I52</f>
        <v>0</v>
      </c>
      <c r="J278" s="159">
        <f>Financing!J31+Financing!J52</f>
        <v>0</v>
      </c>
      <c r="K278" s="159">
        <f>Financing!K31+Financing!K52</f>
        <v>32.53</v>
      </c>
      <c r="L278" s="159">
        <f>Financing!L31+Financing!L52</f>
        <v>48.795000000000002</v>
      </c>
      <c r="M278" s="159">
        <f>Financing!M31+Financing!M52</f>
        <v>0</v>
      </c>
      <c r="N278" s="159">
        <f>Financing!N31+Financing!N52</f>
        <v>0</v>
      </c>
      <c r="O278" s="159">
        <f>Financing!O31+Financing!O52</f>
        <v>0</v>
      </c>
      <c r="P278" s="159">
        <f>Financing!P31+Financing!P52</f>
        <v>0</v>
      </c>
      <c r="Q278" s="159">
        <f>Financing!Q31+Financing!Q52</f>
        <v>0</v>
      </c>
      <c r="R278" s="159">
        <f>Financing!R31+Financing!R52</f>
        <v>0</v>
      </c>
      <c r="S278" s="159">
        <f>Financing!S31+Financing!S52</f>
        <v>0</v>
      </c>
      <c r="T278" s="159">
        <f>Financing!T31+Financing!T52</f>
        <v>0</v>
      </c>
    </row>
    <row r="279" spans="2:20" ht="26.25" customHeight="1" x14ac:dyDescent="0.25">
      <c r="B279" s="64" t="s">
        <v>2982</v>
      </c>
      <c r="C279" s="28" t="s">
        <v>493</v>
      </c>
      <c r="H279" s="159">
        <f>-(Financing!H19+Financing!H32+Financing!H53)</f>
        <v>-29.338465248760002</v>
      </c>
      <c r="I279" s="159">
        <f>-(Financing!I19+Financing!I32+Financing!I53)</f>
        <v>0</v>
      </c>
      <c r="J279" s="159">
        <f>-(Financing!J19+Financing!J32+Financing!J53)</f>
        <v>0</v>
      </c>
      <c r="K279" s="159">
        <f>-(Financing!K19+Financing!K32+Financing!K53)</f>
        <v>-195.18</v>
      </c>
      <c r="L279" s="159">
        <f>-(Financing!L19+Financing!L32+Financing!L53)</f>
        <v>0</v>
      </c>
      <c r="M279" s="159">
        <f>-(Financing!M19+Financing!M32+Financing!M53)</f>
        <v>0</v>
      </c>
      <c r="N279" s="159">
        <f>-(Financing!N19+Financing!N32+Financing!N53)</f>
        <v>-6.5060000000000002</v>
      </c>
      <c r="O279" s="159">
        <f>-(Financing!O19+Financing!O32+Financing!O53)</f>
        <v>-16.265000000000001</v>
      </c>
      <c r="P279" s="159">
        <f>-(Financing!P19+Financing!P32+Financing!P53)</f>
        <v>-16.265000000000001</v>
      </c>
      <c r="Q279" s="159">
        <f>-(Financing!Q19+Financing!Q32+Financing!Q53)</f>
        <v>-16.265000000000001</v>
      </c>
      <c r="R279" s="159">
        <f>-(Financing!R19+Financing!R32+Financing!R53)</f>
        <v>-16.265000000000001</v>
      </c>
      <c r="S279" s="159">
        <f>-(Financing!S19+Financing!S32+Financing!S53)</f>
        <v>-9.7590000000000003</v>
      </c>
      <c r="T279" s="159">
        <f>-(Financing!T19+Financing!T32+Financing!T53)</f>
        <v>0</v>
      </c>
    </row>
    <row r="280" spans="2:20" x14ac:dyDescent="0.25">
      <c r="B280" s="23" t="s">
        <v>2983</v>
      </c>
      <c r="C280" s="28" t="s">
        <v>493</v>
      </c>
      <c r="H280" s="159">
        <f>-Financing!H71</f>
        <v>-6.3327025288222343</v>
      </c>
      <c r="I280" s="159">
        <f>-Financing!I71</f>
        <v>-24.168312578226143</v>
      </c>
      <c r="J280" s="159">
        <f>-Financing!J71</f>
        <v>-43.29611758378374</v>
      </c>
      <c r="K280" s="159">
        <f>-Financing!K71</f>
        <v>0</v>
      </c>
      <c r="L280" s="159">
        <f>-Financing!L71</f>
        <v>-74.377897345920431</v>
      </c>
      <c r="M280" s="159">
        <f>-Financing!M71</f>
        <v>-85.975938287159337</v>
      </c>
      <c r="N280" s="159">
        <f>-Financing!N71</f>
        <v>-92.804338547055849</v>
      </c>
      <c r="O280" s="159">
        <f>-Financing!O71</f>
        <v>-103.81417555589361</v>
      </c>
      <c r="P280" s="159">
        <f>-Financing!P71</f>
        <v>-110.27752833153677</v>
      </c>
      <c r="Q280" s="159">
        <f>-Financing!Q71</f>
        <v>-121.42553178157326</v>
      </c>
      <c r="R280" s="159">
        <f>-Financing!R71</f>
        <v>-127.86504987552635</v>
      </c>
      <c r="S280" s="159">
        <f>-Financing!S71</f>
        <v>-126.87677783971669</v>
      </c>
      <c r="T280" s="159">
        <f>-Financing!T71</f>
        <v>-132.14909845823394</v>
      </c>
    </row>
    <row r="281" spans="2:20" x14ac:dyDescent="0.25">
      <c r="B281" s="23" t="s">
        <v>2984</v>
      </c>
      <c r="C281" s="28" t="s">
        <v>493</v>
      </c>
      <c r="H281" s="159">
        <f>-Financing!H73</f>
        <v>0</v>
      </c>
      <c r="I281" s="159">
        <f>-Financing!I73</f>
        <v>0</v>
      </c>
      <c r="J281" s="159">
        <f>-Financing!J73</f>
        <v>0</v>
      </c>
      <c r="K281" s="159">
        <f>-Financing!K73</f>
        <v>0</v>
      </c>
      <c r="L281" s="159">
        <f>-Financing!L73</f>
        <v>0</v>
      </c>
      <c r="M281" s="159">
        <f>-Financing!M73</f>
        <v>0</v>
      </c>
      <c r="N281" s="159">
        <f>-Financing!N73</f>
        <v>0</v>
      </c>
      <c r="O281" s="159">
        <f>-Financing!O73</f>
        <v>0</v>
      </c>
      <c r="P281" s="159">
        <f>-Financing!P73</f>
        <v>0</v>
      </c>
      <c r="Q281" s="159">
        <f>-Financing!Q73</f>
        <v>0</v>
      </c>
      <c r="R281" s="159">
        <f>-Financing!R73</f>
        <v>0</v>
      </c>
      <c r="S281" s="159">
        <f>-Financing!S73</f>
        <v>0</v>
      </c>
      <c r="T281" s="159">
        <f>-Financing!T73</f>
        <v>0</v>
      </c>
    </row>
    <row r="282" spans="2:20" x14ac:dyDescent="0.25">
      <c r="B282" s="21" t="s">
        <v>2985</v>
      </c>
      <c r="C282" s="28" t="s">
        <v>493</v>
      </c>
      <c r="G282" s="157"/>
      <c r="H282" s="158">
        <f t="shared" ref="H282:T282" si="93">SUM(H277:H281)</f>
        <v>-35.671167777582234</v>
      </c>
      <c r="I282" s="158">
        <f t="shared" si="93"/>
        <v>-24.168312578226143</v>
      </c>
      <c r="J282" s="158">
        <f t="shared" si="93"/>
        <v>-43.29611758378374</v>
      </c>
      <c r="K282" s="158">
        <f t="shared" si="93"/>
        <v>-133.76583724135844</v>
      </c>
      <c r="L282" s="158">
        <f t="shared" si="93"/>
        <v>-25.582897345920429</v>
      </c>
      <c r="M282" s="158">
        <f t="shared" si="93"/>
        <v>-85.975938287159337</v>
      </c>
      <c r="N282" s="158">
        <f t="shared" si="93"/>
        <v>-99.310338547055849</v>
      </c>
      <c r="O282" s="158">
        <f t="shared" si="93"/>
        <v>-120.07917555589361</v>
      </c>
      <c r="P282" s="158">
        <f t="shared" si="93"/>
        <v>-126.54252833153677</v>
      </c>
      <c r="Q282" s="158">
        <f t="shared" si="93"/>
        <v>-137.69053178157327</v>
      </c>
      <c r="R282" s="158">
        <f t="shared" si="93"/>
        <v>-144.13004987552637</v>
      </c>
      <c r="S282" s="158">
        <f t="shared" si="93"/>
        <v>-136.6357778397167</v>
      </c>
      <c r="T282" s="158">
        <f t="shared" si="93"/>
        <v>-132.14909845823394</v>
      </c>
    </row>
    <row r="283" spans="2:20" x14ac:dyDescent="0.25">
      <c r="B283" s="21" t="s">
        <v>2986</v>
      </c>
      <c r="C283" s="28" t="s">
        <v>493</v>
      </c>
      <c r="H283" s="160">
        <f t="shared" ref="H283:T283" si="94">H273+H276+H282</f>
        <v>-29.272342505336788</v>
      </c>
      <c r="I283" s="160">
        <f t="shared" si="94"/>
        <v>159.6633500851913</v>
      </c>
      <c r="J283" s="160">
        <f t="shared" si="94"/>
        <v>-187.31268536728336</v>
      </c>
      <c r="K283" s="160">
        <f t="shared" si="94"/>
        <v>-0.71722726285116778</v>
      </c>
      <c r="L283" s="160">
        <f t="shared" si="94"/>
        <v>282.75388391879335</v>
      </c>
      <c r="M283" s="160">
        <f t="shared" si="94"/>
        <v>371.32527286218721</v>
      </c>
      <c r="N283" s="160">
        <f t="shared" si="94"/>
        <v>388.15462010768772</v>
      </c>
      <c r="O283" s="160">
        <f t="shared" si="94"/>
        <v>402.34608941654972</v>
      </c>
      <c r="P283" s="160">
        <f t="shared" si="94"/>
        <v>424.54513074619979</v>
      </c>
      <c r="Q283" s="160">
        <f t="shared" si="94"/>
        <v>448.53982347159564</v>
      </c>
      <c r="R283" s="160">
        <f t="shared" si="94"/>
        <v>464.01085511837238</v>
      </c>
      <c r="S283" s="160">
        <f t="shared" si="94"/>
        <v>471.89809796724552</v>
      </c>
      <c r="T283" s="160">
        <f t="shared" si="94"/>
        <v>491.57767283795368</v>
      </c>
    </row>
    <row r="284" spans="2:20" x14ac:dyDescent="0.25">
      <c r="B284" s="21" t="s">
        <v>2987</v>
      </c>
      <c r="C284" s="28" t="s">
        <v>493</v>
      </c>
      <c r="G284" s="185">
        <f>'Source Data'!$E$799</f>
        <v>60.638905050280002</v>
      </c>
      <c r="H284" s="158">
        <f t="shared" ref="H284:T284" si="95">G284+H283</f>
        <v>31.366562544943214</v>
      </c>
      <c r="I284" s="158">
        <f t="shared" si="95"/>
        <v>191.0299126301345</v>
      </c>
      <c r="J284" s="158">
        <f t="shared" si="95"/>
        <v>3.7172272628511394</v>
      </c>
      <c r="K284" s="158">
        <f t="shared" si="95"/>
        <v>2.9999999999999716</v>
      </c>
      <c r="L284" s="158">
        <f t="shared" si="95"/>
        <v>285.75388391879335</v>
      </c>
      <c r="M284" s="158">
        <f t="shared" si="95"/>
        <v>657.07915678098061</v>
      </c>
      <c r="N284" s="158">
        <f t="shared" si="95"/>
        <v>1045.2337768886682</v>
      </c>
      <c r="O284" s="158">
        <f t="shared" si="95"/>
        <v>1447.5798663052178</v>
      </c>
      <c r="P284" s="158">
        <f t="shared" si="95"/>
        <v>1872.1249970514177</v>
      </c>
      <c r="Q284" s="158">
        <f t="shared" si="95"/>
        <v>2320.6648205230135</v>
      </c>
      <c r="R284" s="158">
        <f t="shared" si="95"/>
        <v>2784.6756756413861</v>
      </c>
      <c r="S284" s="158">
        <f t="shared" si="95"/>
        <v>3256.5737736086317</v>
      </c>
      <c r="T284" s="158">
        <f t="shared" si="95"/>
        <v>3748.1514464465854</v>
      </c>
    </row>
    <row r="285" spans="2:20" x14ac:dyDescent="0.25">
      <c r="B285" s="154" t="s">
        <v>2988</v>
      </c>
    </row>
    <row r="286" spans="2:20" x14ac:dyDescent="0.25">
      <c r="B286" s="23" t="s">
        <v>2989</v>
      </c>
      <c r="C286" s="28" t="s">
        <v>493</v>
      </c>
      <c r="H286" s="161">
        <f>ROUND(H284-'Funding Requirement'!H62,4)</f>
        <v>0</v>
      </c>
      <c r="I286" s="161">
        <f>ROUND(I284-'Funding Requirement'!I62,4)</f>
        <v>0</v>
      </c>
      <c r="J286" s="161">
        <f>ROUND(J284-'Funding Requirement'!J62,4)</f>
        <v>0</v>
      </c>
      <c r="K286" s="161">
        <f>ROUND(K284-'Funding Requirement'!K62,4)</f>
        <v>0</v>
      </c>
      <c r="L286" s="161">
        <f>ROUND(L284-'Funding Requirement'!L62,4)</f>
        <v>0</v>
      </c>
      <c r="M286" s="161">
        <f>ROUND(M284-'Funding Requirement'!M62,4)</f>
        <v>0</v>
      </c>
      <c r="N286" s="161">
        <f>ROUND(N284-'Funding Requirement'!N62,4)</f>
        <v>0</v>
      </c>
      <c r="O286" s="161">
        <f>ROUND(O284-'Funding Requirement'!O62,4)</f>
        <v>0</v>
      </c>
      <c r="P286" s="161">
        <f>ROUND(P284-'Funding Requirement'!P62,4)</f>
        <v>0</v>
      </c>
      <c r="Q286" s="161">
        <f>ROUND(Q284-'Funding Requirement'!Q62,4)</f>
        <v>0</v>
      </c>
      <c r="R286" s="161">
        <f>ROUND(R284-'Funding Requirement'!R62,4)</f>
        <v>0</v>
      </c>
      <c r="S286" s="161">
        <f>ROUND(S284-'Funding Requirement'!S62,4)</f>
        <v>0</v>
      </c>
      <c r="T286" s="161">
        <f>ROUND(T284-'Funding Requirement'!T62,4)</f>
        <v>0</v>
      </c>
    </row>
    <row r="287" spans="2:20" x14ac:dyDescent="0.25">
      <c r="B287" s="23" t="s">
        <v>2990</v>
      </c>
      <c r="C287" s="28" t="s">
        <v>493</v>
      </c>
      <c r="H287" s="161">
        <f t="shared" ref="H287:T287" si="96">ROUND(G259+H77+H280+H281-H259,4)</f>
        <v>0</v>
      </c>
      <c r="I287" s="161">
        <f t="shared" si="96"/>
        <v>0</v>
      </c>
      <c r="J287" s="161">
        <f t="shared" si="96"/>
        <v>0</v>
      </c>
      <c r="K287" s="161">
        <f t="shared" si="96"/>
        <v>0</v>
      </c>
      <c r="L287" s="161">
        <f t="shared" si="96"/>
        <v>0</v>
      </c>
      <c r="M287" s="161">
        <f t="shared" si="96"/>
        <v>0</v>
      </c>
      <c r="N287" s="161">
        <f t="shared" si="96"/>
        <v>0</v>
      </c>
      <c r="O287" s="161">
        <f t="shared" si="96"/>
        <v>0</v>
      </c>
      <c r="P287" s="161">
        <f t="shared" si="96"/>
        <v>0</v>
      </c>
      <c r="Q287" s="161">
        <f t="shared" si="96"/>
        <v>0</v>
      </c>
      <c r="R287" s="161">
        <f t="shared" si="96"/>
        <v>0</v>
      </c>
      <c r="S287" s="161">
        <f t="shared" si="96"/>
        <v>0</v>
      </c>
      <c r="T287" s="161">
        <f t="shared" si="96"/>
        <v>0</v>
      </c>
    </row>
    <row r="288" spans="2:20" x14ac:dyDescent="0.25">
      <c r="B288" s="23" t="s">
        <v>2991</v>
      </c>
      <c r="C288" s="28" t="s">
        <v>493</v>
      </c>
      <c r="H288" s="161">
        <f>ROUND(G244+'Capex &amp; Depreciation'!H81+'Capex &amp; Depreciation'!H210-'Capex &amp; Depreciation'!H256-'Capex &amp; Depreciation'!H316-H244,4)</f>
        <v>0</v>
      </c>
      <c r="I288" s="161">
        <f>ROUND(H244+'Capex &amp; Depreciation'!I81+'Capex &amp; Depreciation'!I210-'Capex &amp; Depreciation'!I256-'Capex &amp; Depreciation'!I316-I244,4)</f>
        <v>0</v>
      </c>
      <c r="J288" s="161">
        <f>ROUND(I244+'Capex &amp; Depreciation'!J81+'Capex &amp; Depreciation'!J210-'Capex &amp; Depreciation'!J256-'Capex &amp; Depreciation'!J316-J244,4)</f>
        <v>0</v>
      </c>
      <c r="K288" s="161">
        <f>ROUND(J244+'Capex &amp; Depreciation'!K81+'Capex &amp; Depreciation'!K210-'Capex &amp; Depreciation'!K256-'Capex &amp; Depreciation'!K316-K244,4)</f>
        <v>0</v>
      </c>
      <c r="L288" s="161">
        <f>ROUND(K244+'Capex &amp; Depreciation'!L81+'Capex &amp; Depreciation'!L210-'Capex &amp; Depreciation'!L256-'Capex &amp; Depreciation'!L316-L244,4)</f>
        <v>0</v>
      </c>
      <c r="M288" s="161">
        <f>ROUND(L244+'Capex &amp; Depreciation'!M81+'Capex &amp; Depreciation'!M210-'Capex &amp; Depreciation'!M256-'Capex &amp; Depreciation'!M316-M244,4)</f>
        <v>0</v>
      </c>
      <c r="N288" s="161">
        <f>ROUND(M244+'Capex &amp; Depreciation'!N81+'Capex &amp; Depreciation'!N210-'Capex &amp; Depreciation'!N256-'Capex &amp; Depreciation'!N316-N244,4)</f>
        <v>0</v>
      </c>
      <c r="O288" s="161">
        <f>ROUND(N244+'Capex &amp; Depreciation'!O81+'Capex &amp; Depreciation'!O210-'Capex &amp; Depreciation'!O256-'Capex &amp; Depreciation'!O316-O244,4)</f>
        <v>0</v>
      </c>
      <c r="P288" s="161">
        <f>ROUND(O244+'Capex &amp; Depreciation'!P81+'Capex &amp; Depreciation'!P210-'Capex &amp; Depreciation'!P256-'Capex &amp; Depreciation'!P316-P244,4)</f>
        <v>0</v>
      </c>
      <c r="Q288" s="161">
        <f>ROUND(P244+'Capex &amp; Depreciation'!Q81+'Capex &amp; Depreciation'!Q210-'Capex &amp; Depreciation'!Q256-'Capex &amp; Depreciation'!Q316-Q244,4)</f>
        <v>0</v>
      </c>
      <c r="R288" s="161">
        <f>ROUND(Q244+'Capex &amp; Depreciation'!R81+'Capex &amp; Depreciation'!R210-'Capex &amp; Depreciation'!R256-'Capex &amp; Depreciation'!R316-R244,4)</f>
        <v>0</v>
      </c>
      <c r="S288" s="161">
        <f>ROUND(R244+'Capex &amp; Depreciation'!S81+'Capex &amp; Depreciation'!S210-'Capex &amp; Depreciation'!S256-'Capex &amp; Depreciation'!S316-S244,4)</f>
        <v>0</v>
      </c>
      <c r="T288" s="161">
        <f>ROUND(S244+'Capex &amp; Depreciation'!T81+'Capex &amp; Depreciation'!T210-'Capex &amp; Depreciation'!T256-'Capex &amp; Depreciation'!T316-T244,4)</f>
        <v>0</v>
      </c>
    </row>
    <row r="289" spans="2:20" ht="26.25" customHeight="1" x14ac:dyDescent="0.25">
      <c r="B289" s="64" t="s">
        <v>2992</v>
      </c>
      <c r="C289" s="28" t="s">
        <v>493</v>
      </c>
      <c r="H289" s="161">
        <f t="shared" ref="H289:T289" si="97">ROUND(G250+G251+G252+H278+H279-H250-H251-H252,4)</f>
        <v>0</v>
      </c>
      <c r="I289" s="161">
        <f t="shared" si="97"/>
        <v>0</v>
      </c>
      <c r="J289" s="161">
        <f t="shared" si="97"/>
        <v>0</v>
      </c>
      <c r="K289" s="161">
        <f t="shared" si="97"/>
        <v>0</v>
      </c>
      <c r="L289" s="161">
        <f t="shared" si="97"/>
        <v>0</v>
      </c>
      <c r="M289" s="161">
        <f t="shared" si="97"/>
        <v>0</v>
      </c>
      <c r="N289" s="161">
        <f t="shared" si="97"/>
        <v>0</v>
      </c>
      <c r="O289" s="161">
        <f t="shared" si="97"/>
        <v>0</v>
      </c>
      <c r="P289" s="161">
        <f t="shared" si="97"/>
        <v>0</v>
      </c>
      <c r="Q289" s="161">
        <f t="shared" si="97"/>
        <v>0</v>
      </c>
      <c r="R289" s="161">
        <f t="shared" si="97"/>
        <v>0</v>
      </c>
      <c r="S289" s="161">
        <f t="shared" si="97"/>
        <v>0</v>
      </c>
      <c r="T289" s="161">
        <f t="shared" si="97"/>
        <v>0</v>
      </c>
    </row>
    <row r="291" spans="2:20" x14ac:dyDescent="0.25">
      <c r="B291" s="58" t="s">
        <v>3060</v>
      </c>
      <c r="C291" s="19"/>
      <c r="D291" s="19"/>
      <c r="E291" s="19"/>
      <c r="F291" s="19"/>
      <c r="G291" s="19"/>
      <c r="H291" s="19"/>
      <c r="I291" s="19"/>
      <c r="J291" s="19"/>
      <c r="K291" s="19"/>
      <c r="L291" s="19"/>
      <c r="M291" s="19"/>
      <c r="N291" s="19"/>
      <c r="O291" s="19"/>
      <c r="P291" s="19"/>
      <c r="Q291" s="19"/>
      <c r="R291" s="19"/>
      <c r="S291" s="19"/>
      <c r="T291" s="19"/>
    </row>
    <row r="292" spans="2:20" x14ac:dyDescent="0.25">
      <c r="B292" s="23" t="s">
        <v>2994</v>
      </c>
      <c r="C292" s="28" t="s">
        <v>493</v>
      </c>
      <c r="H292" s="159">
        <f t="shared" ref="H292:T292" si="98">H69</f>
        <v>65.862412993927734</v>
      </c>
      <c r="I292" s="159">
        <f t="shared" si="98"/>
        <v>149.9588485967227</v>
      </c>
      <c r="J292" s="159">
        <f t="shared" si="98"/>
        <v>232.5224841280932</v>
      </c>
      <c r="K292" s="159">
        <f t="shared" si="98"/>
        <v>313.30679164256452</v>
      </c>
      <c r="L292" s="159">
        <f t="shared" si="98"/>
        <v>353.47107541471053</v>
      </c>
      <c r="M292" s="159">
        <f t="shared" si="98"/>
        <v>409.60322093969023</v>
      </c>
      <c r="N292" s="159">
        <f t="shared" si="98"/>
        <v>437.77473968510787</v>
      </c>
      <c r="O292" s="159">
        <f t="shared" si="98"/>
        <v>485.30883221097525</v>
      </c>
      <c r="P292" s="159">
        <f t="shared" si="98"/>
        <v>514.23322008496098</v>
      </c>
      <c r="Q292" s="159">
        <f t="shared" si="98"/>
        <v>561.47755682877164</v>
      </c>
      <c r="R292" s="159">
        <f t="shared" si="98"/>
        <v>588.62337049578082</v>
      </c>
      <c r="S292" s="159">
        <f t="shared" si="98"/>
        <v>584.04942748483143</v>
      </c>
      <c r="T292" s="159">
        <f t="shared" si="98"/>
        <v>606.93587994724749</v>
      </c>
    </row>
    <row r="293" spans="2:20" x14ac:dyDescent="0.25">
      <c r="B293" s="23" t="s">
        <v>2995</v>
      </c>
      <c r="C293" s="28" t="s">
        <v>493</v>
      </c>
      <c r="H293" s="159">
        <f>-IF(H292&lt;0,0,H292*Inputs!H522)</f>
        <v>-14.489730858664101</v>
      </c>
      <c r="I293" s="159">
        <f>-IF(I292&lt;0,0,I292*Inputs!I522)</f>
        <v>-32.990946691278992</v>
      </c>
      <c r="J293" s="159">
        <f>-IF(J292&lt;0,0,J292*Inputs!J522)</f>
        <v>-51.154946508180501</v>
      </c>
      <c r="K293" s="159">
        <f>-IF(K292&lt;0,0,K292*Inputs!K522)</f>
        <v>-68.927494161364194</v>
      </c>
      <c r="L293" s="159">
        <f>-IF(L292&lt;0,0,L292*Inputs!L522)</f>
        <v>-77.76363659123632</v>
      </c>
      <c r="M293" s="159">
        <f>-IF(M292&lt;0,0,M292*Inputs!M522)</f>
        <v>-90.112708606731857</v>
      </c>
      <c r="N293" s="159">
        <f>-IF(N292&lt;0,0,N292*Inputs!N522)</f>
        <v>-96.310442730723736</v>
      </c>
      <c r="O293" s="159">
        <f>-IF(O292&lt;0,0,O292*Inputs!O522)</f>
        <v>-106.76794308641456</v>
      </c>
      <c r="P293" s="159">
        <f>-IF(P292&lt;0,0,P292*Inputs!P522)</f>
        <v>-113.13130841869142</v>
      </c>
      <c r="Q293" s="159">
        <f>-IF(Q292&lt;0,0,Q292*Inputs!Q522)</f>
        <v>-123.52506250232976</v>
      </c>
      <c r="R293" s="159">
        <f>-IF(R292&lt;0,0,R292*Inputs!R522)</f>
        <v>-129.49714150907178</v>
      </c>
      <c r="S293" s="159">
        <f>-IF(S292&lt;0,0,S292*Inputs!S522)</f>
        <v>-128.49087404666292</v>
      </c>
      <c r="T293" s="159">
        <f>-IF(T292&lt;0,0,T292*Inputs!T522)</f>
        <v>-133.52589358839444</v>
      </c>
    </row>
    <row r="294" spans="2:20" x14ac:dyDescent="0.25">
      <c r="B294" s="23" t="s">
        <v>2996</v>
      </c>
      <c r="C294" s="28" t="s">
        <v>493</v>
      </c>
      <c r="H294" s="29">
        <f>'Capex &amp; Depreciation'!H256</f>
        <v>88.373062408935311</v>
      </c>
      <c r="I294" s="29">
        <f>'Capex &amp; Depreciation'!I256</f>
        <v>113.59968518200155</v>
      </c>
      <c r="J294" s="29">
        <f>'Capex &amp; Depreciation'!J256</f>
        <v>134.96780390311255</v>
      </c>
      <c r="K294" s="29">
        <f>'Capex &amp; Depreciation'!K256</f>
        <v>136.94134168720865</v>
      </c>
      <c r="L294" s="29">
        <f>'Capex &amp; Depreciation'!L256</f>
        <v>144.19843006333596</v>
      </c>
      <c r="M294" s="29">
        <f>'Capex &amp; Depreciation'!M256</f>
        <v>157.58486920695159</v>
      </c>
      <c r="N294" s="29">
        <f>'Capex &amp; Depreciation'!N256</f>
        <v>157.59377594247448</v>
      </c>
      <c r="O294" s="29">
        <f>'Capex &amp; Depreciation'!O256</f>
        <v>157.60286081270777</v>
      </c>
      <c r="P294" s="29">
        <f>'Capex &amp; Depreciation'!P256</f>
        <v>159.64329918048264</v>
      </c>
      <c r="Q294" s="29">
        <f>'Capex &amp; Depreciation'!Q256</f>
        <v>159.62157927933652</v>
      </c>
      <c r="R294" s="29">
        <f>'Capex &amp; Depreciation'!R256</f>
        <v>154.09337497821181</v>
      </c>
      <c r="S294" s="29">
        <f>'Capex &amp; Depreciation'!S256</f>
        <v>154.10320873392178</v>
      </c>
      <c r="T294" s="29">
        <f>'Capex &amp; Depreciation'!T256</f>
        <v>154.14441096488284</v>
      </c>
    </row>
    <row r="295" spans="2:20" ht="26.25" customHeight="1" x14ac:dyDescent="0.25">
      <c r="B295" s="64" t="s">
        <v>2997</v>
      </c>
      <c r="C295" s="28" t="s">
        <v>493</v>
      </c>
      <c r="H295" s="159">
        <f>-'Capex &amp; Depreciation'!H81-'Capex &amp; Depreciation'!H210-'Capex &amp; Depreciation'!G80</f>
        <v>-323.67349999999999</v>
      </c>
      <c r="I295" s="159">
        <f>-'Capex &amp; Depreciation'!I81-'Capex &amp; Depreciation'!I210</f>
        <v>-14.638500000000001</v>
      </c>
      <c r="J295" s="159">
        <f>-'Capex &amp; Depreciation'!J81-'Capex &amp; Depreciation'!J210</f>
        <v>-419.77202976190472</v>
      </c>
      <c r="K295" s="159">
        <f>-'Capex &amp; Depreciation'!K81-'Capex &amp; Depreciation'!K210</f>
        <v>-225.06362499999994</v>
      </c>
      <c r="L295" s="159">
        <f>-'Capex &amp; Depreciation'!L81-'Capex &amp; Depreciation'!L210</f>
        <v>-97.59</v>
      </c>
      <c r="M295" s="159">
        <f>-'Capex &amp; Depreciation'!M81-'Capex &amp; Depreciation'!M210</f>
        <v>0</v>
      </c>
      <c r="N295" s="159">
        <f>-'Capex &amp; Depreciation'!N81-'Capex &amp; Depreciation'!N210</f>
        <v>0</v>
      </c>
      <c r="O295" s="159">
        <f>-'Capex &amp; Depreciation'!O81-'Capex &amp; Depreciation'!O210</f>
        <v>0</v>
      </c>
      <c r="P295" s="159">
        <f>-'Capex &amp; Depreciation'!P81-'Capex &amp; Depreciation'!P210</f>
        <v>0</v>
      </c>
      <c r="Q295" s="159">
        <f>-'Capex &amp; Depreciation'!Q81-'Capex &amp; Depreciation'!Q210</f>
        <v>0</v>
      </c>
      <c r="R295" s="159">
        <f>-'Capex &amp; Depreciation'!R81-'Capex &amp; Depreciation'!R210</f>
        <v>0</v>
      </c>
      <c r="S295" s="159">
        <f>-'Capex &amp; Depreciation'!S81-'Capex &amp; Depreciation'!S210</f>
        <v>0</v>
      </c>
      <c r="T295" s="159">
        <f>-'Capex &amp; Depreciation'!T81-'Capex &amp; Depreciation'!T210</f>
        <v>0</v>
      </c>
    </row>
    <row r="296" spans="2:20" x14ac:dyDescent="0.25">
      <c r="B296" s="23" t="s">
        <v>2998</v>
      </c>
      <c r="C296" s="28" t="s">
        <v>493</v>
      </c>
      <c r="H296" s="159">
        <f>-'Working Capital'!H116</f>
        <v>2.8370388994712172</v>
      </c>
      <c r="I296" s="159">
        <f>-'Working Capital'!I116</f>
        <v>-15.803178598627007</v>
      </c>
      <c r="J296" s="159">
        <f>-'Working Capital'!J116</f>
        <v>-24.174807601681188</v>
      </c>
      <c r="K296" s="159">
        <f>-'Working Capital'!K116</f>
        <v>-15.307458995313795</v>
      </c>
      <c r="L296" s="159">
        <f>-'Working Capital'!L116</f>
        <v>-8.6358287416836532</v>
      </c>
      <c r="M296" s="159">
        <f>-'Working Capital'!M116</f>
        <v>-11.375678781276122</v>
      </c>
      <c r="N296" s="159">
        <f>-'Working Capital'!N116</f>
        <v>-4.9038275714541584</v>
      </c>
      <c r="O296" s="159">
        <f>-'Working Capital'!O116</f>
        <v>-7.5908088648250782</v>
      </c>
      <c r="P296" s="159">
        <f>-'Working Capital'!P116</f>
        <v>-4.8619791690155978</v>
      </c>
      <c r="Q296" s="159">
        <f>-'Working Capital'!Q116</f>
        <v>-7.8802492526095165</v>
      </c>
      <c r="R296" s="159">
        <f>-'Working Capital'!R116</f>
        <v>-2.9473333710221539</v>
      </c>
      <c r="S296" s="159">
        <f>-'Working Capital'!S116</f>
        <v>-0.3286242651282123</v>
      </c>
      <c r="T296" s="159">
        <f>-'Working Capital'!T116</f>
        <v>-3.8276260275482912</v>
      </c>
    </row>
    <row r="297" spans="2:20" x14ac:dyDescent="0.25">
      <c r="B297" s="21" t="s">
        <v>2999</v>
      </c>
      <c r="C297" s="28" t="s">
        <v>493</v>
      </c>
      <c r="G297" s="157"/>
      <c r="H297" s="158">
        <f t="shared" ref="H297:T297" si="99">H292+H293+H294+H295+H296</f>
        <v>-181.09071655632982</v>
      </c>
      <c r="I297" s="158">
        <f t="shared" si="99"/>
        <v>200.12590848881825</v>
      </c>
      <c r="J297" s="158">
        <f t="shared" si="99"/>
        <v>-127.61149584056065</v>
      </c>
      <c r="K297" s="158">
        <f t="shared" si="99"/>
        <v>140.94955517309526</v>
      </c>
      <c r="L297" s="158">
        <f t="shared" si="99"/>
        <v>313.68004014512644</v>
      </c>
      <c r="M297" s="158">
        <f t="shared" si="99"/>
        <v>465.6997027586338</v>
      </c>
      <c r="N297" s="158">
        <f t="shared" si="99"/>
        <v>494.15424532540453</v>
      </c>
      <c r="O297" s="158">
        <f t="shared" si="99"/>
        <v>528.55294107244345</v>
      </c>
      <c r="P297" s="158">
        <f t="shared" si="99"/>
        <v>555.88323167773649</v>
      </c>
      <c r="Q297" s="158">
        <f t="shared" si="99"/>
        <v>589.69382435316891</v>
      </c>
      <c r="R297" s="158">
        <f t="shared" si="99"/>
        <v>610.27227059389872</v>
      </c>
      <c r="S297" s="158">
        <f t="shared" si="99"/>
        <v>609.33313790696207</v>
      </c>
      <c r="T297" s="158">
        <f t="shared" si="99"/>
        <v>623.72677129618762</v>
      </c>
    </row>
    <row r="298" spans="2:20" x14ac:dyDescent="0.25">
      <c r="B298" s="23" t="s">
        <v>3000</v>
      </c>
      <c r="C298" s="28" t="s">
        <v>493</v>
      </c>
      <c r="G298" s="159">
        <v>0</v>
      </c>
      <c r="H298" s="159">
        <f t="shared" ref="H298:T298" si="100">G298+H297</f>
        <v>-181.09071655632982</v>
      </c>
      <c r="I298" s="159">
        <f t="shared" si="100"/>
        <v>19.035191932488431</v>
      </c>
      <c r="J298" s="159">
        <f t="shared" si="100"/>
        <v>-108.57630390807222</v>
      </c>
      <c r="K298" s="159">
        <f t="shared" si="100"/>
        <v>32.373251265023043</v>
      </c>
      <c r="L298" s="159">
        <f t="shared" si="100"/>
        <v>346.05329141014948</v>
      </c>
      <c r="M298" s="159">
        <f t="shared" si="100"/>
        <v>811.75299416878329</v>
      </c>
      <c r="N298" s="159">
        <f t="shared" si="100"/>
        <v>1305.9072394941877</v>
      </c>
      <c r="O298" s="159">
        <f t="shared" si="100"/>
        <v>1834.4601805666312</v>
      </c>
      <c r="P298" s="159">
        <f t="shared" si="100"/>
        <v>2390.3434122443678</v>
      </c>
      <c r="Q298" s="159">
        <f t="shared" si="100"/>
        <v>2980.0372365975368</v>
      </c>
      <c r="R298" s="159">
        <f t="shared" si="100"/>
        <v>3590.3095071914354</v>
      </c>
      <c r="S298" s="159">
        <f t="shared" si="100"/>
        <v>4199.6426450983972</v>
      </c>
      <c r="T298" s="159">
        <f t="shared" si="100"/>
        <v>4823.3694163945847</v>
      </c>
    </row>
    <row r="299" spans="2:20" x14ac:dyDescent="0.25">
      <c r="B299" s="23" t="s">
        <v>3001</v>
      </c>
      <c r="C299" s="28" t="s">
        <v>1889</v>
      </c>
      <c r="G299" s="153">
        <v>0</v>
      </c>
      <c r="H299" s="153">
        <f t="shared" ref="H299:T299" si="101">IF(H298&lt;0,1,0)</f>
        <v>1</v>
      </c>
      <c r="I299" s="153">
        <f t="shared" si="101"/>
        <v>0</v>
      </c>
      <c r="J299" s="153">
        <f t="shared" si="101"/>
        <v>1</v>
      </c>
      <c r="K299" s="153">
        <f t="shared" si="101"/>
        <v>0</v>
      </c>
      <c r="L299" s="153">
        <f t="shared" si="101"/>
        <v>0</v>
      </c>
      <c r="M299" s="153">
        <f t="shared" si="101"/>
        <v>0</v>
      </c>
      <c r="N299" s="153">
        <f t="shared" si="101"/>
        <v>0</v>
      </c>
      <c r="O299" s="153">
        <f t="shared" si="101"/>
        <v>0</v>
      </c>
      <c r="P299" s="153">
        <f t="shared" si="101"/>
        <v>0</v>
      </c>
      <c r="Q299" s="153">
        <f t="shared" si="101"/>
        <v>0</v>
      </c>
      <c r="R299" s="153">
        <f t="shared" si="101"/>
        <v>0</v>
      </c>
      <c r="S299" s="153">
        <f t="shared" si="101"/>
        <v>0</v>
      </c>
      <c r="T299" s="153">
        <f t="shared" si="101"/>
        <v>0</v>
      </c>
    </row>
    <row r="300" spans="2:20" x14ac:dyDescent="0.25">
      <c r="B300" s="23" t="s">
        <v>3002</v>
      </c>
      <c r="C300" s="28" t="s">
        <v>1889</v>
      </c>
      <c r="H300" s="153">
        <f t="shared" ref="H300:T300" si="102">IF(AND(G299=1,H299=0),1,0)</f>
        <v>0</v>
      </c>
      <c r="I300" s="153">
        <f t="shared" si="102"/>
        <v>1</v>
      </c>
      <c r="J300" s="153">
        <f t="shared" si="102"/>
        <v>0</v>
      </c>
      <c r="K300" s="153">
        <f t="shared" si="102"/>
        <v>1</v>
      </c>
      <c r="L300" s="153">
        <f t="shared" si="102"/>
        <v>0</v>
      </c>
      <c r="M300" s="153">
        <f t="shared" si="102"/>
        <v>0</v>
      </c>
      <c r="N300" s="153">
        <f t="shared" si="102"/>
        <v>0</v>
      </c>
      <c r="O300" s="153">
        <f t="shared" si="102"/>
        <v>0</v>
      </c>
      <c r="P300" s="153">
        <f t="shared" si="102"/>
        <v>0</v>
      </c>
      <c r="Q300" s="153">
        <f t="shared" si="102"/>
        <v>0</v>
      </c>
      <c r="R300" s="153">
        <f t="shared" si="102"/>
        <v>0</v>
      </c>
      <c r="S300" s="153">
        <f t="shared" si="102"/>
        <v>0</v>
      </c>
      <c r="T300" s="153">
        <f t="shared" si="102"/>
        <v>0</v>
      </c>
    </row>
    <row r="301" spans="2:20" x14ac:dyDescent="0.25">
      <c r="B301" s="23" t="s">
        <v>3003</v>
      </c>
      <c r="C301" s="28" t="s">
        <v>816</v>
      </c>
      <c r="H301" s="165">
        <f t="shared" ref="H301:T301" si="103">IF(H300=1,-G298/H297,0)</f>
        <v>0</v>
      </c>
      <c r="I301" s="165">
        <f t="shared" si="103"/>
        <v>0.90488391994706674</v>
      </c>
      <c r="J301" s="165">
        <f t="shared" si="103"/>
        <v>0</v>
      </c>
      <c r="K301" s="165">
        <f t="shared" si="103"/>
        <v>0.77032030200260959</v>
      </c>
      <c r="L301" s="165">
        <f t="shared" si="103"/>
        <v>0</v>
      </c>
      <c r="M301" s="165">
        <f t="shared" si="103"/>
        <v>0</v>
      </c>
      <c r="N301" s="165">
        <f t="shared" si="103"/>
        <v>0</v>
      </c>
      <c r="O301" s="165">
        <f t="shared" si="103"/>
        <v>0</v>
      </c>
      <c r="P301" s="165">
        <f t="shared" si="103"/>
        <v>0</v>
      </c>
      <c r="Q301" s="165">
        <f t="shared" si="103"/>
        <v>0</v>
      </c>
      <c r="R301" s="165">
        <f t="shared" si="103"/>
        <v>0</v>
      </c>
      <c r="S301" s="165">
        <f t="shared" si="103"/>
        <v>0</v>
      </c>
      <c r="T301" s="165">
        <f t="shared" si="103"/>
        <v>0</v>
      </c>
    </row>
    <row r="302" spans="2:20" x14ac:dyDescent="0.25">
      <c r="B302" s="23" t="s">
        <v>3004</v>
      </c>
      <c r="C302" s="28" t="s">
        <v>613</v>
      </c>
      <c r="H302" s="187">
        <f>DATE('Revenue Calculation'!H7,12,31)</f>
        <v>45657</v>
      </c>
      <c r="I302" s="187">
        <f>DATE('Revenue Calculation'!I7,12,31)</f>
        <v>46022</v>
      </c>
      <c r="J302" s="187">
        <f>DATE('Revenue Calculation'!J7,12,31)</f>
        <v>46387</v>
      </c>
      <c r="K302" s="187">
        <f>DATE('Revenue Calculation'!K7,12,31)</f>
        <v>46752</v>
      </c>
      <c r="L302" s="187">
        <f>DATE('Revenue Calculation'!L7,12,31)</f>
        <v>47118</v>
      </c>
      <c r="M302" s="187">
        <f>DATE('Revenue Calculation'!M7,12,31)</f>
        <v>47483</v>
      </c>
      <c r="N302" s="187">
        <f>DATE('Revenue Calculation'!N7,12,31)</f>
        <v>47848</v>
      </c>
      <c r="O302" s="187">
        <f>DATE('Revenue Calculation'!O7,12,31)</f>
        <v>48213</v>
      </c>
      <c r="P302" s="187">
        <f>DATE('Revenue Calculation'!P7,12,31)</f>
        <v>48579</v>
      </c>
      <c r="Q302" s="187">
        <f>DATE('Revenue Calculation'!Q7,12,31)</f>
        <v>48944</v>
      </c>
      <c r="R302" s="187">
        <f>DATE('Revenue Calculation'!R7,12,31)</f>
        <v>49309</v>
      </c>
      <c r="S302" s="187">
        <f>DATE('Revenue Calculation'!S7,12,31)</f>
        <v>49674</v>
      </c>
      <c r="T302" s="187">
        <f>DATE('Revenue Calculation'!T7,12,31)</f>
        <v>50040</v>
      </c>
    </row>
    <row r="303" spans="2:20" ht="26.25" customHeight="1" x14ac:dyDescent="0.25">
      <c r="B303" s="133" t="s">
        <v>3005</v>
      </c>
      <c r="C303" s="28" t="s">
        <v>292</v>
      </c>
      <c r="E303" s="107">
        <f>IFERROR(XIRR(J$297:T$297,J$302:T$302),"n/a")</f>
        <v>1.7641413569450377</v>
      </c>
    </row>
    <row r="304" spans="2:20" ht="26.25" customHeight="1" x14ac:dyDescent="0.25">
      <c r="B304" s="133" t="s">
        <v>3006</v>
      </c>
      <c r="C304" s="28" t="s">
        <v>816</v>
      </c>
      <c r="E304" s="167">
        <f>SUM($H$299:$T$299)+SUM($H$301:$T$301)</f>
        <v>3.6752042219496763</v>
      </c>
    </row>
    <row r="305" spans="2:2" x14ac:dyDescent="0.25">
      <c r="B305" s="145" t="s">
        <v>3007</v>
      </c>
    </row>
  </sheetData>
  <hyperlinks>
    <hyperlink ref="C3" location="'Model Flow'!A1" display="Model Flow" xr:uid="{00000000-0004-0000-0B00-000000000000}"/>
    <hyperlink ref="D3" location="Inputs!A1" display="Inputs" xr:uid="{00000000-0004-0000-0B00-000001000000}"/>
    <hyperlink ref="E3" location="'FS Data Request'!A1" display="FS Request" xr:uid="{00000000-0004-0000-0B00-000002000000}"/>
    <hyperlink ref="F3" location="'Revenue Calculation'!A1" display="Revenue" xr:uid="{00000000-0004-0000-0B00-000003000000}"/>
    <hyperlink ref="G3" location="'Cost Calculation'!A1" display="Costs" xr:uid="{00000000-0004-0000-0B00-000004000000}"/>
    <hyperlink ref="H3" location="'BUMN Synergy Calculation'!A1" display="BUMN Synergy" xr:uid="{00000000-0004-0000-0B00-000005000000}"/>
    <hyperlink ref="I3" location="'Capex &amp; Depreciation'!A1" display="Capex" xr:uid="{00000000-0004-0000-0B00-000006000000}"/>
    <hyperlink ref="J3" location="'Working Capital'!A1" display="Work. cap." xr:uid="{00000000-0004-0000-0B00-000007000000}"/>
    <hyperlink ref="K3" location="Financing!A1" display="Financing" xr:uid="{00000000-0004-0000-0B00-000008000000}"/>
    <hyperlink ref="L3" location="'Funding Requirement'!A1" display="Funding" xr:uid="{00000000-0004-0000-0B00-000009000000}"/>
    <hyperlink ref="M3" location="'FSL Output - Without BUMN'!A1" display="Out: w/o BUMN" xr:uid="{00000000-0004-0000-0B00-00000A000000}"/>
    <hyperlink ref="O3" location="'Valuation — Without BUMN'!A1" display="Val: w/o BUMN" xr:uid="{00000000-0004-0000-0B00-00000B000000}"/>
    <hyperlink ref="P3" location="'Valuation — With BUMN'!A1" display="Val: With BUMN" xr:uid="{00000000-0004-0000-0B00-00000C000000}"/>
    <hyperlink ref="Q3" location="'Project Cash Flows'!A1" display="Proj. CF" xr:uid="{00000000-0004-0000-0B00-00000D000000}"/>
    <hyperlink ref="R3" location="'Project Summary'!A1" display="Proj. Summary" xr:uid="{00000000-0004-0000-0B00-00000E000000}"/>
    <hyperlink ref="S3" location="'Checks &amp; Reconciliation'!A1" display="Checks" xr:uid="{00000000-0004-0000-0B00-00000F000000}"/>
    <hyperlink ref="T3" location="'Source Data'!A1" display="Source Data" xr:uid="{00000000-0004-0000-0B00-000010000000}"/>
  </hyperlinks>
  <pageMargins left="0.4" right="0.4" top="0.5" bottom="0.5" header="0.511811023622047" footer="0.5"/>
  <pageSetup paperSize="9" fitToHeight="0" orientation="landscape" horizontalDpi="300" verticalDpi="300"/>
  <headerFooter>
    <oddFooter>&amp;L&amp;A&amp;RPage &amp;P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pageSetUpPr fitToPage="1"/>
  </sheetPr>
  <dimension ref="B1:U113"/>
  <sheetViews>
    <sheetView showGridLines="0" zoomScale="85" zoomScaleNormal="85" workbookViewId="0">
      <pane xSplit="2" ySplit="4" topLeftCell="C53" activePane="bottomRight" state="frozen"/>
      <selection pane="topRight" activeCell="C1" sqref="C1"/>
      <selection pane="bottomLeft" activeCell="A5" sqref="A5"/>
      <selection pane="bottomRight" activeCell="E75" sqref="E75"/>
    </sheetView>
  </sheetViews>
  <sheetFormatPr defaultColWidth="8.7109375" defaultRowHeight="15" x14ac:dyDescent="0.25"/>
  <cols>
    <col min="1" max="1" width="1.5703125" customWidth="1"/>
    <col min="2" max="2" width="62" customWidth="1"/>
    <col min="3" max="3" width="10" customWidth="1"/>
    <col min="4" max="6" width="13" customWidth="1"/>
    <col min="7" max="20" width="10.5703125" customWidth="1"/>
    <col min="21" max="21" width="55" customWidth="1"/>
  </cols>
  <sheetData>
    <row r="1" spans="2:20" ht="18" x14ac:dyDescent="0.25">
      <c r="B1" s="13" t="s">
        <v>3061</v>
      </c>
    </row>
    <row r="2" spans="2:20" x14ac:dyDescent="0.25">
      <c r="B2" s="14" t="s">
        <v>3062</v>
      </c>
    </row>
    <row r="3" spans="2:20" x14ac:dyDescent="0.25">
      <c r="B3" s="15" t="s">
        <v>2</v>
      </c>
      <c r="C3" s="17" t="s">
        <v>422</v>
      </c>
      <c r="D3" s="17" t="s">
        <v>4</v>
      </c>
      <c r="E3" s="17" t="s">
        <v>5</v>
      </c>
      <c r="F3" s="17" t="s">
        <v>6</v>
      </c>
      <c r="G3" s="17" t="s">
        <v>7</v>
      </c>
      <c r="H3" s="17" t="s">
        <v>8</v>
      </c>
      <c r="I3" s="17" t="s">
        <v>9</v>
      </c>
      <c r="J3" s="17" t="s">
        <v>10</v>
      </c>
      <c r="K3" s="17" t="s">
        <v>11</v>
      </c>
      <c r="L3" s="17" t="s">
        <v>12</v>
      </c>
      <c r="M3" s="17" t="s">
        <v>13</v>
      </c>
      <c r="N3" s="17" t="s">
        <v>14</v>
      </c>
      <c r="O3" s="16" t="s">
        <v>3063</v>
      </c>
      <c r="P3" s="17" t="s">
        <v>16</v>
      </c>
      <c r="Q3" s="17" t="s">
        <v>17</v>
      </c>
      <c r="R3" s="17" t="s">
        <v>18</v>
      </c>
      <c r="S3" s="17" t="s">
        <v>19</v>
      </c>
      <c r="T3" s="17" t="s">
        <v>20</v>
      </c>
    </row>
    <row r="5" spans="2:20" x14ac:dyDescent="0.25">
      <c r="B5" s="58" t="s">
        <v>3064</v>
      </c>
      <c r="C5" s="19"/>
      <c r="D5" s="19"/>
      <c r="E5" s="19"/>
      <c r="F5" s="19"/>
      <c r="G5" s="19"/>
      <c r="H5" s="19"/>
      <c r="I5" s="19"/>
      <c r="J5" s="19"/>
      <c r="K5" s="19"/>
      <c r="L5" s="19"/>
      <c r="M5" s="19"/>
    </row>
    <row r="6" spans="2:20" x14ac:dyDescent="0.25">
      <c r="B6" s="42" t="s">
        <v>3065</v>
      </c>
    </row>
    <row r="7" spans="2:20" x14ac:dyDescent="0.25">
      <c r="B7" s="23" t="s">
        <v>3066</v>
      </c>
      <c r="C7" s="249">
        <f>Inputs!$E$93</f>
        <v>46387</v>
      </c>
      <c r="D7" s="249"/>
      <c r="E7" s="249"/>
      <c r="F7" s="249"/>
      <c r="G7" s="249"/>
      <c r="H7" s="249"/>
      <c r="I7" s="249"/>
    </row>
    <row r="8" spans="2:20" x14ac:dyDescent="0.25">
      <c r="B8" s="23" t="s">
        <v>3067</v>
      </c>
      <c r="C8" s="250" t="str">
        <f>"IDR bn (USD mn at "&amp;TEXT(Inputs!$E$561,"#,##0")&amp;" IDR per USD, the FY"&amp;Inputs!$E$560&amp;" rate)"</f>
        <v>IDR bn (USD mn at 16,265 IDR per USD, the FY2026 rate)</v>
      </c>
      <c r="D8" s="250"/>
      <c r="E8" s="250"/>
      <c r="F8" s="250"/>
      <c r="G8" s="250"/>
      <c r="H8" s="250"/>
      <c r="I8" s="250"/>
    </row>
    <row r="9" spans="2:20" x14ac:dyDescent="0.25">
      <c r="B9" s="23" t="s">
        <v>3068</v>
      </c>
      <c r="C9" s="250" t="str">
        <f>IF(Inputs!$E$94=1,"Mid-year (FY"&amp;(Inputs!$E$560+1)&amp;" discounted 0.5 years)","Year-end (FY"&amp;(Inputs!$E$560+1)&amp;" discounted 1 year from the valuation date)")</f>
        <v>Year-end (FY2027 discounted 1 year from the valuation date)</v>
      </c>
      <c r="D9" s="250"/>
      <c r="E9" s="250"/>
      <c r="F9" s="250"/>
      <c r="G9" s="250"/>
      <c r="H9" s="250"/>
      <c r="I9" s="250"/>
    </row>
    <row r="10" spans="2:20" x14ac:dyDescent="0.25">
      <c r="B10" s="23" t="s">
        <v>3069</v>
      </c>
      <c r="C10" s="250" t="str">
        <f>"FY"&amp;(Inputs!$E$560+1)&amp;" (FY2024-FY"&amp;Inputs!$E$560&amp;" are before the valuation date and excluded)"</f>
        <v>FY2027 (FY2024-FY2026 are before the valuation date and excluded)</v>
      </c>
      <c r="D10" s="250"/>
      <c r="E10" s="250"/>
      <c r="F10" s="250"/>
      <c r="G10" s="250"/>
      <c r="H10" s="250"/>
      <c r="I10" s="250"/>
    </row>
    <row r="11" spans="2:20" x14ac:dyDescent="0.25">
      <c r="B11" s="23" t="s">
        <v>3070</v>
      </c>
      <c r="C11" s="251">
        <f>Inputs!$E$558</f>
        <v>0.11866512000000001</v>
      </c>
      <c r="D11" s="251"/>
      <c r="E11" s="251"/>
      <c r="F11" s="251"/>
      <c r="G11" s="251"/>
      <c r="H11" s="251"/>
      <c r="I11" s="251"/>
    </row>
    <row r="12" spans="2:20" x14ac:dyDescent="0.25">
      <c r="B12" s="23" t="s">
        <v>3071</v>
      </c>
      <c r="C12" s="251">
        <f>Inputs!$E$559</f>
        <v>0.03</v>
      </c>
      <c r="D12" s="251"/>
      <c r="E12" s="251"/>
      <c r="F12" s="251"/>
      <c r="G12" s="251"/>
      <c r="H12" s="251"/>
      <c r="I12" s="251"/>
    </row>
    <row r="13" spans="2:20" x14ac:dyDescent="0.25">
      <c r="B13" s="23" t="s">
        <v>3072</v>
      </c>
      <c r="C13" s="251">
        <f>Inputs!$E$550</f>
        <v>0.04</v>
      </c>
      <c r="D13" s="251"/>
      <c r="E13" s="251"/>
      <c r="F13" s="251"/>
      <c r="G13" s="251"/>
      <c r="H13" s="251"/>
      <c r="I13" s="251"/>
    </row>
    <row r="14" spans="2:20" x14ac:dyDescent="0.25">
      <c r="B14" s="23" t="s">
        <v>3073</v>
      </c>
      <c r="C14" s="252">
        <f>Inputs!$E$554</f>
        <v>0.22</v>
      </c>
      <c r="D14" s="252"/>
      <c r="E14" s="252"/>
      <c r="F14" s="252"/>
      <c r="G14" s="252"/>
      <c r="H14" s="252"/>
      <c r="I14" s="252"/>
    </row>
    <row r="16" spans="2:20" x14ac:dyDescent="0.25">
      <c r="B16" s="42" t="s">
        <v>3074</v>
      </c>
    </row>
    <row r="17" spans="2:21" x14ac:dyDescent="0.25">
      <c r="B17" s="21" t="s">
        <v>3075</v>
      </c>
      <c r="C17" s="28" t="s">
        <v>493</v>
      </c>
      <c r="D17" s="188">
        <f>$E$67</f>
        <v>4121.4079207574405</v>
      </c>
    </row>
    <row r="18" spans="2:21" x14ac:dyDescent="0.25">
      <c r="B18" s="21" t="s">
        <v>3076</v>
      </c>
      <c r="C18" s="28" t="s">
        <v>493</v>
      </c>
      <c r="D18" s="188">
        <f>$E$74</f>
        <v>3536.8633949278205</v>
      </c>
    </row>
    <row r="19" spans="2:21" x14ac:dyDescent="0.25">
      <c r="B19" s="21" t="s">
        <v>3077</v>
      </c>
      <c r="C19" s="28" t="s">
        <v>806</v>
      </c>
      <c r="D19" s="184">
        <f>$E$75</f>
        <v>217.4524066970686</v>
      </c>
    </row>
    <row r="20" spans="2:21" x14ac:dyDescent="0.25">
      <c r="B20" s="23" t="s">
        <v>3078</v>
      </c>
      <c r="C20" s="28" t="s">
        <v>806</v>
      </c>
      <c r="D20" s="159">
        <f>$E$76</f>
        <v>253.39120324361764</v>
      </c>
    </row>
    <row r="21" spans="2:21" x14ac:dyDescent="0.25">
      <c r="B21" s="23" t="s">
        <v>3079</v>
      </c>
      <c r="C21" s="28" t="s">
        <v>497</v>
      </c>
      <c r="D21" s="189">
        <f>$E$111</f>
        <v>10.600417941271761</v>
      </c>
    </row>
    <row r="22" spans="2:21" x14ac:dyDescent="0.25">
      <c r="B22" s="23" t="s">
        <v>3080</v>
      </c>
      <c r="C22" s="28" t="s">
        <v>292</v>
      </c>
      <c r="D22" s="105">
        <f>$E$112</f>
        <v>0.45479032613438403</v>
      </c>
    </row>
    <row r="23" spans="2:21" x14ac:dyDescent="0.25">
      <c r="B23" s="23" t="s">
        <v>3081</v>
      </c>
      <c r="C23" s="28" t="s">
        <v>493</v>
      </c>
      <c r="D23" s="159">
        <f>-$E$70</f>
        <v>195.18</v>
      </c>
    </row>
    <row r="24" spans="2:21" x14ac:dyDescent="0.25">
      <c r="B24" s="23" t="s">
        <v>3082</v>
      </c>
      <c r="C24" s="28" t="s">
        <v>493</v>
      </c>
      <c r="D24" s="159" t="str">
        <f>"n/a"</f>
        <v>n/a</v>
      </c>
    </row>
    <row r="26" spans="2:21" x14ac:dyDescent="0.25">
      <c r="B26" s="145" t="s">
        <v>3083</v>
      </c>
    </row>
    <row r="27" spans="2:21" x14ac:dyDescent="0.25">
      <c r="G27" s="77" t="s">
        <v>1878</v>
      </c>
      <c r="H27" s="77" t="s">
        <v>1879</v>
      </c>
      <c r="I27" s="77" t="s">
        <v>1879</v>
      </c>
      <c r="J27" s="77" t="s">
        <v>1879</v>
      </c>
      <c r="K27" s="77" t="s">
        <v>1879</v>
      </c>
      <c r="L27" s="77" t="s">
        <v>1879</v>
      </c>
      <c r="M27" s="77" t="s">
        <v>1879</v>
      </c>
      <c r="N27" s="77" t="s">
        <v>1879</v>
      </c>
      <c r="O27" s="77" t="s">
        <v>1879</v>
      </c>
      <c r="P27" s="77" t="s">
        <v>1879</v>
      </c>
      <c r="Q27" s="77" t="s">
        <v>1879</v>
      </c>
      <c r="R27" s="77" t="s">
        <v>1879</v>
      </c>
      <c r="S27" s="77" t="s">
        <v>1879</v>
      </c>
      <c r="T27" s="77" t="s">
        <v>1879</v>
      </c>
    </row>
    <row r="28" spans="2:21" x14ac:dyDescent="0.25">
      <c r="B28" s="150" t="s">
        <v>1880</v>
      </c>
      <c r="C28" s="150" t="s">
        <v>466</v>
      </c>
      <c r="D28" s="59" t="s">
        <v>1881</v>
      </c>
      <c r="E28" s="59" t="s">
        <v>468</v>
      </c>
      <c r="F28" s="60"/>
      <c r="G28" s="151">
        <v>2023</v>
      </c>
      <c r="H28" s="152">
        <v>2024</v>
      </c>
      <c r="I28" s="152">
        <v>2025</v>
      </c>
      <c r="J28" s="152">
        <v>2026</v>
      </c>
      <c r="K28" s="152">
        <v>2027</v>
      </c>
      <c r="L28" s="152">
        <v>2028</v>
      </c>
      <c r="M28" s="152">
        <v>2029</v>
      </c>
      <c r="N28" s="152">
        <v>2030</v>
      </c>
      <c r="O28" s="152">
        <v>2031</v>
      </c>
      <c r="P28" s="152">
        <v>2032</v>
      </c>
      <c r="Q28" s="152">
        <v>2033</v>
      </c>
      <c r="R28" s="152">
        <v>2034</v>
      </c>
      <c r="S28" s="152">
        <v>2035</v>
      </c>
      <c r="T28" s="152">
        <v>2036</v>
      </c>
      <c r="U28" s="59" t="s">
        <v>1882</v>
      </c>
    </row>
    <row r="29" spans="2:21" x14ac:dyDescent="0.25">
      <c r="B29" s="58" t="s">
        <v>3084</v>
      </c>
      <c r="C29" s="19"/>
      <c r="D29" s="19"/>
      <c r="E29" s="19"/>
      <c r="F29" s="19"/>
      <c r="G29" s="19"/>
      <c r="H29" s="19"/>
      <c r="I29" s="19"/>
      <c r="J29" s="19"/>
      <c r="K29" s="19"/>
      <c r="L29" s="19"/>
      <c r="M29" s="19"/>
      <c r="N29" s="19"/>
      <c r="O29" s="19"/>
      <c r="P29" s="19"/>
      <c r="Q29" s="19"/>
      <c r="R29" s="19"/>
      <c r="S29" s="19"/>
      <c r="T29" s="19"/>
    </row>
    <row r="30" spans="2:21" x14ac:dyDescent="0.25">
      <c r="B30" s="21" t="s">
        <v>6</v>
      </c>
      <c r="C30" s="28" t="s">
        <v>493</v>
      </c>
      <c r="H30" s="26">
        <f>'FSL Output - Without BUMN'!H9</f>
        <v>305.28863657531394</v>
      </c>
      <c r="I30" s="26">
        <f>'FSL Output - Without BUMN'!I9</f>
        <v>427.60286647031643</v>
      </c>
      <c r="J30" s="26">
        <f>'FSL Output - Without BUMN'!J9</f>
        <v>494.5710789383395</v>
      </c>
      <c r="K30" s="26">
        <f>'FSL Output - Without BUMN'!K9</f>
        <v>619.9263584366729</v>
      </c>
      <c r="L30" s="26">
        <f>'FSL Output - Without BUMN'!L9</f>
        <v>702.02908072202558</v>
      </c>
      <c r="M30" s="26">
        <f>'FSL Output - Without BUMN'!M9</f>
        <v>804.94933230341962</v>
      </c>
      <c r="N30" s="26">
        <f>'FSL Output - Without BUMN'!N9</f>
        <v>847.58023325860461</v>
      </c>
      <c r="O30" s="26">
        <f>'FSL Output - Without BUMN'!O9</f>
        <v>912.56713833723211</v>
      </c>
      <c r="P30" s="26">
        <f>'FSL Output - Without BUMN'!P9</f>
        <v>957.04967478467086</v>
      </c>
      <c r="Q30" s="26">
        <f>'FSL Output - Without BUMN'!Q9</f>
        <v>1020.571003271239</v>
      </c>
      <c r="R30" s="26">
        <f>'FSL Output - Without BUMN'!R9</f>
        <v>1040.4225308410098</v>
      </c>
      <c r="S30" s="26">
        <f>'FSL Output - Without BUMN'!S9</f>
        <v>1053.0588613636462</v>
      </c>
      <c r="T30" s="26">
        <f>'FSL Output - Without BUMN'!T9</f>
        <v>1089.1435003447618</v>
      </c>
    </row>
    <row r="31" spans="2:21" x14ac:dyDescent="0.25">
      <c r="B31" s="21" t="s">
        <v>3085</v>
      </c>
      <c r="C31" s="28" t="s">
        <v>493</v>
      </c>
      <c r="H31" s="26">
        <f>'FSL Output - Without BUMN'!H16</f>
        <v>154.23547540286305</v>
      </c>
      <c r="I31" s="26">
        <f>'FSL Output - Without BUMN'!I16</f>
        <v>263.55853377872427</v>
      </c>
      <c r="J31" s="26">
        <f>'FSL Output - Without BUMN'!J16</f>
        <v>309.17211498131735</v>
      </c>
      <c r="K31" s="26">
        <f>'FSL Output - Without BUMN'!K16</f>
        <v>388.79673835416565</v>
      </c>
      <c r="L31" s="26">
        <f>'FSL Output - Without BUMN'!L16</f>
        <v>434.07015977164167</v>
      </c>
      <c r="M31" s="26">
        <f>'FSL Output - Without BUMN'!M16</f>
        <v>501.38673276302262</v>
      </c>
      <c r="N31" s="26">
        <f>'FSL Output - Without BUMN'!N16</f>
        <v>527.30946379193892</v>
      </c>
      <c r="O31" s="26">
        <f>'FSL Output - Without BUMN'!O16</f>
        <v>572.53759347796131</v>
      </c>
      <c r="P31" s="26">
        <f>'FSL Output - Without BUMN'!P16</f>
        <v>601.12829815384794</v>
      </c>
      <c r="Q31" s="26">
        <f>'FSL Output - Without BUMN'!Q16</f>
        <v>645.91594735916885</v>
      </c>
      <c r="R31" s="26">
        <f>'FSL Output - Without BUMN'!R16</f>
        <v>665.03591763409622</v>
      </c>
      <c r="S31" s="26">
        <f>'FSL Output - Without BUMN'!S16</f>
        <v>662.0606478933455</v>
      </c>
      <c r="T31" s="26">
        <f>'FSL Output - Without BUMN'!T16</f>
        <v>682.70554293696023</v>
      </c>
    </row>
    <row r="32" spans="2:21" x14ac:dyDescent="0.25">
      <c r="B32" s="23" t="s">
        <v>2790</v>
      </c>
      <c r="C32" s="28" t="s">
        <v>292</v>
      </c>
      <c r="H32" s="105">
        <f t="shared" ref="H32:T32" si="0">IF(H30=0,0,H31/H30)</f>
        <v>0.50521197622373193</v>
      </c>
      <c r="I32" s="105">
        <f t="shared" si="0"/>
        <v>0.6163628788419736</v>
      </c>
      <c r="J32" s="105">
        <f t="shared" si="0"/>
        <v>0.6251318124889047</v>
      </c>
      <c r="K32" s="105">
        <f t="shared" si="0"/>
        <v>0.62716600619246332</v>
      </c>
      <c r="L32" s="105">
        <f t="shared" si="0"/>
        <v>0.61830794719387905</v>
      </c>
      <c r="M32" s="105">
        <f t="shared" si="0"/>
        <v>0.62287986664734407</v>
      </c>
      <c r="N32" s="105">
        <f t="shared" si="0"/>
        <v>0.62213515971773714</v>
      </c>
      <c r="O32" s="105">
        <f t="shared" si="0"/>
        <v>0.62739229742719982</v>
      </c>
      <c r="P32" s="105">
        <f t="shared" si="0"/>
        <v>0.62810563964623611</v>
      </c>
      <c r="Q32" s="105">
        <f t="shared" si="0"/>
        <v>0.6328966287390223</v>
      </c>
      <c r="R32" s="105">
        <f t="shared" si="0"/>
        <v>0.63919791999941078</v>
      </c>
      <c r="S32" s="105">
        <f t="shared" si="0"/>
        <v>0.62870241368656055</v>
      </c>
      <c r="T32" s="105">
        <f t="shared" si="0"/>
        <v>0.6268279090136919</v>
      </c>
    </row>
    <row r="33" spans="2:20" x14ac:dyDescent="0.25">
      <c r="B33" s="21" t="s">
        <v>3086</v>
      </c>
      <c r="C33" s="28" t="s">
        <v>493</v>
      </c>
      <c r="H33" s="26">
        <f>'FSL Output - Without BUMN'!H18</f>
        <v>65.862412993927734</v>
      </c>
      <c r="I33" s="26">
        <f>'FSL Output - Without BUMN'!I18</f>
        <v>149.9588485967227</v>
      </c>
      <c r="J33" s="26">
        <f>'FSL Output - Without BUMN'!J18</f>
        <v>174.2043110782048</v>
      </c>
      <c r="K33" s="26">
        <f>'FSL Output - Without BUMN'!K18</f>
        <v>251.85539666695701</v>
      </c>
      <c r="L33" s="26">
        <f>'FSL Output - Without BUMN'!L18</f>
        <v>289.87172970830568</v>
      </c>
      <c r="M33" s="26">
        <f>'FSL Output - Without BUMN'!M18</f>
        <v>343.801863556071</v>
      </c>
      <c r="N33" s="26">
        <f>'FSL Output - Without BUMN'!N18</f>
        <v>369.71568784946442</v>
      </c>
      <c r="O33" s="26">
        <f>'FSL Output - Without BUMN'!O18</f>
        <v>414.93473266525353</v>
      </c>
      <c r="P33" s="26">
        <f>'FSL Output - Without BUMN'!P18</f>
        <v>441.48499897336529</v>
      </c>
      <c r="Q33" s="26">
        <f>'FSL Output - Without BUMN'!Q18</f>
        <v>486.29436807983234</v>
      </c>
      <c r="R33" s="26">
        <f>'FSL Output - Without BUMN'!R18</f>
        <v>510.94254265588438</v>
      </c>
      <c r="S33" s="26">
        <f>'FSL Output - Without BUMN'!S18</f>
        <v>507.95743915942376</v>
      </c>
      <c r="T33" s="26">
        <f>'FSL Output - Without BUMN'!T18</f>
        <v>528.56113197207742</v>
      </c>
    </row>
    <row r="35" spans="2:20" x14ac:dyDescent="0.25">
      <c r="B35" s="58" t="s">
        <v>3087</v>
      </c>
      <c r="C35" s="19"/>
      <c r="D35" s="19"/>
      <c r="E35" s="19"/>
      <c r="F35" s="19"/>
      <c r="G35" s="19"/>
      <c r="H35" s="19"/>
      <c r="I35" s="19"/>
      <c r="J35" s="19"/>
      <c r="K35" s="19"/>
      <c r="L35" s="19"/>
      <c r="M35" s="19"/>
      <c r="N35" s="19"/>
      <c r="O35" s="19"/>
      <c r="P35" s="19"/>
      <c r="Q35" s="19"/>
      <c r="R35" s="19"/>
      <c r="S35" s="19"/>
      <c r="T35" s="19"/>
    </row>
    <row r="36" spans="2:20" ht="26.25" customHeight="1" x14ac:dyDescent="0.25">
      <c r="B36" s="64" t="s">
        <v>3088</v>
      </c>
      <c r="C36" s="28" t="s">
        <v>493</v>
      </c>
      <c r="H36" s="159">
        <f>-'FSL Output - Without BUMN'!H180</f>
        <v>-19.962283512427824</v>
      </c>
      <c r="I36" s="159">
        <f>-'FSL Output - Without BUMN'!I180</f>
        <v>-36.944623657090176</v>
      </c>
      <c r="J36" s="159">
        <f>-'FSL Output - Without BUMN'!J180</f>
        <v>-42.389451520554331</v>
      </c>
      <c r="K36" s="159">
        <f>-'FSL Output - Without BUMN'!K180</f>
        <v>-57.189562698069864</v>
      </c>
      <c r="L36" s="159">
        <f>-'FSL Output - Without BUMN'!L180</f>
        <v>-65.69938941623991</v>
      </c>
      <c r="M36" s="159">
        <f>-'FSL Output - Without BUMN'!M180</f>
        <v>-75.89618604063044</v>
      </c>
      <c r="N36" s="159">
        <f>-'FSL Output - Without BUMN'!N180</f>
        <v>-81.366220497543068</v>
      </c>
      <c r="O36" s="159">
        <f>-'FSL Output - Without BUMN'!O180</f>
        <v>-91.28564118635579</v>
      </c>
      <c r="P36" s="159">
        <f>-'FSL Output - Without BUMN'!P180</f>
        <v>-97.126699774140349</v>
      </c>
      <c r="Q36" s="159">
        <f>-'FSL Output - Without BUMN'!Q180</f>
        <v>-106.9847609775631</v>
      </c>
      <c r="R36" s="159">
        <f>-'FSL Output - Without BUMN'!R180</f>
        <v>-112.40735938429455</v>
      </c>
      <c r="S36" s="159">
        <f>-'FSL Output - Without BUMN'!S180</f>
        <v>-111.75063661507319</v>
      </c>
      <c r="T36" s="159">
        <f>-'FSL Output - Without BUMN'!T180</f>
        <v>-116.28344903385702</v>
      </c>
    </row>
    <row r="37" spans="2:20" x14ac:dyDescent="0.25">
      <c r="B37" s="21" t="s">
        <v>3089</v>
      </c>
      <c r="C37" s="28" t="s">
        <v>493</v>
      </c>
      <c r="H37" s="160">
        <f t="shared" ref="H37:T37" si="1">H33+H36</f>
        <v>45.90012948149991</v>
      </c>
      <c r="I37" s="160">
        <f t="shared" si="1"/>
        <v>113.01422493963253</v>
      </c>
      <c r="J37" s="160">
        <f t="shared" si="1"/>
        <v>131.81485955765046</v>
      </c>
      <c r="K37" s="160">
        <f t="shared" si="1"/>
        <v>194.66583396888714</v>
      </c>
      <c r="L37" s="160">
        <f t="shared" si="1"/>
        <v>224.17234029206577</v>
      </c>
      <c r="M37" s="160">
        <f t="shared" si="1"/>
        <v>267.90567751544057</v>
      </c>
      <c r="N37" s="160">
        <f t="shared" si="1"/>
        <v>288.34946735192136</v>
      </c>
      <c r="O37" s="160">
        <f t="shared" si="1"/>
        <v>323.64909147889773</v>
      </c>
      <c r="P37" s="160">
        <f t="shared" si="1"/>
        <v>344.35829919922492</v>
      </c>
      <c r="Q37" s="160">
        <f t="shared" si="1"/>
        <v>379.30960710226924</v>
      </c>
      <c r="R37" s="160">
        <f t="shared" si="1"/>
        <v>398.53518327158986</v>
      </c>
      <c r="S37" s="160">
        <f t="shared" si="1"/>
        <v>396.20680254435058</v>
      </c>
      <c r="T37" s="160">
        <f t="shared" si="1"/>
        <v>412.27768293822038</v>
      </c>
    </row>
    <row r="38" spans="2:20" x14ac:dyDescent="0.25">
      <c r="B38" s="23" t="s">
        <v>3090</v>
      </c>
      <c r="C38" s="28" t="s">
        <v>493</v>
      </c>
      <c r="H38" s="29">
        <f>'Capex &amp; Depreciation'!H254</f>
        <v>88.373062408935311</v>
      </c>
      <c r="I38" s="29">
        <f>'Capex &amp; Depreciation'!I254</f>
        <v>113.59968518200155</v>
      </c>
      <c r="J38" s="29">
        <f>'Capex &amp; Depreciation'!J254</f>
        <v>134.96780390311255</v>
      </c>
      <c r="K38" s="29">
        <f>'Capex &amp; Depreciation'!K254</f>
        <v>136.94134168720865</v>
      </c>
      <c r="L38" s="29">
        <f>'Capex &amp; Depreciation'!L254</f>
        <v>144.19843006333596</v>
      </c>
      <c r="M38" s="29">
        <f>'Capex &amp; Depreciation'!M254</f>
        <v>157.58486920695159</v>
      </c>
      <c r="N38" s="29">
        <f>'Capex &amp; Depreciation'!N254</f>
        <v>157.59377594247448</v>
      </c>
      <c r="O38" s="29">
        <f>'Capex &amp; Depreciation'!O254</f>
        <v>157.60286081270777</v>
      </c>
      <c r="P38" s="29">
        <f>'Capex &amp; Depreciation'!P254</f>
        <v>159.64329918048264</v>
      </c>
      <c r="Q38" s="29">
        <f>'Capex &amp; Depreciation'!Q254</f>
        <v>159.62157927933652</v>
      </c>
      <c r="R38" s="29">
        <f>'Capex &amp; Depreciation'!R254</f>
        <v>154.09337497821181</v>
      </c>
      <c r="S38" s="29">
        <f>'Capex &amp; Depreciation'!S254</f>
        <v>154.10320873392178</v>
      </c>
      <c r="T38" s="29">
        <f>'Capex &amp; Depreciation'!T254</f>
        <v>154.14441096488284</v>
      </c>
    </row>
    <row r="39" spans="2:20" x14ac:dyDescent="0.25">
      <c r="B39" s="23" t="s">
        <v>3091</v>
      </c>
      <c r="C39" s="28" t="s">
        <v>493</v>
      </c>
      <c r="H39" s="159">
        <f>-'Capex &amp; Depreciation'!H80</f>
        <v>-125.24050000000001</v>
      </c>
      <c r="I39" s="159">
        <f>-'Capex &amp; Depreciation'!I80</f>
        <v>-14.638500000000001</v>
      </c>
      <c r="J39" s="159">
        <f>-'Capex &amp; Depreciation'!J80</f>
        <v>-419.77202976190472</v>
      </c>
      <c r="K39" s="159">
        <f>-'Capex &amp; Depreciation'!K80</f>
        <v>-225.06362499999994</v>
      </c>
      <c r="L39" s="159">
        <f>-'Capex &amp; Depreciation'!L80</f>
        <v>-97.59</v>
      </c>
      <c r="M39" s="159">
        <f>-'Capex &amp; Depreciation'!M80</f>
        <v>0</v>
      </c>
      <c r="N39" s="159">
        <f>-'Capex &amp; Depreciation'!N80</f>
        <v>0</v>
      </c>
      <c r="O39" s="159">
        <f>-'Capex &amp; Depreciation'!O80</f>
        <v>0</v>
      </c>
      <c r="P39" s="159">
        <f>-'Capex &amp; Depreciation'!P80</f>
        <v>0</v>
      </c>
      <c r="Q39" s="159">
        <f>-'Capex &amp; Depreciation'!Q80</f>
        <v>0</v>
      </c>
      <c r="R39" s="159">
        <f>-'Capex &amp; Depreciation'!R80</f>
        <v>0</v>
      </c>
      <c r="S39" s="159">
        <f>-'Capex &amp; Depreciation'!S80</f>
        <v>0</v>
      </c>
      <c r="T39" s="159">
        <f>-'Capex &amp; Depreciation'!T80</f>
        <v>0</v>
      </c>
    </row>
    <row r="40" spans="2:20" x14ac:dyDescent="0.25">
      <c r="B40" s="23" t="s">
        <v>3092</v>
      </c>
      <c r="C40" s="28" t="s">
        <v>493</v>
      </c>
      <c r="H40" s="159">
        <f>-'Capex &amp; Depreciation'!H210</f>
        <v>0</v>
      </c>
      <c r="I40" s="159">
        <f>-'Capex &amp; Depreciation'!I210</f>
        <v>0</v>
      </c>
      <c r="J40" s="159">
        <f>-'Capex &amp; Depreciation'!J210</f>
        <v>0</v>
      </c>
      <c r="K40" s="159">
        <f>-'Capex &amp; Depreciation'!K210</f>
        <v>0</v>
      </c>
      <c r="L40" s="159">
        <f>-'Capex &amp; Depreciation'!L210</f>
        <v>0</v>
      </c>
      <c r="M40" s="159">
        <f>-'Capex &amp; Depreciation'!M210</f>
        <v>0</v>
      </c>
      <c r="N40" s="159">
        <f>-'Capex &amp; Depreciation'!N210</f>
        <v>0</v>
      </c>
      <c r="O40" s="159">
        <f>-'Capex &amp; Depreciation'!O210</f>
        <v>0</v>
      </c>
      <c r="P40" s="159">
        <f>-'Capex &amp; Depreciation'!P210</f>
        <v>0</v>
      </c>
      <c r="Q40" s="159">
        <f>-'Capex &amp; Depreciation'!Q210</f>
        <v>0</v>
      </c>
      <c r="R40" s="159">
        <f>-'Capex &amp; Depreciation'!R210</f>
        <v>0</v>
      </c>
      <c r="S40" s="159">
        <f>-'Capex &amp; Depreciation'!S210</f>
        <v>0</v>
      </c>
      <c r="T40" s="159">
        <f>-'Capex &amp; Depreciation'!T210</f>
        <v>0</v>
      </c>
    </row>
    <row r="41" spans="2:20" x14ac:dyDescent="0.25">
      <c r="B41" s="23" t="s">
        <v>3093</v>
      </c>
      <c r="C41" s="28" t="s">
        <v>493</v>
      </c>
      <c r="H41" s="159">
        <f>-'Working Capital'!H122</f>
        <v>2.8370388994712172</v>
      </c>
      <c r="I41" s="159">
        <f>-'Working Capital'!I122</f>
        <v>-15.803178598627007</v>
      </c>
      <c r="J41" s="159">
        <f>-'Working Capital'!J122</f>
        <v>-8.4563929971098872</v>
      </c>
      <c r="K41" s="159">
        <f>-'Working Capital'!K122</f>
        <v>-14.439184970429189</v>
      </c>
      <c r="L41" s="159">
        <f>-'Working Capital'!L122</f>
        <v>-8.0978661862768035</v>
      </c>
      <c r="M41" s="159">
        <f>-'Working Capital'!M122</f>
        <v>-10.729311550408283</v>
      </c>
      <c r="N41" s="159">
        <f>-'Working Capital'!N122</f>
        <v>-4.2893690936989941</v>
      </c>
      <c r="O41" s="159">
        <f>-'Working Capital'!O122</f>
        <v>-6.9608920446379159</v>
      </c>
      <c r="P41" s="159">
        <f>-'Working Capital'!P122</f>
        <v>-4.2698594709500952</v>
      </c>
      <c r="Q41" s="159">
        <f>-'Working Capital'!Q122</f>
        <v>-7.1642913694044239</v>
      </c>
      <c r="R41" s="159">
        <f>-'Working Capital'!R122</f>
        <v>-2.2682029544930629</v>
      </c>
      <c r="S41" s="159">
        <f>-'Working Capital'!S122</f>
        <v>-0.82226010824624041</v>
      </c>
      <c r="T41" s="159">
        <f>-'Working Capital'!T122</f>
        <v>-3.2700735401435708</v>
      </c>
    </row>
    <row r="42" spans="2:20" x14ac:dyDescent="0.25">
      <c r="B42" s="21" t="s">
        <v>3094</v>
      </c>
      <c r="C42" s="28" t="s">
        <v>493</v>
      </c>
      <c r="G42" s="157"/>
      <c r="H42" s="158">
        <f t="shared" ref="H42:T42" si="2">H37+H38+H39+H40+H41</f>
        <v>11.86973078990642</v>
      </c>
      <c r="I42" s="158">
        <f t="shared" si="2"/>
        <v>196.1722315230071</v>
      </c>
      <c r="J42" s="158">
        <f t="shared" si="2"/>
        <v>-161.44575929825157</v>
      </c>
      <c r="K42" s="158">
        <f t="shared" si="2"/>
        <v>92.104365685666693</v>
      </c>
      <c r="L42" s="158">
        <f t="shared" si="2"/>
        <v>262.68290416912492</v>
      </c>
      <c r="M42" s="158">
        <f t="shared" si="2"/>
        <v>414.76123517198391</v>
      </c>
      <c r="N42" s="158">
        <f t="shared" si="2"/>
        <v>441.65387420069686</v>
      </c>
      <c r="O42" s="158">
        <f t="shared" si="2"/>
        <v>474.29106024696762</v>
      </c>
      <c r="P42" s="158">
        <f t="shared" si="2"/>
        <v>499.73173890875745</v>
      </c>
      <c r="Q42" s="158">
        <f t="shared" si="2"/>
        <v>531.76689501220142</v>
      </c>
      <c r="R42" s="158">
        <f t="shared" si="2"/>
        <v>550.36035529530864</v>
      </c>
      <c r="S42" s="158">
        <f t="shared" si="2"/>
        <v>549.48775117002606</v>
      </c>
      <c r="T42" s="158">
        <f t="shared" si="2"/>
        <v>563.15202036295966</v>
      </c>
    </row>
    <row r="44" spans="2:20" x14ac:dyDescent="0.25">
      <c r="B44" s="58" t="s">
        <v>3095</v>
      </c>
      <c r="C44" s="19"/>
      <c r="D44" s="19"/>
      <c r="E44" s="19"/>
      <c r="F44" s="19"/>
      <c r="G44" s="19"/>
      <c r="H44" s="19"/>
      <c r="I44" s="19"/>
      <c r="J44" s="19"/>
      <c r="K44" s="19"/>
      <c r="L44" s="19"/>
      <c r="M44" s="19"/>
      <c r="N44" s="19"/>
      <c r="O44" s="19"/>
      <c r="P44" s="19"/>
      <c r="Q44" s="19"/>
      <c r="R44" s="19"/>
      <c r="S44" s="19"/>
      <c r="T44" s="19"/>
    </row>
    <row r="45" spans="2:20" x14ac:dyDescent="0.25">
      <c r="B45" s="23" t="s">
        <v>3096</v>
      </c>
      <c r="C45" s="28" t="s">
        <v>1889</v>
      </c>
      <c r="H45" s="153">
        <f>IF('Revenue Calculation'!H7&gt;Inputs!$E$560,1,0)</f>
        <v>0</v>
      </c>
      <c r="I45" s="153">
        <f>IF('Revenue Calculation'!I7&gt;Inputs!$E$560,1,0)</f>
        <v>0</v>
      </c>
      <c r="J45" s="153">
        <f>IF('Revenue Calculation'!J7&gt;Inputs!$E$560,1,0)</f>
        <v>0</v>
      </c>
      <c r="K45" s="153">
        <f>IF('Revenue Calculation'!K7&gt;Inputs!$E$560,1,0)</f>
        <v>1</v>
      </c>
      <c r="L45" s="153">
        <f>IF('Revenue Calculation'!L7&gt;Inputs!$E$560,1,0)</f>
        <v>1</v>
      </c>
      <c r="M45" s="153">
        <f>IF('Revenue Calculation'!M7&gt;Inputs!$E$560,1,0)</f>
        <v>1</v>
      </c>
      <c r="N45" s="153">
        <f>IF('Revenue Calculation'!N7&gt;Inputs!$E$560,1,0)</f>
        <v>1</v>
      </c>
      <c r="O45" s="153">
        <f>IF('Revenue Calculation'!O7&gt;Inputs!$E$560,1,0)</f>
        <v>1</v>
      </c>
      <c r="P45" s="153">
        <f>IF('Revenue Calculation'!P7&gt;Inputs!$E$560,1,0)</f>
        <v>1</v>
      </c>
      <c r="Q45" s="153">
        <f>IF('Revenue Calculation'!Q7&gt;Inputs!$E$560,1,0)</f>
        <v>1</v>
      </c>
      <c r="R45" s="153">
        <f>IF('Revenue Calculation'!R7&gt;Inputs!$E$560,1,0)</f>
        <v>1</v>
      </c>
      <c r="S45" s="153">
        <f>IF('Revenue Calculation'!S7&gt;Inputs!$E$560,1,0)</f>
        <v>1</v>
      </c>
      <c r="T45" s="153">
        <f>IF('Revenue Calculation'!T7&gt;Inputs!$E$560,1,0)</f>
        <v>1</v>
      </c>
    </row>
    <row r="46" spans="2:20" x14ac:dyDescent="0.25">
      <c r="B46" s="23" t="s">
        <v>3097</v>
      </c>
      <c r="C46" s="28" t="s">
        <v>816</v>
      </c>
      <c r="H46" s="165">
        <f>IF(H45=1,'Revenue Calculation'!H7-Inputs!$E$560-IF(Inputs!$E$94=1,0.5,0),0)</f>
        <v>0</v>
      </c>
      <c r="I46" s="165">
        <f>IF(I45=1,'Revenue Calculation'!I7-Inputs!$E$560-IF(Inputs!$E$94=1,0.5,0),0)</f>
        <v>0</v>
      </c>
      <c r="J46" s="165">
        <f>IF(J45=1,'Revenue Calculation'!J7-Inputs!$E$560-IF(Inputs!$E$94=1,0.5,0),0)</f>
        <v>0</v>
      </c>
      <c r="K46" s="165">
        <f>IF(K45=1,'Revenue Calculation'!K7-Inputs!$E$560-IF(Inputs!$E$94=1,0.5,0),0)</f>
        <v>1</v>
      </c>
      <c r="L46" s="165">
        <f>IF(L45=1,'Revenue Calculation'!L7-Inputs!$E$560-IF(Inputs!$E$94=1,0.5,0),0)</f>
        <v>2</v>
      </c>
      <c r="M46" s="165">
        <f>IF(M45=1,'Revenue Calculation'!M7-Inputs!$E$560-IF(Inputs!$E$94=1,0.5,0),0)</f>
        <v>3</v>
      </c>
      <c r="N46" s="165">
        <f>IF(N45=1,'Revenue Calculation'!N7-Inputs!$E$560-IF(Inputs!$E$94=1,0.5,0),0)</f>
        <v>4</v>
      </c>
      <c r="O46" s="165">
        <f>IF(O45=1,'Revenue Calculation'!O7-Inputs!$E$560-IF(Inputs!$E$94=1,0.5,0),0)</f>
        <v>5</v>
      </c>
      <c r="P46" s="165">
        <f>IF(P45=1,'Revenue Calculation'!P7-Inputs!$E$560-IF(Inputs!$E$94=1,0.5,0),0)</f>
        <v>6</v>
      </c>
      <c r="Q46" s="165">
        <f>IF(Q45=1,'Revenue Calculation'!Q7-Inputs!$E$560-IF(Inputs!$E$94=1,0.5,0),0)</f>
        <v>7</v>
      </c>
      <c r="R46" s="165">
        <f>IF(R45=1,'Revenue Calculation'!R7-Inputs!$E$560-IF(Inputs!$E$94=1,0.5,0),0)</f>
        <v>8</v>
      </c>
      <c r="S46" s="165">
        <f>IF(S45=1,'Revenue Calculation'!S7-Inputs!$E$560-IF(Inputs!$E$94=1,0.5,0),0)</f>
        <v>9</v>
      </c>
      <c r="T46" s="165">
        <f>IF(T45=1,'Revenue Calculation'!T7-Inputs!$E$560-IF(Inputs!$E$94=1,0.5,0),0)</f>
        <v>10</v>
      </c>
    </row>
    <row r="47" spans="2:20" x14ac:dyDescent="0.25">
      <c r="B47" s="23" t="s">
        <v>3098</v>
      </c>
      <c r="C47" s="28" t="s">
        <v>497</v>
      </c>
      <c r="H47" s="69">
        <f>IF(H45=1,1/(1+Inputs!$E$558)^H46,0)</f>
        <v>0</v>
      </c>
      <c r="I47" s="69">
        <f>IF(I45=1,1/(1+Inputs!$E$558)^I46,0)</f>
        <v>0</v>
      </c>
      <c r="J47" s="69">
        <f>IF(J45=1,1/(1+Inputs!$E$558)^J46,0)</f>
        <v>0</v>
      </c>
      <c r="K47" s="69">
        <f>IF(K45=1,1/(1+Inputs!$E$558)^K46,0)</f>
        <v>0.89392257085838167</v>
      </c>
      <c r="L47" s="69">
        <f>IF(L45=1,1/(1+Inputs!$E$558)^L46,0)</f>
        <v>0.79909756269005849</v>
      </c>
      <c r="M47" s="69">
        <f>IF(M45=1,1/(1+Inputs!$E$558)^M46,0)</f>
        <v>0.71433134760656392</v>
      </c>
      <c r="N47" s="69">
        <f>IF(N45=1,1/(1+Inputs!$E$558)^N46,0)</f>
        <v>0.63855691469719189</v>
      </c>
      <c r="O47" s="69">
        <f>IF(O45=1,1/(1+Inputs!$E$558)^O46,0)</f>
        <v>0.57082043882551015</v>
      </c>
      <c r="P47" s="69">
        <f>IF(P45=1,1/(1+Inputs!$E$558)^P46,0)</f>
        <v>0.51026927417340961</v>
      </c>
      <c r="Q47" s="69">
        <f>IF(Q45=1,1/(1+Inputs!$E$558)^Q46,0)</f>
        <v>0.45614122139913482</v>
      </c>
      <c r="R47" s="69">
        <f>IF(R45=1,1/(1+Inputs!$E$558)^R46,0)</f>
        <v>0.40775493330759688</v>
      </c>
      <c r="S47" s="69">
        <f>IF(S45=1,1/(1+Inputs!$E$558)^S46,0)</f>
        <v>0.36450133826251496</v>
      </c>
      <c r="T47" s="69">
        <f>IF(T45=1,1/(1+Inputs!$E$558)^T46,0)</f>
        <v>0.325835973380948</v>
      </c>
    </row>
    <row r="48" spans="2:20" x14ac:dyDescent="0.25">
      <c r="B48" s="21" t="s">
        <v>3099</v>
      </c>
      <c r="C48" s="28" t="s">
        <v>493</v>
      </c>
      <c r="H48" s="160">
        <f t="shared" ref="H48:T48" si="3">H42*H45</f>
        <v>0</v>
      </c>
      <c r="I48" s="160">
        <f t="shared" si="3"/>
        <v>0</v>
      </c>
      <c r="J48" s="160">
        <f t="shared" si="3"/>
        <v>0</v>
      </c>
      <c r="K48" s="160">
        <f t="shared" si="3"/>
        <v>92.104365685666693</v>
      </c>
      <c r="L48" s="160">
        <f t="shared" si="3"/>
        <v>262.68290416912492</v>
      </c>
      <c r="M48" s="160">
        <f t="shared" si="3"/>
        <v>414.76123517198391</v>
      </c>
      <c r="N48" s="160">
        <f t="shared" si="3"/>
        <v>441.65387420069686</v>
      </c>
      <c r="O48" s="160">
        <f t="shared" si="3"/>
        <v>474.29106024696762</v>
      </c>
      <c r="P48" s="160">
        <f t="shared" si="3"/>
        <v>499.73173890875745</v>
      </c>
      <c r="Q48" s="160">
        <f t="shared" si="3"/>
        <v>531.76689501220142</v>
      </c>
      <c r="R48" s="160">
        <f t="shared" si="3"/>
        <v>550.36035529530864</v>
      </c>
      <c r="S48" s="160">
        <f t="shared" si="3"/>
        <v>549.48775117002606</v>
      </c>
      <c r="T48" s="160">
        <f t="shared" si="3"/>
        <v>563.15202036295966</v>
      </c>
    </row>
    <row r="49" spans="2:20" x14ac:dyDescent="0.25">
      <c r="B49" s="21" t="s">
        <v>3100</v>
      </c>
      <c r="C49" s="28" t="s">
        <v>493</v>
      </c>
      <c r="G49" s="157"/>
      <c r="H49" s="158">
        <f t="shared" ref="H49:T49" si="4">H42*H47</f>
        <v>0</v>
      </c>
      <c r="I49" s="158">
        <f t="shared" si="4"/>
        <v>0</v>
      </c>
      <c r="J49" s="158">
        <f t="shared" si="4"/>
        <v>0</v>
      </c>
      <c r="K49" s="158">
        <f t="shared" si="4"/>
        <v>82.334171361011684</v>
      </c>
      <c r="L49" s="158">
        <f t="shared" si="4"/>
        <v>209.90926848189395</v>
      </c>
      <c r="M49" s="158">
        <f t="shared" si="4"/>
        <v>296.27695205536622</v>
      </c>
      <c r="N49" s="158">
        <f t="shared" si="4"/>
        <v>282.02113527365873</v>
      </c>
      <c r="O49" s="158">
        <f t="shared" si="4"/>
        <v>270.73503114119052</v>
      </c>
      <c r="P49" s="158">
        <f t="shared" si="4"/>
        <v>254.99775169438752</v>
      </c>
      <c r="Q49" s="158">
        <f t="shared" si="4"/>
        <v>242.56080099049106</v>
      </c>
      <c r="R49" s="158">
        <f t="shared" si="4"/>
        <v>224.41214996858389</v>
      </c>
      <c r="S49" s="158">
        <f t="shared" si="4"/>
        <v>200.28902066033433</v>
      </c>
      <c r="T49" s="158">
        <f t="shared" si="4"/>
        <v>183.49518671641241</v>
      </c>
    </row>
    <row r="50" spans="2:20" x14ac:dyDescent="0.25">
      <c r="B50" s="23" t="s">
        <v>3101</v>
      </c>
      <c r="C50" s="28" t="s">
        <v>493</v>
      </c>
      <c r="H50" s="161">
        <f>IF('Revenue Calculation'!H7&lt;=Inputs!$E$560,ROUND(H49,9),0)</f>
        <v>0</v>
      </c>
      <c r="I50" s="161">
        <f>IF('Revenue Calculation'!I7&lt;=Inputs!$E$560,ROUND(I49,9),0)</f>
        <v>0</v>
      </c>
      <c r="J50" s="161">
        <f>IF('Revenue Calculation'!J7&lt;=Inputs!$E$560,ROUND(J49,9),0)</f>
        <v>0</v>
      </c>
      <c r="K50" s="161">
        <f>IF('Revenue Calculation'!K7&lt;=Inputs!$E$560,ROUND(K49,9),0)</f>
        <v>0</v>
      </c>
      <c r="L50" s="161">
        <f>IF('Revenue Calculation'!L7&lt;=Inputs!$E$560,ROUND(L49,9),0)</f>
        <v>0</v>
      </c>
      <c r="M50" s="161">
        <f>IF('Revenue Calculation'!M7&lt;=Inputs!$E$560,ROUND(M49,9),0)</f>
        <v>0</v>
      </c>
      <c r="N50" s="161">
        <f>IF('Revenue Calculation'!N7&lt;=Inputs!$E$560,ROUND(N49,9),0)</f>
        <v>0</v>
      </c>
      <c r="O50" s="161">
        <f>IF('Revenue Calculation'!O7&lt;=Inputs!$E$560,ROUND(O49,9),0)</f>
        <v>0</v>
      </c>
      <c r="P50" s="161">
        <f>IF('Revenue Calculation'!P7&lt;=Inputs!$E$560,ROUND(P49,9),0)</f>
        <v>0</v>
      </c>
      <c r="Q50" s="161">
        <f>IF('Revenue Calculation'!Q7&lt;=Inputs!$E$560,ROUND(Q49,9),0)</f>
        <v>0</v>
      </c>
      <c r="R50" s="161">
        <f>IF('Revenue Calculation'!R7&lt;=Inputs!$E$560,ROUND(R49,9),0)</f>
        <v>0</v>
      </c>
      <c r="S50" s="161">
        <f>IF('Revenue Calculation'!S7&lt;=Inputs!$E$560,ROUND(S49,9),0)</f>
        <v>0</v>
      </c>
      <c r="T50" s="161">
        <f>IF('Revenue Calculation'!T7&lt;=Inputs!$E$560,ROUND(T49,9),0)</f>
        <v>0</v>
      </c>
    </row>
    <row r="52" spans="2:20" x14ac:dyDescent="0.25">
      <c r="B52" s="58" t="s">
        <v>3102</v>
      </c>
      <c r="C52" s="19"/>
      <c r="D52" s="19"/>
      <c r="E52" s="19"/>
      <c r="F52" s="19"/>
      <c r="G52" s="19"/>
      <c r="H52" s="19"/>
      <c r="I52" s="19"/>
      <c r="J52" s="19"/>
      <c r="K52" s="19"/>
      <c r="L52" s="19"/>
      <c r="M52" s="19"/>
      <c r="N52" s="19"/>
      <c r="O52" s="19"/>
      <c r="P52" s="19"/>
      <c r="Q52" s="19"/>
      <c r="R52" s="19"/>
      <c r="S52" s="19"/>
      <c r="T52" s="19"/>
    </row>
    <row r="53" spans="2:20" ht="26.25" customHeight="1" x14ac:dyDescent="0.25">
      <c r="B53" s="64" t="s">
        <v>3103</v>
      </c>
      <c r="C53" s="28" t="s">
        <v>497</v>
      </c>
      <c r="E53" s="69">
        <f>1/(1+Inputs!$E$558)^(2036-Inputs!$E$560-IF(Inputs!$E$94=1,0.5,0))</f>
        <v>0.325835973380948</v>
      </c>
    </row>
    <row r="54" spans="2:20" x14ac:dyDescent="0.25">
      <c r="B54" s="23" t="s">
        <v>3104</v>
      </c>
      <c r="C54" s="28" t="s">
        <v>493</v>
      </c>
      <c r="E54" s="159">
        <f>'FSL Output - Without BUMN'!T16*(1+Inputs!$E$559)</f>
        <v>703.18670922506908</v>
      </c>
    </row>
    <row r="55" spans="2:20" ht="26.25" customHeight="1" x14ac:dyDescent="0.25">
      <c r="B55" s="64" t="s">
        <v>3105</v>
      </c>
      <c r="C55" s="28" t="s">
        <v>493</v>
      </c>
      <c r="E55" s="159">
        <f>Inputs!$E$550*'FSL Output - Without BUMN'!T9*(1+Inputs!$E$559)</f>
        <v>44.872712214204192</v>
      </c>
    </row>
    <row r="56" spans="2:20" x14ac:dyDescent="0.25">
      <c r="B56" s="23" t="s">
        <v>3106</v>
      </c>
      <c r="C56" s="28" t="s">
        <v>493</v>
      </c>
      <c r="E56" s="159">
        <f>MAX(0,Inputs!$E$554*($E$54-$E$55))</f>
        <v>144.82907934239029</v>
      </c>
    </row>
    <row r="57" spans="2:20" x14ac:dyDescent="0.25">
      <c r="B57" s="23" t="s">
        <v>3107</v>
      </c>
      <c r="C57" s="28" t="s">
        <v>493</v>
      </c>
      <c r="E57" s="159">
        <f>'Working Capital'!T121*Inputs!$E$559</f>
        <v>3.4374500606859586</v>
      </c>
    </row>
    <row r="58" spans="2:20" x14ac:dyDescent="0.25">
      <c r="B58" s="23" t="s">
        <v>3108</v>
      </c>
      <c r="C58" s="28" t="s">
        <v>493</v>
      </c>
      <c r="E58" s="159">
        <f>$E$54-$E$56-$E$55-$E$57</f>
        <v>510.04746760778869</v>
      </c>
    </row>
    <row r="59" spans="2:20" x14ac:dyDescent="0.25">
      <c r="B59" s="21" t="s">
        <v>3109</v>
      </c>
      <c r="C59" s="28" t="s">
        <v>493</v>
      </c>
      <c r="E59" s="160">
        <f>IF(Inputs!$E$558&gt;Inputs!$E$559,$E$58/(Inputs!$E$558-Inputs!$E$559),0)</f>
        <v>5752.5153928375512</v>
      </c>
    </row>
    <row r="60" spans="2:20" x14ac:dyDescent="0.25">
      <c r="B60" s="23" t="s">
        <v>3110</v>
      </c>
      <c r="C60" s="28" t="s">
        <v>493</v>
      </c>
      <c r="E60" s="159">
        <f>$E$59*$E$53</f>
        <v>1874.37645241411</v>
      </c>
    </row>
    <row r="61" spans="2:20" x14ac:dyDescent="0.25">
      <c r="B61" s="23" t="s">
        <v>3111</v>
      </c>
      <c r="C61" s="28" t="s">
        <v>497</v>
      </c>
      <c r="E61" s="189">
        <f>IF('FSL Output - Without BUMN'!T16&gt;0,$E$59/'FSL Output - Without BUMN'!T16,0)</f>
        <v>8.4260563757700844</v>
      </c>
    </row>
    <row r="62" spans="2:20" x14ac:dyDescent="0.25">
      <c r="B62" s="145" t="s">
        <v>3112</v>
      </c>
    </row>
    <row r="64" spans="2:20" x14ac:dyDescent="0.25">
      <c r="B64" s="58" t="s">
        <v>3113</v>
      </c>
      <c r="C64" s="19"/>
      <c r="D64" s="19"/>
      <c r="E64" s="19"/>
      <c r="F64" s="19"/>
      <c r="G64" s="19"/>
      <c r="H64" s="19"/>
      <c r="I64" s="19"/>
      <c r="J64" s="19"/>
      <c r="K64" s="19"/>
      <c r="L64" s="19"/>
      <c r="M64" s="19"/>
      <c r="N64" s="19"/>
      <c r="O64" s="19"/>
      <c r="P64" s="19"/>
      <c r="Q64" s="19"/>
      <c r="R64" s="19"/>
      <c r="S64" s="19"/>
      <c r="T64" s="19"/>
    </row>
    <row r="65" spans="2:20" x14ac:dyDescent="0.25">
      <c r="B65" s="21" t="s">
        <v>3114</v>
      </c>
      <c r="C65" s="28" t="s">
        <v>493</v>
      </c>
      <c r="E65" s="160">
        <f>SUM($H$49:$T$49)</f>
        <v>2247.0314683433303</v>
      </c>
    </row>
    <row r="66" spans="2:20" x14ac:dyDescent="0.25">
      <c r="B66" s="23" t="s">
        <v>3115</v>
      </c>
      <c r="C66" s="28" t="s">
        <v>493</v>
      </c>
      <c r="E66" s="159">
        <f>$E$60</f>
        <v>1874.37645241411</v>
      </c>
    </row>
    <row r="67" spans="2:20" x14ac:dyDescent="0.25">
      <c r="B67" s="21" t="s">
        <v>3075</v>
      </c>
      <c r="C67" s="28" t="s">
        <v>493</v>
      </c>
      <c r="E67" s="184">
        <f>$E$65+$E$66</f>
        <v>4121.4079207574405</v>
      </c>
    </row>
    <row r="68" spans="2:20" ht="26.25" customHeight="1" x14ac:dyDescent="0.25">
      <c r="B68" s="64" t="s">
        <v>3116</v>
      </c>
      <c r="C68" s="28" t="s">
        <v>493</v>
      </c>
      <c r="E68" s="159">
        <f>INDEX('Funding Requirement'!$G$94:$T$94,1,Inputs!$E$560-2022)-INDEX(Inputs!$G$512:$T$512,1,Inputs!$E$560-2022)</f>
        <v>0</v>
      </c>
    </row>
    <row r="69" spans="2:20" x14ac:dyDescent="0.25">
      <c r="B69" s="23" t="s">
        <v>3117</v>
      </c>
      <c r="C69" s="28" t="s">
        <v>493</v>
      </c>
      <c r="E69" s="159">
        <f>INDEX('FSL Output - Without BUMN'!$G$196:$T$196,1,Inputs!$E$560-2022)</f>
        <v>61</v>
      </c>
    </row>
    <row r="70" spans="2:20" ht="26.25" customHeight="1" x14ac:dyDescent="0.25">
      <c r="B70" s="64" t="s">
        <v>3118</v>
      </c>
      <c r="C70" s="28" t="s">
        <v>493</v>
      </c>
      <c r="E70" s="159">
        <f>-INDEX(Financing!$G$108:$T$108,1,Inputs!$E$560-2022)</f>
        <v>-195.18</v>
      </c>
    </row>
    <row r="71" spans="2:20" x14ac:dyDescent="0.25">
      <c r="B71" s="23" t="s">
        <v>3119</v>
      </c>
      <c r="C71" s="28" t="s">
        <v>493</v>
      </c>
      <c r="E71" s="159">
        <f>-INDEX('FSL Output - Without BUMN'!$G$204:$T$204,1,Inputs!$E$560-2022)</f>
        <v>-3.8611135376500001</v>
      </c>
    </row>
    <row r="72" spans="2:20" x14ac:dyDescent="0.25">
      <c r="B72" s="23" t="s">
        <v>3120</v>
      </c>
      <c r="C72" s="28" t="s">
        <v>493</v>
      </c>
      <c r="E72" s="159">
        <f>-INDEX('FSL Output - Without BUMN'!$G$205:$T$205,1,Inputs!$E$560-2022)</f>
        <v>-16.26364090081</v>
      </c>
    </row>
    <row r="73" spans="2:20" ht="26.25" customHeight="1" x14ac:dyDescent="0.25">
      <c r="B73" s="64" t="s">
        <v>3121</v>
      </c>
      <c r="C73" s="28" t="s">
        <v>493</v>
      </c>
      <c r="E73" s="159">
        <f>-'Project Cash Flows'!$E$43</f>
        <v>-430.23977139116022</v>
      </c>
    </row>
    <row r="74" spans="2:20" x14ac:dyDescent="0.25">
      <c r="B74" s="21" t="s">
        <v>3076</v>
      </c>
      <c r="C74" s="28" t="s">
        <v>493</v>
      </c>
      <c r="E74" s="184">
        <f>SUM(E67:E73)</f>
        <v>3536.8633949278205</v>
      </c>
    </row>
    <row r="75" spans="2:20" ht="26.25" customHeight="1" x14ac:dyDescent="0.25">
      <c r="B75" s="133" t="s">
        <v>3122</v>
      </c>
      <c r="C75" s="28" t="s">
        <v>806</v>
      </c>
      <c r="E75" s="160">
        <f>$E$74/Inputs!$E$561*1000</f>
        <v>217.4524066970686</v>
      </c>
    </row>
    <row r="76" spans="2:20" x14ac:dyDescent="0.25">
      <c r="B76" s="23" t="s">
        <v>3123</v>
      </c>
      <c r="C76" s="28" t="s">
        <v>806</v>
      </c>
      <c r="E76" s="159">
        <f>$E$67/Inputs!$E$561*1000</f>
        <v>253.39120324361764</v>
      </c>
    </row>
    <row r="77" spans="2:20" x14ac:dyDescent="0.25">
      <c r="B77" s="23" t="s">
        <v>3124</v>
      </c>
      <c r="C77" s="28" t="s">
        <v>493</v>
      </c>
      <c r="E77" s="159">
        <f>INDEX(Financing!$G$14:$T$14,1,Inputs!$E$560-2022)</f>
        <v>195.18</v>
      </c>
    </row>
    <row r="78" spans="2:20" x14ac:dyDescent="0.25">
      <c r="B78" s="145" t="s">
        <v>3125</v>
      </c>
    </row>
    <row r="80" spans="2:20" x14ac:dyDescent="0.25">
      <c r="B80" s="58" t="s">
        <v>3126</v>
      </c>
      <c r="C80" s="19"/>
      <c r="D80" s="19"/>
      <c r="E80" s="19"/>
      <c r="F80" s="19"/>
      <c r="G80" s="19"/>
      <c r="H80" s="19"/>
      <c r="I80" s="19"/>
      <c r="J80" s="19"/>
      <c r="K80" s="19"/>
      <c r="L80" s="19"/>
      <c r="M80" s="19"/>
      <c r="N80" s="19"/>
      <c r="O80" s="19"/>
      <c r="P80" s="19"/>
      <c r="Q80" s="19"/>
      <c r="R80" s="19"/>
      <c r="S80" s="19"/>
      <c r="T80" s="19"/>
    </row>
    <row r="81" spans="2:20" x14ac:dyDescent="0.25">
      <c r="B81" s="145" t="s">
        <v>3127</v>
      </c>
    </row>
    <row r="82" spans="2:20" ht="26.25" customHeight="1" x14ac:dyDescent="0.25">
      <c r="B82" s="64" t="s">
        <v>3128</v>
      </c>
      <c r="C82" s="28" t="s">
        <v>493</v>
      </c>
      <c r="H82" s="159">
        <f>H42-'Project Cash Flows'!H360</f>
        <v>-16.186530402487797</v>
      </c>
      <c r="I82" s="159">
        <f>I42-'Project Cash Flows'!I360</f>
        <v>161.62737789537934</v>
      </c>
      <c r="J82" s="159">
        <f>J42-'Project Cash Flows'!J360</f>
        <v>-175.46687344248338</v>
      </c>
      <c r="K82" s="159">
        <f>K42-'Project Cash Flows'!K360</f>
        <v>52.350237420560333</v>
      </c>
      <c r="L82" s="159">
        <f>L42-'Project Cash Flows'!L360</f>
        <v>221.46295129035056</v>
      </c>
      <c r="M82" s="159">
        <f>M42-'Project Cash Flows'!M360</f>
        <v>371.39912620386292</v>
      </c>
      <c r="N82" s="159">
        <f>N42-'Project Cash Flows'!N360</f>
        <v>397.12564890580484</v>
      </c>
      <c r="O82" s="159">
        <f>O42-'Project Cash Flows'!O360</f>
        <v>428.82656643222163</v>
      </c>
      <c r="P82" s="159">
        <f>P42-'Project Cash Flows'!P360</f>
        <v>451.81170075497482</v>
      </c>
      <c r="Q82" s="159">
        <f>Q42-'Project Cash Flows'!Q360</f>
        <v>482.61713046692944</v>
      </c>
      <c r="R82" s="159">
        <f>R42-'Project Cash Flows'!R360</f>
        <v>500.1495519334523</v>
      </c>
      <c r="S82" s="159">
        <f>S42-'Project Cash Flows'!S360</f>
        <v>498.22110015808551</v>
      </c>
      <c r="T82" s="159">
        <f>T42-'Project Cash Flows'!T360</f>
        <v>510.78644280920543</v>
      </c>
    </row>
    <row r="83" spans="2:20" ht="38.25" customHeight="1" x14ac:dyDescent="0.25">
      <c r="B83" s="64" t="s">
        <v>3129</v>
      </c>
      <c r="C83" s="28" t="s">
        <v>493</v>
      </c>
      <c r="E83" s="159">
        <f>'FSL Output - Without BUMN'!T16-MAX(0,Inputs!$E$554*('FSL Output - Without BUMN'!T16-Inputs!$E$550*'FSL Output - Without BUMN'!T9))-Inputs!$E$550*'FSL Output - Without BUMN'!T9</f>
        <v>498.52904628007241</v>
      </c>
    </row>
    <row r="84" spans="2:20" ht="26.25" customHeight="1" x14ac:dyDescent="0.25">
      <c r="B84" s="64" t="s">
        <v>3130</v>
      </c>
      <c r="C84" s="28" t="s">
        <v>493</v>
      </c>
      <c r="E84" s="159">
        <f>$E$83-'Project Cash Flows'!$E$360</f>
        <v>452.47175159133224</v>
      </c>
    </row>
    <row r="85" spans="2:20" x14ac:dyDescent="0.25">
      <c r="B85" s="23" t="s">
        <v>3131</v>
      </c>
      <c r="C85" s="28" t="s">
        <v>493</v>
      </c>
      <c r="E85" s="159">
        <f>'Working Capital'!T121-'Project Cash Flows'!$F$360</f>
        <v>105.28247653069879</v>
      </c>
    </row>
    <row r="86" spans="2:20" ht="26.25" customHeight="1" x14ac:dyDescent="0.25">
      <c r="B86" s="64" t="s">
        <v>3132</v>
      </c>
      <c r="C86" s="28" t="s">
        <v>493</v>
      </c>
      <c r="E86" s="159">
        <f>$E$68+$E$69+$E$70+$E$71+$E$72</f>
        <v>-154.30475443846001</v>
      </c>
    </row>
    <row r="87" spans="2:20" x14ac:dyDescent="0.25">
      <c r="B87" s="77" t="s">
        <v>3133</v>
      </c>
      <c r="H87" s="190">
        <f>Inputs!$E$559+H88</f>
        <v>1.9999999999999997E-2</v>
      </c>
      <c r="I87" s="190">
        <f>Inputs!$E$559+I88</f>
        <v>2.4999999999999998E-2</v>
      </c>
      <c r="J87" s="190">
        <f>Inputs!$E$559+J88</f>
        <v>0.03</v>
      </c>
      <c r="K87" s="190">
        <f>Inputs!$E$559+K88</f>
        <v>3.4999999999999996E-2</v>
      </c>
      <c r="L87" s="190">
        <f>Inputs!$E$559+L88</f>
        <v>0.04</v>
      </c>
    </row>
    <row r="88" spans="2:20" x14ac:dyDescent="0.25">
      <c r="B88" s="63" t="s">
        <v>3134</v>
      </c>
      <c r="H88" s="191">
        <v>-0.01</v>
      </c>
      <c r="I88" s="191">
        <v>-5.0000000000000001E-3</v>
      </c>
      <c r="J88" s="191">
        <v>0</v>
      </c>
      <c r="K88" s="191">
        <v>5.0000000000000001E-3</v>
      </c>
      <c r="L88" s="191">
        <v>0.01</v>
      </c>
    </row>
    <row r="89" spans="2:20" x14ac:dyDescent="0.25">
      <c r="E89" s="190">
        <f>Inputs!$E$558+G89</f>
        <v>9.8665120000000009E-2</v>
      </c>
      <c r="F89" s="192">
        <f>SUMPRODUCT($H$82:$T$82,$H$45:$T$45,1/(1+$E89)^$H$46:$T$46)</f>
        <v>2206.8561050365347</v>
      </c>
      <c r="G89" s="191">
        <v>-0.02</v>
      </c>
      <c r="H89" s="159">
        <f>$F89+IF($E89&gt;H$87,((1+H$87)*$E$84-H$87*$E$85)/($E89-H$87),0)*(1+$E89)^-(2036-Inputs!$E$560-IF(Inputs!$E$94=1,0.5,0))+$E$86</f>
        <v>4331.6866099860363</v>
      </c>
      <c r="I89" s="159">
        <f>$F89+IF($E89&gt;I$87,((1+I$87)*$E$84-I$87*$E$85)/($E89-I$87),0)*(1+$E89)^-(2036-Inputs!$E$560-IF(Inputs!$E$94=1,0.5,0))+$E$86</f>
        <v>4495.5787637119693</v>
      </c>
      <c r="J89" s="159">
        <f>$F89+IF($E89&gt;J$87,((1+J$87)*$E$84-J$87*$E$85)/($E89-J$87),0)*(1+$E89)^-(2036-Inputs!$E$560-IF(Inputs!$E$94=1,0.5,0))+$E$86</f>
        <v>4683.3392444321516</v>
      </c>
      <c r="K89" s="159">
        <f>$F89+IF($E89&gt;K$87,((1+K$87)*$E$84-K$87*$E$85)/($E89-K$87),0)*(1+$E89)^-(2036-Inputs!$E$560-IF(Inputs!$E$94=1,0.5,0))+$E$86</f>
        <v>4900.591616586792</v>
      </c>
      <c r="L89" s="159">
        <f>$F89+IF($E89&gt;L$87,((1+L$87)*$E$84-L$87*$E$85)/($E89-L$87),0)*(1+$E89)^-(2036-Inputs!$E$560-IF(Inputs!$E$94=1,0.5,0))+$E$86</f>
        <v>5154.8766194007831</v>
      </c>
    </row>
    <row r="90" spans="2:20" x14ac:dyDescent="0.25">
      <c r="E90" s="190">
        <f>Inputs!$E$558+G90</f>
        <v>0.10866512000000002</v>
      </c>
      <c r="F90" s="192">
        <f>SUMPRODUCT($H$82:$T$82,$H$45:$T$45,1/(1+$E90)^$H$46:$T$46)</f>
        <v>2094.6413248159456</v>
      </c>
      <c r="G90" s="191">
        <v>-0.01</v>
      </c>
      <c r="H90" s="159">
        <f>$F90+IF($E90&gt;H$87,((1+H$87)*$E$84-H$87*$E$85)/($E90-H$87),0)*(1+$E90)^-(2036-Inputs!$E$560-IF(Inputs!$E$94=1,0.5,0))+$E$86</f>
        <v>3787.2605904057527</v>
      </c>
      <c r="I90" s="159">
        <f>$F90+IF($E90&gt;I$87,((1+I$87)*$E$84-I$87*$E$85)/($E90-I$87),0)*(1+$E90)^-(2036-Inputs!$E$560-IF(Inputs!$E$94=1,0.5,0))+$E$86</f>
        <v>3905.0324250464359</v>
      </c>
      <c r="J90" s="159">
        <f>$F90+IF($E90&gt;J$87,((1+J$87)*$E$84-J$87*$E$85)/($E90-J$87),0)*(1+$E90)^-(2036-Inputs!$E$560-IF(Inputs!$E$94=1,0.5,0))+$E$86</f>
        <v>4037.7755499668128</v>
      </c>
      <c r="K90" s="159">
        <f>$F90+IF($E90&gt;K$87,((1+K$87)*$E$84-K$87*$E$85)/($E90-K$87),0)*(1+$E90)^-(2036-Inputs!$E$560-IF(Inputs!$E$94=1,0.5,0))+$E$86</f>
        <v>4188.5384819438223</v>
      </c>
      <c r="L90" s="159">
        <f>$F90+IF($E90&gt;L$87,((1+L$87)*$E$84-L$87*$E$85)/($E90-L$87),0)*(1+$E90)^-(2036-Inputs!$E$560-IF(Inputs!$E$94=1,0.5,0))+$E$86</f>
        <v>4361.2576752624</v>
      </c>
    </row>
    <row r="91" spans="2:20" x14ac:dyDescent="0.25">
      <c r="E91" s="190">
        <f>Inputs!$E$558+G91</f>
        <v>0.11866512000000001</v>
      </c>
      <c r="F91" s="192">
        <f>SUMPRODUCT($H$82:$T$82,$H$45:$T$45,1/(1+$E91)^$H$46:$T$46)</f>
        <v>1990.1003983865435</v>
      </c>
      <c r="G91" s="191">
        <v>0</v>
      </c>
      <c r="H91" s="159">
        <f>$F91+IF($E91&gt;H$87,((1+H$87)*$E$84-H$87*$E$85)/($E91-H$87),0)*(1+$E91)^-(2036-Inputs!$E$560-IF(Inputs!$E$94=1,0.5,0))+$E$86</f>
        <v>3352.9894477450116</v>
      </c>
      <c r="I91" s="159">
        <f>$F91+IF($E91&gt;I$87,((1+I$87)*$E$84-I$87*$E$85)/($E91-I$87),0)*(1+$E91)^-(2036-Inputs!$E$560-IF(Inputs!$E$94=1,0.5,0))+$E$86</f>
        <v>3440.0186726679995</v>
      </c>
      <c r="J91" s="184">
        <f>$F91+IF($E91&gt;J$87,((1+J$87)*$E$84-J$87*$E$85)/($E91-J$87),0)*(1+$E91)^-(2036-Inputs!$E$560-IF(Inputs!$E$94=1,0.5,0))+$E$86</f>
        <v>3536.8633949278201</v>
      </c>
      <c r="K91" s="159">
        <f>$F91+IF($E91&gt;K$87,((1+K$87)*$E$84-K$87*$E$85)/($E91-K$87),0)*(1+$E91)^-(2036-Inputs!$E$560-IF(Inputs!$E$94=1,0.5,0))+$E$86</f>
        <v>3645.2833975744752</v>
      </c>
      <c r="L91" s="159">
        <f>$F91+IF($E91&gt;L$87,((1+L$87)*$E$84-L$87*$E$85)/($E91-L$87),0)*(1+$E91)^-(2036-Inputs!$E$560-IF(Inputs!$E$94=1,0.5,0))+$E$86</f>
        <v>3767.4858749248688</v>
      </c>
    </row>
    <row r="92" spans="2:20" x14ac:dyDescent="0.25">
      <c r="E92" s="190">
        <f>Inputs!$E$558+G92</f>
        <v>0.12866512000000002</v>
      </c>
      <c r="F92" s="192">
        <f>SUMPRODUCT($H$82:$T$82,$H$45:$T$45,1/(1+$E92)^$H$46:$T$46)</f>
        <v>1892.6044454742441</v>
      </c>
      <c r="G92" s="191">
        <v>0.01</v>
      </c>
      <c r="H92" s="159">
        <f>$F92+IF($E92&gt;H$87,((1+H$87)*$E$84-H$87*$E$85)/($E92-H$87),0)*(1+$E92)^-(2036-Inputs!$E$560-IF(Inputs!$E$94=1,0.5,0))+$E$86</f>
        <v>2998.5722367340481</v>
      </c>
      <c r="I92" s="159">
        <f>$F92+IF($E92&gt;I$87,((1+I$87)*$E$84-I$87*$E$85)/($E92-I$87),0)*(1+$E92)^-(2036-Inputs!$E$560-IF(Inputs!$E$94=1,0.5,0))+$E$86</f>
        <v>3064.3497406318256</v>
      </c>
      <c r="J92" s="159">
        <f>$F92+IF($E92&gt;J$87,((1+J$87)*$E$84-J$87*$E$85)/($E92-J$87),0)*(1+$E92)^-(2036-Inputs!$E$560-IF(Inputs!$E$94=1,0.5,0))+$E$86</f>
        <v>3136.79398794387</v>
      </c>
      <c r="K92" s="159">
        <f>$F92+IF($E92&gt;K$87,((1+K$87)*$E$84-K$87*$E$85)/($E92-K$87),0)*(1+$E92)^-(2036-Inputs!$E$560-IF(Inputs!$E$94=1,0.5,0))+$E$86</f>
        <v>3216.972624248534</v>
      </c>
      <c r="L92" s="159">
        <f>$F92+IF($E92&gt;L$87,((1+L$87)*$E$84-L$87*$E$85)/($E92-L$87),0)*(1+$E92)^-(2036-Inputs!$E$560-IF(Inputs!$E$94=1,0.5,0))+$E$86</f>
        <v>3306.1941216359628</v>
      </c>
    </row>
    <row r="93" spans="2:20" x14ac:dyDescent="0.25">
      <c r="E93" s="190">
        <f>Inputs!$E$558+G93</f>
        <v>0.13866512</v>
      </c>
      <c r="F93" s="192">
        <f>SUMPRODUCT($H$82:$T$82,$H$45:$T$45,1/(1+$E93)^$H$46:$T$46)</f>
        <v>1801.5833187716967</v>
      </c>
      <c r="G93" s="191">
        <v>0.02</v>
      </c>
      <c r="H93" s="159">
        <f>$F93+IF($E93&gt;H$87,((1+H$87)*$E$84-H$87*$E$85)/($E93-H$87),0)*(1+$E93)^-(2036-Inputs!$E$560-IF(Inputs!$E$94=1,0.5,0))+$E$86</f>
        <v>2703.9073111236762</v>
      </c>
      <c r="I93" s="159">
        <f>$F93+IF($E93&gt;I$87,((1+I$87)*$E$84-I$87*$E$85)/($E93-I$87),0)*(1+$E93)^-(2036-Inputs!$E$560-IF(Inputs!$E$94=1,0.5,0))+$E$86</f>
        <v>2754.5554174907807</v>
      </c>
      <c r="J93" s="159">
        <f>$F93+IF($E93&gt;J$87,((1+J$87)*$E$84-J$87*$E$85)/($E93-J$87),0)*(1+$E93)^-(2036-Inputs!$E$560-IF(Inputs!$E$94=1,0.5,0))+$E$86</f>
        <v>2809.8644588816633</v>
      </c>
      <c r="K93" s="159">
        <f>$F93+IF($E93&gt;K$87,((1+K$87)*$E$84-K$87*$E$85)/($E93-K$87),0)*(1+$E93)^-(2036-Inputs!$E$560-IF(Inputs!$E$94=1,0.5,0))+$E$86</f>
        <v>2870.5088571785991</v>
      </c>
      <c r="L93" s="159">
        <f>$F93+IF($E93&gt;L$87,((1+L$87)*$E$84-L$87*$E$85)/($E93-L$87),0)*(1+$E93)^-(2036-Inputs!$E$560-IF(Inputs!$E$94=1,0.5,0))+$E$86</f>
        <v>2937.2997435451721</v>
      </c>
    </row>
    <row r="94" spans="2:20" x14ac:dyDescent="0.25">
      <c r="B94" s="23" t="s">
        <v>3135</v>
      </c>
      <c r="E94" s="161">
        <f>ROUND(J91-$E$74,4)</f>
        <v>0</v>
      </c>
    </row>
    <row r="96" spans="2:20" x14ac:dyDescent="0.25">
      <c r="B96" s="58" t="s">
        <v>3136</v>
      </c>
      <c r="C96" s="19"/>
      <c r="D96" s="19"/>
      <c r="E96" s="19"/>
      <c r="F96" s="19"/>
      <c r="G96" s="19"/>
      <c r="H96" s="19"/>
      <c r="I96" s="19"/>
      <c r="J96" s="19"/>
      <c r="K96" s="19"/>
      <c r="L96" s="19"/>
      <c r="M96" s="19"/>
      <c r="N96" s="19"/>
      <c r="O96" s="19"/>
      <c r="P96" s="19"/>
      <c r="Q96" s="19"/>
      <c r="R96" s="19"/>
      <c r="S96" s="19"/>
      <c r="T96" s="19"/>
    </row>
    <row r="97" spans="2:20" x14ac:dyDescent="0.25">
      <c r="B97" s="23" t="s">
        <v>3137</v>
      </c>
      <c r="C97" s="28" t="s">
        <v>493</v>
      </c>
      <c r="E97" s="29">
        <f>'Project Cash Flows'!$E$36</f>
        <v>1992.3849271304912</v>
      </c>
    </row>
    <row r="98" spans="2:20" x14ac:dyDescent="0.25">
      <c r="B98" s="23" t="s">
        <v>3138</v>
      </c>
      <c r="C98" s="28" t="s">
        <v>493</v>
      </c>
      <c r="E98" s="29">
        <f>'Project Cash Flows'!$E$37</f>
        <v>1205.8684039417722</v>
      </c>
    </row>
    <row r="99" spans="2:20" x14ac:dyDescent="0.25">
      <c r="B99" s="23" t="s">
        <v>3139</v>
      </c>
      <c r="C99" s="28" t="s">
        <v>493</v>
      </c>
      <c r="E99" s="29">
        <f>'Project Cash Flows'!$E$38</f>
        <v>905.09198557457444</v>
      </c>
    </row>
    <row r="100" spans="2:20" x14ac:dyDescent="0.25">
      <c r="B100" s="23" t="s">
        <v>3140</v>
      </c>
      <c r="C100" s="28" t="s">
        <v>493</v>
      </c>
      <c r="E100" s="159">
        <f>0</f>
        <v>0</v>
      </c>
    </row>
    <row r="101" spans="2:20" x14ac:dyDescent="0.25">
      <c r="B101" s="23" t="s">
        <v>3141</v>
      </c>
      <c r="C101" s="28" t="s">
        <v>493</v>
      </c>
      <c r="E101" s="29">
        <f>'Project Cash Flows'!$E$40</f>
        <v>0</v>
      </c>
    </row>
    <row r="102" spans="2:20" x14ac:dyDescent="0.25">
      <c r="B102" s="23" t="s">
        <v>3142</v>
      </c>
      <c r="C102" s="28" t="s">
        <v>493</v>
      </c>
      <c r="E102" s="29">
        <f>'Project Cash Flows'!$E$41</f>
        <v>0</v>
      </c>
    </row>
    <row r="103" spans="2:20" x14ac:dyDescent="0.25">
      <c r="B103" s="23" t="s">
        <v>3143</v>
      </c>
      <c r="C103" s="28" t="s">
        <v>493</v>
      </c>
      <c r="E103" s="29">
        <f>'Project Cash Flows'!$E$42</f>
        <v>14.116098408150656</v>
      </c>
    </row>
    <row r="104" spans="2:20" ht="26.25" customHeight="1" x14ac:dyDescent="0.25">
      <c r="B104" s="64" t="s">
        <v>3144</v>
      </c>
      <c r="C104" s="28" t="s">
        <v>493</v>
      </c>
      <c r="E104" s="29">
        <f>'Project Cash Flows'!$E$424</f>
        <v>3.9465057024512964</v>
      </c>
    </row>
    <row r="105" spans="2:20" x14ac:dyDescent="0.25">
      <c r="B105" s="21" t="s">
        <v>3145</v>
      </c>
      <c r="C105" s="28" t="s">
        <v>493</v>
      </c>
      <c r="E105" s="160">
        <f>SUM(E97:E104)</f>
        <v>4121.4079207574396</v>
      </c>
    </row>
    <row r="106" spans="2:20" x14ac:dyDescent="0.25">
      <c r="B106" s="23" t="s">
        <v>3146</v>
      </c>
      <c r="E106" s="161">
        <f>ROUND($E$105-$E$67,4)</f>
        <v>0</v>
      </c>
    </row>
    <row r="107" spans="2:20" x14ac:dyDescent="0.25">
      <c r="B107" s="145" t="s">
        <v>3147</v>
      </c>
    </row>
    <row r="109" spans="2:20" x14ac:dyDescent="0.25">
      <c r="B109" s="58" t="s">
        <v>3148</v>
      </c>
      <c r="C109" s="19"/>
      <c r="D109" s="19"/>
      <c r="E109" s="19"/>
      <c r="F109" s="19"/>
      <c r="G109" s="19"/>
      <c r="H109" s="19"/>
      <c r="I109" s="19"/>
      <c r="J109" s="19"/>
      <c r="K109" s="19"/>
      <c r="L109" s="19"/>
      <c r="M109" s="19"/>
      <c r="N109" s="19"/>
      <c r="O109" s="19"/>
      <c r="P109" s="19"/>
      <c r="Q109" s="19"/>
      <c r="R109" s="19"/>
      <c r="S109" s="19"/>
      <c r="T109" s="19"/>
    </row>
    <row r="110" spans="2:20" x14ac:dyDescent="0.25">
      <c r="B110" s="23" t="s">
        <v>3149</v>
      </c>
      <c r="C110" s="28" t="s">
        <v>493</v>
      </c>
      <c r="E110" s="159">
        <f>IF(Inputs!$E$560+1&lt;=2036,INDEX('FSL Output - Without BUMN'!$H$16:$T$16,1,Inputs!$E$560+1-2023),0)</f>
        <v>388.79673835416565</v>
      </c>
    </row>
    <row r="111" spans="2:20" x14ac:dyDescent="0.25">
      <c r="B111" s="23" t="s">
        <v>3150</v>
      </c>
      <c r="C111" s="28" t="s">
        <v>497</v>
      </c>
      <c r="E111" s="189">
        <f>IF($E$110&gt;0,$E$67/$E$110,0)</f>
        <v>10.600417941271761</v>
      </c>
    </row>
    <row r="112" spans="2:20" x14ac:dyDescent="0.25">
      <c r="B112" s="23" t="s">
        <v>3080</v>
      </c>
      <c r="C112" s="28" t="s">
        <v>292</v>
      </c>
      <c r="E112" s="105">
        <f>IF($E$67&lt;&gt;0,$E$60/$E$67,0)</f>
        <v>0.45479032613438403</v>
      </c>
    </row>
    <row r="113" spans="2:5" ht="26.25" customHeight="1" x14ac:dyDescent="0.25">
      <c r="B113" s="64" t="s">
        <v>3151</v>
      </c>
      <c r="C113" s="28" t="s">
        <v>493</v>
      </c>
      <c r="E113" s="159">
        <f>SUMPRODUCT($H$42:$T$42,--('Revenue Calculation'!$H$7:$T$7&lt;=Inputs!$E$560))</f>
        <v>46.596203014661938</v>
      </c>
    </row>
  </sheetData>
  <mergeCells count="8">
    <mergeCell ref="C12:I12"/>
    <mergeCell ref="C13:I13"/>
    <mergeCell ref="C14:I14"/>
    <mergeCell ref="C7:I7"/>
    <mergeCell ref="C8:I8"/>
    <mergeCell ref="C9:I9"/>
    <mergeCell ref="C10:I10"/>
    <mergeCell ref="C11:I11"/>
  </mergeCells>
  <hyperlinks>
    <hyperlink ref="C3" location="'Model Flow'!A1" display="Model Flow" xr:uid="{00000000-0004-0000-0C00-000000000000}"/>
    <hyperlink ref="D3" location="Inputs!A1" display="Inputs" xr:uid="{00000000-0004-0000-0C00-000001000000}"/>
    <hyperlink ref="E3" location="'FS Data Request'!A1" display="FS Request" xr:uid="{00000000-0004-0000-0C00-000002000000}"/>
    <hyperlink ref="F3" location="'Revenue Calculation'!A1" display="Revenue" xr:uid="{00000000-0004-0000-0C00-000003000000}"/>
    <hyperlink ref="G3" location="'Cost Calculation'!A1" display="Costs" xr:uid="{00000000-0004-0000-0C00-000004000000}"/>
    <hyperlink ref="H3" location="'BUMN Synergy Calculation'!A1" display="BUMN Synergy" xr:uid="{00000000-0004-0000-0C00-000005000000}"/>
    <hyperlink ref="I3" location="'Capex &amp; Depreciation'!A1" display="Capex" xr:uid="{00000000-0004-0000-0C00-000006000000}"/>
    <hyperlink ref="J3" location="'Working Capital'!A1" display="Work. cap." xr:uid="{00000000-0004-0000-0C00-000007000000}"/>
    <hyperlink ref="K3" location="Financing!A1" display="Financing" xr:uid="{00000000-0004-0000-0C00-000008000000}"/>
    <hyperlink ref="L3" location="'Funding Requirement'!A1" display="Funding" xr:uid="{00000000-0004-0000-0C00-000009000000}"/>
    <hyperlink ref="M3" location="'FSL Output - Without BUMN'!A1" display="Out: w/o BUMN" xr:uid="{00000000-0004-0000-0C00-00000A000000}"/>
    <hyperlink ref="N3" location="'FSL Output - With BUMN'!A1" display="Out: With BUMN" xr:uid="{00000000-0004-0000-0C00-00000B000000}"/>
    <hyperlink ref="P3" location="'Valuation — With BUMN'!A1" display="Val: With BUMN" xr:uid="{00000000-0004-0000-0C00-00000C000000}"/>
    <hyperlink ref="Q3" location="'Project Cash Flows'!A1" display="Proj. CF" xr:uid="{00000000-0004-0000-0C00-00000D000000}"/>
    <hyperlink ref="R3" location="'Project Summary'!A1" display="Proj. Summary" xr:uid="{00000000-0004-0000-0C00-00000E000000}"/>
    <hyperlink ref="S3" location="'Checks &amp; Reconciliation'!A1" display="Checks" xr:uid="{00000000-0004-0000-0C00-00000F000000}"/>
    <hyperlink ref="T3" location="'Source Data'!A1" display="Source Data" xr:uid="{00000000-0004-0000-0C00-000010000000}"/>
  </hyperlinks>
  <pageMargins left="0.4" right="0.4" top="0.5" bottom="0.5" header="0.511811023622047" footer="0.5"/>
  <pageSetup paperSize="9" fitToHeight="0" orientation="landscape" horizontalDpi="300" verticalDpi="300"/>
  <headerFooter>
    <oddFooter>&amp;L&amp;A&amp;RPage &amp;P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2E5C8A"/>
    <pageSetUpPr fitToPage="1"/>
  </sheetPr>
  <dimension ref="B1:U923"/>
  <sheetViews>
    <sheetView showGridLines="0" zoomScale="85" zoomScaleNormal="85" workbookViewId="0">
      <pane xSplit="6" ySplit="6" topLeftCell="G785" activePane="bottomRight" state="frozen"/>
      <selection pane="topRight" activeCell="G1" sqref="G1"/>
      <selection pane="bottomLeft" activeCell="A7" sqref="A7"/>
      <selection pane="bottomRight" activeCell="D791" sqref="D791"/>
    </sheetView>
  </sheetViews>
  <sheetFormatPr defaultColWidth="8.7109375" defaultRowHeight="15" x14ac:dyDescent="0.25"/>
  <cols>
    <col min="1" max="1" width="1.5703125" customWidth="1"/>
    <col min="2" max="2" width="62" customWidth="1"/>
    <col min="3" max="3" width="10" customWidth="1"/>
    <col min="4" max="4" width="16" customWidth="1"/>
    <col min="5" max="6" width="13" customWidth="1"/>
    <col min="7" max="20" width="10.5703125" customWidth="1"/>
    <col min="21" max="21" width="55" customWidth="1"/>
  </cols>
  <sheetData>
    <row r="1" spans="2:21" ht="18" x14ac:dyDescent="0.25">
      <c r="B1" s="13" t="s">
        <v>3308</v>
      </c>
    </row>
    <row r="2" spans="2:21" x14ac:dyDescent="0.25">
      <c r="B2" s="14" t="s">
        <v>3309</v>
      </c>
    </row>
    <row r="3" spans="2:21" x14ac:dyDescent="0.25">
      <c r="B3" s="15" t="s">
        <v>2</v>
      </c>
      <c r="C3" s="17" t="s">
        <v>422</v>
      </c>
      <c r="D3" s="17" t="s">
        <v>4</v>
      </c>
      <c r="E3" s="17" t="s">
        <v>5</v>
      </c>
      <c r="F3" s="17" t="s">
        <v>6</v>
      </c>
      <c r="G3" s="17" t="s">
        <v>7</v>
      </c>
      <c r="H3" s="17" t="s">
        <v>8</v>
      </c>
      <c r="I3" s="17" t="s">
        <v>9</v>
      </c>
      <c r="J3" s="17" t="s">
        <v>10</v>
      </c>
      <c r="K3" s="17" t="s">
        <v>11</v>
      </c>
      <c r="L3" s="17" t="s">
        <v>12</v>
      </c>
      <c r="M3" s="17" t="s">
        <v>13</v>
      </c>
      <c r="N3" s="17" t="s">
        <v>14</v>
      </c>
      <c r="O3" s="17" t="s">
        <v>15</v>
      </c>
      <c r="P3" s="17" t="s">
        <v>16</v>
      </c>
      <c r="Q3" s="17" t="s">
        <v>17</v>
      </c>
      <c r="R3" s="16" t="s">
        <v>3310</v>
      </c>
      <c r="S3" s="17" t="s">
        <v>19</v>
      </c>
      <c r="T3" s="17" t="s">
        <v>20</v>
      </c>
    </row>
    <row r="4" spans="2:21" x14ac:dyDescent="0.25">
      <c r="G4" s="77" t="s">
        <v>1878</v>
      </c>
      <c r="H4" s="77" t="s">
        <v>1879</v>
      </c>
      <c r="I4" s="77" t="s">
        <v>1879</v>
      </c>
      <c r="J4" s="77" t="s">
        <v>1879</v>
      </c>
      <c r="K4" s="77" t="s">
        <v>1879</v>
      </c>
      <c r="L4" s="77" t="s">
        <v>1879</v>
      </c>
      <c r="M4" s="77" t="s">
        <v>1879</v>
      </c>
      <c r="N4" s="77" t="s">
        <v>1879</v>
      </c>
      <c r="O4" s="77" t="s">
        <v>1879</v>
      </c>
      <c r="P4" s="77" t="s">
        <v>1879</v>
      </c>
      <c r="Q4" s="77" t="s">
        <v>1879</v>
      </c>
      <c r="R4" s="77" t="s">
        <v>1879</v>
      </c>
      <c r="S4" s="77" t="s">
        <v>1879</v>
      </c>
      <c r="T4" s="77" t="s">
        <v>1879</v>
      </c>
    </row>
    <row r="5" spans="2:21" x14ac:dyDescent="0.25">
      <c r="B5" s="150" t="s">
        <v>1880</v>
      </c>
      <c r="C5" s="150" t="s">
        <v>466</v>
      </c>
      <c r="D5" s="59" t="s">
        <v>1881</v>
      </c>
      <c r="E5" s="59" t="s">
        <v>468</v>
      </c>
      <c r="F5" s="60"/>
      <c r="G5" s="151">
        <v>2023</v>
      </c>
      <c r="H5" s="152">
        <v>2024</v>
      </c>
      <c r="I5" s="152">
        <v>2025</v>
      </c>
      <c r="J5" s="152">
        <v>2026</v>
      </c>
      <c r="K5" s="152">
        <v>2027</v>
      </c>
      <c r="L5" s="152">
        <v>2028</v>
      </c>
      <c r="M5" s="152">
        <v>2029</v>
      </c>
      <c r="N5" s="152">
        <v>2030</v>
      </c>
      <c r="O5" s="152">
        <v>2031</v>
      </c>
      <c r="P5" s="152">
        <v>2032</v>
      </c>
      <c r="Q5" s="152">
        <v>2033</v>
      </c>
      <c r="R5" s="152">
        <v>2034</v>
      </c>
      <c r="S5" s="152">
        <v>2035</v>
      </c>
      <c r="T5" s="152">
        <v>2036</v>
      </c>
      <c r="U5" s="59" t="s">
        <v>1882</v>
      </c>
    </row>
    <row r="6" spans="2:21" x14ac:dyDescent="0.25">
      <c r="B6" s="58" t="s">
        <v>3311</v>
      </c>
      <c r="C6" s="19"/>
      <c r="D6" s="19"/>
      <c r="E6" s="19"/>
      <c r="F6" s="19"/>
      <c r="G6" s="19"/>
      <c r="H6" s="19"/>
      <c r="I6" s="19"/>
      <c r="J6" s="19"/>
      <c r="K6" s="19"/>
      <c r="L6" s="19"/>
      <c r="M6" s="19"/>
      <c r="N6" s="19"/>
      <c r="O6" s="19"/>
      <c r="P6" s="19"/>
      <c r="Q6" s="19"/>
      <c r="R6" s="19"/>
      <c r="S6" s="19"/>
      <c r="T6" s="19"/>
    </row>
    <row r="7" spans="2:21" ht="58.5" customHeight="1" x14ac:dyDescent="0.25">
      <c r="B7" s="25" t="s">
        <v>3171</v>
      </c>
      <c r="C7" s="25" t="s">
        <v>3172</v>
      </c>
      <c r="D7" s="25" t="s">
        <v>3312</v>
      </c>
      <c r="E7" s="25" t="s">
        <v>3313</v>
      </c>
      <c r="F7" s="25" t="s">
        <v>3314</v>
      </c>
      <c r="G7" s="25" t="s">
        <v>3315</v>
      </c>
      <c r="H7" s="25" t="s">
        <v>3316</v>
      </c>
      <c r="I7" s="25" t="s">
        <v>3317</v>
      </c>
      <c r="J7" s="25" t="s">
        <v>3318</v>
      </c>
      <c r="K7" s="9" t="s">
        <v>1690</v>
      </c>
      <c r="L7" s="9"/>
      <c r="M7" s="9"/>
      <c r="N7" s="9"/>
      <c r="O7" s="9"/>
      <c r="P7" s="9"/>
      <c r="Q7" s="9"/>
      <c r="R7" s="9"/>
      <c r="S7" s="9"/>
      <c r="T7" s="9"/>
    </row>
    <row r="8" spans="2:21" x14ac:dyDescent="0.25">
      <c r="B8" s="22" t="s">
        <v>515</v>
      </c>
      <c r="C8" s="146" t="str">
        <f>IF(Inputs!$H$60=1,"Yes","No")</f>
        <v>Yes</v>
      </c>
      <c r="D8" s="146" t="str">
        <f>"-"</f>
        <v>-</v>
      </c>
      <c r="E8" s="144">
        <f>'Project Cash Flows'!$E$7</f>
        <v>1124.4287688697959</v>
      </c>
      <c r="F8" s="147" t="str">
        <f>IF(ISNUMBER('Project Cash Flows'!$H$7),'Project Cash Flows'!$H$7,SUBSTITUTE(SUBSTITUTE(SUBSTITUTE('Project Cash Flows'!$H$7,"Not meaningful","n.m."),"inputs pending","pending"),"not included","excluded"))</f>
        <v>n.m.</v>
      </c>
      <c r="G8" s="147" t="str">
        <f>IF(ISNUMBER('Project Cash Flows'!$I$7),'Project Cash Flows'!$I$7,SUBSTITUTE(SUBSTITUTE(SUBSTITUTE('Project Cash Flows'!$I$7,"Not meaningful","n.m."),"inputs pending","pending"),"not included","excluded"))</f>
        <v>n.m.</v>
      </c>
      <c r="H8" s="201" t="str">
        <f>IF(ISNUMBER('Project Cash Flows'!$J$7),'Project Cash Flows'!$J$7,SUBSTITUTE(SUBSTITUTE(SUBSTITUTE('Project Cash Flows'!$J$7,"Not meaningful","n.m."),"inputs pending","pending"),"not included","excluded"))</f>
        <v>n.m.</v>
      </c>
      <c r="I8" s="201" t="str">
        <f t="shared" ref="I8:J11" si="0">"-"</f>
        <v>-</v>
      </c>
      <c r="J8" s="201" t="str">
        <f t="shared" si="0"/>
        <v>-</v>
      </c>
      <c r="K8" s="8" t="str">
        <f>"Existing business - included"</f>
        <v>Existing business - included</v>
      </c>
      <c r="L8" s="8"/>
      <c r="M8" s="8"/>
      <c r="N8" s="8"/>
      <c r="O8" s="8"/>
      <c r="P8" s="8"/>
      <c r="Q8" s="8"/>
      <c r="R8" s="8"/>
      <c r="S8" s="8"/>
      <c r="T8" s="8"/>
    </row>
    <row r="9" spans="2:21" x14ac:dyDescent="0.25">
      <c r="B9" s="22" t="s">
        <v>525</v>
      </c>
      <c r="C9" s="146" t="str">
        <f>IF(Inputs!$H$61=1,"Yes","No")</f>
        <v>Yes</v>
      </c>
      <c r="D9" s="146" t="str">
        <f>"-"</f>
        <v>-</v>
      </c>
      <c r="E9" s="144">
        <f>'Project Cash Flows'!$E$8</f>
        <v>413.09053316016059</v>
      </c>
      <c r="F9" s="147" t="str">
        <f>IF(ISNUMBER('Project Cash Flows'!$H$8),'Project Cash Flows'!$H$8,SUBSTITUTE(SUBSTITUTE(SUBSTITUTE('Project Cash Flows'!$H$8,"Not meaningful","n.m."),"inputs pending","pending"),"not included","excluded"))</f>
        <v>n.m.</v>
      </c>
      <c r="G9" s="147" t="str">
        <f>IF(ISNUMBER('Project Cash Flows'!$I$8),'Project Cash Flows'!$I$8,SUBSTITUTE(SUBSTITUTE(SUBSTITUTE('Project Cash Flows'!$I$8,"Not meaningful","n.m."),"inputs pending","pending"),"not included","excluded"))</f>
        <v>n.m.</v>
      </c>
      <c r="H9" s="201" t="str">
        <f>IF(ISNUMBER('Project Cash Flows'!$J$8),'Project Cash Flows'!$J$8,SUBSTITUTE(SUBSTITUTE(SUBSTITUTE('Project Cash Flows'!$J$8,"Not meaningful","n.m."),"inputs pending","pending"),"not included","excluded"))</f>
        <v>n.m.</v>
      </c>
      <c r="I9" s="201" t="str">
        <f t="shared" si="0"/>
        <v>-</v>
      </c>
      <c r="J9" s="201" t="str">
        <f t="shared" si="0"/>
        <v>-</v>
      </c>
      <c r="K9" s="8" t="str">
        <f>"Existing business - included"</f>
        <v>Existing business - included</v>
      </c>
      <c r="L9" s="8"/>
      <c r="M9" s="8"/>
      <c r="N9" s="8"/>
      <c r="O9" s="8"/>
      <c r="P9" s="8"/>
      <c r="Q9" s="8"/>
      <c r="R9" s="8"/>
      <c r="S9" s="8"/>
      <c r="T9" s="8"/>
    </row>
    <row r="10" spans="2:21" x14ac:dyDescent="0.25">
      <c r="B10" s="22" t="s">
        <v>528</v>
      </c>
      <c r="C10" s="146" t="str">
        <f>IF(Inputs!$H$62=1,"Yes","No")</f>
        <v>Yes</v>
      </c>
      <c r="D10" s="146" t="str">
        <f>"-"</f>
        <v>-</v>
      </c>
      <c r="E10" s="144">
        <f>'Project Cash Flows'!$E$9</f>
        <v>253.23251095656514</v>
      </c>
      <c r="F10" s="147" t="str">
        <f>IF(ISNUMBER('Project Cash Flows'!$H$9),'Project Cash Flows'!$H$9,SUBSTITUTE(SUBSTITUTE(SUBSTITUTE('Project Cash Flows'!$H$9,"Not meaningful","n.m."),"inputs pending","pending"),"not included","excluded"))</f>
        <v>n.m.</v>
      </c>
      <c r="G10" s="147" t="str">
        <f>IF(ISNUMBER('Project Cash Flows'!$I$9),'Project Cash Flows'!$I$9,SUBSTITUTE(SUBSTITUTE(SUBSTITUTE('Project Cash Flows'!$I$9,"Not meaningful","n.m."),"inputs pending","pending"),"not included","excluded"))</f>
        <v>n.m.</v>
      </c>
      <c r="H10" s="201" t="str">
        <f>IF(ISNUMBER('Project Cash Flows'!$J$9),'Project Cash Flows'!$J$9,SUBSTITUTE(SUBSTITUTE(SUBSTITUTE('Project Cash Flows'!$J$9,"Not meaningful","n.m."),"inputs pending","pending"),"not included","excluded"))</f>
        <v>n.m.</v>
      </c>
      <c r="I10" s="201" t="str">
        <f t="shared" si="0"/>
        <v>-</v>
      </c>
      <c r="J10" s="201" t="str">
        <f t="shared" si="0"/>
        <v>-</v>
      </c>
      <c r="K10" s="8" t="str">
        <f>"Existing business - included"</f>
        <v>Existing business - included</v>
      </c>
      <c r="L10" s="8"/>
      <c r="M10" s="8"/>
      <c r="N10" s="8"/>
      <c r="O10" s="8"/>
      <c r="P10" s="8"/>
      <c r="Q10" s="8"/>
      <c r="R10" s="8"/>
      <c r="S10" s="8"/>
      <c r="T10" s="8"/>
    </row>
    <row r="11" spans="2:21" x14ac:dyDescent="0.25">
      <c r="B11" s="22" t="s">
        <v>531</v>
      </c>
      <c r="C11" s="146" t="str">
        <f>IF(Inputs!$H$63=1,"Yes","No")</f>
        <v>Yes</v>
      </c>
      <c r="D11" s="146" t="str">
        <f>"-"</f>
        <v>-</v>
      </c>
      <c r="E11" s="144">
        <f>'Project Cash Flows'!$E$10</f>
        <v>201.63311414396929</v>
      </c>
      <c r="F11" s="147" t="str">
        <f>IF(ISNUMBER('Project Cash Flows'!$H$10),'Project Cash Flows'!$H$10,SUBSTITUTE(SUBSTITUTE(SUBSTITUTE('Project Cash Flows'!$H$10,"Not meaningful","n.m."),"inputs pending","pending"),"not included","excluded"))</f>
        <v>n.m.</v>
      </c>
      <c r="G11" s="147" t="str">
        <f>IF(ISNUMBER('Project Cash Flows'!$I$10),'Project Cash Flows'!$I$10,SUBSTITUTE(SUBSTITUTE(SUBSTITUTE('Project Cash Flows'!$I$10,"Not meaningful","n.m."),"inputs pending","pending"),"not included","excluded"))</f>
        <v>n.m.</v>
      </c>
      <c r="H11" s="201" t="str">
        <f>IF(ISNUMBER('Project Cash Flows'!$J$10),'Project Cash Flows'!$J$10,SUBSTITUTE(SUBSTITUTE(SUBSTITUTE('Project Cash Flows'!$J$10,"Not meaningful","n.m."),"inputs pending","pending"),"not included","excluded"))</f>
        <v>n.m.</v>
      </c>
      <c r="I11" s="201" t="str">
        <f t="shared" si="0"/>
        <v>-</v>
      </c>
      <c r="J11" s="201" t="str">
        <f t="shared" si="0"/>
        <v>-</v>
      </c>
      <c r="K11" s="8" t="str">
        <f>"Existing business - included"</f>
        <v>Existing business - included</v>
      </c>
      <c r="L11" s="8"/>
      <c r="M11" s="8"/>
      <c r="N11" s="8"/>
      <c r="O11" s="8"/>
      <c r="P11" s="8"/>
      <c r="Q11" s="8"/>
      <c r="R11" s="8"/>
      <c r="S11" s="8"/>
      <c r="T11" s="8"/>
    </row>
    <row r="12" spans="2:21" x14ac:dyDescent="0.25">
      <c r="B12" s="22" t="s">
        <v>534</v>
      </c>
      <c r="C12" s="146" t="str">
        <f>IF(Inputs!$H$64=1,"Yes","No")</f>
        <v>Yes</v>
      </c>
      <c r="D12" s="146" t="str">
        <f>IF(Inputs!$H$64=1,"FSL roll-forward","-")</f>
        <v>FSL roll-forward</v>
      </c>
      <c r="E12" s="144">
        <f>'Project Cash Flows'!$E$11</f>
        <v>934.96369621477447</v>
      </c>
      <c r="F12" s="147">
        <f>IF(ISNUMBER('Project Cash Flows'!$H$11),'Project Cash Flows'!$H$11,SUBSTITUTE(SUBSTITUTE(SUBSTITUTE('Project Cash Flows'!$H$11,"Not meaningful","n.m."),"inputs pending","pending"),"not included","excluded"))</f>
        <v>0.32247799038887037</v>
      </c>
      <c r="G12" s="147" t="str">
        <f>IF(ISNUMBER('Project Cash Flows'!$I$11),'Project Cash Flows'!$I$11,SUBSTITUTE(SUBSTITUTE(SUBSTITUTE('Project Cash Flows'!$I$11,"Not meaningful","n.m."),"inputs pending","pending"),"not included","excluded"))</f>
        <v>n.m.</v>
      </c>
      <c r="H12" s="201">
        <f>IF(ISNUMBER('Project Cash Flows'!$J$11),'Project Cash Flows'!$J$11,SUBSTITUTE(SUBSTITUTE(SUBSTITUTE('Project Cash Flows'!$J$11,"Not meaningful","n.m."),"inputs pending","pending"),"not included","excluded"))</f>
        <v>5.3539737559900722</v>
      </c>
      <c r="I12" s="140">
        <f>'Capex &amp; Depreciation'!$E$8</f>
        <v>12.8</v>
      </c>
      <c r="J12" s="140">
        <f>'Capex &amp; Depreciation'!$J$33</f>
        <v>0</v>
      </c>
      <c r="K12" s="8" t="str">
        <f>Inputs!$I$64</f>
        <v>Included - both cases</v>
      </c>
      <c r="L12" s="8"/>
      <c r="M12" s="8"/>
      <c r="N12" s="8"/>
      <c r="O12" s="8"/>
      <c r="P12" s="8"/>
      <c r="Q12" s="8"/>
      <c r="R12" s="8"/>
      <c r="S12" s="8"/>
      <c r="T12" s="8"/>
    </row>
    <row r="13" spans="2:21" x14ac:dyDescent="0.25">
      <c r="B13" s="22" t="s">
        <v>539</v>
      </c>
      <c r="C13" s="146" t="str">
        <f>IF(Inputs!$H$65=1,"Yes","No")</f>
        <v>Yes</v>
      </c>
      <c r="D13" s="146" t="str">
        <f>IF(Inputs!$H$65=1,"FSL roll-forward","-")</f>
        <v>FSL roll-forward</v>
      </c>
      <c r="E13" s="144">
        <f>'Project Cash Flows'!$E$12</f>
        <v>270.90470772699769</v>
      </c>
      <c r="F13" s="147">
        <f>IF(ISNUMBER('Project Cash Flows'!$H$12),'Project Cash Flows'!$H$12,SUBSTITUTE(SUBSTITUTE(SUBSTITUTE('Project Cash Flows'!$H$12,"Not meaningful","n.m."),"inputs pending","pending"),"not included","excluded"))</f>
        <v>0.22154718041419977</v>
      </c>
      <c r="G13" s="147" t="str">
        <f>IF(ISNUMBER('Project Cash Flows'!$I$12),'Project Cash Flows'!$I$12,SUBSTITUTE(SUBSTITUTE(SUBSTITUTE('Project Cash Flows'!$I$12,"Not meaningful","n.m."),"inputs pending","pending"),"not included","excluded"))</f>
        <v>n.m.</v>
      </c>
      <c r="H13" s="201">
        <f>IF(ISNUMBER('Project Cash Flows'!$J$12),'Project Cash Flows'!$J$12,SUBSTITUTE(SUBSTITUTE(SUBSTITUTE('Project Cash Flows'!$J$12,"Not meaningful","n.m."),"inputs pending","pending"),"not included","excluded"))</f>
        <v>7.2107891470755572</v>
      </c>
      <c r="I13" s="140">
        <f>'Capex &amp; Depreciation'!$E$9</f>
        <v>8</v>
      </c>
      <c r="J13" s="140">
        <f>'Capex &amp; Depreciation'!$J$34</f>
        <v>0</v>
      </c>
      <c r="K13" s="8" t="str">
        <f>Inputs!$I$65</f>
        <v>Included - both cases</v>
      </c>
      <c r="L13" s="8"/>
      <c r="M13" s="8"/>
      <c r="N13" s="8"/>
      <c r="O13" s="8"/>
      <c r="P13" s="8"/>
      <c r="Q13" s="8"/>
      <c r="R13" s="8"/>
      <c r="S13" s="8"/>
      <c r="T13" s="8"/>
    </row>
    <row r="14" spans="2:21" x14ac:dyDescent="0.25">
      <c r="B14" s="22" t="s">
        <v>542</v>
      </c>
      <c r="C14" s="146" t="str">
        <f>IF(Inputs!$H$66=1,"Yes","No")</f>
        <v>Yes</v>
      </c>
      <c r="D14" s="146" t="str">
        <f>IF(Inputs!$H$66=1,"FSL roll-forward","-")</f>
        <v>FSL roll-forward</v>
      </c>
      <c r="E14" s="144">
        <f>'Project Cash Flows'!$E$13</f>
        <v>171.12518722945146</v>
      </c>
      <c r="F14" s="147">
        <f>IF(ISNUMBER('Project Cash Flows'!$H$13),'Project Cash Flows'!$H$13,SUBSTITUTE(SUBSTITUTE(SUBSTITUTE('Project Cash Flows'!$H$13,"Not meaningful","n.m."),"inputs pending","pending"),"not included","excluded"))</f>
        <v>2.9802322387695314E-9</v>
      </c>
      <c r="G14" s="147" t="str">
        <f>IF(ISNUMBER('Project Cash Flows'!$I$13),'Project Cash Flows'!$I$13,SUBSTITUTE(SUBSTITUTE(SUBSTITUTE('Project Cash Flows'!$I$13,"Not meaningful","n.m."),"inputs pending","pending"),"not included","excluded"))</f>
        <v>n.m.</v>
      </c>
      <c r="H14" s="201">
        <f>IF(ISNUMBER('Project Cash Flows'!$J$13),'Project Cash Flows'!$J$13,SUBSTITUTE(SUBSTITUTE(SUBSTITUTE('Project Cash Flows'!$J$13,"Not meaningful","n.m."),"inputs pending","pending"),"not included","excluded"))</f>
        <v>6.8964919481341784</v>
      </c>
      <c r="I14" s="140">
        <f>'Capex &amp; Depreciation'!$E$10</f>
        <v>6.0245926836766097</v>
      </c>
      <c r="J14" s="140">
        <f>'Capex &amp; Depreciation'!$J$35</f>
        <v>0</v>
      </c>
      <c r="K14" s="8" t="str">
        <f>Inputs!$I$66</f>
        <v>Included - both cases</v>
      </c>
      <c r="L14" s="8"/>
      <c r="M14" s="8"/>
      <c r="N14" s="8"/>
      <c r="O14" s="8"/>
      <c r="P14" s="8"/>
      <c r="Q14" s="8"/>
      <c r="R14" s="8"/>
      <c r="S14" s="8"/>
      <c r="T14" s="8"/>
    </row>
    <row r="15" spans="2:21" x14ac:dyDescent="0.25">
      <c r="B15" s="22" t="s">
        <v>547</v>
      </c>
      <c r="C15" s="146" t="str">
        <f>IF(Inputs!$H$67=1,"Yes","No")</f>
        <v>Yes</v>
      </c>
      <c r="D15" s="146" t="str">
        <f>IF(Inputs!$H$67=1,"FSL roll-forward","-")</f>
        <v>FSL roll-forward</v>
      </c>
      <c r="E15" s="144">
        <f>'Project Cash Flows'!$E$14</f>
        <v>99.491203584522466</v>
      </c>
      <c r="F15" s="147">
        <f>IF(ISNUMBER('Project Cash Flows'!$H$14),'Project Cash Flows'!$H$14,SUBSTITUTE(SUBSTITUTE(SUBSTITUTE('Project Cash Flows'!$H$14,"Not meaningful","n.m."),"inputs pending","pending"),"not included","excluded"))</f>
        <v>2.9802322387695314E-9</v>
      </c>
      <c r="G15" s="147" t="str">
        <f>IF(ISNUMBER('Project Cash Flows'!$I$14),'Project Cash Flows'!$I$14,SUBSTITUTE(SUBSTITUTE(SUBSTITUTE('Project Cash Flows'!$I$14,"Not meaningful","n.m."),"inputs pending","pending"),"not included","excluded"))</f>
        <v>n.m.</v>
      </c>
      <c r="H15" s="201">
        <f>IF(ISNUMBER('Project Cash Flows'!$J$14),'Project Cash Flows'!$J$14,SUBSTITUTE(SUBSTITUTE(SUBSTITUTE('Project Cash Flows'!$J$14,"Not meaningful","n.m."),"inputs pending","pending"),"not included","excluded"))</f>
        <v>6.6008236864890817</v>
      </c>
      <c r="I15" s="140">
        <f>'Capex &amp; Depreciation'!$E$11</f>
        <v>3.7622963418383</v>
      </c>
      <c r="J15" s="140">
        <f>'Capex &amp; Depreciation'!$J$36</f>
        <v>0</v>
      </c>
      <c r="K15" s="8" t="str">
        <f>Inputs!$I$67</f>
        <v>Included - both cases</v>
      </c>
      <c r="L15" s="8"/>
      <c r="M15" s="8"/>
      <c r="N15" s="8"/>
      <c r="O15" s="8"/>
      <c r="P15" s="8"/>
      <c r="Q15" s="8"/>
      <c r="R15" s="8"/>
      <c r="S15" s="8"/>
      <c r="T15" s="8"/>
    </row>
    <row r="16" spans="2:21" x14ac:dyDescent="0.25">
      <c r="B16" s="22" t="s">
        <v>550</v>
      </c>
      <c r="C16" s="146" t="str">
        <f>IF(Inputs!$H$68=1,"Yes","No")</f>
        <v>Yes</v>
      </c>
      <c r="D16" s="146" t="str">
        <f>IF(Inputs!$H$68=1,"FSL roll-forward","-")</f>
        <v>FSL roll-forward</v>
      </c>
      <c r="E16" s="144">
        <f>'Project Cash Flows'!$E$15</f>
        <v>187.50658422819535</v>
      </c>
      <c r="F16" s="147">
        <f>IF(ISNUMBER('Project Cash Flows'!$H$15),'Project Cash Flows'!$H$15,SUBSTITUTE(SUBSTITUTE(SUBSTITUTE('Project Cash Flows'!$H$15,"Not meaningful","n.m."),"inputs pending","pending"),"not included","excluded"))</f>
        <v>2.9802322387695314E-9</v>
      </c>
      <c r="G16" s="147" t="str">
        <f>IF(ISNUMBER('Project Cash Flows'!$I$15),'Project Cash Flows'!$I$15,SUBSTITUTE(SUBSTITUTE(SUBSTITUTE('Project Cash Flows'!$I$15,"Not meaningful","n.m."),"inputs pending","pending"),"not included","excluded"))</f>
        <v>n.m.</v>
      </c>
      <c r="H16" s="201">
        <f>IF(ISNUMBER('Project Cash Flows'!$J$15),'Project Cash Flows'!$J$15,SUBSTITUTE(SUBSTITUTE(SUBSTITUTE('Project Cash Flows'!$J$15,"Not meaningful","n.m."),"inputs pending","pending"),"not included","excluded"))</f>
        <v>5.3128921815205867</v>
      </c>
      <c r="I16" s="140">
        <f>'Capex &amp; Depreciation'!$E$12</f>
        <v>6.8095238095238102</v>
      </c>
      <c r="J16" s="140">
        <f>'Capex &amp; Depreciation'!$J$37</f>
        <v>0.32499999999999984</v>
      </c>
      <c r="K16" s="8" t="str">
        <f>Inputs!$I$68</f>
        <v>Included - both cases</v>
      </c>
      <c r="L16" s="8"/>
      <c r="M16" s="8"/>
      <c r="N16" s="8"/>
      <c r="O16" s="8"/>
      <c r="P16" s="8"/>
      <c r="Q16" s="8"/>
      <c r="R16" s="8"/>
      <c r="S16" s="8"/>
      <c r="T16" s="8"/>
    </row>
    <row r="17" spans="2:20" x14ac:dyDescent="0.25">
      <c r="B17" s="22" t="s">
        <v>555</v>
      </c>
      <c r="C17" s="146" t="str">
        <f>IF(Inputs!$H$69=1,"Yes","No")</f>
        <v>Yes</v>
      </c>
      <c r="D17" s="146" t="str">
        <f>IF(Inputs!$H$69=1,"FSL roll-forward","-")</f>
        <v>FSL roll-forward</v>
      </c>
      <c r="E17" s="144">
        <f>'Project Cash Flows'!$E$16</f>
        <v>457.70156997017023</v>
      </c>
      <c r="F17" s="147">
        <f>IF(ISNUMBER('Project Cash Flows'!$H$16),'Project Cash Flows'!$H$16,SUBSTITUTE(SUBSTITUTE(SUBSTITUTE('Project Cash Flows'!$H$16,"Not meaningful","n.m."),"inputs pending","pending"),"not included","excluded"))</f>
        <v>2.9802322387695314E-9</v>
      </c>
      <c r="G17" s="147">
        <f>IF(ISNUMBER('Project Cash Flows'!$I$16),'Project Cash Flows'!$I$16,SUBSTITUTE(SUBSTITUTE(SUBSTITUTE('Project Cash Flows'!$I$16,"Not meaningful","n.m."),"inputs pending","pending"),"not included","excluded"))</f>
        <v>0.85818659067153935</v>
      </c>
      <c r="H17" s="201">
        <f>IF(ISNUMBER('Project Cash Flows'!$J$16),'Project Cash Flows'!$J$16,SUBSTITUTE(SUBSTITUTE(SUBSTITUTE('Project Cash Flows'!$J$16,"Not meaningful","n.m."),"inputs pending","pending"),"not included","excluded"))</f>
        <v>4.6048911441534965</v>
      </c>
      <c r="I17" s="140">
        <f>'Capex &amp; Depreciation'!$E$13</f>
        <v>5.0245926836766097</v>
      </c>
      <c r="J17" s="140">
        <f>'Capex &amp; Depreciation'!$J$38</f>
        <v>2.5122963418383049</v>
      </c>
      <c r="K17" s="8" t="str">
        <f>Inputs!$I$69</f>
        <v>Included - both cases</v>
      </c>
      <c r="L17" s="8"/>
      <c r="M17" s="8"/>
      <c r="N17" s="8"/>
      <c r="O17" s="8"/>
      <c r="P17" s="8"/>
      <c r="Q17" s="8"/>
      <c r="R17" s="8"/>
      <c r="S17" s="8"/>
      <c r="T17" s="8"/>
    </row>
    <row r="18" spans="2:20" x14ac:dyDescent="0.25">
      <c r="B18" s="22" t="s">
        <v>559</v>
      </c>
      <c r="C18" s="146" t="str">
        <f>IF(Inputs!$H$70=1,"Yes","No")</f>
        <v>Yes</v>
      </c>
      <c r="D18" s="146" t="str">
        <f>IF(Inputs!$H$70=1,"FSL roll-forward","-")</f>
        <v>FSL roll-forward</v>
      </c>
      <c r="E18" s="144">
        <f>'Project Cash Flows'!$E$17</f>
        <v>-34.068728740804488</v>
      </c>
      <c r="F18" s="147" t="str">
        <f>IF(ISNUMBER('Project Cash Flows'!$H$17),'Project Cash Flows'!$H$17,SUBSTITUTE(SUBSTITUTE(SUBSTITUTE('Project Cash Flows'!$H$17,"Not meaningful","n.m."),"inputs pending","pending"),"not included","excluded"))</f>
        <v>n.m.</v>
      </c>
      <c r="G18" s="147">
        <f>IF(ISNUMBER('Project Cash Flows'!$I$17),'Project Cash Flows'!$I$17,SUBSTITUTE(SUBSTITUTE(SUBSTITUTE('Project Cash Flows'!$I$17,"Not meaningful","n.m."),"inputs pending","pending"),"not included","excluded"))</f>
        <v>8.2212656736373908E-3</v>
      </c>
      <c r="H18" s="201" t="str">
        <f>IF(ISNUMBER('Project Cash Flows'!$J$17),'Project Cash Flows'!$J$17,SUBSTITUTE(SUBSTITUTE(SUBSTITUTE('Project Cash Flows'!$J$17,"Not meaningful","n.m."),"inputs pending","pending"),"not included","excluded"))</f>
        <v>&gt; FY2036</v>
      </c>
      <c r="I18" s="140">
        <f>'Capex &amp; Depreciation'!$E$14</f>
        <v>14.0245926836766</v>
      </c>
      <c r="J18" s="140">
        <f>'Capex &amp; Depreciation'!$J$39</f>
        <v>6.9999999999999956</v>
      </c>
      <c r="K18" s="8" t="str">
        <f>Inputs!$I$70</f>
        <v>Included - both cases</v>
      </c>
      <c r="L18" s="8"/>
      <c r="M18" s="8"/>
      <c r="N18" s="8"/>
      <c r="O18" s="8"/>
      <c r="P18" s="8"/>
      <c r="Q18" s="8"/>
      <c r="R18" s="8"/>
      <c r="S18" s="8"/>
      <c r="T18" s="8"/>
    </row>
    <row r="19" spans="2:20" x14ac:dyDescent="0.25">
      <c r="B19" s="22" t="s">
        <v>562</v>
      </c>
      <c r="C19" s="146" t="str">
        <f>IF(Inputs!$H$71=1,"Yes","No")</f>
        <v>Yes</v>
      </c>
      <c r="D19" s="146" t="str">
        <f>IF(Inputs!$H$71=1,"FSL roll-forward","-")</f>
        <v>FSL roll-forward</v>
      </c>
      <c r="E19" s="144">
        <f>'Project Cash Flows'!$E$18</f>
        <v>5.3365172347108505</v>
      </c>
      <c r="F19" s="147" t="str">
        <f>IF(ISNUMBER('Project Cash Flows'!$H$18),'Project Cash Flows'!$H$18,SUBSTITUTE(SUBSTITUTE(SUBSTITUTE('Project Cash Flows'!$H$18,"Not meaningful","n.m."),"inputs pending","pending"),"not included","excluded"))</f>
        <v>n.m.</v>
      </c>
      <c r="G19" s="147" t="str">
        <f>IF(ISNUMBER('Project Cash Flows'!$I$18),'Project Cash Flows'!$I$18,SUBSTITUTE(SUBSTITUTE(SUBSTITUTE('Project Cash Flows'!$I$18,"Not meaningful","n.m."),"inputs pending","pending"),"not included","excluded"))</f>
        <v>n.m.</v>
      </c>
      <c r="H19" s="201" t="str">
        <f>IF(ISNUMBER('Project Cash Flows'!$J$18),'Project Cash Flows'!$J$18,SUBSTITUTE(SUBSTITUTE(SUBSTITUTE('Project Cash Flows'!$J$18,"Not meaningful","n.m."),"inputs pending","pending"),"not included","excluded"))</f>
        <v>n.m.</v>
      </c>
      <c r="I19" s="201" t="str">
        <f t="shared" ref="I19:J25" si="1">"-"</f>
        <v>-</v>
      </c>
      <c r="J19" s="201" t="str">
        <f t="shared" si="1"/>
        <v>-</v>
      </c>
      <c r="K19" s="8" t="str">
        <f>Inputs!$I$71</f>
        <v>Included - both cases</v>
      </c>
      <c r="L19" s="8"/>
      <c r="M19" s="8"/>
      <c r="N19" s="8"/>
      <c r="O19" s="8"/>
      <c r="P19" s="8"/>
      <c r="Q19" s="8"/>
      <c r="R19" s="8"/>
      <c r="S19" s="8"/>
      <c r="T19" s="8"/>
    </row>
    <row r="20" spans="2:20" x14ac:dyDescent="0.25">
      <c r="B20" s="22" t="s">
        <v>565</v>
      </c>
      <c r="C20" s="146" t="str">
        <f>IF(Inputs!$H$72=1,"Yes","No")</f>
        <v>Yes</v>
      </c>
      <c r="D20" s="146" t="str">
        <f>IF(Inputs!$H$72=1,"FSL roll-forward","-")</f>
        <v>FSL roll-forward</v>
      </c>
      <c r="E20" s="144">
        <f>'Project Cash Flows'!$E$19</f>
        <v>10.914604072390402</v>
      </c>
      <c r="F20" s="147" t="str">
        <f>IF(ISNUMBER('Project Cash Flows'!$H$19),'Project Cash Flows'!$H$19,SUBSTITUTE(SUBSTITUTE(SUBSTITUTE('Project Cash Flows'!$H$19,"Not meaningful","n.m."),"inputs pending","pending"),"not included","excluded"))</f>
        <v>n.m.</v>
      </c>
      <c r="G20" s="147" t="str">
        <f>IF(ISNUMBER('Project Cash Flows'!$I$19),'Project Cash Flows'!$I$19,SUBSTITUTE(SUBSTITUTE(SUBSTITUTE('Project Cash Flows'!$I$19,"Not meaningful","n.m."),"inputs pending","pending"),"not included","excluded"))</f>
        <v>n.m.</v>
      </c>
      <c r="H20" s="201" t="str">
        <f>IF(ISNUMBER('Project Cash Flows'!$J$19),'Project Cash Flows'!$J$19,SUBSTITUTE(SUBSTITUTE(SUBSTITUTE('Project Cash Flows'!$J$19,"Not meaningful","n.m."),"inputs pending","pending"),"not included","excluded"))</f>
        <v>n.m.</v>
      </c>
      <c r="I20" s="201" t="str">
        <f t="shared" si="1"/>
        <v>-</v>
      </c>
      <c r="J20" s="201" t="str">
        <f t="shared" si="1"/>
        <v>-</v>
      </c>
      <c r="K20" s="8" t="str">
        <f>Inputs!$I$72</f>
        <v>Included - both cases</v>
      </c>
      <c r="L20" s="8"/>
      <c r="M20" s="8"/>
      <c r="N20" s="8"/>
      <c r="O20" s="8"/>
      <c r="P20" s="8"/>
      <c r="Q20" s="8"/>
      <c r="R20" s="8"/>
      <c r="S20" s="8"/>
      <c r="T20" s="8"/>
    </row>
    <row r="21" spans="2:20" x14ac:dyDescent="0.25">
      <c r="B21" s="22" t="s">
        <v>568</v>
      </c>
      <c r="C21" s="146" t="str">
        <f>IF(Inputs!$H$73=1,"Yes","No")</f>
        <v>Yes</v>
      </c>
      <c r="D21" s="146" t="str">
        <f>IF(Inputs!$H$73=1,"FSL roll-forward","-")</f>
        <v>FSL roll-forward</v>
      </c>
      <c r="E21" s="144">
        <f>'Project Cash Flows'!$E$20</f>
        <v>3.8165408515806636</v>
      </c>
      <c r="F21" s="147" t="str">
        <f>IF(ISNUMBER('Project Cash Flows'!$H$20),'Project Cash Flows'!$H$20,SUBSTITUTE(SUBSTITUTE(SUBSTITUTE('Project Cash Flows'!$H$20,"Not meaningful","n.m."),"inputs pending","pending"),"not included","excluded"))</f>
        <v>n.m.</v>
      </c>
      <c r="G21" s="147" t="str">
        <f>IF(ISNUMBER('Project Cash Flows'!$I$20),'Project Cash Flows'!$I$20,SUBSTITUTE(SUBSTITUTE(SUBSTITUTE('Project Cash Flows'!$I$20,"Not meaningful","n.m."),"inputs pending","pending"),"not included","excluded"))</f>
        <v>n.m.</v>
      </c>
      <c r="H21" s="201" t="str">
        <f>IF(ISNUMBER('Project Cash Flows'!$J$20),'Project Cash Flows'!$J$20,SUBSTITUTE(SUBSTITUTE(SUBSTITUTE('Project Cash Flows'!$J$20,"Not meaningful","n.m."),"inputs pending","pending"),"not included","excluded"))</f>
        <v>n.m.</v>
      </c>
      <c r="I21" s="201" t="str">
        <f t="shared" si="1"/>
        <v>-</v>
      </c>
      <c r="J21" s="201" t="str">
        <f t="shared" si="1"/>
        <v>-</v>
      </c>
      <c r="K21" s="8" t="str">
        <f>Inputs!$I$73</f>
        <v>Included - both cases</v>
      </c>
      <c r="L21" s="8"/>
      <c r="M21" s="8"/>
      <c r="N21" s="8"/>
      <c r="O21" s="8"/>
      <c r="P21" s="8"/>
      <c r="Q21" s="8"/>
      <c r="R21" s="8"/>
      <c r="S21" s="8"/>
      <c r="T21" s="8"/>
    </row>
    <row r="22" spans="2:20" x14ac:dyDescent="0.25">
      <c r="B22" s="22" t="s">
        <v>570</v>
      </c>
      <c r="C22" s="146" t="str">
        <f>IF(Inputs!$H$74=1,"Yes","No")</f>
        <v>Yes</v>
      </c>
      <c r="D22" s="146" t="str">
        <f>IF(Inputs!$H$74=1,"FSL roll-forward","-")</f>
        <v>FSL roll-forward</v>
      </c>
      <c r="E22" s="144">
        <f>'Project Cash Flows'!$E$21</f>
        <v>3.2685071443575842</v>
      </c>
      <c r="F22" s="147" t="str">
        <f>IF(ISNUMBER('Project Cash Flows'!$H$21),'Project Cash Flows'!$H$21,SUBSTITUTE(SUBSTITUTE(SUBSTITUTE('Project Cash Flows'!$H$21,"Not meaningful","n.m."),"inputs pending","pending"),"not included","excluded"))</f>
        <v>n.m.</v>
      </c>
      <c r="G22" s="147" t="str">
        <f>IF(ISNUMBER('Project Cash Flows'!$I$21),'Project Cash Flows'!$I$21,SUBSTITUTE(SUBSTITUTE(SUBSTITUTE('Project Cash Flows'!$I$21,"Not meaningful","n.m."),"inputs pending","pending"),"not included","excluded"))</f>
        <v>n.m.</v>
      </c>
      <c r="H22" s="201" t="str">
        <f>IF(ISNUMBER('Project Cash Flows'!$J$21),'Project Cash Flows'!$J$21,SUBSTITUTE(SUBSTITUTE(SUBSTITUTE('Project Cash Flows'!$J$21,"Not meaningful","n.m."),"inputs pending","pending"),"not included","excluded"))</f>
        <v>n.m.</v>
      </c>
      <c r="I22" s="201" t="str">
        <f t="shared" si="1"/>
        <v>-</v>
      </c>
      <c r="J22" s="201" t="str">
        <f t="shared" si="1"/>
        <v>-</v>
      </c>
      <c r="K22" s="8" t="str">
        <f>Inputs!$I$74</f>
        <v>Included - both cases</v>
      </c>
      <c r="L22" s="8"/>
      <c r="M22" s="8"/>
      <c r="N22" s="8"/>
      <c r="O22" s="8"/>
      <c r="P22" s="8"/>
      <c r="Q22" s="8"/>
      <c r="R22" s="8"/>
      <c r="S22" s="8"/>
      <c r="T22" s="8"/>
    </row>
    <row r="23" spans="2:20" x14ac:dyDescent="0.25">
      <c r="B23" s="22" t="s">
        <v>572</v>
      </c>
      <c r="C23" s="146" t="str">
        <f>IF(Inputs!$H$75=1,"Yes","No")</f>
        <v>Yes</v>
      </c>
      <c r="D23" s="146" t="str">
        <f>IF(Inputs!$H$75=1,"FSL roll-forward","-")</f>
        <v>FSL roll-forward</v>
      </c>
      <c r="E23" s="144">
        <f>'Project Cash Flows'!$E$22</f>
        <v>256.27124768223746</v>
      </c>
      <c r="F23" s="147" t="str">
        <f>IF(ISNUMBER('Project Cash Flows'!$H$22),'Project Cash Flows'!$H$22,SUBSTITUTE(SUBSTITUTE(SUBSTITUTE('Project Cash Flows'!$H$22,"Not meaningful","n.m."),"inputs pending","pending"),"not included","excluded"))</f>
        <v>n.m.</v>
      </c>
      <c r="G23" s="147" t="str">
        <f>IF(ISNUMBER('Project Cash Flows'!$I$22),'Project Cash Flows'!$I$22,SUBSTITUTE(SUBSTITUTE(SUBSTITUTE('Project Cash Flows'!$I$22,"Not meaningful","n.m."),"inputs pending","pending"),"not included","excluded"))</f>
        <v>n.m.</v>
      </c>
      <c r="H23" s="201" t="str">
        <f>IF(ISNUMBER('Project Cash Flows'!$J$22),'Project Cash Flows'!$J$22,SUBSTITUTE(SUBSTITUTE(SUBSTITUTE('Project Cash Flows'!$J$22,"Not meaningful","n.m."),"inputs pending","pending"),"not included","excluded"))</f>
        <v>n.m.</v>
      </c>
      <c r="I23" s="201" t="str">
        <f t="shared" si="1"/>
        <v>-</v>
      </c>
      <c r="J23" s="201" t="str">
        <f t="shared" si="1"/>
        <v>-</v>
      </c>
      <c r="K23" s="8" t="str">
        <f>Inputs!$I$75</f>
        <v>Included - With BUMN case only</v>
      </c>
      <c r="L23" s="8"/>
      <c r="M23" s="8"/>
      <c r="N23" s="8"/>
      <c r="O23" s="8"/>
      <c r="P23" s="8"/>
      <c r="Q23" s="8"/>
      <c r="R23" s="8"/>
      <c r="S23" s="8"/>
      <c r="T23" s="8"/>
    </row>
    <row r="24" spans="2:20" x14ac:dyDescent="0.25">
      <c r="B24" s="22" t="s">
        <v>576</v>
      </c>
      <c r="C24" s="146" t="str">
        <f>IF(Inputs!$H$76=1,"Yes","No")</f>
        <v>Yes</v>
      </c>
      <c r="D24" s="146" t="str">
        <f>IF(Inputs!$H$76=1,"FSL roll-forward","-")</f>
        <v>FSL roll-forward</v>
      </c>
      <c r="E24" s="144">
        <f>'Project Cash Flows'!$E$23</f>
        <v>217.51833035468769</v>
      </c>
      <c r="F24" s="147" t="str">
        <f>IF(ISNUMBER('Project Cash Flows'!$H$23),'Project Cash Flows'!$H$23,SUBSTITUTE(SUBSTITUTE(SUBSTITUTE('Project Cash Flows'!$H$23,"Not meaningful","n.m."),"inputs pending","pending"),"not included","excluded"))</f>
        <v>n.m.</v>
      </c>
      <c r="G24" s="147" t="str">
        <f>IF(ISNUMBER('Project Cash Flows'!$I$23),'Project Cash Flows'!$I$23,SUBSTITUTE(SUBSTITUTE(SUBSTITUTE('Project Cash Flows'!$I$23,"Not meaningful","n.m."),"inputs pending","pending"),"not included","excluded"))</f>
        <v>n.m.</v>
      </c>
      <c r="H24" s="201" t="str">
        <f>IF(ISNUMBER('Project Cash Flows'!$J$23),'Project Cash Flows'!$J$23,SUBSTITUTE(SUBSTITUTE(SUBSTITUTE('Project Cash Flows'!$J$23,"Not meaningful","n.m."),"inputs pending","pending"),"not included","excluded"))</f>
        <v>n.m.</v>
      </c>
      <c r="I24" s="201" t="str">
        <f t="shared" si="1"/>
        <v>-</v>
      </c>
      <c r="J24" s="201" t="str">
        <f t="shared" si="1"/>
        <v>-</v>
      </c>
      <c r="K24" s="8" t="str">
        <f>Inputs!$I$76</f>
        <v>Included - With BUMN case only</v>
      </c>
      <c r="L24" s="8"/>
      <c r="M24" s="8"/>
      <c r="N24" s="8"/>
      <c r="O24" s="8"/>
      <c r="P24" s="8"/>
      <c r="Q24" s="8"/>
      <c r="R24" s="8"/>
      <c r="S24" s="8"/>
      <c r="T24" s="8"/>
    </row>
    <row r="25" spans="2:20" x14ac:dyDescent="0.25">
      <c r="B25" s="22" t="s">
        <v>579</v>
      </c>
      <c r="C25" s="146" t="str">
        <f>IF(Inputs!$H$77=1,"Yes","No")</f>
        <v>Yes</v>
      </c>
      <c r="D25" s="146" t="str">
        <f>IF(Inputs!$H$77=1,"FSL roll-forward","-")</f>
        <v>FSL roll-forward</v>
      </c>
      <c r="E25" s="144">
        <f>'Project Cash Flows'!$E$24</f>
        <v>58.302820048288865</v>
      </c>
      <c r="F25" s="147" t="str">
        <f>IF(ISNUMBER('Project Cash Flows'!$H$24),'Project Cash Flows'!$H$24,SUBSTITUTE(SUBSTITUTE(SUBSTITUTE('Project Cash Flows'!$H$24,"Not meaningful","n.m."),"inputs pending","pending"),"not included","excluded"))</f>
        <v>n.m.</v>
      </c>
      <c r="G25" s="147" t="str">
        <f>IF(ISNUMBER('Project Cash Flows'!$I$24),'Project Cash Flows'!$I$24,SUBSTITUTE(SUBSTITUTE(SUBSTITUTE('Project Cash Flows'!$I$24,"Not meaningful","n.m."),"inputs pending","pending"),"not included","excluded"))</f>
        <v>n.m.</v>
      </c>
      <c r="H25" s="201" t="str">
        <f>IF(ISNUMBER('Project Cash Flows'!$J$24),'Project Cash Flows'!$J$24,SUBSTITUTE(SUBSTITUTE(SUBSTITUTE('Project Cash Flows'!$J$24,"Not meaningful","n.m."),"inputs pending","pending"),"not included","excluded"))</f>
        <v>n.m.</v>
      </c>
      <c r="I25" s="201" t="str">
        <f t="shared" si="1"/>
        <v>-</v>
      </c>
      <c r="J25" s="201" t="str">
        <f t="shared" si="1"/>
        <v>-</v>
      </c>
      <c r="K25" s="8" t="str">
        <f>Inputs!$I$77</f>
        <v>Included - With BUMN case only</v>
      </c>
      <c r="L25" s="8"/>
      <c r="M25" s="8"/>
      <c r="N25" s="8"/>
      <c r="O25" s="8"/>
      <c r="P25" s="8"/>
      <c r="Q25" s="8"/>
      <c r="R25" s="8"/>
      <c r="S25" s="8"/>
      <c r="T25" s="8"/>
    </row>
    <row r="26" spans="2:20" x14ac:dyDescent="0.25">
      <c r="B26" s="22" t="s">
        <v>581</v>
      </c>
      <c r="C26" s="146" t="str">
        <f>IF(Inputs!$H$78=1,"Yes","No")</f>
        <v>No</v>
      </c>
      <c r="D26" s="146" t="str">
        <f>IF(Inputs!$H$78=1,"FSL roll-forward","-")</f>
        <v>-</v>
      </c>
      <c r="E26" s="144" t="str">
        <f>'Project Cash Flows'!$E$25</f>
        <v>not included</v>
      </c>
      <c r="F26" s="147" t="str">
        <f>IF(ISNUMBER('Project Cash Flows'!$H$25),'Project Cash Flows'!$H$25,SUBSTITUTE(SUBSTITUTE(SUBSTITUTE('Project Cash Flows'!$H$25,"Not meaningful","n.m."),"inputs pending","pending"),"not included","excluded"))</f>
        <v>excluded</v>
      </c>
      <c r="G26" s="147" t="str">
        <f>IF(ISNUMBER('Project Cash Flows'!$I$25),'Project Cash Flows'!$I$25,SUBSTITUTE(SUBSTITUTE(SUBSTITUTE('Project Cash Flows'!$I$25,"Not meaningful","n.m."),"inputs pending","pending"),"not included","excluded"))</f>
        <v>excluded</v>
      </c>
      <c r="H26" s="201" t="str">
        <f>IF(ISNUMBER('Project Cash Flows'!$J$25),'Project Cash Flows'!$J$25,SUBSTITUTE(SUBSTITUTE(SUBSTITUTE('Project Cash Flows'!$J$25,"Not meaningful","n.m."),"inputs pending","pending"),"not included","excluded"))</f>
        <v>excluded</v>
      </c>
      <c r="I26" s="140">
        <f>'Capex &amp; Depreciation'!$E$15</f>
        <v>0</v>
      </c>
      <c r="J26" s="140">
        <f>'Capex &amp; Depreciation'!$J$40</f>
        <v>0</v>
      </c>
      <c r="K26" s="8" t="str">
        <f>Inputs!$I$78</f>
        <v>Switched OFF</v>
      </c>
      <c r="L26" s="8"/>
      <c r="M26" s="8"/>
      <c r="N26" s="8"/>
      <c r="O26" s="8"/>
      <c r="P26" s="8"/>
      <c r="Q26" s="8"/>
      <c r="R26" s="8"/>
      <c r="S26" s="8"/>
      <c r="T26" s="8"/>
    </row>
    <row r="27" spans="2:20" x14ac:dyDescent="0.25">
      <c r="B27" s="22" t="str">
        <f>"P16  "&amp;Inputs!$E$605</f>
        <v>P16  Lampung</v>
      </c>
      <c r="C27" s="146" t="str">
        <f>IF(Inputs!$H$79=1,"Yes","No")</f>
        <v>No</v>
      </c>
      <c r="D27" s="146" t="str">
        <f>IF(Inputs!$H$79=1,"FSL roll-forward","-")</f>
        <v>-</v>
      </c>
      <c r="E27" s="144" t="str">
        <f>'Project Cash Flows'!$E$26</f>
        <v>inputs pending</v>
      </c>
      <c r="F27" s="147" t="str">
        <f>IF(ISNUMBER('Project Cash Flows'!$H$26),'Project Cash Flows'!$H$26,SUBSTITUTE(SUBSTITUTE(SUBSTITUTE('Project Cash Flows'!$H$26,"Not meaningful","n.m."),"inputs pending","pending"),"not included","excluded"))</f>
        <v>pending</v>
      </c>
      <c r="G27" s="147" t="str">
        <f>IF(ISNUMBER('Project Cash Flows'!$I$26),'Project Cash Flows'!$I$26,SUBSTITUTE(SUBSTITUTE(SUBSTITUTE('Project Cash Flows'!$I$26,"Not meaningful","n.m."),"inputs pending","pending"),"not included","excluded"))</f>
        <v>pending</v>
      </c>
      <c r="H27" s="201" t="str">
        <f>IF(ISNUMBER('Project Cash Flows'!$J$26),'Project Cash Flows'!$J$26,SUBSTITUTE(SUBSTITUTE(SUBSTITUTE('Project Cash Flows'!$J$26,"Not meaningful","n.m."),"inputs pending","pending"),"not included","excluded"))</f>
        <v>pending</v>
      </c>
      <c r="I27" s="140">
        <f>'Capex &amp; Depreciation'!$E$20</f>
        <v>0</v>
      </c>
      <c r="J27" s="140">
        <f>'Capex &amp; Depreciation'!$J$41</f>
        <v>0</v>
      </c>
      <c r="K27" s="8" t="str">
        <f>Inputs!$I$79</f>
        <v>Placeholder - inputs not yet populated (OFF)</v>
      </c>
      <c r="L27" s="8"/>
      <c r="M27" s="8"/>
      <c r="N27" s="8"/>
      <c r="O27" s="8"/>
      <c r="P27" s="8"/>
      <c r="Q27" s="8"/>
      <c r="R27" s="8"/>
      <c r="S27" s="8"/>
      <c r="T27" s="8"/>
    </row>
    <row r="28" spans="2:20" x14ac:dyDescent="0.25">
      <c r="B28" s="22" t="str">
        <f>"P17  "&amp;Inputs!$E$639</f>
        <v>P17  Pipeline Project 2</v>
      </c>
      <c r="C28" s="146" t="str">
        <f>IF(Inputs!$H$80=1,"Yes","No")</f>
        <v>No</v>
      </c>
      <c r="D28" s="146" t="str">
        <f>IF(Inputs!$H$80=1,"FSL roll-forward","-")</f>
        <v>-</v>
      </c>
      <c r="E28" s="144" t="str">
        <f>'Project Cash Flows'!$E$27</f>
        <v>inputs pending</v>
      </c>
      <c r="F28" s="147" t="str">
        <f>IF(ISNUMBER('Project Cash Flows'!$H$27),'Project Cash Flows'!$H$27,SUBSTITUTE(SUBSTITUTE(SUBSTITUTE('Project Cash Flows'!$H$27,"Not meaningful","n.m."),"inputs pending","pending"),"not included","excluded"))</f>
        <v>pending</v>
      </c>
      <c r="G28" s="147" t="str">
        <f>IF(ISNUMBER('Project Cash Flows'!$I$27),'Project Cash Flows'!$I$27,SUBSTITUTE(SUBSTITUTE(SUBSTITUTE('Project Cash Flows'!$I$27,"Not meaningful","n.m."),"inputs pending","pending"),"not included","excluded"))</f>
        <v>pending</v>
      </c>
      <c r="H28" s="201" t="str">
        <f>IF(ISNUMBER('Project Cash Flows'!$J$27),'Project Cash Flows'!$J$27,SUBSTITUTE(SUBSTITUTE(SUBSTITUTE('Project Cash Flows'!$J$27,"Not meaningful","n.m."),"inputs pending","pending"),"not included","excluded"))</f>
        <v>pending</v>
      </c>
      <c r="I28" s="140">
        <f>'Capex &amp; Depreciation'!$E$21</f>
        <v>0</v>
      </c>
      <c r="J28" s="140">
        <f>'Capex &amp; Depreciation'!$J$42</f>
        <v>0</v>
      </c>
      <c r="K28" s="8" t="str">
        <f>Inputs!$I$80</f>
        <v>Placeholder - inputs not yet populated (OFF)</v>
      </c>
      <c r="L28" s="8"/>
      <c r="M28" s="8"/>
      <c r="N28" s="8"/>
      <c r="O28" s="8"/>
      <c r="P28" s="8"/>
      <c r="Q28" s="8"/>
      <c r="R28" s="8"/>
      <c r="S28" s="8"/>
      <c r="T28" s="8"/>
    </row>
    <row r="29" spans="2:20" x14ac:dyDescent="0.25">
      <c r="B29" s="22" t="str">
        <f>"P18  "&amp;Inputs!$E$673</f>
        <v>P18  Pipeline Project 3</v>
      </c>
      <c r="C29" s="146" t="str">
        <f>IF(Inputs!$H$81=1,"Yes","No")</f>
        <v>No</v>
      </c>
      <c r="D29" s="146" t="str">
        <f>IF(Inputs!$H$81=1,"FSL roll-forward","-")</f>
        <v>-</v>
      </c>
      <c r="E29" s="144" t="str">
        <f>'Project Cash Flows'!$E$28</f>
        <v>inputs pending</v>
      </c>
      <c r="F29" s="147" t="str">
        <f>IF(ISNUMBER('Project Cash Flows'!$H$28),'Project Cash Flows'!$H$28,SUBSTITUTE(SUBSTITUTE(SUBSTITUTE('Project Cash Flows'!$H$28,"Not meaningful","n.m."),"inputs pending","pending"),"not included","excluded"))</f>
        <v>pending</v>
      </c>
      <c r="G29" s="147" t="str">
        <f>IF(ISNUMBER('Project Cash Flows'!$I$28),'Project Cash Flows'!$I$28,SUBSTITUTE(SUBSTITUTE(SUBSTITUTE('Project Cash Flows'!$I$28,"Not meaningful","n.m."),"inputs pending","pending"),"not included","excluded"))</f>
        <v>pending</v>
      </c>
      <c r="H29" s="201" t="str">
        <f>IF(ISNUMBER('Project Cash Flows'!$J$28),'Project Cash Flows'!$J$28,SUBSTITUTE(SUBSTITUTE(SUBSTITUTE('Project Cash Flows'!$J$28,"Not meaningful","n.m."),"inputs pending","pending"),"not included","excluded"))</f>
        <v>pending</v>
      </c>
      <c r="I29" s="140">
        <f>'Capex &amp; Depreciation'!$E$22</f>
        <v>0</v>
      </c>
      <c r="J29" s="140">
        <f>'Capex &amp; Depreciation'!$J$43</f>
        <v>0</v>
      </c>
      <c r="K29" s="8" t="str">
        <f>Inputs!$I$81</f>
        <v>Placeholder - inputs not yet populated (OFF)</v>
      </c>
      <c r="L29" s="8"/>
      <c r="M29" s="8"/>
      <c r="N29" s="8"/>
      <c r="O29" s="8"/>
      <c r="P29" s="8"/>
      <c r="Q29" s="8"/>
      <c r="R29" s="8"/>
      <c r="S29" s="8"/>
      <c r="T29" s="8"/>
    </row>
    <row r="30" spans="2:20" x14ac:dyDescent="0.25">
      <c r="B30" s="22" t="s">
        <v>3319</v>
      </c>
      <c r="C30" s="146" t="str">
        <f>IF(Inputs!$H$82=1,"Yes","No")</f>
        <v>Yes</v>
      </c>
      <c r="D30" s="146" t="str">
        <f>IF(Inputs!$H$82=1,"FSL roll-forward",IF(Inputs!$E$568=1,"Capex-only request","-"))</f>
        <v>FSL roll-forward</v>
      </c>
      <c r="E30" s="144">
        <f>'Project Cash Flows'!$E$379</f>
        <v>14.116098408150656</v>
      </c>
      <c r="F30" s="147">
        <f>IF(ISNUMBER('Project Cash Flows'!$E$380),'Project Cash Flows'!$E$380,SUBSTITUTE(SUBSTITUTE(SUBSTITUTE('Project Cash Flows'!$E$380,"Not meaningful","n.m."),"inputs pending","pending"),"not included","excluded"))</f>
        <v>2.9802322387695314E-9</v>
      </c>
      <c r="G30" s="147">
        <f>IF(ISNUMBER('Project Cash Flows'!$E$381),'Project Cash Flows'!$E$381,SUBSTITUTE(SUBSTITUTE(SUBSTITUTE('Project Cash Flows'!$E$381,"Not meaningful","n.m."),"inputs pending","pending"),"not included","excluded"))</f>
        <v>0.13550329804420469</v>
      </c>
      <c r="H30" s="201">
        <f>IF(ISNUMBER('Project Cash Flows'!$E$383),'Project Cash Flows'!$E$383,SUBSTITUTE(SUBSTITUTE(SUBSTITUTE('Project Cash Flows'!$E$383,"Not meaningful","n.m."),"inputs pending","pending"),"not included","excluded"))</f>
        <v>9.9532284857526889</v>
      </c>
      <c r="I30" s="140">
        <f>'Capex &amp; Depreciation'!$E$27</f>
        <v>10</v>
      </c>
      <c r="J30" s="140">
        <f>'Capex &amp; Depreciation'!$J$44</f>
        <v>10</v>
      </c>
      <c r="K30" s="8" t="str">
        <f>Inputs!$I$82</f>
        <v>Included in the valuation - DUMMY inputs (FS Data Request)</v>
      </c>
      <c r="L30" s="8"/>
      <c r="M30" s="8"/>
      <c r="N30" s="8"/>
      <c r="O30" s="8"/>
      <c r="P30" s="8"/>
      <c r="Q30" s="8"/>
      <c r="R30" s="8"/>
      <c r="S30" s="8"/>
      <c r="T30" s="8"/>
    </row>
    <row r="31" spans="2:20" x14ac:dyDescent="0.25">
      <c r="B31" s="22" t="str">
        <f>"F01  "&amp;IF(LEN(Inputs!$E$711&amp;"")=0,"funding-only project (blank)",Inputs!$E$711)</f>
        <v>F01  funding-only project (blank)</v>
      </c>
      <c r="C31" s="146" t="str">
        <f>"No"</f>
        <v>No</v>
      </c>
      <c r="D31" s="146" t="str">
        <f>IF(N(Inputs!$E$712)=0,"- (blank)",IF(Inputs!$E$714=1,"Capex-only request","-"))</f>
        <v>- (blank)</v>
      </c>
      <c r="E31" s="15" t="s">
        <v>3320</v>
      </c>
      <c r="I31" s="172">
        <f>N(Inputs!$E$712)</f>
        <v>0</v>
      </c>
      <c r="J31" s="172">
        <f>SUMPRODUCT(--('Revenue Calculation'!$H$7:$T$7&gt;Inputs!$E$560),'Capex &amp; Depreciation'!$H$341:$T$341)</f>
        <v>0</v>
      </c>
      <c r="K31" s="8" t="str">
        <f>IF(N(Inputs!$E$712)=0,"Blank - contributes nothing","Funding request only - never valued")</f>
        <v>Blank - contributes nothing</v>
      </c>
      <c r="L31" s="8"/>
      <c r="M31" s="8"/>
      <c r="N31" s="8"/>
      <c r="O31" s="8"/>
      <c r="P31" s="8"/>
      <c r="Q31" s="8"/>
      <c r="R31" s="8"/>
      <c r="S31" s="8"/>
      <c r="T31" s="8"/>
    </row>
    <row r="32" spans="2:20" x14ac:dyDescent="0.25">
      <c r="B32" s="22" t="str">
        <f>"F02  "&amp;IF(LEN(Inputs!$E$716&amp;"")=0,"funding-only project (blank)",Inputs!$E$716)</f>
        <v>F02  funding-only project (blank)</v>
      </c>
      <c r="C32" s="146" t="str">
        <f>"No"</f>
        <v>No</v>
      </c>
      <c r="D32" s="146" t="str">
        <f>IF(N(Inputs!$E$717)=0,"- (blank)",IF(Inputs!$E$719=1,"Capex-only request","-"))</f>
        <v>- (blank)</v>
      </c>
      <c r="E32" s="15" t="s">
        <v>3320</v>
      </c>
      <c r="I32" s="172">
        <f>N(Inputs!$E$717)</f>
        <v>0</v>
      </c>
      <c r="J32" s="172">
        <f>SUMPRODUCT(--('Revenue Calculation'!$H$7:$T$7&gt;Inputs!$E$560),'Capex &amp; Depreciation'!$H$342:$T$342)</f>
        <v>0</v>
      </c>
      <c r="K32" s="8" t="str">
        <f>IF(N(Inputs!$E$717)=0,"Blank - contributes nothing","Funding request only - never valued")</f>
        <v>Blank - contributes nothing</v>
      </c>
      <c r="L32" s="8"/>
      <c r="M32" s="8"/>
      <c r="N32" s="8"/>
      <c r="O32" s="8"/>
      <c r="P32" s="8"/>
      <c r="Q32" s="8"/>
      <c r="R32" s="8"/>
      <c r="S32" s="8"/>
      <c r="T32" s="8"/>
    </row>
    <row r="33" spans="2:20" x14ac:dyDescent="0.25">
      <c r="B33" s="22" t="str">
        <f>"F03  "&amp;IF(LEN(Inputs!$E$721&amp;"")=0,"funding-only project (blank)",Inputs!$E$721)</f>
        <v>F03  funding-only project (blank)</v>
      </c>
      <c r="C33" s="146" t="str">
        <f>"No"</f>
        <v>No</v>
      </c>
      <c r="D33" s="146" t="str">
        <f>IF(N(Inputs!$E$722)=0,"- (blank)",IF(Inputs!$E$724=1,"Capex-only request","-"))</f>
        <v>- (blank)</v>
      </c>
      <c r="E33" s="15" t="s">
        <v>3320</v>
      </c>
      <c r="I33" s="172">
        <f>N(Inputs!$E$722)</f>
        <v>0</v>
      </c>
      <c r="J33" s="172">
        <f>SUMPRODUCT(--('Revenue Calculation'!$H$7:$T$7&gt;Inputs!$E$560),'Capex &amp; Depreciation'!$H$343:$T$343)</f>
        <v>0</v>
      </c>
      <c r="K33" s="8" t="str">
        <f>IF(N(Inputs!$E$722)=0,"Blank - contributes nothing","Funding request only - never valued")</f>
        <v>Blank - contributes nothing</v>
      </c>
      <c r="L33" s="8"/>
      <c r="M33" s="8"/>
      <c r="N33" s="8"/>
      <c r="O33" s="8"/>
      <c r="P33" s="8"/>
      <c r="Q33" s="8"/>
      <c r="R33" s="8"/>
      <c r="S33" s="8"/>
      <c r="T33" s="8"/>
    </row>
    <row r="34" spans="2:20" x14ac:dyDescent="0.25">
      <c r="B34" s="22" t="str">
        <f>"F04  "&amp;IF(LEN(Inputs!$E$726&amp;"")=0,"funding-only project (blank)",Inputs!$E$726)</f>
        <v>F04  funding-only project (blank)</v>
      </c>
      <c r="C34" s="146" t="str">
        <f>"No"</f>
        <v>No</v>
      </c>
      <c r="D34" s="146" t="str">
        <f>IF(N(Inputs!$E$727)=0,"- (blank)",IF(Inputs!$E$729=1,"Capex-only request","-"))</f>
        <v>- (blank)</v>
      </c>
      <c r="E34" s="15" t="s">
        <v>3320</v>
      </c>
      <c r="I34" s="172">
        <f>N(Inputs!$E$727)</f>
        <v>0</v>
      </c>
      <c r="J34" s="172">
        <f>SUMPRODUCT(--('Revenue Calculation'!$H$7:$T$7&gt;Inputs!$E$560),'Capex &amp; Depreciation'!$H$344:$T$344)</f>
        <v>0</v>
      </c>
      <c r="K34" s="8" t="str">
        <f>IF(N(Inputs!$E$727)=0,"Blank - contributes nothing","Funding request only - never valued")</f>
        <v>Blank - contributes nothing</v>
      </c>
      <c r="L34" s="8"/>
      <c r="M34" s="8"/>
      <c r="N34" s="8"/>
      <c r="O34" s="8"/>
      <c r="P34" s="8"/>
      <c r="Q34" s="8"/>
      <c r="R34" s="8"/>
      <c r="S34" s="8"/>
      <c r="T34" s="8"/>
    </row>
    <row r="35" spans="2:20" x14ac:dyDescent="0.25">
      <c r="B35" s="22" t="str">
        <f>"F05  "&amp;IF(LEN(Inputs!$E$731&amp;"")=0,"funding-only project (blank)",Inputs!$E$731)</f>
        <v>F05  funding-only project (blank)</v>
      </c>
      <c r="C35" s="146" t="str">
        <f>"No"</f>
        <v>No</v>
      </c>
      <c r="D35" s="146" t="str">
        <f>IF(N(Inputs!$E$732)=0,"- (blank)",IF(Inputs!$E$734=1,"Capex-only request","-"))</f>
        <v>- (blank)</v>
      </c>
      <c r="E35" s="15" t="s">
        <v>3320</v>
      </c>
      <c r="I35" s="172">
        <f>N(Inputs!$E$732)</f>
        <v>0</v>
      </c>
      <c r="J35" s="172">
        <f>SUMPRODUCT(--('Revenue Calculation'!$H$7:$T$7&gt;Inputs!$E$560),'Capex &amp; Depreciation'!$H$345:$T$345)</f>
        <v>0</v>
      </c>
      <c r="K35" s="8" t="str">
        <f>IF(N(Inputs!$E$732)=0,"Blank - contributes nothing","Funding request only - never valued")</f>
        <v>Blank - contributes nothing</v>
      </c>
      <c r="L35" s="8"/>
      <c r="M35" s="8"/>
      <c r="N35" s="8"/>
      <c r="O35" s="8"/>
      <c r="P35" s="8"/>
      <c r="Q35" s="8"/>
      <c r="R35" s="8"/>
      <c r="S35" s="8"/>
      <c r="T35" s="8"/>
    </row>
    <row r="36" spans="2:20" x14ac:dyDescent="0.25">
      <c r="B36" s="145" t="s">
        <v>3321</v>
      </c>
    </row>
    <row r="38" spans="2:20" x14ac:dyDescent="0.25">
      <c r="B38" s="58" t="s">
        <v>3322</v>
      </c>
      <c r="C38" s="19"/>
      <c r="D38" s="19"/>
      <c r="E38" s="19"/>
      <c r="F38" s="19"/>
      <c r="G38" s="19"/>
      <c r="H38" s="19"/>
      <c r="I38" s="19"/>
      <c r="J38" s="19"/>
      <c r="K38" s="19"/>
      <c r="L38" s="19"/>
      <c r="M38" s="19"/>
      <c r="N38" s="19"/>
      <c r="O38" s="19"/>
      <c r="P38" s="19"/>
      <c r="Q38" s="19"/>
      <c r="R38" s="19"/>
      <c r="S38" s="19"/>
      <c r="T38" s="19"/>
    </row>
    <row r="39" spans="2:20" x14ac:dyDescent="0.25">
      <c r="B39" s="70" t="s">
        <v>1690</v>
      </c>
      <c r="D39" s="130" t="str">
        <f>"Existing business - included in both cases"</f>
        <v>Existing business - included in both cases</v>
      </c>
      <c r="M39" s="202" t="s">
        <v>3323</v>
      </c>
      <c r="N39" s="203">
        <f>Inputs!$H$60</f>
        <v>1</v>
      </c>
    </row>
    <row r="40" spans="2:20" x14ac:dyDescent="0.25">
      <c r="B40" s="163" t="s">
        <v>3324</v>
      </c>
    </row>
    <row r="41" spans="2:20" x14ac:dyDescent="0.25">
      <c r="B41" s="23" t="s">
        <v>3325</v>
      </c>
      <c r="C41" s="28" t="s">
        <v>630</v>
      </c>
      <c r="H41" s="48">
        <f>'Revenue Calculation'!H38</f>
        <v>3666225.2759999996</v>
      </c>
      <c r="I41" s="48">
        <f>'Revenue Calculation'!I38</f>
        <v>3776212.0342799998</v>
      </c>
      <c r="J41" s="48">
        <f>'Revenue Calculation'!J38</f>
        <v>3889498.3953083996</v>
      </c>
      <c r="K41" s="48">
        <f>'Revenue Calculation'!K38</f>
        <v>4006183.3471676521</v>
      </c>
      <c r="L41" s="48">
        <f>'Revenue Calculation'!L38</f>
        <v>4126368.847582682</v>
      </c>
      <c r="M41" s="48">
        <f>'Revenue Calculation'!M38</f>
        <v>4250159.9130101623</v>
      </c>
      <c r="N41" s="48">
        <f>'Revenue Calculation'!N38</f>
        <v>4377664.7104004677</v>
      </c>
      <c r="O41" s="48">
        <f>'Revenue Calculation'!O38</f>
        <v>4508994.6517124819</v>
      </c>
      <c r="P41" s="48">
        <f>'Revenue Calculation'!P38</f>
        <v>4644264.4912638562</v>
      </c>
      <c r="Q41" s="48">
        <f>'Revenue Calculation'!Q38</f>
        <v>4783592.4260017723</v>
      </c>
      <c r="R41" s="48">
        <f>'Revenue Calculation'!R38</f>
        <v>4927100.1987818247</v>
      </c>
      <c r="S41" s="48">
        <f>'Revenue Calculation'!S38</f>
        <v>5074913.2047452796</v>
      </c>
      <c r="T41" s="48">
        <f>'Revenue Calculation'!T38</f>
        <v>5227160.6008876376</v>
      </c>
    </row>
    <row r="42" spans="2:20" x14ac:dyDescent="0.25">
      <c r="B42" s="23" t="s">
        <v>3326</v>
      </c>
      <c r="C42" s="28" t="s">
        <v>647</v>
      </c>
      <c r="H42" s="48">
        <f>'Revenue Calculation'!H40</f>
        <v>42400</v>
      </c>
      <c r="I42" s="48">
        <f>'Revenue Calculation'!I40</f>
        <v>42400</v>
      </c>
      <c r="J42" s="48">
        <f>'Revenue Calculation'!J40</f>
        <v>42400</v>
      </c>
      <c r="K42" s="48">
        <f>'Revenue Calculation'!K40</f>
        <v>42400</v>
      </c>
      <c r="L42" s="48">
        <f>'Revenue Calculation'!L40</f>
        <v>42400</v>
      </c>
      <c r="M42" s="48">
        <f>'Revenue Calculation'!M40</f>
        <v>43672</v>
      </c>
      <c r="N42" s="48">
        <f>'Revenue Calculation'!N40</f>
        <v>43672</v>
      </c>
      <c r="O42" s="48">
        <f>'Revenue Calculation'!O40</f>
        <v>43672</v>
      </c>
      <c r="P42" s="48">
        <f>'Revenue Calculation'!P40</f>
        <v>44982.16</v>
      </c>
      <c r="Q42" s="48">
        <f>'Revenue Calculation'!Q40</f>
        <v>44982.16</v>
      </c>
      <c r="R42" s="48">
        <f>'Revenue Calculation'!R40</f>
        <v>44982.16</v>
      </c>
      <c r="S42" s="48">
        <f>'Revenue Calculation'!S40</f>
        <v>44982.16</v>
      </c>
      <c r="T42" s="48">
        <f>'Revenue Calculation'!T40</f>
        <v>44982.16</v>
      </c>
    </row>
    <row r="43" spans="2:20" x14ac:dyDescent="0.25">
      <c r="B43" s="23" t="s">
        <v>3327</v>
      </c>
      <c r="C43" s="28" t="s">
        <v>647</v>
      </c>
      <c r="H43" s="48">
        <f>'Revenue Calculation'!H39</f>
        <v>42880</v>
      </c>
      <c r="I43" s="48">
        <f>'Revenue Calculation'!I39</f>
        <v>42880</v>
      </c>
      <c r="J43" s="48">
        <f>'Revenue Calculation'!J39</f>
        <v>42880</v>
      </c>
      <c r="K43" s="48">
        <f>'Revenue Calculation'!K39</f>
        <v>42880</v>
      </c>
      <c r="L43" s="48">
        <f>'Revenue Calculation'!L39</f>
        <v>42880</v>
      </c>
      <c r="M43" s="48">
        <f>'Revenue Calculation'!M39</f>
        <v>44166.400000000001</v>
      </c>
      <c r="N43" s="48">
        <f>'Revenue Calculation'!N39</f>
        <v>44166.400000000001</v>
      </c>
      <c r="O43" s="48">
        <f>'Revenue Calculation'!O39</f>
        <v>44166.400000000001</v>
      </c>
      <c r="P43" s="48">
        <f>'Revenue Calculation'!P39</f>
        <v>45491.392</v>
      </c>
      <c r="Q43" s="48">
        <f>'Revenue Calculation'!Q39</f>
        <v>45491.392</v>
      </c>
      <c r="R43" s="48">
        <f>'Revenue Calculation'!R39</f>
        <v>45491.392</v>
      </c>
      <c r="S43" s="48">
        <f>'Revenue Calculation'!S39</f>
        <v>45491.392</v>
      </c>
      <c r="T43" s="48">
        <f>'Revenue Calculation'!T39</f>
        <v>45491.392</v>
      </c>
    </row>
    <row r="44" spans="2:20" x14ac:dyDescent="0.25">
      <c r="B44" s="163" t="s">
        <v>3328</v>
      </c>
    </row>
    <row r="45" spans="2:20" x14ac:dyDescent="0.25">
      <c r="B45" s="21" t="s">
        <v>3329</v>
      </c>
      <c r="C45" s="28" t="s">
        <v>493</v>
      </c>
      <c r="H45" s="26">
        <f>'Revenue Calculation'!H41</f>
        <v>156.43850421456</v>
      </c>
      <c r="I45" s="26">
        <f>'Revenue Calculation'!I41</f>
        <v>161.1316593409968</v>
      </c>
      <c r="J45" s="26">
        <f>'Revenue Calculation'!J41</f>
        <v>165.96560912122669</v>
      </c>
      <c r="K45" s="26">
        <f>'Revenue Calculation'!K41</f>
        <v>170.9445773948635</v>
      </c>
      <c r="L45" s="26">
        <f>'Revenue Calculation'!L41</f>
        <v>176.07291471670942</v>
      </c>
      <c r="M45" s="26">
        <f>'Revenue Calculation'!M41</f>
        <v>186.79575522295704</v>
      </c>
      <c r="N45" s="26">
        <f>'Revenue Calculation'!N41</f>
        <v>192.39962787964575</v>
      </c>
      <c r="O45" s="26">
        <f>'Revenue Calculation'!O41</f>
        <v>198.17161671603512</v>
      </c>
      <c r="P45" s="26">
        <f>'Revenue Calculation'!P41</f>
        <v>210.24026817404169</v>
      </c>
      <c r="Q45" s="26">
        <f>'Revenue Calculation'!Q41</f>
        <v>216.54747621926293</v>
      </c>
      <c r="R45" s="26">
        <f>'Revenue Calculation'!R41</f>
        <v>223.04390050584081</v>
      </c>
      <c r="S45" s="26">
        <f>'Revenue Calculation'!S41</f>
        <v>229.73521752101604</v>
      </c>
      <c r="T45" s="26">
        <f>'Revenue Calculation'!T41</f>
        <v>236.62727404664653</v>
      </c>
    </row>
    <row r="46" spans="2:20" x14ac:dyDescent="0.25">
      <c r="B46" s="23" t="s">
        <v>3330</v>
      </c>
      <c r="C46" s="28" t="s">
        <v>493</v>
      </c>
      <c r="H46" s="159">
        <f>-'Cost Calculation'!H33</f>
        <v>-29.933805281840399</v>
      </c>
      <c r="I46" s="159">
        <f>-'Cost Calculation'!I33</f>
        <v>-31.312242106439154</v>
      </c>
      <c r="J46" s="159">
        <f>-'Cost Calculation'!J33</f>
        <v>-32.782572849455804</v>
      </c>
      <c r="K46" s="159">
        <f>-'Cost Calculation'!K33</f>
        <v>-34.306045674162604</v>
      </c>
      <c r="L46" s="159">
        <f>-'Cost Calculation'!L33</f>
        <v>-35.908036070326666</v>
      </c>
      <c r="M46" s="159">
        <f>-'Cost Calculation'!M33</f>
        <v>-37.61415295892467</v>
      </c>
      <c r="N46" s="159">
        <f>-'Cost Calculation'!N33</f>
        <v>-39.386345581558281</v>
      </c>
      <c r="O46" s="159">
        <f>-'Cost Calculation'!O33</f>
        <v>-41.250731961836813</v>
      </c>
      <c r="P46" s="159">
        <f>-'Cost Calculation'!P33</f>
        <v>-43.23370751086707</v>
      </c>
      <c r="Q46" s="159">
        <f>-'Cost Calculation'!Q33</f>
        <v>-45.298054570196072</v>
      </c>
      <c r="R46" s="159">
        <f>-'Cost Calculation'!R33</f>
        <v>-47.4707736888776</v>
      </c>
      <c r="S46" s="159">
        <f>-'Cost Calculation'!S33</f>
        <v>-49.75789291241454</v>
      </c>
      <c r="T46" s="159">
        <f>-'Cost Calculation'!T33</f>
        <v>-52.165789713765669</v>
      </c>
    </row>
    <row r="47" spans="2:20" x14ac:dyDescent="0.25">
      <c r="B47" s="23" t="s">
        <v>3331</v>
      </c>
      <c r="C47" s="28" t="s">
        <v>493</v>
      </c>
      <c r="H47" s="159">
        <f>-'Cost Calculation'!H34</f>
        <v>-13.993896484164592</v>
      </c>
      <c r="I47" s="159">
        <f>-'Cost Calculation'!I34</f>
        <v>-14.400581615140439</v>
      </c>
      <c r="J47" s="159">
        <f>-'Cost Calculation'!J34</f>
        <v>-14.819204664774587</v>
      </c>
      <c r="K47" s="159">
        <f>-'Cost Calculation'!K34</f>
        <v>-15.250118517921356</v>
      </c>
      <c r="L47" s="159">
        <f>-'Cost Calculation'!L34</f>
        <v>-15.693686540926597</v>
      </c>
      <c r="M47" s="159">
        <f>-'Cost Calculation'!M34</f>
        <v>-16.150282893971351</v>
      </c>
      <c r="N47" s="159">
        <f>-'Cost Calculation'!N34</f>
        <v>-16.620292852743781</v>
      </c>
      <c r="O47" s="159">
        <f>-'Cost Calculation'!O34</f>
        <v>-17.104113139718446</v>
      </c>
      <c r="P47" s="159">
        <f>-'Cost Calculation'!P34</f>
        <v>-17.602152265330204</v>
      </c>
      <c r="Q47" s="159">
        <f>-'Cost Calculation'!Q34</f>
        <v>-18.114830879338726</v>
      </c>
      <c r="R47" s="159">
        <f>-'Cost Calculation'!R34</f>
        <v>-18.642582132688467</v>
      </c>
      <c r="S47" s="159">
        <f>-'Cost Calculation'!S34</f>
        <v>-19.185852050178095</v>
      </c>
      <c r="T47" s="159">
        <f>-'Cost Calculation'!T34</f>
        <v>-19.7450999142626</v>
      </c>
    </row>
    <row r="48" spans="2:20" x14ac:dyDescent="0.25">
      <c r="B48" s="21" t="s">
        <v>3221</v>
      </c>
      <c r="C48" s="28" t="s">
        <v>493</v>
      </c>
      <c r="H48" s="26">
        <f>'Cost Calculation'!H35</f>
        <v>112.51080244855501</v>
      </c>
      <c r="I48" s="26">
        <f>'Cost Calculation'!I35</f>
        <v>115.41883561941721</v>
      </c>
      <c r="J48" s="26">
        <f>'Cost Calculation'!J35</f>
        <v>118.36383160699631</v>
      </c>
      <c r="K48" s="26">
        <f>'Cost Calculation'!K35</f>
        <v>121.38841320277953</v>
      </c>
      <c r="L48" s="26">
        <f>'Cost Calculation'!L35</f>
        <v>124.47119210545617</v>
      </c>
      <c r="M48" s="26">
        <f>'Cost Calculation'!M35</f>
        <v>133.031319370061</v>
      </c>
      <c r="N48" s="26">
        <f>'Cost Calculation'!N35</f>
        <v>136.39298944534369</v>
      </c>
      <c r="O48" s="26">
        <f>'Cost Calculation'!O35</f>
        <v>139.81677161447988</v>
      </c>
      <c r="P48" s="26">
        <f>'Cost Calculation'!P35</f>
        <v>149.40440839784441</v>
      </c>
      <c r="Q48" s="26">
        <f>'Cost Calculation'!Q35</f>
        <v>153.13459076972811</v>
      </c>
      <c r="R48" s="26">
        <f>'Cost Calculation'!R35</f>
        <v>156.93054468427476</v>
      </c>
      <c r="S48" s="26">
        <f>'Cost Calculation'!S35</f>
        <v>160.79147255842341</v>
      </c>
      <c r="T48" s="26">
        <f>'Cost Calculation'!T35</f>
        <v>164.71638441861828</v>
      </c>
    </row>
    <row r="49" spans="2:20" x14ac:dyDescent="0.25">
      <c r="B49" s="23" t="s">
        <v>3332</v>
      </c>
      <c r="C49" s="28" t="s">
        <v>493</v>
      </c>
      <c r="H49" s="159">
        <f>-'Capex &amp; Depreciation'!H231</f>
        <v>-41.740782175912301</v>
      </c>
      <c r="I49" s="159">
        <f>-'Capex &amp; Depreciation'!I231</f>
        <v>-41.746256305782097</v>
      </c>
      <c r="J49" s="159">
        <f>-'Capex &amp; Depreciation'!J231</f>
        <v>-42.751839918249296</v>
      </c>
      <c r="K49" s="159">
        <f>-'Capex &amp; Depreciation'!K231</f>
        <v>-42.757535202965833</v>
      </c>
      <c r="L49" s="159">
        <f>-'Capex &amp; Depreciation'!L231</f>
        <v>-42.763344393376705</v>
      </c>
      <c r="M49" s="159">
        <f>-'Capex &amp; Depreciation'!M231</f>
        <v>-43.769269767595794</v>
      </c>
      <c r="N49" s="159">
        <f>-'Capex &amp; Depreciation'!N231</f>
        <v>-43.775313649299264</v>
      </c>
      <c r="O49" s="159">
        <f>-'Capex &amp; Depreciation'!O231</f>
        <v>-43.781478408636801</v>
      </c>
      <c r="P49" s="159">
        <f>-'Capex &amp; Depreciation'!P231</f>
        <v>-44.787766463161091</v>
      </c>
      <c r="Q49" s="159">
        <f>-'Capex &amp; Depreciation'!Q231</f>
        <v>-44.794180278775869</v>
      </c>
      <c r="R49" s="159">
        <f>-'Capex &amp; Depreciation'!R231</f>
        <v>-44.800722370702942</v>
      </c>
      <c r="S49" s="159">
        <f>-'Capex &amp; Depreciation'!S231</f>
        <v>-44.80739530446855</v>
      </c>
      <c r="T49" s="159">
        <f>-'Capex &amp; Depreciation'!T231</f>
        <v>-44.814201696909478</v>
      </c>
    </row>
    <row r="50" spans="2:20" x14ac:dyDescent="0.25">
      <c r="B50" s="21" t="s">
        <v>3333</v>
      </c>
      <c r="C50" s="28" t="s">
        <v>493</v>
      </c>
      <c r="H50" s="26">
        <f>'Project Cash Flows'!H56</f>
        <v>70.770020272642711</v>
      </c>
      <c r="I50" s="26">
        <f>'Project Cash Flows'!I56</f>
        <v>73.672579313635111</v>
      </c>
      <c r="J50" s="26">
        <f>'Project Cash Flows'!J56</f>
        <v>75.611991688747025</v>
      </c>
      <c r="K50" s="26">
        <f>'Project Cash Flows'!K56</f>
        <v>78.630877999813691</v>
      </c>
      <c r="L50" s="26">
        <f>'Project Cash Flows'!L56</f>
        <v>81.707847712079456</v>
      </c>
      <c r="M50" s="26">
        <f>'Project Cash Flows'!M56</f>
        <v>89.262049602465197</v>
      </c>
      <c r="N50" s="26">
        <f>'Project Cash Flows'!N56</f>
        <v>92.617675796044423</v>
      </c>
      <c r="O50" s="26">
        <f>'Project Cash Flows'!O56</f>
        <v>96.035293205843075</v>
      </c>
      <c r="P50" s="26">
        <f>'Project Cash Flows'!P56</f>
        <v>104.61664193468332</v>
      </c>
      <c r="Q50" s="26">
        <f>'Project Cash Flows'!Q56</f>
        <v>108.34041049095224</v>
      </c>
      <c r="R50" s="26">
        <f>'Project Cash Flows'!R56</f>
        <v>112.12982231357182</v>
      </c>
      <c r="S50" s="26">
        <f>'Project Cash Flows'!S56</f>
        <v>115.98407725395487</v>
      </c>
      <c r="T50" s="26">
        <f>'Project Cash Flows'!T56</f>
        <v>119.9021827217088</v>
      </c>
    </row>
    <row r="51" spans="2:20" x14ac:dyDescent="0.25">
      <c r="B51" s="23" t="s">
        <v>3334</v>
      </c>
      <c r="C51" s="28" t="s">
        <v>493</v>
      </c>
      <c r="H51" s="159">
        <f>-'Project Cash Flows'!H57</f>
        <v>0</v>
      </c>
      <c r="I51" s="159">
        <f>-'Project Cash Flows'!I57</f>
        <v>0</v>
      </c>
      <c r="J51" s="159">
        <f>-'Project Cash Flows'!J57</f>
        <v>0</v>
      </c>
      <c r="K51" s="159">
        <f>-'Project Cash Flows'!K57</f>
        <v>0</v>
      </c>
      <c r="L51" s="159">
        <f>-'Project Cash Flows'!L57</f>
        <v>0</v>
      </c>
      <c r="M51" s="159">
        <f>-'Project Cash Flows'!M57</f>
        <v>0</v>
      </c>
      <c r="N51" s="159">
        <f>-'Project Cash Flows'!N57</f>
        <v>0</v>
      </c>
      <c r="O51" s="159">
        <f>-'Project Cash Flows'!O57</f>
        <v>0</v>
      </c>
      <c r="P51" s="159">
        <f>-'Project Cash Flows'!P57</f>
        <v>0</v>
      </c>
      <c r="Q51" s="159">
        <f>-'Project Cash Flows'!Q57</f>
        <v>0</v>
      </c>
      <c r="R51" s="159">
        <f>-'Project Cash Flows'!R57</f>
        <v>0</v>
      </c>
      <c r="S51" s="159">
        <f>-'Project Cash Flows'!S57</f>
        <v>0</v>
      </c>
      <c r="T51" s="159">
        <f>-'Project Cash Flows'!T57</f>
        <v>0</v>
      </c>
    </row>
    <row r="52" spans="2:20" x14ac:dyDescent="0.25">
      <c r="B52" s="23" t="s">
        <v>3335</v>
      </c>
      <c r="C52" s="28" t="s">
        <v>493</v>
      </c>
      <c r="H52" s="159">
        <f>-'Project Cash Flows'!H58</f>
        <v>-15.569404459981396</v>
      </c>
      <c r="I52" s="159">
        <f>-'Project Cash Flows'!I58</f>
        <v>-16.207967448999725</v>
      </c>
      <c r="J52" s="159">
        <f>-'Project Cash Flows'!J58</f>
        <v>-16.634638171524347</v>
      </c>
      <c r="K52" s="159">
        <f>-'Project Cash Flows'!K58</f>
        <v>-17.298793159959011</v>
      </c>
      <c r="L52" s="159">
        <f>-'Project Cash Flows'!L58</f>
        <v>-17.975726496657479</v>
      </c>
      <c r="M52" s="159">
        <f>-'Project Cash Flows'!M58</f>
        <v>-19.637650912542345</v>
      </c>
      <c r="N52" s="159">
        <f>-'Project Cash Flows'!N58</f>
        <v>-20.375888675129772</v>
      </c>
      <c r="O52" s="159">
        <f>-'Project Cash Flows'!O58</f>
        <v>-21.127764505285477</v>
      </c>
      <c r="P52" s="159">
        <f>-'Project Cash Flows'!P58</f>
        <v>-23.015661225630328</v>
      </c>
      <c r="Q52" s="159">
        <f>-'Project Cash Flows'!Q58</f>
        <v>-23.834890308009491</v>
      </c>
      <c r="R52" s="159">
        <f>-'Project Cash Flows'!R58</f>
        <v>-24.6685609089858</v>
      </c>
      <c r="S52" s="159">
        <f>-'Project Cash Flows'!S58</f>
        <v>-25.516496995870071</v>
      </c>
      <c r="T52" s="159">
        <f>-'Project Cash Flows'!T58</f>
        <v>-26.378480198775936</v>
      </c>
    </row>
    <row r="53" spans="2:20" x14ac:dyDescent="0.25">
      <c r="B53" s="21" t="s">
        <v>3336</v>
      </c>
      <c r="C53" s="28" t="s">
        <v>493</v>
      </c>
      <c r="H53" s="26">
        <f>'Project Cash Flows'!H59</f>
        <v>55.200615812661312</v>
      </c>
      <c r="I53" s="26">
        <f>'Project Cash Flows'!I59</f>
        <v>57.464611864635387</v>
      </c>
      <c r="J53" s="26">
        <f>'Project Cash Flows'!J59</f>
        <v>58.977353517222681</v>
      </c>
      <c r="K53" s="26">
        <f>'Project Cash Flows'!K59</f>
        <v>61.33208483985468</v>
      </c>
      <c r="L53" s="26">
        <f>'Project Cash Flows'!L59</f>
        <v>63.732121215421977</v>
      </c>
      <c r="M53" s="26">
        <f>'Project Cash Flows'!M59</f>
        <v>69.624398689922856</v>
      </c>
      <c r="N53" s="26">
        <f>'Project Cash Flows'!N59</f>
        <v>72.241787120914651</v>
      </c>
      <c r="O53" s="26">
        <f>'Project Cash Flows'!O59</f>
        <v>74.907528700557606</v>
      </c>
      <c r="P53" s="26">
        <f>'Project Cash Flows'!P59</f>
        <v>81.60098070905299</v>
      </c>
      <c r="Q53" s="26">
        <f>'Project Cash Flows'!Q59</f>
        <v>84.505520182942746</v>
      </c>
      <c r="R53" s="26">
        <f>'Project Cash Flows'!R59</f>
        <v>87.461261404586025</v>
      </c>
      <c r="S53" s="26">
        <f>'Project Cash Flows'!S59</f>
        <v>90.467580258084794</v>
      </c>
      <c r="T53" s="26">
        <f>'Project Cash Flows'!T59</f>
        <v>93.523702522932865</v>
      </c>
    </row>
    <row r="54" spans="2:20" x14ac:dyDescent="0.25">
      <c r="B54" s="163" t="s">
        <v>3337</v>
      </c>
    </row>
    <row r="55" spans="2:20" x14ac:dyDescent="0.25">
      <c r="B55" s="23" t="s">
        <v>3338</v>
      </c>
      <c r="C55" s="28" t="s">
        <v>493</v>
      </c>
      <c r="G55" s="29">
        <f>'Capex &amp; Depreciation'!G285</f>
        <v>327.325840159427</v>
      </c>
      <c r="H55" s="29">
        <f>'Capex &amp; Depreciation'!H285</f>
        <v>285.58505798351473</v>
      </c>
      <c r="I55" s="29">
        <f>'Capex &amp; Depreciation'!I285</f>
        <v>243.83880167773265</v>
      </c>
      <c r="J55" s="29">
        <f>'Capex &amp; Depreciation'!J285</f>
        <v>201.08696175948336</v>
      </c>
      <c r="K55" s="29">
        <f>'Capex &amp; Depreciation'!K285</f>
        <v>158.32942655651752</v>
      </c>
      <c r="L55" s="29">
        <f>'Capex &amp; Depreciation'!L285</f>
        <v>115.56608216314081</v>
      </c>
      <c r="M55" s="29">
        <f>'Capex &amp; Depreciation'!M285</f>
        <v>71.796812395545004</v>
      </c>
      <c r="N55" s="29">
        <f>'Capex &amp; Depreciation'!N285</f>
        <v>28.02149874624574</v>
      </c>
      <c r="O55" s="29">
        <f>'Capex &amp; Depreciation'!O285</f>
        <v>-15.759979662391061</v>
      </c>
      <c r="P55" s="29">
        <f>'Capex &amp; Depreciation'!P285</f>
        <v>-60.547746125552152</v>
      </c>
      <c r="Q55" s="29">
        <f>'Capex &amp; Depreciation'!Q285</f>
        <v>-105.34192640432802</v>
      </c>
      <c r="R55" s="29">
        <f>'Capex &amp; Depreciation'!R285</f>
        <v>-150.14264877503098</v>
      </c>
      <c r="S55" s="29">
        <f>'Capex &amp; Depreciation'!S285</f>
        <v>-194.95004407949952</v>
      </c>
      <c r="T55" s="29">
        <f>'Capex &amp; Depreciation'!T285</f>
        <v>-239.76424577640898</v>
      </c>
    </row>
    <row r="56" spans="2:20" x14ac:dyDescent="0.25">
      <c r="B56" s="23" t="s">
        <v>3339</v>
      </c>
      <c r="C56" s="28" t="s">
        <v>493</v>
      </c>
      <c r="G56" s="159">
        <v>0</v>
      </c>
      <c r="H56" s="29">
        <f>'Working Capital'!H13</f>
        <v>19.234242321462297</v>
      </c>
      <c r="I56" s="29">
        <f>'Working Capital'!I13</f>
        <v>19.865547042040703</v>
      </c>
      <c r="J56" s="29">
        <f>'Working Capital'!J13</f>
        <v>20.461513453301922</v>
      </c>
      <c r="K56" s="29">
        <f>'Working Capital'!K13</f>
        <v>21.07535885690098</v>
      </c>
      <c r="L56" s="29">
        <f>'Working Capital'!L13</f>
        <v>21.648309186480667</v>
      </c>
      <c r="M56" s="29">
        <f>'Working Capital'!M13</f>
        <v>23.029613657624843</v>
      </c>
      <c r="N56" s="29">
        <f>'Working Capital'!N13</f>
        <v>23.720502067353586</v>
      </c>
      <c r="O56" s="29">
        <f>'Working Capital'!O13</f>
        <v>24.432117129374191</v>
      </c>
      <c r="P56" s="29">
        <f>'Working Capital'!P13</f>
        <v>25.84921330008709</v>
      </c>
      <c r="Q56" s="29">
        <f>'Working Capital'!Q13</f>
        <v>26.697634054429678</v>
      </c>
      <c r="R56" s="29">
        <f>'Working Capital'!R13</f>
        <v>27.498563076062563</v>
      </c>
      <c r="S56" s="29">
        <f>'Working Capital'!S13</f>
        <v>28.323519968344442</v>
      </c>
      <c r="T56" s="29">
        <f>'Working Capital'!T13</f>
        <v>29.093517300817194</v>
      </c>
    </row>
    <row r="57" spans="2:20" x14ac:dyDescent="0.25">
      <c r="B57" s="23" t="s">
        <v>3340</v>
      </c>
      <c r="C57" s="28" t="s">
        <v>493</v>
      </c>
      <c r="G57" s="159">
        <v>0</v>
      </c>
      <c r="H57" s="159">
        <f>-'Working Capital'!H14</f>
        <v>-2.4535905968721639</v>
      </c>
      <c r="I57" s="159">
        <f>-'Working Capital'!I14</f>
        <v>-2.5736089402552729</v>
      </c>
      <c r="J57" s="159">
        <f>-'Working Capital'!J14</f>
        <v>-2.6944580424210249</v>
      </c>
      <c r="K57" s="159">
        <f>-'Working Capital'!K14</f>
        <v>-2.819674986917474</v>
      </c>
      <c r="L57" s="159">
        <f>-'Working Capital'!L14</f>
        <v>-2.9432816451087427</v>
      </c>
      <c r="M57" s="159">
        <f>-'Working Capital'!M14</f>
        <v>-3.0915742158020274</v>
      </c>
      <c r="N57" s="159">
        <f>-'Working Capital'!N14</f>
        <v>-3.2372338834157488</v>
      </c>
      <c r="O57" s="159">
        <f>-'Working Capital'!O14</f>
        <v>-3.3904711201509712</v>
      </c>
      <c r="P57" s="159">
        <f>-'Working Capital'!P14</f>
        <v>-3.5437465172841862</v>
      </c>
      <c r="Q57" s="159">
        <f>-'Working Capital'!Q14</f>
        <v>-3.7231277728928278</v>
      </c>
      <c r="R57" s="159">
        <f>-'Working Capital'!R14</f>
        <v>-3.9017074264830907</v>
      </c>
      <c r="S57" s="159">
        <f>-'Working Capital'!S14</f>
        <v>-4.089689828417634</v>
      </c>
      <c r="T57" s="159">
        <f>-'Working Capital'!T14</f>
        <v>-4.2758844027676775</v>
      </c>
    </row>
    <row r="58" spans="2:20" x14ac:dyDescent="0.25">
      <c r="B58" s="21" t="s">
        <v>3341</v>
      </c>
      <c r="C58" s="28" t="s">
        <v>493</v>
      </c>
      <c r="G58" s="26">
        <f>'Capex &amp; Depreciation'!G285</f>
        <v>327.325840159427</v>
      </c>
      <c r="H58" s="160">
        <f>'Capex &amp; Depreciation'!H285+'Working Capital'!H15</f>
        <v>302.36570970810487</v>
      </c>
      <c r="I58" s="160">
        <f>'Capex &amp; Depreciation'!I285+'Working Capital'!I15</f>
        <v>261.13073977951808</v>
      </c>
      <c r="J58" s="160">
        <f>'Capex &amp; Depreciation'!J285+'Working Capital'!J15</f>
        <v>218.85401717036424</v>
      </c>
      <c r="K58" s="160">
        <f>'Capex &amp; Depreciation'!K285+'Working Capital'!K15</f>
        <v>176.58511042650102</v>
      </c>
      <c r="L58" s="160">
        <f>'Capex &amp; Depreciation'!L285+'Working Capital'!L15</f>
        <v>134.27110970451272</v>
      </c>
      <c r="M58" s="160">
        <f>'Capex &amp; Depreciation'!M285+'Working Capital'!M15</f>
        <v>91.734851837367813</v>
      </c>
      <c r="N58" s="160">
        <f>'Capex &amp; Depreciation'!N285+'Working Capital'!N15</f>
        <v>48.504766930183578</v>
      </c>
      <c r="O58" s="160">
        <f>'Capex &amp; Depreciation'!O285+'Working Capital'!O15</f>
        <v>5.2816663468321607</v>
      </c>
      <c r="P58" s="160">
        <f>'Capex &amp; Depreciation'!P285+'Working Capital'!P15</f>
        <v>-38.242279342749249</v>
      </c>
      <c r="Q58" s="160">
        <f>'Capex &amp; Depreciation'!Q285+'Working Capital'!Q15</f>
        <v>-82.367420122791174</v>
      </c>
      <c r="R58" s="160">
        <f>'Capex &amp; Depreciation'!R285+'Working Capital'!R15</f>
        <v>-126.5457931254515</v>
      </c>
      <c r="S58" s="160">
        <f>'Capex &amp; Depreciation'!S285+'Working Capital'!S15</f>
        <v>-170.7162139395727</v>
      </c>
      <c r="T58" s="160">
        <f>'Capex &amp; Depreciation'!T285+'Working Capital'!T15</f>
        <v>-214.94661287835947</v>
      </c>
    </row>
    <row r="59" spans="2:20" x14ac:dyDescent="0.25">
      <c r="B59" s="163" t="s">
        <v>3342</v>
      </c>
    </row>
    <row r="60" spans="2:20" x14ac:dyDescent="0.25">
      <c r="B60" s="23" t="s">
        <v>3221</v>
      </c>
      <c r="C60" s="28" t="s">
        <v>493</v>
      </c>
      <c r="H60" s="29">
        <f>'Project Cash Flows'!H55</f>
        <v>112.51080244855501</v>
      </c>
      <c r="I60" s="29">
        <f>'Project Cash Flows'!I55</f>
        <v>115.41883561941721</v>
      </c>
      <c r="J60" s="29">
        <f>'Project Cash Flows'!J55</f>
        <v>118.36383160699631</v>
      </c>
      <c r="K60" s="29">
        <f>'Project Cash Flows'!K55</f>
        <v>121.38841320277953</v>
      </c>
      <c r="L60" s="29">
        <f>'Project Cash Flows'!L55</f>
        <v>124.47119210545617</v>
      </c>
      <c r="M60" s="29">
        <f>'Project Cash Flows'!M55</f>
        <v>133.031319370061</v>
      </c>
      <c r="N60" s="29">
        <f>'Project Cash Flows'!N55</f>
        <v>136.39298944534369</v>
      </c>
      <c r="O60" s="29">
        <f>'Project Cash Flows'!O55</f>
        <v>139.81677161447988</v>
      </c>
      <c r="P60" s="29">
        <f>'Project Cash Flows'!P55</f>
        <v>149.40440839784441</v>
      </c>
      <c r="Q60" s="29">
        <f>'Project Cash Flows'!Q55</f>
        <v>153.13459076972811</v>
      </c>
      <c r="R60" s="29">
        <f>'Project Cash Flows'!R55</f>
        <v>156.93054468427476</v>
      </c>
      <c r="S60" s="29">
        <f>'Project Cash Flows'!S55</f>
        <v>160.79147255842341</v>
      </c>
      <c r="T60" s="29">
        <f>'Project Cash Flows'!T55</f>
        <v>164.71638441861828</v>
      </c>
    </row>
    <row r="61" spans="2:20" x14ac:dyDescent="0.25">
      <c r="B61" s="23" t="s">
        <v>3343</v>
      </c>
      <c r="C61" s="28" t="s">
        <v>493</v>
      </c>
      <c r="H61" s="29">
        <f>'Project Cash Flows'!H60</f>
        <v>-15.569404459981396</v>
      </c>
      <c r="I61" s="29">
        <f>'Project Cash Flows'!I60</f>
        <v>-16.207967448999725</v>
      </c>
      <c r="J61" s="29">
        <f>'Project Cash Flows'!J60</f>
        <v>-16.634638171524347</v>
      </c>
      <c r="K61" s="29">
        <f>'Project Cash Flows'!K60</f>
        <v>-17.298793159959011</v>
      </c>
      <c r="L61" s="29">
        <f>'Project Cash Flows'!L60</f>
        <v>-17.975726496657479</v>
      </c>
      <c r="M61" s="29">
        <f>'Project Cash Flows'!M60</f>
        <v>-19.637650912542345</v>
      </c>
      <c r="N61" s="29">
        <f>'Project Cash Flows'!N60</f>
        <v>-20.375888675129772</v>
      </c>
      <c r="O61" s="29">
        <f>'Project Cash Flows'!O60</f>
        <v>-21.127764505285477</v>
      </c>
      <c r="P61" s="29">
        <f>'Project Cash Flows'!P60</f>
        <v>-23.015661225630328</v>
      </c>
      <c r="Q61" s="29">
        <f>'Project Cash Flows'!Q60</f>
        <v>-23.834890308009491</v>
      </c>
      <c r="R61" s="29">
        <f>'Project Cash Flows'!R60</f>
        <v>-24.6685609089858</v>
      </c>
      <c r="S61" s="29">
        <f>'Project Cash Flows'!S60</f>
        <v>-25.516496995870071</v>
      </c>
      <c r="T61" s="29">
        <f>'Project Cash Flows'!T60</f>
        <v>-26.378480198775936</v>
      </c>
    </row>
    <row r="62" spans="2:20" x14ac:dyDescent="0.25">
      <c r="B62" s="23" t="s">
        <v>3227</v>
      </c>
      <c r="C62" s="28" t="s">
        <v>493</v>
      </c>
      <c r="H62" s="29">
        <f>'Project Cash Flows'!H61</f>
        <v>0</v>
      </c>
      <c r="I62" s="29">
        <f>'Project Cash Flows'!I61</f>
        <v>0</v>
      </c>
      <c r="J62" s="29">
        <f>'Project Cash Flows'!J61</f>
        <v>0</v>
      </c>
      <c r="K62" s="29">
        <f>'Project Cash Flows'!K61</f>
        <v>0</v>
      </c>
      <c r="L62" s="29">
        <f>'Project Cash Flows'!L61</f>
        <v>0</v>
      </c>
      <c r="M62" s="29">
        <f>'Project Cash Flows'!M61</f>
        <v>0</v>
      </c>
      <c r="N62" s="29">
        <f>'Project Cash Flows'!N61</f>
        <v>0</v>
      </c>
      <c r="O62" s="29">
        <f>'Project Cash Flows'!O61</f>
        <v>0</v>
      </c>
      <c r="P62" s="29">
        <f>'Project Cash Flows'!P61</f>
        <v>0</v>
      </c>
      <c r="Q62" s="29">
        <f>'Project Cash Flows'!Q61</f>
        <v>0</v>
      </c>
      <c r="R62" s="29">
        <f>'Project Cash Flows'!R61</f>
        <v>0</v>
      </c>
      <c r="S62" s="29">
        <f>'Project Cash Flows'!S61</f>
        <v>0</v>
      </c>
      <c r="T62" s="29">
        <f>'Project Cash Flows'!T61</f>
        <v>0</v>
      </c>
    </row>
    <row r="63" spans="2:20" x14ac:dyDescent="0.25">
      <c r="B63" s="23" t="s">
        <v>3228</v>
      </c>
      <c r="C63" s="28" t="s">
        <v>493</v>
      </c>
      <c r="H63" s="29">
        <f>'Project Cash Flows'!H62</f>
        <v>-16.780651724590133</v>
      </c>
      <c r="I63" s="29">
        <f>'Project Cash Flows'!I62</f>
        <v>-0.51128637719529735</v>
      </c>
      <c r="J63" s="29">
        <f>'Project Cash Flows'!J62</f>
        <v>-0.47511730909546657</v>
      </c>
      <c r="K63" s="29">
        <f>'Project Cash Flows'!K62</f>
        <v>-0.48862845910261044</v>
      </c>
      <c r="L63" s="29">
        <f>'Project Cash Flows'!L62</f>
        <v>-0.4493436713884158</v>
      </c>
      <c r="M63" s="29">
        <f>'Project Cash Flows'!M62</f>
        <v>-1.2330119004508937</v>
      </c>
      <c r="N63" s="29">
        <f>'Project Cash Flows'!N62</f>
        <v>-0.5452287421150217</v>
      </c>
      <c r="O63" s="29">
        <f>'Project Cash Flows'!O62</f>
        <v>-0.55837782528538327</v>
      </c>
      <c r="P63" s="29">
        <f>'Project Cash Flows'!P62</f>
        <v>-1.2638207735796811</v>
      </c>
      <c r="Q63" s="29">
        <f>'Project Cash Flows'!Q62</f>
        <v>-0.66903949873394808</v>
      </c>
      <c r="R63" s="29">
        <f>'Project Cash Flows'!R62</f>
        <v>-0.62234936804262375</v>
      </c>
      <c r="S63" s="29">
        <f>'Project Cash Flows'!S62</f>
        <v>-0.63697449034733467</v>
      </c>
      <c r="T63" s="29">
        <f>'Project Cash Flows'!T62</f>
        <v>-0.5838027581227081</v>
      </c>
    </row>
    <row r="64" spans="2:20" x14ac:dyDescent="0.25">
      <c r="B64" s="21" t="s">
        <v>3344</v>
      </c>
      <c r="C64" s="28" t="s">
        <v>493</v>
      </c>
      <c r="H64" s="26">
        <f>'Project Cash Flows'!H63</f>
        <v>80.160746263983484</v>
      </c>
      <c r="I64" s="26">
        <f>'Project Cash Flows'!I63</f>
        <v>98.699581793222194</v>
      </c>
      <c r="J64" s="26">
        <f>'Project Cash Flows'!J63</f>
        <v>101.2540761263765</v>
      </c>
      <c r="K64" s="26">
        <f>'Project Cash Flows'!K63</f>
        <v>103.6009915837179</v>
      </c>
      <c r="L64" s="26">
        <f>'Project Cash Flows'!L63</f>
        <v>106.04612193741028</v>
      </c>
      <c r="M64" s="26">
        <f>'Project Cash Flows'!M63</f>
        <v>112.16065655706777</v>
      </c>
      <c r="N64" s="26">
        <f>'Project Cash Flows'!N63</f>
        <v>115.47187202809889</v>
      </c>
      <c r="O64" s="26">
        <f>'Project Cash Flows'!O63</f>
        <v>118.130629283909</v>
      </c>
      <c r="P64" s="26">
        <f>'Project Cash Flows'!P63</f>
        <v>125.1249263986344</v>
      </c>
      <c r="Q64" s="26">
        <f>'Project Cash Flows'!Q63</f>
        <v>128.63066096298465</v>
      </c>
      <c r="R64" s="26">
        <f>'Project Cash Flows'!R63</f>
        <v>131.63963440724635</v>
      </c>
      <c r="S64" s="26">
        <f>'Project Cash Flows'!S63</f>
        <v>134.63800107220598</v>
      </c>
      <c r="T64" s="26">
        <f>'Project Cash Flows'!T63</f>
        <v>137.75410146171961</v>
      </c>
    </row>
    <row r="65" spans="2:20" x14ac:dyDescent="0.25">
      <c r="B65" s="23" t="s">
        <v>3345</v>
      </c>
      <c r="C65" s="28" t="s">
        <v>493</v>
      </c>
      <c r="G65" s="29">
        <f>'Project Cash Flows'!G66</f>
        <v>0</v>
      </c>
      <c r="H65" s="29">
        <f>'Project Cash Flows'!H66</f>
        <v>80.160746263983484</v>
      </c>
      <c r="I65" s="29">
        <f>'Project Cash Flows'!I66</f>
        <v>178.86032805720566</v>
      </c>
      <c r="J65" s="29">
        <f>'Project Cash Flows'!J66</f>
        <v>280.11440418358217</v>
      </c>
      <c r="K65" s="29">
        <f>'Project Cash Flows'!K66</f>
        <v>383.71539576730004</v>
      </c>
      <c r="L65" s="29">
        <f>'Project Cash Flows'!L66</f>
        <v>489.76151770471029</v>
      </c>
      <c r="M65" s="29">
        <f>'Project Cash Flows'!M66</f>
        <v>601.92217426177808</v>
      </c>
      <c r="N65" s="29">
        <f>'Project Cash Flows'!N66</f>
        <v>717.394046289877</v>
      </c>
      <c r="O65" s="29">
        <f>'Project Cash Flows'!O66</f>
        <v>835.524675573786</v>
      </c>
      <c r="P65" s="29">
        <f>'Project Cash Flows'!P66</f>
        <v>960.64960197242044</v>
      </c>
      <c r="Q65" s="29">
        <f>'Project Cash Flows'!Q66</f>
        <v>1089.2802629354051</v>
      </c>
      <c r="R65" s="29">
        <f>'Project Cash Flows'!R66</f>
        <v>1220.9198973426514</v>
      </c>
      <c r="S65" s="29">
        <f>'Project Cash Flows'!S66</f>
        <v>1355.5578984148574</v>
      </c>
      <c r="T65" s="29">
        <f>'Project Cash Flows'!T66</f>
        <v>1493.3119998765769</v>
      </c>
    </row>
    <row r="66" spans="2:20" x14ac:dyDescent="0.25">
      <c r="B66" s="163" t="s">
        <v>3346</v>
      </c>
    </row>
    <row r="67" spans="2:20" x14ac:dyDescent="0.25">
      <c r="B67" s="23" t="s">
        <v>3347</v>
      </c>
      <c r="C67" s="28" t="s">
        <v>493</v>
      </c>
      <c r="H67" s="29">
        <f>'Capex &amp; Depreciation'!H258</f>
        <v>0</v>
      </c>
      <c r="I67" s="29">
        <f>'Capex &amp; Depreciation'!I258</f>
        <v>0</v>
      </c>
      <c r="J67" s="29">
        <f>'Capex &amp; Depreciation'!J258</f>
        <v>0</v>
      </c>
      <c r="K67" s="29">
        <f>'Capex &amp; Depreciation'!K258</f>
        <v>0</v>
      </c>
      <c r="L67" s="29">
        <f>'Capex &amp; Depreciation'!L258</f>
        <v>0</v>
      </c>
      <c r="M67" s="29">
        <f>'Capex &amp; Depreciation'!M258</f>
        <v>0</v>
      </c>
      <c r="N67" s="29">
        <f>'Capex &amp; Depreciation'!N258</f>
        <v>0</v>
      </c>
      <c r="O67" s="29">
        <f>'Capex &amp; Depreciation'!O258</f>
        <v>0</v>
      </c>
      <c r="P67" s="29">
        <f>'Capex &amp; Depreciation'!P258</f>
        <v>0</v>
      </c>
      <c r="Q67" s="29">
        <f>'Capex &amp; Depreciation'!Q258</f>
        <v>0</v>
      </c>
      <c r="R67" s="29">
        <f>'Capex &amp; Depreciation'!R258</f>
        <v>0</v>
      </c>
      <c r="S67" s="29">
        <f>'Capex &amp; Depreciation'!S258</f>
        <v>0</v>
      </c>
      <c r="T67" s="29">
        <f>'Capex &amp; Depreciation'!T258</f>
        <v>0</v>
      </c>
    </row>
    <row r="68" spans="2:20" x14ac:dyDescent="0.25">
      <c r="B68" s="163" t="s">
        <v>3348</v>
      </c>
    </row>
    <row r="69" spans="2:20" x14ac:dyDescent="0.25">
      <c r="B69" s="44" t="s">
        <v>3349</v>
      </c>
      <c r="D69" s="204">
        <f>'Project Cash Flows'!$E$7</f>
        <v>1124.4287688697959</v>
      </c>
      <c r="H69" s="44" t="s">
        <v>3176</v>
      </c>
      <c r="K69" s="205" t="str">
        <f>'Project Cash Flows'!$H$7</f>
        <v>Not meaningful</v>
      </c>
      <c r="N69" s="44" t="s">
        <v>3350</v>
      </c>
      <c r="Q69" s="205" t="str">
        <f>'Project Cash Flows'!$I$7</f>
        <v>Not meaningful</v>
      </c>
    </row>
    <row r="70" spans="2:20" x14ac:dyDescent="0.25">
      <c r="B70" s="44" t="s">
        <v>3180</v>
      </c>
      <c r="D70" s="205" t="str">
        <f>'Project Cash Flows'!$L$7</f>
        <v>n/a</v>
      </c>
      <c r="H70" s="44" t="s">
        <v>3351</v>
      </c>
      <c r="K70" s="206" t="str">
        <f>'Project Cash Flows'!$J$7</f>
        <v>Not meaningful</v>
      </c>
      <c r="N70" s="44" t="s">
        <v>3179</v>
      </c>
      <c r="Q70" s="204" t="str">
        <f>'Project Cash Flows'!$K$7</f>
        <v>Not meaningful</v>
      </c>
    </row>
    <row r="72" spans="2:20" x14ac:dyDescent="0.25">
      <c r="B72" s="58" t="s">
        <v>3352</v>
      </c>
      <c r="C72" s="19"/>
      <c r="D72" s="19"/>
      <c r="E72" s="19"/>
      <c r="F72" s="19"/>
      <c r="G72" s="19"/>
      <c r="H72" s="19"/>
      <c r="I72" s="19"/>
      <c r="J72" s="19"/>
      <c r="K72" s="19"/>
      <c r="L72" s="19"/>
      <c r="M72" s="19"/>
      <c r="N72" s="19"/>
      <c r="O72" s="19"/>
      <c r="P72" s="19"/>
      <c r="Q72" s="19"/>
      <c r="R72" s="19"/>
      <c r="S72" s="19"/>
      <c r="T72" s="19"/>
    </row>
    <row r="73" spans="2:20" x14ac:dyDescent="0.25">
      <c r="B73" s="70" t="s">
        <v>1690</v>
      </c>
      <c r="D73" s="130" t="str">
        <f>"Existing business - included in both cases"</f>
        <v>Existing business - included in both cases</v>
      </c>
      <c r="M73" s="202" t="s">
        <v>3323</v>
      </c>
      <c r="N73" s="203">
        <f>Inputs!$H$61</f>
        <v>1</v>
      </c>
    </row>
    <row r="74" spans="2:20" x14ac:dyDescent="0.25">
      <c r="B74" s="163" t="s">
        <v>3324</v>
      </c>
    </row>
    <row r="75" spans="2:20" x14ac:dyDescent="0.25">
      <c r="B75" s="23" t="s">
        <v>3353</v>
      </c>
      <c r="C75" s="28" t="s">
        <v>630</v>
      </c>
      <c r="H75" s="48">
        <f>'Revenue Calculation'!H45</f>
        <v>1100000</v>
      </c>
      <c r="I75" s="48">
        <f>'Revenue Calculation'!I45</f>
        <v>1133000</v>
      </c>
      <c r="J75" s="48">
        <f>'Revenue Calculation'!J45</f>
        <v>1166990</v>
      </c>
      <c r="K75" s="48">
        <f>'Revenue Calculation'!K45</f>
        <v>1201999.7</v>
      </c>
      <c r="L75" s="48">
        <f>'Revenue Calculation'!L45</f>
        <v>1238059.6910000001</v>
      </c>
      <c r="M75" s="48">
        <f>'Revenue Calculation'!M45</f>
        <v>1275201.4817300001</v>
      </c>
      <c r="N75" s="48">
        <f>'Revenue Calculation'!N45</f>
        <v>1313457.5261819002</v>
      </c>
      <c r="O75" s="48">
        <f>'Revenue Calculation'!O45</f>
        <v>1352861.2519673572</v>
      </c>
      <c r="P75" s="48">
        <f>'Revenue Calculation'!P45</f>
        <v>1393447.0895263781</v>
      </c>
      <c r="Q75" s="48">
        <f>'Revenue Calculation'!Q45</f>
        <v>1435250.5022121693</v>
      </c>
      <c r="R75" s="48">
        <f>'Revenue Calculation'!R45</f>
        <v>1478308.0172785344</v>
      </c>
      <c r="S75" s="48">
        <f>'Revenue Calculation'!S45</f>
        <v>1522657.2577968906</v>
      </c>
      <c r="T75" s="48">
        <f>'Revenue Calculation'!T45</f>
        <v>1568336.9755307971</v>
      </c>
    </row>
    <row r="76" spans="2:20" x14ac:dyDescent="0.25">
      <c r="B76" s="23" t="s">
        <v>3354</v>
      </c>
      <c r="C76" s="28" t="s">
        <v>647</v>
      </c>
      <c r="H76" s="48">
        <f>'Revenue Calculation'!H46</f>
        <v>35143.599999999999</v>
      </c>
      <c r="I76" s="48">
        <f>'Revenue Calculation'!I46</f>
        <v>40944</v>
      </c>
      <c r="J76" s="48">
        <f>'Revenue Calculation'!J46</f>
        <v>40944</v>
      </c>
      <c r="K76" s="48">
        <f>'Revenue Calculation'!K46</f>
        <v>49132.800000000003</v>
      </c>
      <c r="L76" s="48">
        <f>'Revenue Calculation'!L46</f>
        <v>49132.800000000003</v>
      </c>
      <c r="M76" s="48">
        <f>'Revenue Calculation'!M46</f>
        <v>54046.080000000002</v>
      </c>
      <c r="N76" s="48">
        <f>'Revenue Calculation'!N46</f>
        <v>54046.080000000002</v>
      </c>
      <c r="O76" s="48">
        <f>'Revenue Calculation'!O46</f>
        <v>57288.844799999999</v>
      </c>
      <c r="P76" s="48">
        <f>'Revenue Calculation'!P46</f>
        <v>57288.844799999999</v>
      </c>
      <c r="Q76" s="48">
        <f>'Revenue Calculation'!Q46</f>
        <v>60726.175488000001</v>
      </c>
      <c r="R76" s="48">
        <f>'Revenue Calculation'!R46</f>
        <v>60726.175488000001</v>
      </c>
      <c r="S76" s="48">
        <f>'Revenue Calculation'!S46</f>
        <v>60726.175488000001</v>
      </c>
      <c r="T76" s="48">
        <f>'Revenue Calculation'!T46</f>
        <v>60726.175488000001</v>
      </c>
    </row>
    <row r="77" spans="2:20" x14ac:dyDescent="0.25">
      <c r="B77" s="163" t="s">
        <v>3328</v>
      </c>
    </row>
    <row r="78" spans="2:20" x14ac:dyDescent="0.25">
      <c r="B78" s="21" t="s">
        <v>3329</v>
      </c>
      <c r="C78" s="28" t="s">
        <v>493</v>
      </c>
      <c r="H78" s="26">
        <f>'Revenue Calculation'!H47</f>
        <v>38.657960000000003</v>
      </c>
      <c r="I78" s="26">
        <f>'Revenue Calculation'!I47</f>
        <v>46.389552000000002</v>
      </c>
      <c r="J78" s="26">
        <f>'Revenue Calculation'!J47</f>
        <v>47.781238559999998</v>
      </c>
      <c r="K78" s="26">
        <f>'Revenue Calculation'!K47</f>
        <v>59.057610860160004</v>
      </c>
      <c r="L78" s="26">
        <f>'Revenue Calculation'!L47</f>
        <v>60.829339185964805</v>
      </c>
      <c r="M78" s="26">
        <f>'Revenue Calculation'!M47</f>
        <v>68.919641297698121</v>
      </c>
      <c r="N78" s="26">
        <f>'Revenue Calculation'!N47</f>
        <v>70.98723053662907</v>
      </c>
      <c r="O78" s="26">
        <f>'Revenue Calculation'!O47</f>
        <v>77.503858299891618</v>
      </c>
      <c r="P78" s="26">
        <f>'Revenue Calculation'!P47</f>
        <v>79.828974048888384</v>
      </c>
      <c r="Q78" s="26">
        <f>'Revenue Calculation'!Q47</f>
        <v>87.157273866576318</v>
      </c>
      <c r="R78" s="26">
        <f>'Revenue Calculation'!R47</f>
        <v>89.771992082573604</v>
      </c>
      <c r="S78" s="26">
        <f>'Revenue Calculation'!S47</f>
        <v>92.465151845050826</v>
      </c>
      <c r="T78" s="26">
        <f>'Revenue Calculation'!T47</f>
        <v>95.239106400402349</v>
      </c>
    </row>
    <row r="79" spans="2:20" x14ac:dyDescent="0.25">
      <c r="B79" s="23" t="s">
        <v>3330</v>
      </c>
      <c r="C79" s="28" t="s">
        <v>493</v>
      </c>
      <c r="H79" s="159">
        <f>-'Cost Calculation'!H64</f>
        <v>-13.421705547235684</v>
      </c>
      <c r="I79" s="159">
        <f>-'Cost Calculation'!I64</f>
        <v>-13.950545135917951</v>
      </c>
      <c r="J79" s="159">
        <f>-'Cost Calculation'!J64</f>
        <v>-14.537513823246513</v>
      </c>
      <c r="K79" s="159">
        <f>-'Cost Calculation'!K64</f>
        <v>-15.117541872077078</v>
      </c>
      <c r="L79" s="159">
        <f>-'Cost Calculation'!L64</f>
        <v>-15.725130220837485</v>
      </c>
      <c r="M79" s="159">
        <f>-'Cost Calculation'!M64</f>
        <v>-16.394851740185835</v>
      </c>
      <c r="N79" s="159">
        <f>-'Cost Calculation'!N64</f>
        <v>-17.061852712242114</v>
      </c>
      <c r="O79" s="159">
        <f>-'Cost Calculation'!O64</f>
        <v>-17.760862275827428</v>
      </c>
      <c r="P79" s="159">
        <f>-'Cost Calculation'!P64</f>
        <v>-18.526694391194045</v>
      </c>
      <c r="Q79" s="159">
        <f>-'Cost Calculation'!Q64</f>
        <v>-19.294750069310869</v>
      </c>
      <c r="R79" s="159">
        <f>-'Cost Calculation'!R64</f>
        <v>-20.100027611659119</v>
      </c>
      <c r="S79" s="159">
        <f>-'Cost Calculation'!S64</f>
        <v>-20.944457891111341</v>
      </c>
      <c r="T79" s="159">
        <f>-'Cost Calculation'!T64</f>
        <v>-21.830077575291654</v>
      </c>
    </row>
    <row r="80" spans="2:20" x14ac:dyDescent="0.25">
      <c r="B80" s="23" t="s">
        <v>3331</v>
      </c>
      <c r="C80" s="28" t="s">
        <v>493</v>
      </c>
      <c r="H80" s="159">
        <f>-'Cost Calculation'!H65</f>
        <v>-9.1526681838109827</v>
      </c>
      <c r="I80" s="159">
        <f>-'Cost Calculation'!I65</f>
        <v>-9.4488472204361091</v>
      </c>
      <c r="J80" s="159">
        <f>-'Cost Calculation'!J65</f>
        <v>-9.7546753384197089</v>
      </c>
      <c r="K80" s="159">
        <f>-'Cost Calculation'!K65</f>
        <v>-10.07046889497304</v>
      </c>
      <c r="L80" s="159">
        <f>-'Cost Calculation'!L65</f>
        <v>-10.396554682088897</v>
      </c>
      <c r="M80" s="159">
        <f>-'Cost Calculation'!M65</f>
        <v>-10.733270272689301</v>
      </c>
      <c r="N80" s="159">
        <f>-'Cost Calculation'!N65</f>
        <v>-11.080964378317507</v>
      </c>
      <c r="O80" s="159">
        <f>-'Cost Calculation'!O65</f>
        <v>-11.439997218761297</v>
      </c>
      <c r="P80" s="159">
        <f>-'Cost Calculation'!P65</f>
        <v>-11.810740904007492</v>
      </c>
      <c r="Q80" s="159">
        <f>-'Cost Calculation'!Q65</f>
        <v>-12.1935798289412</v>
      </c>
      <c r="R80" s="159">
        <f>-'Cost Calculation'!R65</f>
        <v>-12.588911081217127</v>
      </c>
      <c r="S80" s="159">
        <f>-'Cost Calculation'!S65</f>
        <v>-12.997144862744747</v>
      </c>
      <c r="T80" s="159">
        <f>-'Cost Calculation'!T65</f>
        <v>-13.418704925244016</v>
      </c>
    </row>
    <row r="81" spans="2:20" x14ac:dyDescent="0.25">
      <c r="B81" s="21" t="s">
        <v>3221</v>
      </c>
      <c r="C81" s="28" t="s">
        <v>493</v>
      </c>
      <c r="H81" s="26">
        <f>'Cost Calculation'!H66</f>
        <v>16.08358626895334</v>
      </c>
      <c r="I81" s="26">
        <f>'Cost Calculation'!I66</f>
        <v>22.990159643645946</v>
      </c>
      <c r="J81" s="26">
        <f>'Cost Calculation'!J66</f>
        <v>23.489049398333776</v>
      </c>
      <c r="K81" s="26">
        <f>'Cost Calculation'!K66</f>
        <v>33.869600093109888</v>
      </c>
      <c r="L81" s="26">
        <f>'Cost Calculation'!L66</f>
        <v>34.707654283038423</v>
      </c>
      <c r="M81" s="26">
        <f>'Cost Calculation'!M66</f>
        <v>41.791519284822982</v>
      </c>
      <c r="N81" s="26">
        <f>'Cost Calculation'!N66</f>
        <v>42.844413446069453</v>
      </c>
      <c r="O81" s="26">
        <f>'Cost Calculation'!O66</f>
        <v>48.302998805302892</v>
      </c>
      <c r="P81" s="26">
        <f>'Cost Calculation'!P66</f>
        <v>49.491538753686854</v>
      </c>
      <c r="Q81" s="26">
        <f>'Cost Calculation'!Q66</f>
        <v>55.668943968324257</v>
      </c>
      <c r="R81" s="26">
        <f>'Cost Calculation'!R66</f>
        <v>57.083053389697362</v>
      </c>
      <c r="S81" s="26">
        <f>'Cost Calculation'!S66</f>
        <v>58.523549091194738</v>
      </c>
      <c r="T81" s="26">
        <f>'Cost Calculation'!T66</f>
        <v>59.990323899866681</v>
      </c>
    </row>
    <row r="82" spans="2:20" x14ac:dyDescent="0.25">
      <c r="B82" s="23" t="s">
        <v>3332</v>
      </c>
      <c r="C82" s="28" t="s">
        <v>493</v>
      </c>
      <c r="H82" s="159">
        <f>-'Capex &amp; Depreciation'!H232</f>
        <v>-40.958825604243003</v>
      </c>
      <c r="I82" s="159">
        <f>-'Capex &amp; Depreciation'!I232</f>
        <v>-40.961418579151264</v>
      </c>
      <c r="J82" s="159">
        <f>-'Capex &amp; Depreciation'!J232</f>
        <v>-41.964063413557689</v>
      </c>
      <c r="K82" s="159">
        <f>-'Capex &amp; Depreciation'!K232</f>
        <v>-41.966761144652239</v>
      </c>
      <c r="L82" s="159">
        <f>-'Capex &amp; Depreciation'!L232</f>
        <v>-41.969512830368686</v>
      </c>
      <c r="M82" s="159">
        <f>-'Capex &amp; Depreciation'!M232</f>
        <v>-42.972319549799458</v>
      </c>
      <c r="N82" s="159">
        <f>-'Capex &amp; Depreciation'!N232</f>
        <v>-42.975182403618852</v>
      </c>
      <c r="O82" s="159">
        <f>-'Capex &amp; Depreciation'!O232</f>
        <v>-42.978102514514624</v>
      </c>
      <c r="P82" s="159">
        <f>-'Capex &amp; Depreciation'!P232</f>
        <v>-43.981081027628321</v>
      </c>
      <c r="Q82" s="159">
        <f>-'Capex &amp; Depreciation'!Q232</f>
        <v>-43.984119111004283</v>
      </c>
      <c r="R82" s="159">
        <f>-'Capex &amp; Depreciation'!R232</f>
        <v>-43.987217956047772</v>
      </c>
      <c r="S82" s="159">
        <f>-'Capex &amp; Depreciation'!S232</f>
        <v>-43.990378777992127</v>
      </c>
      <c r="T82" s="159">
        <f>-'Capex &amp; Depreciation'!T232</f>
        <v>-43.993602816375372</v>
      </c>
    </row>
    <row r="83" spans="2:20" x14ac:dyDescent="0.25">
      <c r="B83" s="21" t="s">
        <v>3333</v>
      </c>
      <c r="C83" s="28" t="s">
        <v>493</v>
      </c>
      <c r="H83" s="26">
        <f>'Project Cash Flows'!H69</f>
        <v>-24.875239335289663</v>
      </c>
      <c r="I83" s="26">
        <f>'Project Cash Flows'!I69</f>
        <v>-17.971258935505318</v>
      </c>
      <c r="J83" s="26">
        <f>'Project Cash Flows'!J69</f>
        <v>-18.475014015223913</v>
      </c>
      <c r="K83" s="26">
        <f>'Project Cash Flows'!K69</f>
        <v>-8.0971610515423507</v>
      </c>
      <c r="L83" s="26">
        <f>'Project Cash Flows'!L69</f>
        <v>-7.261858547330263</v>
      </c>
      <c r="M83" s="26">
        <f>'Project Cash Flows'!M69</f>
        <v>-1.1808002649764759</v>
      </c>
      <c r="N83" s="26">
        <f>'Project Cash Flows'!N69</f>
        <v>-0.13076895754939954</v>
      </c>
      <c r="O83" s="26">
        <f>'Project Cash Flows'!O69</f>
        <v>5.3248962907882671</v>
      </c>
      <c r="P83" s="26">
        <f>'Project Cash Flows'!P69</f>
        <v>5.510457726058533</v>
      </c>
      <c r="Q83" s="26">
        <f>'Project Cash Flows'!Q69</f>
        <v>11.684824857319974</v>
      </c>
      <c r="R83" s="26">
        <f>'Project Cash Flows'!R69</f>
        <v>13.09583543364959</v>
      </c>
      <c r="S83" s="26">
        <f>'Project Cash Flows'!S69</f>
        <v>14.533170313202611</v>
      </c>
      <c r="T83" s="26">
        <f>'Project Cash Flows'!T69</f>
        <v>15.996721083491309</v>
      </c>
    </row>
    <row r="84" spans="2:20" x14ac:dyDescent="0.25">
      <c r="B84" s="23" t="s">
        <v>3355</v>
      </c>
      <c r="C84" s="28" t="s">
        <v>493</v>
      </c>
      <c r="H84" s="159">
        <f>-'Project Cash Flows'!H70</f>
        <v>-5.4709055176610004</v>
      </c>
      <c r="I84" s="159">
        <f>-'Project Cash Flows'!I70</f>
        <v>-1.9421714587696599</v>
      </c>
      <c r="J84" s="159">
        <f>-'Project Cash Flows'!J70</f>
        <v>-1.9421714587696484</v>
      </c>
      <c r="K84" s="159">
        <f>-'Project Cash Flows'!K70</f>
        <v>-0.96310420284193521</v>
      </c>
      <c r="L84" s="159">
        <f>-'Project Cash Flows'!L70</f>
        <v>0</v>
      </c>
      <c r="M84" s="159">
        <f>-'Project Cash Flows'!M70</f>
        <v>0</v>
      </c>
      <c r="N84" s="159">
        <f>-'Project Cash Flows'!N70</f>
        <v>0</v>
      </c>
      <c r="O84" s="159">
        <f>-'Project Cash Flows'!O70</f>
        <v>0</v>
      </c>
      <c r="P84" s="159">
        <f>-'Project Cash Flows'!P70</f>
        <v>0</v>
      </c>
      <c r="Q84" s="159">
        <f>-'Project Cash Flows'!Q70</f>
        <v>0</v>
      </c>
      <c r="R84" s="159">
        <f>-'Project Cash Flows'!R70</f>
        <v>0</v>
      </c>
      <c r="S84" s="159">
        <f>-'Project Cash Flows'!S70</f>
        <v>0</v>
      </c>
      <c r="T84" s="159">
        <f>-'Project Cash Flows'!T70</f>
        <v>0</v>
      </c>
    </row>
    <row r="85" spans="2:20" x14ac:dyDescent="0.25">
      <c r="B85" s="23" t="s">
        <v>3335</v>
      </c>
      <c r="C85" s="28" t="s">
        <v>493</v>
      </c>
      <c r="H85" s="159">
        <f>-'Project Cash Flows'!H71</f>
        <v>0</v>
      </c>
      <c r="I85" s="159">
        <f>-'Project Cash Flows'!I71</f>
        <v>0</v>
      </c>
      <c r="J85" s="159">
        <f>-'Project Cash Flows'!J71</f>
        <v>0</v>
      </c>
      <c r="K85" s="159">
        <f>-'Project Cash Flows'!K71</f>
        <v>0</v>
      </c>
      <c r="L85" s="159">
        <f>-'Project Cash Flows'!L71</f>
        <v>0</v>
      </c>
      <c r="M85" s="159">
        <f>-'Project Cash Flows'!M71</f>
        <v>0</v>
      </c>
      <c r="N85" s="159">
        <f>-'Project Cash Flows'!N71</f>
        <v>0</v>
      </c>
      <c r="O85" s="159">
        <f>-'Project Cash Flows'!O71</f>
        <v>-1.1714771839734188</v>
      </c>
      <c r="P85" s="159">
        <f>-'Project Cash Flows'!P71</f>
        <v>-1.2123006997328774</v>
      </c>
      <c r="Q85" s="159">
        <f>-'Project Cash Flows'!Q71</f>
        <v>-2.5706614686103944</v>
      </c>
      <c r="R85" s="159">
        <f>-'Project Cash Flows'!R71</f>
        <v>-2.88108379540291</v>
      </c>
      <c r="S85" s="159">
        <f>-'Project Cash Flows'!S71</f>
        <v>-3.1972974689045746</v>
      </c>
      <c r="T85" s="159">
        <f>-'Project Cash Flows'!T71</f>
        <v>-3.5192786383680881</v>
      </c>
    </row>
    <row r="86" spans="2:20" x14ac:dyDescent="0.25">
      <c r="B86" s="21" t="s">
        <v>3336</v>
      </c>
      <c r="C86" s="28" t="s">
        <v>493</v>
      </c>
      <c r="H86" s="26">
        <f>'Project Cash Flows'!H72</f>
        <v>-30.346144852950665</v>
      </c>
      <c r="I86" s="26">
        <f>'Project Cash Flows'!I72</f>
        <v>-19.913430394274979</v>
      </c>
      <c r="J86" s="26">
        <f>'Project Cash Flows'!J72</f>
        <v>-20.417185473993563</v>
      </c>
      <c r="K86" s="26">
        <f>'Project Cash Flows'!K72</f>
        <v>-9.0602652543842854</v>
      </c>
      <c r="L86" s="26">
        <f>'Project Cash Flows'!L72</f>
        <v>-7.261858547330263</v>
      </c>
      <c r="M86" s="26">
        <f>'Project Cash Flows'!M72</f>
        <v>-1.1808002649764759</v>
      </c>
      <c r="N86" s="26">
        <f>'Project Cash Flows'!N72</f>
        <v>-0.13076895754939954</v>
      </c>
      <c r="O86" s="26">
        <f>'Project Cash Flows'!O72</f>
        <v>4.153419106814848</v>
      </c>
      <c r="P86" s="26">
        <f>'Project Cash Flows'!P72</f>
        <v>4.2981570263256561</v>
      </c>
      <c r="Q86" s="26">
        <f>'Project Cash Flows'!Q72</f>
        <v>9.1141633887095796</v>
      </c>
      <c r="R86" s="26">
        <f>'Project Cash Flows'!R72</f>
        <v>10.21475163824668</v>
      </c>
      <c r="S86" s="26">
        <f>'Project Cash Flows'!S72</f>
        <v>11.335872844298036</v>
      </c>
      <c r="T86" s="26">
        <f>'Project Cash Flows'!T72</f>
        <v>12.47744244512322</v>
      </c>
    </row>
    <row r="87" spans="2:20" x14ac:dyDescent="0.25">
      <c r="B87" s="163" t="s">
        <v>3337</v>
      </c>
    </row>
    <row r="88" spans="2:20" x14ac:dyDescent="0.25">
      <c r="B88" s="23" t="s">
        <v>3338</v>
      </c>
      <c r="C88" s="28" t="s">
        <v>493</v>
      </c>
      <c r="G88" s="29">
        <f>'Capex &amp; Depreciation'!G286</f>
        <v>494.44284118395001</v>
      </c>
      <c r="H88" s="29">
        <f>'Capex &amp; Depreciation'!H286</f>
        <v>453.48401557970703</v>
      </c>
      <c r="I88" s="29">
        <f>'Capex &amp; Depreciation'!I286</f>
        <v>412.52259700055578</v>
      </c>
      <c r="J88" s="29">
        <f>'Capex &amp; Depreciation'!J286</f>
        <v>370.55853358699807</v>
      </c>
      <c r="K88" s="29">
        <f>'Capex &amp; Depreciation'!K286</f>
        <v>328.59177244234581</v>
      </c>
      <c r="L88" s="29">
        <f>'Capex &amp; Depreciation'!L286</f>
        <v>286.62225961197714</v>
      </c>
      <c r="M88" s="29">
        <f>'Capex &amp; Depreciation'!M286</f>
        <v>243.64994006217768</v>
      </c>
      <c r="N88" s="29">
        <f>'Capex &amp; Depreciation'!N286</f>
        <v>200.67475765855883</v>
      </c>
      <c r="O88" s="29">
        <f>'Capex &amp; Depreciation'!O286</f>
        <v>157.6966551440442</v>
      </c>
      <c r="P88" s="29">
        <f>'Capex &amp; Depreciation'!P286</f>
        <v>113.71557411641588</v>
      </c>
      <c r="Q88" s="29">
        <f>'Capex &amp; Depreciation'!Q286</f>
        <v>69.73145500541159</v>
      </c>
      <c r="R88" s="29">
        <f>'Capex &amp; Depreciation'!R286</f>
        <v>25.744237049363818</v>
      </c>
      <c r="S88" s="29">
        <f>'Capex &amp; Depreciation'!S286</f>
        <v>-18.246141728628309</v>
      </c>
      <c r="T88" s="29">
        <f>'Capex &amp; Depreciation'!T286</f>
        <v>-62.239744545003681</v>
      </c>
    </row>
    <row r="89" spans="2:20" x14ac:dyDescent="0.25">
      <c r="B89" s="23" t="s">
        <v>3339</v>
      </c>
      <c r="C89" s="28" t="s">
        <v>493</v>
      </c>
      <c r="G89" s="159">
        <v>0</v>
      </c>
      <c r="H89" s="29">
        <f>'Working Capital'!H17</f>
        <v>4.7530278688524596</v>
      </c>
      <c r="I89" s="29">
        <f>'Working Capital'!I17</f>
        <v>5.7192598356164384</v>
      </c>
      <c r="J89" s="29">
        <f>'Working Capital'!J17</f>
        <v>5.8908376306849313</v>
      </c>
      <c r="K89" s="29">
        <f>'Working Capital'!K17</f>
        <v>7.2810753115265756</v>
      </c>
      <c r="L89" s="29">
        <f>'Working Capital'!L17</f>
        <v>7.4790171130284602</v>
      </c>
      <c r="M89" s="29">
        <f>'Working Capital'!M17</f>
        <v>8.4969420777983977</v>
      </c>
      <c r="N89" s="29">
        <f>'Working Capital'!N17</f>
        <v>8.75185034013235</v>
      </c>
      <c r="O89" s="29">
        <f>'Working Capital'!O17</f>
        <v>9.5552702013564996</v>
      </c>
      <c r="P89" s="29">
        <f>'Working Capital'!P17</f>
        <v>9.8150377928961134</v>
      </c>
      <c r="Q89" s="29">
        <f>'Working Capital'!Q17</f>
        <v>10.745417326016259</v>
      </c>
      <c r="R89" s="29">
        <f>'Working Capital'!R17</f>
        <v>11.067779845796746</v>
      </c>
      <c r="S89" s="29">
        <f>'Working Capital'!S17</f>
        <v>11.39981324117065</v>
      </c>
      <c r="T89" s="29">
        <f>'Working Capital'!T17</f>
        <v>11.709726196770781</v>
      </c>
    </row>
    <row r="90" spans="2:20" x14ac:dyDescent="0.25">
      <c r="B90" s="23" t="s">
        <v>3340</v>
      </c>
      <c r="C90" s="28" t="s">
        <v>493</v>
      </c>
      <c r="G90" s="159">
        <v>0</v>
      </c>
      <c r="H90" s="159">
        <f>-'Working Capital'!H18</f>
        <v>-1.1001397989537445</v>
      </c>
      <c r="I90" s="159">
        <f>-'Working Capital'!I18</f>
        <v>-1.1466201481576397</v>
      </c>
      <c r="J90" s="159">
        <f>-'Working Capital'!J18</f>
        <v>-1.1948641498558779</v>
      </c>
      <c r="K90" s="159">
        <f>-'Working Capital'!K18</f>
        <v>-1.2425376881159242</v>
      </c>
      <c r="L90" s="159">
        <f>-'Working Capital'!L18</f>
        <v>-1.2889451000686463</v>
      </c>
      <c r="M90" s="159">
        <f>-'Working Capital'!M18</f>
        <v>-1.3475220608371921</v>
      </c>
      <c r="N90" s="159">
        <f>-'Working Capital'!N18</f>
        <v>-1.4023440585404476</v>
      </c>
      <c r="O90" s="159">
        <f>-'Working Capital'!O18</f>
        <v>-1.4597968993830763</v>
      </c>
      <c r="P90" s="159">
        <f>-'Working Capital'!P18</f>
        <v>-1.5185815074749218</v>
      </c>
      <c r="Q90" s="159">
        <f>-'Working Capital'!Q18</f>
        <v>-1.5858698687104824</v>
      </c>
      <c r="R90" s="159">
        <f>-'Working Capital'!R18</f>
        <v>-1.6520570639719823</v>
      </c>
      <c r="S90" s="159">
        <f>-'Working Capital'!S18</f>
        <v>-1.7214622924201102</v>
      </c>
      <c r="T90" s="159">
        <f>-'Working Capital'!T18</f>
        <v>-1.7893506209255456</v>
      </c>
    </row>
    <row r="91" spans="2:20" x14ac:dyDescent="0.25">
      <c r="B91" s="21" t="s">
        <v>3341</v>
      </c>
      <c r="C91" s="28" t="s">
        <v>493</v>
      </c>
      <c r="G91" s="26">
        <f>'Capex &amp; Depreciation'!G286</f>
        <v>494.44284118395001</v>
      </c>
      <c r="H91" s="160">
        <f>'Capex &amp; Depreciation'!H286+'Working Capital'!H19</f>
        <v>457.13690364960576</v>
      </c>
      <c r="I91" s="160">
        <f>'Capex &amp; Depreciation'!I286+'Working Capital'!I19</f>
        <v>417.09523668801455</v>
      </c>
      <c r="J91" s="160">
        <f>'Capex &amp; Depreciation'!J286+'Working Capital'!J19</f>
        <v>375.25450706782715</v>
      </c>
      <c r="K91" s="160">
        <f>'Capex &amp; Depreciation'!K286+'Working Capital'!K19</f>
        <v>334.63031006575648</v>
      </c>
      <c r="L91" s="160">
        <f>'Capex &amp; Depreciation'!L286+'Working Capital'!L19</f>
        <v>292.81233162493697</v>
      </c>
      <c r="M91" s="160">
        <f>'Capex &amp; Depreciation'!M286+'Working Capital'!M19</f>
        <v>250.79936007913889</v>
      </c>
      <c r="N91" s="160">
        <f>'Capex &amp; Depreciation'!N286+'Working Capital'!N19</f>
        <v>208.02426394015075</v>
      </c>
      <c r="O91" s="160">
        <f>'Capex &amp; Depreciation'!O286+'Working Capital'!O19</f>
        <v>165.79212844601761</v>
      </c>
      <c r="P91" s="160">
        <f>'Capex &amp; Depreciation'!P286+'Working Capital'!P19</f>
        <v>122.01203040183707</v>
      </c>
      <c r="Q91" s="160">
        <f>'Capex &amp; Depreciation'!Q286+'Working Capital'!Q19</f>
        <v>78.891002462717367</v>
      </c>
      <c r="R91" s="160">
        <f>'Capex &amp; Depreciation'!R286+'Working Capital'!R19</f>
        <v>35.15995983118858</v>
      </c>
      <c r="S91" s="160">
        <f>'Capex &amp; Depreciation'!S286+'Working Capital'!S19</f>
        <v>-8.5677907798777699</v>
      </c>
      <c r="T91" s="160">
        <f>'Capex &amp; Depreciation'!T286+'Working Capital'!T19</f>
        <v>-52.319368969158447</v>
      </c>
    </row>
    <row r="92" spans="2:20" x14ac:dyDescent="0.25">
      <c r="B92" s="163" t="s">
        <v>3342</v>
      </c>
    </row>
    <row r="93" spans="2:20" x14ac:dyDescent="0.25">
      <c r="B93" s="23" t="s">
        <v>3221</v>
      </c>
      <c r="C93" s="28" t="s">
        <v>493</v>
      </c>
      <c r="H93" s="29">
        <f>'Project Cash Flows'!H68</f>
        <v>16.08358626895334</v>
      </c>
      <c r="I93" s="29">
        <f>'Project Cash Flows'!I68</f>
        <v>22.990159643645946</v>
      </c>
      <c r="J93" s="29">
        <f>'Project Cash Flows'!J68</f>
        <v>23.489049398333776</v>
      </c>
      <c r="K93" s="29">
        <f>'Project Cash Flows'!K68</f>
        <v>33.869600093109888</v>
      </c>
      <c r="L93" s="29">
        <f>'Project Cash Flows'!L68</f>
        <v>34.707654283038423</v>
      </c>
      <c r="M93" s="29">
        <f>'Project Cash Flows'!M68</f>
        <v>41.791519284822982</v>
      </c>
      <c r="N93" s="29">
        <f>'Project Cash Flows'!N68</f>
        <v>42.844413446069453</v>
      </c>
      <c r="O93" s="29">
        <f>'Project Cash Flows'!O68</f>
        <v>48.302998805302892</v>
      </c>
      <c r="P93" s="29">
        <f>'Project Cash Flows'!P68</f>
        <v>49.491538753686854</v>
      </c>
      <c r="Q93" s="29">
        <f>'Project Cash Flows'!Q68</f>
        <v>55.668943968324257</v>
      </c>
      <c r="R93" s="29">
        <f>'Project Cash Flows'!R68</f>
        <v>57.083053389697362</v>
      </c>
      <c r="S93" s="29">
        <f>'Project Cash Flows'!S68</f>
        <v>58.523549091194738</v>
      </c>
      <c r="T93" s="29">
        <f>'Project Cash Flows'!T68</f>
        <v>59.990323899866681</v>
      </c>
    </row>
    <row r="94" spans="2:20" x14ac:dyDescent="0.25">
      <c r="B94" s="23" t="s">
        <v>3343</v>
      </c>
      <c r="C94" s="28" t="s">
        <v>493</v>
      </c>
      <c r="H94" s="29">
        <f>'Project Cash Flows'!H73</f>
        <v>0</v>
      </c>
      <c r="I94" s="29">
        <f>'Project Cash Flows'!I73</f>
        <v>0</v>
      </c>
      <c r="J94" s="29">
        <f>'Project Cash Flows'!J73</f>
        <v>0</v>
      </c>
      <c r="K94" s="29">
        <f>'Project Cash Flows'!K73</f>
        <v>0</v>
      </c>
      <c r="L94" s="29">
        <f>'Project Cash Flows'!L73</f>
        <v>0</v>
      </c>
      <c r="M94" s="29">
        <f>'Project Cash Flows'!M73</f>
        <v>0</v>
      </c>
      <c r="N94" s="29">
        <f>'Project Cash Flows'!N73</f>
        <v>0</v>
      </c>
      <c r="O94" s="29">
        <f>'Project Cash Flows'!O73</f>
        <v>-1.1714771839734188</v>
      </c>
      <c r="P94" s="29">
        <f>'Project Cash Flows'!P73</f>
        <v>-1.2123006997328774</v>
      </c>
      <c r="Q94" s="29">
        <f>'Project Cash Flows'!Q73</f>
        <v>-2.5706614686103944</v>
      </c>
      <c r="R94" s="29">
        <f>'Project Cash Flows'!R73</f>
        <v>-2.88108379540291</v>
      </c>
      <c r="S94" s="29">
        <f>'Project Cash Flows'!S73</f>
        <v>-3.1972974689045746</v>
      </c>
      <c r="T94" s="29">
        <f>'Project Cash Flows'!T73</f>
        <v>-3.5192786383680881</v>
      </c>
    </row>
    <row r="95" spans="2:20" x14ac:dyDescent="0.25">
      <c r="B95" s="23" t="s">
        <v>3227</v>
      </c>
      <c r="C95" s="28" t="s">
        <v>493</v>
      </c>
      <c r="H95" s="29">
        <f>'Project Cash Flows'!H74</f>
        <v>0</v>
      </c>
      <c r="I95" s="29">
        <f>'Project Cash Flows'!I74</f>
        <v>0</v>
      </c>
      <c r="J95" s="29">
        <f>'Project Cash Flows'!J74</f>
        <v>0</v>
      </c>
      <c r="K95" s="29">
        <f>'Project Cash Flows'!K74</f>
        <v>0</v>
      </c>
      <c r="L95" s="29">
        <f>'Project Cash Flows'!L74</f>
        <v>0</v>
      </c>
      <c r="M95" s="29">
        <f>'Project Cash Flows'!M74</f>
        <v>0</v>
      </c>
      <c r="N95" s="29">
        <f>'Project Cash Flows'!N74</f>
        <v>0</v>
      </c>
      <c r="O95" s="29">
        <f>'Project Cash Flows'!O74</f>
        <v>0</v>
      </c>
      <c r="P95" s="29">
        <f>'Project Cash Flows'!P74</f>
        <v>0</v>
      </c>
      <c r="Q95" s="29">
        <f>'Project Cash Flows'!Q74</f>
        <v>0</v>
      </c>
      <c r="R95" s="29">
        <f>'Project Cash Flows'!R74</f>
        <v>0</v>
      </c>
      <c r="S95" s="29">
        <f>'Project Cash Flows'!S74</f>
        <v>0</v>
      </c>
      <c r="T95" s="29">
        <f>'Project Cash Flows'!T74</f>
        <v>0</v>
      </c>
    </row>
    <row r="96" spans="2:20" x14ac:dyDescent="0.25">
      <c r="B96" s="23" t="s">
        <v>3228</v>
      </c>
      <c r="C96" s="28" t="s">
        <v>493</v>
      </c>
      <c r="H96" s="29">
        <f>'Project Cash Flows'!H75</f>
        <v>-3.6528880698987152</v>
      </c>
      <c r="I96" s="29">
        <f>'Project Cash Flows'!I75</f>
        <v>-0.91975161756008372</v>
      </c>
      <c r="J96" s="29">
        <f>'Project Cash Flows'!J75</f>
        <v>-0.12333379337025452</v>
      </c>
      <c r="K96" s="29">
        <f>'Project Cash Flows'!K75</f>
        <v>-1.3425641425815975</v>
      </c>
      <c r="L96" s="29">
        <f>'Project Cash Flows'!L75</f>
        <v>-0.15153438954916254</v>
      </c>
      <c r="M96" s="29">
        <f>'Project Cash Flows'!M75</f>
        <v>-0.95934800400139242</v>
      </c>
      <c r="N96" s="29">
        <f>'Project Cash Flows'!N75</f>
        <v>-0.20008626463069668</v>
      </c>
      <c r="O96" s="29">
        <f>'Project Cash Flows'!O75</f>
        <v>-0.74596702038152163</v>
      </c>
      <c r="P96" s="29">
        <f>'Project Cash Flows'!P75</f>
        <v>-0.20098298344776744</v>
      </c>
      <c r="Q96" s="29">
        <f>'Project Cash Flows'!Q75</f>
        <v>-0.86309117188458551</v>
      </c>
      <c r="R96" s="29">
        <f>'Project Cash Flows'!R75</f>
        <v>-0.25617532451898661</v>
      </c>
      <c r="S96" s="29">
        <f>'Project Cash Flows'!S75</f>
        <v>-0.26262816692577573</v>
      </c>
      <c r="T96" s="29">
        <f>'Project Cash Flows'!T75</f>
        <v>-0.24202462709469508</v>
      </c>
    </row>
    <row r="97" spans="2:20" x14ac:dyDescent="0.25">
      <c r="B97" s="21" t="s">
        <v>3344</v>
      </c>
      <c r="C97" s="28" t="s">
        <v>493</v>
      </c>
      <c r="H97" s="26">
        <f>'Project Cash Flows'!H76</f>
        <v>12.430698199054625</v>
      </c>
      <c r="I97" s="26">
        <f>'Project Cash Flows'!I76</f>
        <v>22.070408026085861</v>
      </c>
      <c r="J97" s="26">
        <f>'Project Cash Flows'!J76</f>
        <v>23.365715604963523</v>
      </c>
      <c r="K97" s="26">
        <f>'Project Cash Flows'!K76</f>
        <v>32.527035950528287</v>
      </c>
      <c r="L97" s="26">
        <f>'Project Cash Flows'!L76</f>
        <v>34.55611989348926</v>
      </c>
      <c r="M97" s="26">
        <f>'Project Cash Flows'!M76</f>
        <v>40.832171280821591</v>
      </c>
      <c r="N97" s="26">
        <f>'Project Cash Flows'!N76</f>
        <v>42.644327181438754</v>
      </c>
      <c r="O97" s="26">
        <f>'Project Cash Flows'!O76</f>
        <v>46.385554600947955</v>
      </c>
      <c r="P97" s="26">
        <f>'Project Cash Flows'!P76</f>
        <v>48.078255070506209</v>
      </c>
      <c r="Q97" s="26">
        <f>'Project Cash Flows'!Q76</f>
        <v>52.235191327829277</v>
      </c>
      <c r="R97" s="26">
        <f>'Project Cash Flows'!R76</f>
        <v>53.945794269775469</v>
      </c>
      <c r="S97" s="26">
        <f>'Project Cash Flows'!S76</f>
        <v>55.063623455364393</v>
      </c>
      <c r="T97" s="26">
        <f>'Project Cash Flows'!T76</f>
        <v>56.229020634403902</v>
      </c>
    </row>
    <row r="98" spans="2:20" x14ac:dyDescent="0.25">
      <c r="B98" s="23" t="s">
        <v>3345</v>
      </c>
      <c r="C98" s="28" t="s">
        <v>493</v>
      </c>
      <c r="G98" s="29">
        <f>'Project Cash Flows'!G79</f>
        <v>0</v>
      </c>
      <c r="H98" s="29">
        <f>'Project Cash Flows'!H79</f>
        <v>12.430698199054625</v>
      </c>
      <c r="I98" s="29">
        <f>'Project Cash Flows'!I79</f>
        <v>34.501106225140489</v>
      </c>
      <c r="J98" s="29">
        <f>'Project Cash Flows'!J79</f>
        <v>57.866821830104016</v>
      </c>
      <c r="K98" s="29">
        <f>'Project Cash Flows'!K79</f>
        <v>90.393857780632302</v>
      </c>
      <c r="L98" s="29">
        <f>'Project Cash Flows'!L79</f>
        <v>124.94997767412156</v>
      </c>
      <c r="M98" s="29">
        <f>'Project Cash Flows'!M79</f>
        <v>165.78214895494315</v>
      </c>
      <c r="N98" s="29">
        <f>'Project Cash Flows'!N79</f>
        <v>208.42647613638189</v>
      </c>
      <c r="O98" s="29">
        <f>'Project Cash Flows'!O79</f>
        <v>254.81203073732985</v>
      </c>
      <c r="P98" s="29">
        <f>'Project Cash Flows'!P79</f>
        <v>302.89028580783605</v>
      </c>
      <c r="Q98" s="29">
        <f>'Project Cash Flows'!Q79</f>
        <v>355.12547713566534</v>
      </c>
      <c r="R98" s="29">
        <f>'Project Cash Flows'!R79</f>
        <v>409.07127140544083</v>
      </c>
      <c r="S98" s="29">
        <f>'Project Cash Flows'!S79</f>
        <v>464.13489486080522</v>
      </c>
      <c r="T98" s="29">
        <f>'Project Cash Flows'!T79</f>
        <v>520.36391549520908</v>
      </c>
    </row>
    <row r="99" spans="2:20" x14ac:dyDescent="0.25">
      <c r="B99" s="163" t="s">
        <v>3346</v>
      </c>
    </row>
    <row r="100" spans="2:20" x14ac:dyDescent="0.25">
      <c r="B100" s="23" t="s">
        <v>3347</v>
      </c>
      <c r="C100" s="28" t="s">
        <v>493</v>
      </c>
      <c r="H100" s="29">
        <f>'Capex &amp; Depreciation'!H259</f>
        <v>0</v>
      </c>
      <c r="I100" s="29">
        <f>'Capex &amp; Depreciation'!I259</f>
        <v>0</v>
      </c>
      <c r="J100" s="29">
        <f>'Capex &amp; Depreciation'!J259</f>
        <v>0</v>
      </c>
      <c r="K100" s="29">
        <f>'Capex &amp; Depreciation'!K259</f>
        <v>0</v>
      </c>
      <c r="L100" s="29">
        <f>'Capex &amp; Depreciation'!L259</f>
        <v>0</v>
      </c>
      <c r="M100" s="29">
        <f>'Capex &amp; Depreciation'!M259</f>
        <v>0</v>
      </c>
      <c r="N100" s="29">
        <f>'Capex &amp; Depreciation'!N259</f>
        <v>0</v>
      </c>
      <c r="O100" s="29">
        <f>'Capex &amp; Depreciation'!O259</f>
        <v>0</v>
      </c>
      <c r="P100" s="29">
        <f>'Capex &amp; Depreciation'!P259</f>
        <v>0</v>
      </c>
      <c r="Q100" s="29">
        <f>'Capex &amp; Depreciation'!Q259</f>
        <v>0</v>
      </c>
      <c r="R100" s="29">
        <f>'Capex &amp; Depreciation'!R259</f>
        <v>0</v>
      </c>
      <c r="S100" s="29">
        <f>'Capex &amp; Depreciation'!S259</f>
        <v>0</v>
      </c>
      <c r="T100" s="29">
        <f>'Capex &amp; Depreciation'!T259</f>
        <v>0</v>
      </c>
    </row>
    <row r="101" spans="2:20" x14ac:dyDescent="0.25">
      <c r="B101" s="163" t="s">
        <v>3348</v>
      </c>
    </row>
    <row r="102" spans="2:20" x14ac:dyDescent="0.25">
      <c r="B102" s="44" t="s">
        <v>3349</v>
      </c>
      <c r="D102" s="204">
        <f>'Project Cash Flows'!$E$8</f>
        <v>413.09053316016059</v>
      </c>
      <c r="H102" s="44" t="s">
        <v>3176</v>
      </c>
      <c r="K102" s="205" t="str">
        <f>'Project Cash Flows'!$H$8</f>
        <v>Not meaningful</v>
      </c>
      <c r="N102" s="44" t="s">
        <v>3350</v>
      </c>
      <c r="Q102" s="205" t="str">
        <f>'Project Cash Flows'!$I$8</f>
        <v>Not meaningful</v>
      </c>
    </row>
    <row r="103" spans="2:20" x14ac:dyDescent="0.25">
      <c r="B103" s="44" t="s">
        <v>3180</v>
      </c>
      <c r="D103" s="205" t="str">
        <f>'Project Cash Flows'!$L$8</f>
        <v>n/a</v>
      </c>
      <c r="H103" s="44" t="s">
        <v>3351</v>
      </c>
      <c r="K103" s="206" t="str">
        <f>'Project Cash Flows'!$J$8</f>
        <v>Not meaningful</v>
      </c>
      <c r="N103" s="44" t="s">
        <v>3179</v>
      </c>
      <c r="Q103" s="204" t="str">
        <f>'Project Cash Flows'!$K$8</f>
        <v>Not meaningful</v>
      </c>
    </row>
    <row r="105" spans="2:20" x14ac:dyDescent="0.25">
      <c r="B105" s="58" t="s">
        <v>3356</v>
      </c>
      <c r="C105" s="19"/>
      <c r="D105" s="19"/>
      <c r="E105" s="19"/>
      <c r="F105" s="19"/>
      <c r="G105" s="19"/>
      <c r="H105" s="19"/>
      <c r="I105" s="19"/>
      <c r="J105" s="19"/>
      <c r="K105" s="19"/>
      <c r="L105" s="19"/>
      <c r="M105" s="19"/>
      <c r="N105" s="19"/>
      <c r="O105" s="19"/>
      <c r="P105" s="19"/>
      <c r="Q105" s="19"/>
      <c r="R105" s="19"/>
      <c r="S105" s="19"/>
      <c r="T105" s="19"/>
    </row>
    <row r="106" spans="2:20" x14ac:dyDescent="0.25">
      <c r="B106" s="70" t="s">
        <v>1690</v>
      </c>
      <c r="D106" s="130" t="str">
        <f>"Existing business - included in both cases"</f>
        <v>Existing business - included in both cases</v>
      </c>
      <c r="M106" s="202" t="s">
        <v>3323</v>
      </c>
      <c r="N106" s="203">
        <f>Inputs!$H$62</f>
        <v>1</v>
      </c>
    </row>
    <row r="107" spans="2:20" x14ac:dyDescent="0.25">
      <c r="B107" s="163" t="s">
        <v>3324</v>
      </c>
    </row>
    <row r="108" spans="2:20" x14ac:dyDescent="0.25">
      <c r="B108" s="23" t="s">
        <v>3357</v>
      </c>
      <c r="C108" s="28" t="s">
        <v>630</v>
      </c>
      <c r="H108" s="48">
        <f>'Revenue Calculation'!H51</f>
        <v>750000</v>
      </c>
      <c r="I108" s="48">
        <f>'Revenue Calculation'!I51</f>
        <v>772500</v>
      </c>
      <c r="J108" s="48">
        <f>'Revenue Calculation'!J51</f>
        <v>795675</v>
      </c>
      <c r="K108" s="48">
        <f>'Revenue Calculation'!K51</f>
        <v>819545.25</v>
      </c>
      <c r="L108" s="48">
        <f>'Revenue Calculation'!L51</f>
        <v>844131.60750000016</v>
      </c>
      <c r="M108" s="48">
        <f>'Revenue Calculation'!M51</f>
        <v>869455.5557250001</v>
      </c>
      <c r="N108" s="48">
        <f>'Revenue Calculation'!N51</f>
        <v>895539.22239675012</v>
      </c>
      <c r="O108" s="48">
        <f>'Revenue Calculation'!O51</f>
        <v>922405.39906865265</v>
      </c>
      <c r="P108" s="48">
        <f>'Revenue Calculation'!P51</f>
        <v>950077.56104071229</v>
      </c>
      <c r="Q108" s="48">
        <f>'Revenue Calculation'!Q51</f>
        <v>978579.88787193364</v>
      </c>
      <c r="R108" s="48">
        <f>'Revenue Calculation'!R51</f>
        <v>1007937.2845080916</v>
      </c>
      <c r="S108" s="48">
        <f>'Revenue Calculation'!S51</f>
        <v>1038175.4030433345</v>
      </c>
      <c r="T108" s="48">
        <f>'Revenue Calculation'!T51</f>
        <v>1069320.6651346346</v>
      </c>
    </row>
    <row r="109" spans="2:20" x14ac:dyDescent="0.25">
      <c r="B109" s="23" t="s">
        <v>3354</v>
      </c>
      <c r="C109" s="28" t="s">
        <v>647</v>
      </c>
      <c r="H109" s="48">
        <f>'Revenue Calculation'!H52</f>
        <v>29658</v>
      </c>
      <c r="I109" s="48">
        <f>'Revenue Calculation'!I52</f>
        <v>29658</v>
      </c>
      <c r="J109" s="48">
        <f>'Revenue Calculation'!J52</f>
        <v>43947.5</v>
      </c>
      <c r="K109" s="48">
        <f>'Revenue Calculation'!K52</f>
        <v>43947.5</v>
      </c>
      <c r="L109" s="48">
        <f>'Revenue Calculation'!L52</f>
        <v>45265.925000000003</v>
      </c>
      <c r="M109" s="48">
        <f>'Revenue Calculation'!M52</f>
        <v>46623.902750000001</v>
      </c>
      <c r="N109" s="48">
        <f>'Revenue Calculation'!N52</f>
        <v>48022.6198325</v>
      </c>
      <c r="O109" s="48">
        <f>'Revenue Calculation'!O52</f>
        <v>49463.298427474998</v>
      </c>
      <c r="P109" s="48">
        <f>'Revenue Calculation'!P52</f>
        <v>50947.197380299302</v>
      </c>
      <c r="Q109" s="48">
        <f>'Revenue Calculation'!Q52</f>
        <v>52475.613301708203</v>
      </c>
      <c r="R109" s="48">
        <f>'Revenue Calculation'!R52</f>
        <v>54049.881700759499</v>
      </c>
      <c r="S109" s="48">
        <f>'Revenue Calculation'!S52</f>
        <v>55671.378151782301</v>
      </c>
      <c r="T109" s="48">
        <f>'Revenue Calculation'!T52</f>
        <v>57341.519496335699</v>
      </c>
    </row>
    <row r="110" spans="2:20" x14ac:dyDescent="0.25">
      <c r="B110" s="163" t="s">
        <v>3328</v>
      </c>
    </row>
    <row r="111" spans="2:20" x14ac:dyDescent="0.25">
      <c r="B111" s="21" t="s">
        <v>3329</v>
      </c>
      <c r="C111" s="28" t="s">
        <v>493</v>
      </c>
      <c r="H111" s="26">
        <f>'Revenue Calculation'!H53</f>
        <v>22.243500000000001</v>
      </c>
      <c r="I111" s="26">
        <f>'Revenue Calculation'!I53</f>
        <v>22.910805</v>
      </c>
      <c r="J111" s="26">
        <f>'Revenue Calculation'!J53</f>
        <v>34.967927062500003</v>
      </c>
      <c r="K111" s="26">
        <f>'Revenue Calculation'!K53</f>
        <v>36.016964874374999</v>
      </c>
      <c r="L111" s="26">
        <f>'Revenue Calculation'!L53</f>
        <v>38.210398035224451</v>
      </c>
      <c r="M111" s="26">
        <f>'Revenue Calculation'!M53</f>
        <v>40.53741127556961</v>
      </c>
      <c r="N111" s="26">
        <f>'Revenue Calculation'!N53</f>
        <v>43.006139622251801</v>
      </c>
      <c r="O111" s="26">
        <f>'Revenue Calculation'!O53</f>
        <v>45.625213525246934</v>
      </c>
      <c r="P111" s="26">
        <f>'Revenue Calculation'!P53</f>
        <v>48.403789028934526</v>
      </c>
      <c r="Q111" s="26">
        <f>'Revenue Calculation'!Q53</f>
        <v>51.351579780796563</v>
      </c>
      <c r="R111" s="26">
        <f>'Revenue Calculation'!R53</f>
        <v>54.478890989447123</v>
      </c>
      <c r="S111" s="26">
        <f>'Revenue Calculation'!S53</f>
        <v>57.796655450704478</v>
      </c>
      <c r="T111" s="26">
        <f>'Revenue Calculation'!T53</f>
        <v>61.316471767652303</v>
      </c>
    </row>
    <row r="112" spans="2:20" x14ac:dyDescent="0.25">
      <c r="B112" s="23" t="s">
        <v>3330</v>
      </c>
      <c r="C112" s="28" t="s">
        <v>493</v>
      </c>
      <c r="H112" s="159">
        <f>-'Cost Calculation'!H92</f>
        <v>-8.0261410826860775</v>
      </c>
      <c r="I112" s="159">
        <f>-'Cost Calculation'!I92</f>
        <v>-8.3557264915942984</v>
      </c>
      <c r="J112" s="159">
        <f>-'Cost Calculation'!J92</f>
        <v>-8.9557230636882625</v>
      </c>
      <c r="K112" s="159">
        <f>-'Cost Calculation'!K92</f>
        <v>-9.2954599553179769</v>
      </c>
      <c r="L112" s="159">
        <f>-'Cost Calculation'!L92</f>
        <v>-9.7080628742998769</v>
      </c>
      <c r="M112" s="159">
        <f>-'Cost Calculation'!M92</f>
        <v>-10.140463027036542</v>
      </c>
      <c r="N112" s="159">
        <f>-'Cost Calculation'!N92</f>
        <v>-10.593682271741043</v>
      </c>
      <c r="O112" s="159">
        <f>-'Cost Calculation'!O92</f>
        <v>-11.068798447760443</v>
      </c>
      <c r="P112" s="159">
        <f>-'Cost Calculation'!P92</f>
        <v>-11.566948578145427</v>
      </c>
      <c r="Q112" s="159">
        <f>-'Cost Calculation'!Q92</f>
        <v>-12.089332260819733</v>
      </c>
      <c r="R112" s="159">
        <f>-'Cost Calculation'!R92</f>
        <v>-12.637215259662611</v>
      </c>
      <c r="S112" s="159">
        <f>-'Cost Calculation'!S92</f>
        <v>-13.211933307503624</v>
      </c>
      <c r="T112" s="159">
        <f>-'Cost Calculation'!T92</f>
        <v>-13.814896133757834</v>
      </c>
    </row>
    <row r="113" spans="2:20" x14ac:dyDescent="0.25">
      <c r="B113" s="23" t="s">
        <v>3331</v>
      </c>
      <c r="C113" s="28" t="s">
        <v>493</v>
      </c>
      <c r="H113" s="159">
        <f>-'Cost Calculation'!H93</f>
        <v>-3.0717537533632</v>
      </c>
      <c r="I113" s="159">
        <f>-'Cost Calculation'!I93</f>
        <v>-3.1589970459708732</v>
      </c>
      <c r="J113" s="159">
        <f>-'Cost Calculation'!J93</f>
        <v>-3.2487703955550713</v>
      </c>
      <c r="K113" s="159">
        <f>-'Cost Calculation'!K93</f>
        <v>-3.341148342049991</v>
      </c>
      <c r="L113" s="159">
        <f>-'Cost Calculation'!L93</f>
        <v>-3.4362076477594869</v>
      </c>
      <c r="M113" s="159">
        <f>-'Cost Calculation'!M93</f>
        <v>-3.5340273642208411</v>
      </c>
      <c r="N113" s="159">
        <f>-'Cost Calculation'!N93</f>
        <v>-3.6346889010947288</v>
      </c>
      <c r="O113" s="159">
        <f>-'Cost Calculation'!O93</f>
        <v>-3.7382760971431312</v>
      </c>
      <c r="P113" s="159">
        <f>-'Cost Calculation'!P93</f>
        <v>-3.8448752933588799</v>
      </c>
      <c r="Q113" s="159">
        <f>-'Cost Calculation'!Q93</f>
        <v>-3.9545754083124063</v>
      </c>
      <c r="R113" s="159">
        <f>-'Cost Calculation'!R93</f>
        <v>-4.0674680157833558</v>
      </c>
      <c r="S113" s="159">
        <f>-'Cost Calculation'!S93</f>
        <v>-4.183647424746729</v>
      </c>
      <c r="T113" s="159">
        <f>-'Cost Calculation'!T93</f>
        <v>-4.3032107617854001</v>
      </c>
    </row>
    <row r="114" spans="2:20" x14ac:dyDescent="0.25">
      <c r="B114" s="21" t="s">
        <v>3221</v>
      </c>
      <c r="C114" s="28" t="s">
        <v>493</v>
      </c>
      <c r="H114" s="26">
        <f>'Cost Calculation'!H94</f>
        <v>11.145605163950723</v>
      </c>
      <c r="I114" s="26">
        <f>'Cost Calculation'!I94</f>
        <v>11.396081462434829</v>
      </c>
      <c r="J114" s="26">
        <f>'Cost Calculation'!J94</f>
        <v>22.763433603256672</v>
      </c>
      <c r="K114" s="26">
        <f>'Cost Calculation'!K94</f>
        <v>23.380356577007031</v>
      </c>
      <c r="L114" s="26">
        <f>'Cost Calculation'!L94</f>
        <v>25.066127513165085</v>
      </c>
      <c r="M114" s="26">
        <f>'Cost Calculation'!M94</f>
        <v>26.862920884312228</v>
      </c>
      <c r="N114" s="26">
        <f>'Cost Calculation'!N94</f>
        <v>28.777768449416026</v>
      </c>
      <c r="O114" s="26">
        <f>'Cost Calculation'!O94</f>
        <v>30.81813898034336</v>
      </c>
      <c r="P114" s="26">
        <f>'Cost Calculation'!P94</f>
        <v>32.991965157430215</v>
      </c>
      <c r="Q114" s="26">
        <f>'Cost Calculation'!Q94</f>
        <v>35.307672111664424</v>
      </c>
      <c r="R114" s="26">
        <f>'Cost Calculation'!R94</f>
        <v>37.774207714001157</v>
      </c>
      <c r="S114" s="26">
        <f>'Cost Calculation'!S94</f>
        <v>40.401074718454119</v>
      </c>
      <c r="T114" s="26">
        <f>'Cost Calculation'!T94</f>
        <v>43.198364872109067</v>
      </c>
    </row>
    <row r="115" spans="2:20" x14ac:dyDescent="0.25">
      <c r="B115" s="23" t="s">
        <v>3332</v>
      </c>
      <c r="C115" s="28" t="s">
        <v>493</v>
      </c>
      <c r="H115" s="159">
        <f>-'Capex &amp; Depreciation'!H233</f>
        <v>-5.2339742134299998</v>
      </c>
      <c r="I115" s="159">
        <f>-'Capex &amp; Depreciation'!I233</f>
        <v>-5.2339742134299998</v>
      </c>
      <c r="J115" s="159">
        <f>-'Capex &amp; Depreciation'!J233</f>
        <v>-2.6169871067149999</v>
      </c>
      <c r="K115" s="159">
        <f>-'Capex &amp; Depreciation'!K233</f>
        <v>0</v>
      </c>
      <c r="L115" s="159">
        <f>-'Capex &amp; Depreciation'!L233</f>
        <v>0</v>
      </c>
      <c r="M115" s="159">
        <f>-'Capex &amp; Depreciation'!M233</f>
        <v>0</v>
      </c>
      <c r="N115" s="159">
        <f>-'Capex &amp; Depreciation'!N233</f>
        <v>0</v>
      </c>
      <c r="O115" s="159">
        <f>-'Capex &amp; Depreciation'!O233</f>
        <v>0</v>
      </c>
      <c r="P115" s="159">
        <f>-'Capex &amp; Depreciation'!P233</f>
        <v>0</v>
      </c>
      <c r="Q115" s="159">
        <f>-'Capex &amp; Depreciation'!Q233</f>
        <v>0</v>
      </c>
      <c r="R115" s="159">
        <f>-'Capex &amp; Depreciation'!R233</f>
        <v>0</v>
      </c>
      <c r="S115" s="159">
        <f>-'Capex &amp; Depreciation'!S233</f>
        <v>0</v>
      </c>
      <c r="T115" s="159">
        <f>-'Capex &amp; Depreciation'!T233</f>
        <v>0</v>
      </c>
    </row>
    <row r="116" spans="2:20" x14ac:dyDescent="0.25">
      <c r="B116" s="21" t="s">
        <v>3333</v>
      </c>
      <c r="C116" s="28" t="s">
        <v>493</v>
      </c>
      <c r="H116" s="26">
        <f>'Project Cash Flows'!H82</f>
        <v>5.9116309505207232</v>
      </c>
      <c r="I116" s="26">
        <f>'Project Cash Flows'!I82</f>
        <v>6.162107249004829</v>
      </c>
      <c r="J116" s="26">
        <f>'Project Cash Flows'!J82</f>
        <v>20.146446496541671</v>
      </c>
      <c r="K116" s="26">
        <f>'Project Cash Flows'!K82</f>
        <v>23.380356577007031</v>
      </c>
      <c r="L116" s="26">
        <f>'Project Cash Flows'!L82</f>
        <v>25.066127513165085</v>
      </c>
      <c r="M116" s="26">
        <f>'Project Cash Flows'!M82</f>
        <v>26.862920884312228</v>
      </c>
      <c r="N116" s="26">
        <f>'Project Cash Flows'!N82</f>
        <v>28.777768449416026</v>
      </c>
      <c r="O116" s="26">
        <f>'Project Cash Flows'!O82</f>
        <v>30.81813898034336</v>
      </c>
      <c r="P116" s="26">
        <f>'Project Cash Flows'!P82</f>
        <v>32.991965157430215</v>
      </c>
      <c r="Q116" s="26">
        <f>'Project Cash Flows'!Q82</f>
        <v>35.307672111664424</v>
      </c>
      <c r="R116" s="26">
        <f>'Project Cash Flows'!R82</f>
        <v>37.774207714001157</v>
      </c>
      <c r="S116" s="26">
        <f>'Project Cash Flows'!S82</f>
        <v>40.401074718454119</v>
      </c>
      <c r="T116" s="26">
        <f>'Project Cash Flows'!T82</f>
        <v>43.198364872109067</v>
      </c>
    </row>
    <row r="117" spans="2:20" x14ac:dyDescent="0.25">
      <c r="B117" s="23" t="s">
        <v>3334</v>
      </c>
      <c r="C117" s="28" t="s">
        <v>493</v>
      </c>
      <c r="H117" s="159">
        <f>-'Project Cash Flows'!H83</f>
        <v>0</v>
      </c>
      <c r="I117" s="159">
        <f>-'Project Cash Flows'!I83</f>
        <v>0</v>
      </c>
      <c r="J117" s="159">
        <f>-'Project Cash Flows'!J83</f>
        <v>0</v>
      </c>
      <c r="K117" s="159">
        <f>-'Project Cash Flows'!K83</f>
        <v>0</v>
      </c>
      <c r="L117" s="159">
        <f>-'Project Cash Flows'!L83</f>
        <v>0</v>
      </c>
      <c r="M117" s="159">
        <f>-'Project Cash Flows'!M83</f>
        <v>0</v>
      </c>
      <c r="N117" s="159">
        <f>-'Project Cash Flows'!N83</f>
        <v>0</v>
      </c>
      <c r="O117" s="159">
        <f>-'Project Cash Flows'!O83</f>
        <v>0</v>
      </c>
      <c r="P117" s="159">
        <f>-'Project Cash Flows'!P83</f>
        <v>0</v>
      </c>
      <c r="Q117" s="159">
        <f>-'Project Cash Flows'!Q83</f>
        <v>0</v>
      </c>
      <c r="R117" s="159">
        <f>-'Project Cash Flows'!R83</f>
        <v>0</v>
      </c>
      <c r="S117" s="159">
        <f>-'Project Cash Flows'!S83</f>
        <v>0</v>
      </c>
      <c r="T117" s="159">
        <f>-'Project Cash Flows'!T83</f>
        <v>0</v>
      </c>
    </row>
    <row r="118" spans="2:20" x14ac:dyDescent="0.25">
      <c r="B118" s="23" t="s">
        <v>3335</v>
      </c>
      <c r="C118" s="28" t="s">
        <v>493</v>
      </c>
      <c r="H118" s="159">
        <f>-'Project Cash Flows'!H84</f>
        <v>-1.300558809114559</v>
      </c>
      <c r="I118" s="159">
        <f>-'Project Cash Flows'!I84</f>
        <v>-1.3556635947810625</v>
      </c>
      <c r="J118" s="159">
        <f>-'Project Cash Flows'!J84</f>
        <v>-4.4322182292391679</v>
      </c>
      <c r="K118" s="159">
        <f>-'Project Cash Flows'!K84</f>
        <v>-5.1436784469415473</v>
      </c>
      <c r="L118" s="159">
        <f>-'Project Cash Flows'!L84</f>
        <v>-5.5145480528963189</v>
      </c>
      <c r="M118" s="159">
        <f>-'Project Cash Flows'!M84</f>
        <v>-5.9098425945486905</v>
      </c>
      <c r="N118" s="159">
        <f>-'Project Cash Flows'!N84</f>
        <v>-6.331109058871526</v>
      </c>
      <c r="O118" s="159">
        <f>-'Project Cash Flows'!O84</f>
        <v>-6.779990575675539</v>
      </c>
      <c r="P118" s="159">
        <f>-'Project Cash Flows'!P84</f>
        <v>-7.2582323346346476</v>
      </c>
      <c r="Q118" s="159">
        <f>-'Project Cash Flows'!Q84</f>
        <v>-7.7676878645661729</v>
      </c>
      <c r="R118" s="159">
        <f>-'Project Cash Flows'!R84</f>
        <v>-8.3103256970802555</v>
      </c>
      <c r="S118" s="159">
        <f>-'Project Cash Flows'!S84</f>
        <v>-8.8882364380599057</v>
      </c>
      <c r="T118" s="159">
        <f>-'Project Cash Flows'!T84</f>
        <v>-9.5036402718639952</v>
      </c>
    </row>
    <row r="119" spans="2:20" x14ac:dyDescent="0.25">
      <c r="B119" s="21" t="s">
        <v>3336</v>
      </c>
      <c r="C119" s="28" t="s">
        <v>493</v>
      </c>
      <c r="H119" s="26">
        <f>'Project Cash Flows'!H85</f>
        <v>4.6110721414061642</v>
      </c>
      <c r="I119" s="26">
        <f>'Project Cash Flows'!I85</f>
        <v>4.8064436542237665</v>
      </c>
      <c r="J119" s="26">
        <f>'Project Cash Flows'!J85</f>
        <v>15.714228267302502</v>
      </c>
      <c r="K119" s="26">
        <f>'Project Cash Flows'!K85</f>
        <v>18.236678130065485</v>
      </c>
      <c r="L119" s="26">
        <f>'Project Cash Flows'!L85</f>
        <v>19.551579460268766</v>
      </c>
      <c r="M119" s="26">
        <f>'Project Cash Flows'!M85</f>
        <v>20.953078289763539</v>
      </c>
      <c r="N119" s="26">
        <f>'Project Cash Flows'!N85</f>
        <v>22.4466593905445</v>
      </c>
      <c r="O119" s="26">
        <f>'Project Cash Flows'!O85</f>
        <v>24.038148404667822</v>
      </c>
      <c r="P119" s="26">
        <f>'Project Cash Flows'!P85</f>
        <v>25.733732822795567</v>
      </c>
      <c r="Q119" s="26">
        <f>'Project Cash Flows'!Q85</f>
        <v>27.53998424709825</v>
      </c>
      <c r="R119" s="26">
        <f>'Project Cash Flows'!R85</f>
        <v>29.463882016920902</v>
      </c>
      <c r="S119" s="26">
        <f>'Project Cash Flows'!S85</f>
        <v>31.512838280394213</v>
      </c>
      <c r="T119" s="26">
        <f>'Project Cash Flows'!T85</f>
        <v>33.694724600245074</v>
      </c>
    </row>
    <row r="120" spans="2:20" x14ac:dyDescent="0.25">
      <c r="B120" s="163" t="s">
        <v>3337</v>
      </c>
    </row>
    <row r="121" spans="2:20" x14ac:dyDescent="0.25">
      <c r="B121" s="23" t="s">
        <v>3338</v>
      </c>
      <c r="C121" s="28" t="s">
        <v>493</v>
      </c>
      <c r="G121" s="29">
        <f>'Capex &amp; Depreciation'!G287</f>
        <v>3.04885373796</v>
      </c>
      <c r="H121" s="29">
        <f>'Capex &amp; Depreciation'!H287</f>
        <v>-2.1851204754699998</v>
      </c>
      <c r="I121" s="29">
        <f>'Capex &amp; Depreciation'!I287</f>
        <v>-7.4190946888999996</v>
      </c>
      <c r="J121" s="29">
        <f>'Capex &amp; Depreciation'!J287</f>
        <v>-10.036081795614999</v>
      </c>
      <c r="K121" s="29">
        <f>'Capex &amp; Depreciation'!K287</f>
        <v>-10.036081795614999</v>
      </c>
      <c r="L121" s="29">
        <f>'Capex &amp; Depreciation'!L287</f>
        <v>-10.036081795614999</v>
      </c>
      <c r="M121" s="29">
        <f>'Capex &amp; Depreciation'!M287</f>
        <v>-10.036081795614999</v>
      </c>
      <c r="N121" s="29">
        <f>'Capex &amp; Depreciation'!N287</f>
        <v>-10.036081795614999</v>
      </c>
      <c r="O121" s="29">
        <f>'Capex &amp; Depreciation'!O287</f>
        <v>-10.036081795614999</v>
      </c>
      <c r="P121" s="29">
        <f>'Capex &amp; Depreciation'!P287</f>
        <v>-10.036081795614999</v>
      </c>
      <c r="Q121" s="29">
        <f>'Capex &amp; Depreciation'!Q287</f>
        <v>-10.036081795614999</v>
      </c>
      <c r="R121" s="29">
        <f>'Capex &amp; Depreciation'!R287</f>
        <v>-10.036081795614999</v>
      </c>
      <c r="S121" s="29">
        <f>'Capex &amp; Depreciation'!S287</f>
        <v>-10.036081795614999</v>
      </c>
      <c r="T121" s="29">
        <f>'Capex &amp; Depreciation'!T287</f>
        <v>-10.036081795614999</v>
      </c>
    </row>
    <row r="122" spans="2:20" x14ac:dyDescent="0.25">
      <c r="B122" s="23" t="s">
        <v>3339</v>
      </c>
      <c r="C122" s="28" t="s">
        <v>493</v>
      </c>
      <c r="G122" s="159">
        <v>0</v>
      </c>
      <c r="H122" s="29">
        <f>'Working Capital'!H21</f>
        <v>2.7348565573770496</v>
      </c>
      <c r="I122" s="29">
        <f>'Working Capital'!I21</f>
        <v>2.8246197945205482</v>
      </c>
      <c r="J122" s="29">
        <f>'Working Capital'!J21</f>
        <v>4.3111142953767132</v>
      </c>
      <c r="K122" s="29">
        <f>'Working Capital'!K21</f>
        <v>4.4404477242380134</v>
      </c>
      <c r="L122" s="29">
        <f>'Working Capital'!L21</f>
        <v>4.6979997584292352</v>
      </c>
      <c r="M122" s="29">
        <f>'Working Capital'!M21</f>
        <v>4.9977630339743353</v>
      </c>
      <c r="N122" s="29">
        <f>'Working Capital'!N21</f>
        <v>5.3021268027433726</v>
      </c>
      <c r="O122" s="29">
        <f>'Working Capital'!O21</f>
        <v>5.6250263250304444</v>
      </c>
      <c r="P122" s="29">
        <f>'Working Capital'!P21</f>
        <v>5.9512855363444084</v>
      </c>
      <c r="Q122" s="29">
        <f>'Working Capital'!Q21</f>
        <v>6.3310166853036858</v>
      </c>
      <c r="R122" s="29">
        <f>'Working Capital'!R21</f>
        <v>6.7165756014386861</v>
      </c>
      <c r="S122" s="29">
        <f>'Working Capital'!S21</f>
        <v>7.1256150555663051</v>
      </c>
      <c r="T122" s="29">
        <f>'Working Capital'!T21</f>
        <v>7.5389104632359389</v>
      </c>
    </row>
    <row r="123" spans="2:20" x14ac:dyDescent="0.25">
      <c r="B123" s="23" t="s">
        <v>3340</v>
      </c>
      <c r="C123" s="28" t="s">
        <v>493</v>
      </c>
      <c r="G123" s="159">
        <v>0</v>
      </c>
      <c r="H123" s="159">
        <f>-'Working Capital'!H22</f>
        <v>-0.65788041661361285</v>
      </c>
      <c r="I123" s="159">
        <f>-'Working Capital'!I22</f>
        <v>-0.68677204040501083</v>
      </c>
      <c r="J123" s="159">
        <f>-'Working Capital'!J22</f>
        <v>-0.73608682715245999</v>
      </c>
      <c r="K123" s="159">
        <f>-'Working Capital'!K22</f>
        <v>-0.76401040728640912</v>
      </c>
      <c r="L123" s="159">
        <f>-'Working Capital'!L22</f>
        <v>-0.79574285854917015</v>
      </c>
      <c r="M123" s="159">
        <f>-'Working Capital'!M22</f>
        <v>-0.83346271455094878</v>
      </c>
      <c r="N123" s="159">
        <f>-'Working Capital'!N22</f>
        <v>-0.87071361137597614</v>
      </c>
      <c r="O123" s="159">
        <f>-'Working Capital'!O22</f>
        <v>-0.9097642559803103</v>
      </c>
      <c r="P123" s="159">
        <f>-'Working Capital'!P22</f>
        <v>-0.94811053919224808</v>
      </c>
      <c r="Q123" s="159">
        <f>-'Working Capital'!Q22</f>
        <v>-0.99364374746463557</v>
      </c>
      <c r="R123" s="159">
        <f>-'Working Capital'!R22</f>
        <v>-1.0386752268215844</v>
      </c>
      <c r="S123" s="159">
        <f>-'Working Capital'!S22</f>
        <v>-1.0859123266441335</v>
      </c>
      <c r="T123" s="159">
        <f>-'Working Capital'!T22</f>
        <v>-1.1323685355539208</v>
      </c>
    </row>
    <row r="124" spans="2:20" x14ac:dyDescent="0.25">
      <c r="B124" s="21" t="s">
        <v>3341</v>
      </c>
      <c r="C124" s="28" t="s">
        <v>493</v>
      </c>
      <c r="G124" s="26">
        <f>'Capex &amp; Depreciation'!G287</f>
        <v>3.04885373796</v>
      </c>
      <c r="H124" s="160">
        <f>'Capex &amp; Depreciation'!H287+'Working Capital'!H23</f>
        <v>-0.10814433470656315</v>
      </c>
      <c r="I124" s="160">
        <f>'Capex &amp; Depreciation'!I287+'Working Capital'!I23</f>
        <v>-5.2812469347844626</v>
      </c>
      <c r="J124" s="160">
        <f>'Capex &amp; Depreciation'!J287+'Working Capital'!J23</f>
        <v>-6.4610543273907464</v>
      </c>
      <c r="K124" s="160">
        <f>'Capex &amp; Depreciation'!K287+'Working Capital'!K23</f>
        <v>-6.3596444786633946</v>
      </c>
      <c r="L124" s="160">
        <f>'Capex &amp; Depreciation'!L287+'Working Capital'!L23</f>
        <v>-6.1338248957349339</v>
      </c>
      <c r="M124" s="160">
        <f>'Capex &amp; Depreciation'!M287+'Working Capital'!M23</f>
        <v>-5.8717814761916127</v>
      </c>
      <c r="N124" s="160">
        <f>'Capex &amp; Depreciation'!N287+'Working Capital'!N23</f>
        <v>-5.6046686042476024</v>
      </c>
      <c r="O124" s="160">
        <f>'Capex &amp; Depreciation'!O287+'Working Capital'!O23</f>
        <v>-5.3208197265648653</v>
      </c>
      <c r="P124" s="160">
        <f>'Capex &amp; Depreciation'!P287+'Working Capital'!P23</f>
        <v>-5.0329067984628386</v>
      </c>
      <c r="Q124" s="160">
        <f>'Capex &amp; Depreciation'!Q287+'Working Capital'!Q23</f>
        <v>-4.6987088577759488</v>
      </c>
      <c r="R124" s="160">
        <f>'Capex &amp; Depreciation'!R287+'Working Capital'!R23</f>
        <v>-4.3581814209978971</v>
      </c>
      <c r="S124" s="160">
        <f>'Capex &amp; Depreciation'!S287+'Working Capital'!S23</f>
        <v>-3.9963790666928274</v>
      </c>
      <c r="T124" s="160">
        <f>'Capex &amp; Depreciation'!T287+'Working Capital'!T23</f>
        <v>-3.6295398679329809</v>
      </c>
    </row>
    <row r="125" spans="2:20" x14ac:dyDescent="0.25">
      <c r="B125" s="163" t="s">
        <v>3342</v>
      </c>
    </row>
    <row r="126" spans="2:20" x14ac:dyDescent="0.25">
      <c r="B126" s="23" t="s">
        <v>3221</v>
      </c>
      <c r="C126" s="28" t="s">
        <v>493</v>
      </c>
      <c r="H126" s="29">
        <f>'Project Cash Flows'!H81</f>
        <v>11.145605163950723</v>
      </c>
      <c r="I126" s="29">
        <f>'Project Cash Flows'!I81</f>
        <v>11.396081462434829</v>
      </c>
      <c r="J126" s="29">
        <f>'Project Cash Flows'!J81</f>
        <v>22.763433603256672</v>
      </c>
      <c r="K126" s="29">
        <f>'Project Cash Flows'!K81</f>
        <v>23.380356577007031</v>
      </c>
      <c r="L126" s="29">
        <f>'Project Cash Flows'!L81</f>
        <v>25.066127513165085</v>
      </c>
      <c r="M126" s="29">
        <f>'Project Cash Flows'!M81</f>
        <v>26.862920884312228</v>
      </c>
      <c r="N126" s="29">
        <f>'Project Cash Flows'!N81</f>
        <v>28.777768449416026</v>
      </c>
      <c r="O126" s="29">
        <f>'Project Cash Flows'!O81</f>
        <v>30.81813898034336</v>
      </c>
      <c r="P126" s="29">
        <f>'Project Cash Flows'!P81</f>
        <v>32.991965157430215</v>
      </c>
      <c r="Q126" s="29">
        <f>'Project Cash Flows'!Q81</f>
        <v>35.307672111664424</v>
      </c>
      <c r="R126" s="29">
        <f>'Project Cash Flows'!R81</f>
        <v>37.774207714001157</v>
      </c>
      <c r="S126" s="29">
        <f>'Project Cash Flows'!S81</f>
        <v>40.401074718454119</v>
      </c>
      <c r="T126" s="29">
        <f>'Project Cash Flows'!T81</f>
        <v>43.198364872109067</v>
      </c>
    </row>
    <row r="127" spans="2:20" x14ac:dyDescent="0.25">
      <c r="B127" s="23" t="s">
        <v>3343</v>
      </c>
      <c r="C127" s="28" t="s">
        <v>493</v>
      </c>
      <c r="H127" s="29">
        <f>'Project Cash Flows'!H86</f>
        <v>-1.300558809114559</v>
      </c>
      <c r="I127" s="29">
        <f>'Project Cash Flows'!I86</f>
        <v>-1.3556635947810625</v>
      </c>
      <c r="J127" s="29">
        <f>'Project Cash Flows'!J86</f>
        <v>-4.4322182292391679</v>
      </c>
      <c r="K127" s="29">
        <f>'Project Cash Flows'!K86</f>
        <v>-5.1436784469415473</v>
      </c>
      <c r="L127" s="29">
        <f>'Project Cash Flows'!L86</f>
        <v>-5.5145480528963189</v>
      </c>
      <c r="M127" s="29">
        <f>'Project Cash Flows'!M86</f>
        <v>-5.9098425945486905</v>
      </c>
      <c r="N127" s="29">
        <f>'Project Cash Flows'!N86</f>
        <v>-6.331109058871526</v>
      </c>
      <c r="O127" s="29">
        <f>'Project Cash Flows'!O86</f>
        <v>-6.779990575675539</v>
      </c>
      <c r="P127" s="29">
        <f>'Project Cash Flows'!P86</f>
        <v>-7.2582323346346476</v>
      </c>
      <c r="Q127" s="29">
        <f>'Project Cash Flows'!Q86</f>
        <v>-7.7676878645661729</v>
      </c>
      <c r="R127" s="29">
        <f>'Project Cash Flows'!R86</f>
        <v>-8.3103256970802555</v>
      </c>
      <c r="S127" s="29">
        <f>'Project Cash Flows'!S86</f>
        <v>-8.8882364380599057</v>
      </c>
      <c r="T127" s="29">
        <f>'Project Cash Flows'!T86</f>
        <v>-9.5036402718639952</v>
      </c>
    </row>
    <row r="128" spans="2:20" x14ac:dyDescent="0.25">
      <c r="B128" s="23" t="s">
        <v>3227</v>
      </c>
      <c r="C128" s="28" t="s">
        <v>493</v>
      </c>
      <c r="H128" s="29">
        <f>'Project Cash Flows'!H87</f>
        <v>0</v>
      </c>
      <c r="I128" s="29">
        <f>'Project Cash Flows'!I87</f>
        <v>0</v>
      </c>
      <c r="J128" s="29">
        <f>'Project Cash Flows'!J87</f>
        <v>0</v>
      </c>
      <c r="K128" s="29">
        <f>'Project Cash Flows'!K87</f>
        <v>0</v>
      </c>
      <c r="L128" s="29">
        <f>'Project Cash Flows'!L87</f>
        <v>0</v>
      </c>
      <c r="M128" s="29">
        <f>'Project Cash Flows'!M87</f>
        <v>0</v>
      </c>
      <c r="N128" s="29">
        <f>'Project Cash Flows'!N87</f>
        <v>0</v>
      </c>
      <c r="O128" s="29">
        <f>'Project Cash Flows'!O87</f>
        <v>0</v>
      </c>
      <c r="P128" s="29">
        <f>'Project Cash Flows'!P87</f>
        <v>0</v>
      </c>
      <c r="Q128" s="29">
        <f>'Project Cash Flows'!Q87</f>
        <v>0</v>
      </c>
      <c r="R128" s="29">
        <f>'Project Cash Flows'!R87</f>
        <v>0</v>
      </c>
      <c r="S128" s="29">
        <f>'Project Cash Flows'!S87</f>
        <v>0</v>
      </c>
      <c r="T128" s="29">
        <f>'Project Cash Flows'!T87</f>
        <v>0</v>
      </c>
    </row>
    <row r="129" spans="2:20" x14ac:dyDescent="0.25">
      <c r="B129" s="23" t="s">
        <v>3228</v>
      </c>
      <c r="C129" s="28" t="s">
        <v>493</v>
      </c>
      <c r="H129" s="29">
        <f>'Project Cash Flows'!H88</f>
        <v>-2.0769761407634366</v>
      </c>
      <c r="I129" s="29">
        <f>'Project Cash Flows'!I88</f>
        <v>-6.0871613352100784E-2</v>
      </c>
      <c r="J129" s="29">
        <f>'Project Cash Flows'!J88</f>
        <v>-1.4371797141087157</v>
      </c>
      <c r="K129" s="29">
        <f>'Project Cash Flows'!K88</f>
        <v>-0.10140984872735137</v>
      </c>
      <c r="L129" s="29">
        <f>'Project Cash Flows'!L88</f>
        <v>-0.2258195829284606</v>
      </c>
      <c r="M129" s="29">
        <f>'Project Cash Flows'!M88</f>
        <v>-0.26204341954332122</v>
      </c>
      <c r="N129" s="29">
        <f>'Project Cash Flows'!N88</f>
        <v>-0.26711287194401034</v>
      </c>
      <c r="O129" s="29">
        <f>'Project Cash Flows'!O88</f>
        <v>-0.28384887768273703</v>
      </c>
      <c r="P129" s="29">
        <f>'Project Cash Flows'!P88</f>
        <v>-0.28791292810202673</v>
      </c>
      <c r="Q129" s="29">
        <f>'Project Cash Flows'!Q88</f>
        <v>-0.33419794068688979</v>
      </c>
      <c r="R129" s="29">
        <f>'Project Cash Flows'!R88</f>
        <v>-0.34052743677805175</v>
      </c>
      <c r="S129" s="29">
        <f>'Project Cash Flows'!S88</f>
        <v>-0.36180235430506968</v>
      </c>
      <c r="T129" s="29">
        <f>'Project Cash Flows'!T88</f>
        <v>-0.3668391987598465</v>
      </c>
    </row>
    <row r="130" spans="2:20" x14ac:dyDescent="0.25">
      <c r="B130" s="21" t="s">
        <v>3344</v>
      </c>
      <c r="C130" s="28" t="s">
        <v>493</v>
      </c>
      <c r="H130" s="26">
        <f>'Project Cash Flows'!H89</f>
        <v>7.7680702140727274</v>
      </c>
      <c r="I130" s="26">
        <f>'Project Cash Flows'!I89</f>
        <v>9.9795462543016651</v>
      </c>
      <c r="J130" s="26">
        <f>'Project Cash Flows'!J89</f>
        <v>16.894035659908788</v>
      </c>
      <c r="K130" s="26">
        <f>'Project Cash Flows'!K89</f>
        <v>18.135268281338135</v>
      </c>
      <c r="L130" s="26">
        <f>'Project Cash Flows'!L89</f>
        <v>19.325759877340303</v>
      </c>
      <c r="M130" s="26">
        <f>'Project Cash Flows'!M89</f>
        <v>20.691034870220218</v>
      </c>
      <c r="N130" s="26">
        <f>'Project Cash Flows'!N89</f>
        <v>22.179546518600489</v>
      </c>
      <c r="O130" s="26">
        <f>'Project Cash Flows'!O89</f>
        <v>23.754299526985086</v>
      </c>
      <c r="P130" s="26">
        <f>'Project Cash Flows'!P89</f>
        <v>25.445819894693539</v>
      </c>
      <c r="Q130" s="26">
        <f>'Project Cash Flows'!Q89</f>
        <v>27.205786306411362</v>
      </c>
      <c r="R130" s="26">
        <f>'Project Cash Flows'!R89</f>
        <v>29.123354580142852</v>
      </c>
      <c r="S130" s="26">
        <f>'Project Cash Flows'!S89</f>
        <v>31.151035926089143</v>
      </c>
      <c r="T130" s="26">
        <f>'Project Cash Flows'!T89</f>
        <v>33.327885401485226</v>
      </c>
    </row>
    <row r="131" spans="2:20" x14ac:dyDescent="0.25">
      <c r="B131" s="23" t="s">
        <v>3345</v>
      </c>
      <c r="C131" s="28" t="s">
        <v>493</v>
      </c>
      <c r="G131" s="29">
        <f>'Project Cash Flows'!G92</f>
        <v>0</v>
      </c>
      <c r="H131" s="29">
        <f>'Project Cash Flows'!H92</f>
        <v>7.7680702140727274</v>
      </c>
      <c r="I131" s="29">
        <f>'Project Cash Flows'!I92</f>
        <v>17.747616468374392</v>
      </c>
      <c r="J131" s="29">
        <f>'Project Cash Flows'!J92</f>
        <v>34.641652128283184</v>
      </c>
      <c r="K131" s="29">
        <f>'Project Cash Flows'!K92</f>
        <v>52.776920409621319</v>
      </c>
      <c r="L131" s="29">
        <f>'Project Cash Flows'!L92</f>
        <v>72.102680286961629</v>
      </c>
      <c r="M131" s="29">
        <f>'Project Cash Flows'!M92</f>
        <v>92.79371515718185</v>
      </c>
      <c r="N131" s="29">
        <f>'Project Cash Flows'!N92</f>
        <v>114.97326167578234</v>
      </c>
      <c r="O131" s="29">
        <f>'Project Cash Flows'!O92</f>
        <v>138.72756120276742</v>
      </c>
      <c r="P131" s="29">
        <f>'Project Cash Flows'!P92</f>
        <v>164.17338109746095</v>
      </c>
      <c r="Q131" s="29">
        <f>'Project Cash Flows'!Q92</f>
        <v>191.37916740387232</v>
      </c>
      <c r="R131" s="29">
        <f>'Project Cash Flows'!R92</f>
        <v>220.50252198401517</v>
      </c>
      <c r="S131" s="29">
        <f>'Project Cash Flows'!S92</f>
        <v>251.65355791010433</v>
      </c>
      <c r="T131" s="29">
        <f>'Project Cash Flows'!T92</f>
        <v>284.98144331158954</v>
      </c>
    </row>
    <row r="132" spans="2:20" x14ac:dyDescent="0.25">
      <c r="B132" s="163" t="s">
        <v>3346</v>
      </c>
    </row>
    <row r="133" spans="2:20" x14ac:dyDescent="0.25">
      <c r="B133" s="23" t="s">
        <v>3347</v>
      </c>
      <c r="C133" s="28" t="s">
        <v>493</v>
      </c>
      <c r="H133" s="29">
        <f>'Capex &amp; Depreciation'!H260</f>
        <v>0</v>
      </c>
      <c r="I133" s="29">
        <f>'Capex &amp; Depreciation'!I260</f>
        <v>0</v>
      </c>
      <c r="J133" s="29">
        <f>'Capex &amp; Depreciation'!J260</f>
        <v>0</v>
      </c>
      <c r="K133" s="29">
        <f>'Capex &amp; Depreciation'!K260</f>
        <v>0</v>
      </c>
      <c r="L133" s="29">
        <f>'Capex &amp; Depreciation'!L260</f>
        <v>0</v>
      </c>
      <c r="M133" s="29">
        <f>'Capex &amp; Depreciation'!M260</f>
        <v>0</v>
      </c>
      <c r="N133" s="29">
        <f>'Capex &amp; Depreciation'!N260</f>
        <v>0</v>
      </c>
      <c r="O133" s="29">
        <f>'Capex &amp; Depreciation'!O260</f>
        <v>0</v>
      </c>
      <c r="P133" s="29">
        <f>'Capex &amp; Depreciation'!P260</f>
        <v>0</v>
      </c>
      <c r="Q133" s="29">
        <f>'Capex &amp; Depreciation'!Q260</f>
        <v>0</v>
      </c>
      <c r="R133" s="29">
        <f>'Capex &amp; Depreciation'!R260</f>
        <v>0</v>
      </c>
      <c r="S133" s="29">
        <f>'Capex &amp; Depreciation'!S260</f>
        <v>0</v>
      </c>
      <c r="T133" s="29">
        <f>'Capex &amp; Depreciation'!T260</f>
        <v>0</v>
      </c>
    </row>
    <row r="134" spans="2:20" x14ac:dyDescent="0.25">
      <c r="B134" s="163" t="s">
        <v>3348</v>
      </c>
    </row>
    <row r="135" spans="2:20" x14ac:dyDescent="0.25">
      <c r="B135" s="44" t="s">
        <v>3349</v>
      </c>
      <c r="D135" s="204">
        <f>'Project Cash Flows'!$E$9</f>
        <v>253.23251095656514</v>
      </c>
      <c r="H135" s="44" t="s">
        <v>3176</v>
      </c>
      <c r="K135" s="205" t="str">
        <f>'Project Cash Flows'!$H$9</f>
        <v>Not meaningful</v>
      </c>
      <c r="N135" s="44" t="s">
        <v>3350</v>
      </c>
      <c r="Q135" s="205" t="str">
        <f>'Project Cash Flows'!$I$9</f>
        <v>Not meaningful</v>
      </c>
    </row>
    <row r="136" spans="2:20" x14ac:dyDescent="0.25">
      <c r="B136" s="44" t="s">
        <v>3180</v>
      </c>
      <c r="D136" s="205" t="str">
        <f>'Project Cash Flows'!$L$9</f>
        <v>n/a</v>
      </c>
      <c r="H136" s="44" t="s">
        <v>3351</v>
      </c>
      <c r="K136" s="206" t="str">
        <f>'Project Cash Flows'!$J$9</f>
        <v>Not meaningful</v>
      </c>
      <c r="N136" s="44" t="s">
        <v>3179</v>
      </c>
      <c r="Q136" s="204" t="str">
        <f>'Project Cash Flows'!$K$9</f>
        <v>Not meaningful</v>
      </c>
    </row>
    <row r="138" spans="2:20" x14ac:dyDescent="0.25">
      <c r="B138" s="58" t="s">
        <v>3358</v>
      </c>
      <c r="C138" s="19"/>
      <c r="D138" s="19"/>
      <c r="E138" s="19"/>
      <c r="F138" s="19"/>
      <c r="G138" s="19"/>
      <c r="H138" s="19"/>
      <c r="I138" s="19"/>
      <c r="J138" s="19"/>
      <c r="K138" s="19"/>
      <c r="L138" s="19"/>
      <c r="M138" s="19"/>
      <c r="N138" s="19"/>
      <c r="O138" s="19"/>
      <c r="P138" s="19"/>
      <c r="Q138" s="19"/>
      <c r="R138" s="19"/>
      <c r="S138" s="19"/>
      <c r="T138" s="19"/>
    </row>
    <row r="139" spans="2:20" x14ac:dyDescent="0.25">
      <c r="B139" s="70" t="s">
        <v>1690</v>
      </c>
      <c r="D139" s="130" t="str">
        <f>"Existing business - included in both cases"</f>
        <v>Existing business - included in both cases</v>
      </c>
      <c r="M139" s="202" t="s">
        <v>3323</v>
      </c>
      <c r="N139" s="203">
        <f>Inputs!$H$63</f>
        <v>1</v>
      </c>
    </row>
    <row r="140" spans="2:20" x14ac:dyDescent="0.25">
      <c r="B140" s="163" t="s">
        <v>3324</v>
      </c>
    </row>
    <row r="141" spans="2:20" x14ac:dyDescent="0.25">
      <c r="B141" s="23" t="s">
        <v>3359</v>
      </c>
      <c r="C141" s="28" t="s">
        <v>630</v>
      </c>
      <c r="H141" s="48">
        <f>'Revenue Calculation'!H87</f>
        <v>4599405.2283500005</v>
      </c>
      <c r="I141" s="48">
        <f>'Revenue Calculation'!I87</f>
        <v>4825815.4897675002</v>
      </c>
      <c r="J141" s="48">
        <f>'Revenue Calculation'!J87</f>
        <v>5363403.8642558753</v>
      </c>
      <c r="K141" s="48">
        <f>'Revenue Calculation'!K87</f>
        <v>5627723.5614686692</v>
      </c>
      <c r="L141" s="48">
        <f>'Revenue Calculation'!L87</f>
        <v>5905105.2237021029</v>
      </c>
      <c r="M141" s="48">
        <f>'Revenue Calculation'!M87</f>
        <v>6196195.7884136103</v>
      </c>
      <c r="N141" s="48">
        <f>'Revenue Calculation'!N87</f>
        <v>6501674.2935017459</v>
      </c>
      <c r="O141" s="48">
        <f>'Revenue Calculation'!O87</f>
        <v>6822253.4724709876</v>
      </c>
      <c r="P141" s="48">
        <f>'Revenue Calculation'!P87</f>
        <v>7158681.4289604574</v>
      </c>
      <c r="Q141" s="48">
        <f>'Revenue Calculation'!Q87</f>
        <v>7511743.3945890386</v>
      </c>
      <c r="R141" s="48">
        <f>'Revenue Calculation'!R87</f>
        <v>7882263.5742662698</v>
      </c>
      <c r="S141" s="48">
        <f>'Revenue Calculation'!S87</f>
        <v>8271107.0833252743</v>
      </c>
      <c r="T141" s="48">
        <f>'Revenue Calculation'!T87</f>
        <v>8679181.9810510557</v>
      </c>
    </row>
    <row r="142" spans="2:20" x14ac:dyDescent="0.25">
      <c r="B142" s="163" t="s">
        <v>3328</v>
      </c>
    </row>
    <row r="143" spans="2:20" x14ac:dyDescent="0.25">
      <c r="B143" s="21" t="s">
        <v>3329</v>
      </c>
      <c r="C143" s="28" t="s">
        <v>493</v>
      </c>
      <c r="H143" s="26">
        <f>'Revenue Calculation'!H92</f>
        <v>87.948672360753903</v>
      </c>
      <c r="I143" s="26">
        <f>'Revenue Calculation'!I92</f>
        <v>65.358641033127611</v>
      </c>
      <c r="J143" s="26">
        <f>'Revenue Calculation'!J92</f>
        <v>61.989728825535103</v>
      </c>
      <c r="K143" s="26">
        <f>'Revenue Calculation'!K92</f>
        <v>66.857705438160764</v>
      </c>
      <c r="L143" s="26">
        <f>'Revenue Calculation'!L92</f>
        <v>72.109308081105468</v>
      </c>
      <c r="M143" s="26">
        <f>'Revenue Calculation'!M92</f>
        <v>77.774868554511315</v>
      </c>
      <c r="N143" s="26">
        <f>'Revenue Calculation'!N92</f>
        <v>83.887124219273204</v>
      </c>
      <c r="O143" s="26">
        <f>'Revenue Calculation'!O92</f>
        <v>90.481409316796075</v>
      </c>
      <c r="P143" s="26">
        <f>'Revenue Calculation'!P92</f>
        <v>97.595861544291125</v>
      </c>
      <c r="Q143" s="26">
        <f>'Revenue Calculation'!Q92</f>
        <v>105.27164510494116</v>
      </c>
      <c r="R143" s="26">
        <f>'Revenue Calculation'!R92</f>
        <v>93.187841954612864</v>
      </c>
      <c r="S143" s="26">
        <f>'Revenue Calculation'!S92</f>
        <v>97.716827068910291</v>
      </c>
      <c r="T143" s="26">
        <f>'Revenue Calculation'!T92</f>
        <v>102.46704515958524</v>
      </c>
    </row>
    <row r="144" spans="2:20" x14ac:dyDescent="0.25">
      <c r="B144" s="23" t="s">
        <v>3330</v>
      </c>
      <c r="C144" s="28" t="s">
        <v>493</v>
      </c>
      <c r="H144" s="159">
        <f>-'Cost Calculation'!H129</f>
        <v>-71.161406516197346</v>
      </c>
      <c r="I144" s="159">
        <f>-'Cost Calculation'!I129</f>
        <v>-49.098182223433184</v>
      </c>
      <c r="J144" s="159">
        <f>-'Cost Calculation'!J129</f>
        <v>-42.926614256655796</v>
      </c>
      <c r="K144" s="159">
        <f>-'Cost Calculation'!K129</f>
        <v>-46.065397044757553</v>
      </c>
      <c r="L144" s="159">
        <f>-'Cost Calculation'!L129</f>
        <v>-49.441834180436111</v>
      </c>
      <c r="M144" s="159">
        <f>-'Cost Calculation'!M129</f>
        <v>-53.074260333952886</v>
      </c>
      <c r="N144" s="159">
        <f>-'Cost Calculation'!N129</f>
        <v>-56.982439859772299</v>
      </c>
      <c r="O144" s="159">
        <f>-'Cost Calculation'!O129</f>
        <v>-61.187679033243683</v>
      </c>
      <c r="P144" s="159">
        <f>-'Cost Calculation'!P129</f>
        <v>-65.712947140723287</v>
      </c>
      <c r="Q144" s="159">
        <f>-'Cost Calculation'!Q129</f>
        <v>-70.583007124157533</v>
      </c>
      <c r="R144" s="159">
        <f>-'Cost Calculation'!R129</f>
        <v>-59.453507794507047</v>
      </c>
      <c r="S144" s="159">
        <f>-'Cost Calculation'!S129</f>
        <v>-62.229322986933809</v>
      </c>
      <c r="T144" s="159">
        <f>-'Cost Calculation'!T129</f>
        <v>-65.13651299998125</v>
      </c>
    </row>
    <row r="145" spans="2:20" x14ac:dyDescent="0.25">
      <c r="B145" s="23" t="s">
        <v>3331</v>
      </c>
      <c r="C145" s="28" t="s">
        <v>493</v>
      </c>
      <c r="H145" s="159">
        <f>-'Cost Calculation'!H130</f>
        <v>-2.2917843231525996</v>
      </c>
      <c r="I145" s="159">
        <f>-'Cost Calculation'!I130</f>
        <v>-2.3147021663841261</v>
      </c>
      <c r="J145" s="159">
        <f>-'Cost Calculation'!J130</f>
        <v>-2.3378491880479673</v>
      </c>
      <c r="K145" s="159">
        <f>-'Cost Calculation'!K130</f>
        <v>-2.3612276799284464</v>
      </c>
      <c r="L145" s="159">
        <f>-'Cost Calculation'!L130</f>
        <v>-2.3848399567277312</v>
      </c>
      <c r="M145" s="159">
        <f>-'Cost Calculation'!M130</f>
        <v>-2.4086883562950097</v>
      </c>
      <c r="N145" s="159">
        <f>-'Cost Calculation'!N130</f>
        <v>-2.4327752398579596</v>
      </c>
      <c r="O145" s="159">
        <f>-'Cost Calculation'!O130</f>
        <v>-2.4571029922565391</v>
      </c>
      <c r="P145" s="159">
        <f>-'Cost Calculation'!P130</f>
        <v>-2.4816740221791038</v>
      </c>
      <c r="Q145" s="159">
        <f>-'Cost Calculation'!Q130</f>
        <v>-2.5064907624008939</v>
      </c>
      <c r="R145" s="159">
        <f>-'Cost Calculation'!R130</f>
        <v>-2.531555670024904</v>
      </c>
      <c r="S145" s="159">
        <f>-'Cost Calculation'!S130</f>
        <v>-2.5568712267251534</v>
      </c>
      <c r="T145" s="159">
        <f>-'Cost Calculation'!T130</f>
        <v>-2.5824399389924042</v>
      </c>
    </row>
    <row r="146" spans="2:20" x14ac:dyDescent="0.25">
      <c r="B146" s="21" t="s">
        <v>3221</v>
      </c>
      <c r="C146" s="28" t="s">
        <v>493</v>
      </c>
      <c r="H146" s="26">
        <f>'Cost Calculation'!H131</f>
        <v>14.495481521403958</v>
      </c>
      <c r="I146" s="26">
        <f>'Cost Calculation'!I131</f>
        <v>13.9457566433103</v>
      </c>
      <c r="J146" s="26">
        <f>'Cost Calculation'!J131</f>
        <v>16.725265380831338</v>
      </c>
      <c r="K146" s="26">
        <f>'Cost Calculation'!K131</f>
        <v>18.431080713474763</v>
      </c>
      <c r="L146" s="26">
        <f>'Cost Calculation'!L131</f>
        <v>20.282633943941626</v>
      </c>
      <c r="M146" s="26">
        <f>'Cost Calculation'!M131</f>
        <v>22.29191986426342</v>
      </c>
      <c r="N146" s="26">
        <f>'Cost Calculation'!N131</f>
        <v>24.471909119642945</v>
      </c>
      <c r="O146" s="26">
        <f>'Cost Calculation'!O131</f>
        <v>26.836627291295855</v>
      </c>
      <c r="P146" s="26">
        <f>'Cost Calculation'!P131</f>
        <v>29.401240381388735</v>
      </c>
      <c r="Q146" s="26">
        <f>'Cost Calculation'!Q131</f>
        <v>32.182147218382731</v>
      </c>
      <c r="R146" s="26">
        <f>'Cost Calculation'!R131</f>
        <v>31.202778490080913</v>
      </c>
      <c r="S146" s="26">
        <f>'Cost Calculation'!S131</f>
        <v>32.930632855251332</v>
      </c>
      <c r="T146" s="26">
        <f>'Cost Calculation'!T131</f>
        <v>34.748092220611589</v>
      </c>
    </row>
    <row r="147" spans="2:20" x14ac:dyDescent="0.25">
      <c r="B147" s="23" t="s">
        <v>3332</v>
      </c>
      <c r="C147" s="28" t="s">
        <v>493</v>
      </c>
      <c r="H147" s="159">
        <f>-'Capex &amp; Depreciation'!H234</f>
        <v>-0.43948041534999999</v>
      </c>
      <c r="I147" s="159">
        <f>-'Capex &amp; Depreciation'!I234</f>
        <v>-0.43948041534999999</v>
      </c>
      <c r="J147" s="159">
        <f>-'Capex &amp; Depreciation'!J234</f>
        <v>-0.43948041534999999</v>
      </c>
      <c r="K147" s="159">
        <f>-'Capex &amp; Depreciation'!K234</f>
        <v>-0.43948041534999999</v>
      </c>
      <c r="L147" s="159">
        <f>-'Capex &amp; Depreciation'!L234</f>
        <v>-0.43948041534999999</v>
      </c>
      <c r="M147" s="159">
        <f>-'Capex &amp; Depreciation'!M234</f>
        <v>-0.43948041534999999</v>
      </c>
      <c r="N147" s="159">
        <f>-'Capex &amp; Depreciation'!N234</f>
        <v>-0.43948041534999999</v>
      </c>
      <c r="O147" s="159">
        <f>-'Capex &amp; Depreciation'!O234</f>
        <v>-0.43948041534999999</v>
      </c>
      <c r="P147" s="159">
        <f>-'Capex &amp; Depreciation'!P234</f>
        <v>-0.43948041534999999</v>
      </c>
      <c r="Q147" s="159">
        <f>-'Capex &amp; Depreciation'!Q234</f>
        <v>-0.43948041534999999</v>
      </c>
      <c r="R147" s="159">
        <f>-'Capex &amp; Depreciation'!R234</f>
        <v>-0.43948041534999999</v>
      </c>
      <c r="S147" s="159">
        <f>-'Capex &amp; Depreciation'!S234</f>
        <v>-0.43948041534999999</v>
      </c>
      <c r="T147" s="159">
        <f>-'Capex &amp; Depreciation'!T234</f>
        <v>-0.43948041534999999</v>
      </c>
    </row>
    <row r="148" spans="2:20" x14ac:dyDescent="0.25">
      <c r="B148" s="21" t="s">
        <v>3333</v>
      </c>
      <c r="C148" s="28" t="s">
        <v>493</v>
      </c>
      <c r="H148" s="26">
        <f>'Project Cash Flows'!H95</f>
        <v>14.056001106053959</v>
      </c>
      <c r="I148" s="26">
        <f>'Project Cash Flows'!I95</f>
        <v>13.506276227960301</v>
      </c>
      <c r="J148" s="26">
        <f>'Project Cash Flows'!J95</f>
        <v>16.285784965481337</v>
      </c>
      <c r="K148" s="26">
        <f>'Project Cash Flows'!K95</f>
        <v>17.991600298124762</v>
      </c>
      <c r="L148" s="26">
        <f>'Project Cash Flows'!L95</f>
        <v>19.843153528591625</v>
      </c>
      <c r="M148" s="26">
        <f>'Project Cash Flows'!M95</f>
        <v>21.852439448913419</v>
      </c>
      <c r="N148" s="26">
        <f>'Project Cash Flows'!N95</f>
        <v>24.032428704292943</v>
      </c>
      <c r="O148" s="26">
        <f>'Project Cash Flows'!O95</f>
        <v>26.397146875945854</v>
      </c>
      <c r="P148" s="26">
        <f>'Project Cash Flows'!P95</f>
        <v>28.961759966038734</v>
      </c>
      <c r="Q148" s="26">
        <f>'Project Cash Flows'!Q95</f>
        <v>31.74266680303273</v>
      </c>
      <c r="R148" s="26">
        <f>'Project Cash Flows'!R95</f>
        <v>30.763298074730912</v>
      </c>
      <c r="S148" s="26">
        <f>'Project Cash Flows'!S95</f>
        <v>32.491152439901335</v>
      </c>
      <c r="T148" s="26">
        <f>'Project Cash Flows'!T95</f>
        <v>34.308611805261592</v>
      </c>
    </row>
    <row r="149" spans="2:20" x14ac:dyDescent="0.25">
      <c r="B149" s="23" t="s">
        <v>3334</v>
      </c>
      <c r="C149" s="28" t="s">
        <v>493</v>
      </c>
      <c r="H149" s="159">
        <f>-'Project Cash Flows'!H96</f>
        <v>0</v>
      </c>
      <c r="I149" s="159">
        <f>-'Project Cash Flows'!I96</f>
        <v>0</v>
      </c>
      <c r="J149" s="159">
        <f>-'Project Cash Flows'!J96</f>
        <v>0</v>
      </c>
      <c r="K149" s="159">
        <f>-'Project Cash Flows'!K96</f>
        <v>0</v>
      </c>
      <c r="L149" s="159">
        <f>-'Project Cash Flows'!L96</f>
        <v>0</v>
      </c>
      <c r="M149" s="159">
        <f>-'Project Cash Flows'!M96</f>
        <v>0</v>
      </c>
      <c r="N149" s="159">
        <f>-'Project Cash Flows'!N96</f>
        <v>0</v>
      </c>
      <c r="O149" s="159">
        <f>-'Project Cash Flows'!O96</f>
        <v>0</v>
      </c>
      <c r="P149" s="159">
        <f>-'Project Cash Flows'!P96</f>
        <v>0</v>
      </c>
      <c r="Q149" s="159">
        <f>-'Project Cash Flows'!Q96</f>
        <v>0</v>
      </c>
      <c r="R149" s="159">
        <f>-'Project Cash Flows'!R96</f>
        <v>0</v>
      </c>
      <c r="S149" s="159">
        <f>-'Project Cash Flows'!S96</f>
        <v>0</v>
      </c>
      <c r="T149" s="159">
        <f>-'Project Cash Flows'!T96</f>
        <v>0</v>
      </c>
    </row>
    <row r="150" spans="2:20" x14ac:dyDescent="0.25">
      <c r="B150" s="23" t="s">
        <v>3335</v>
      </c>
      <c r="C150" s="28" t="s">
        <v>493</v>
      </c>
      <c r="H150" s="159">
        <f>-'Project Cash Flows'!H97</f>
        <v>-3.0923202433318711</v>
      </c>
      <c r="I150" s="159">
        <f>-'Project Cash Flows'!I97</f>
        <v>-2.9713807701512662</v>
      </c>
      <c r="J150" s="159">
        <f>-'Project Cash Flows'!J97</f>
        <v>-3.582872692405894</v>
      </c>
      <c r="K150" s="159">
        <f>-'Project Cash Flows'!K97</f>
        <v>-3.9581520655874476</v>
      </c>
      <c r="L150" s="159">
        <f>-'Project Cash Flows'!L97</f>
        <v>-4.3654937762901573</v>
      </c>
      <c r="M150" s="159">
        <f>-'Project Cash Flows'!M97</f>
        <v>-4.8075366787609521</v>
      </c>
      <c r="N150" s="159">
        <f>-'Project Cash Flows'!N97</f>
        <v>-5.2871343149444474</v>
      </c>
      <c r="O150" s="159">
        <f>-'Project Cash Flows'!O97</f>
        <v>-5.8073723127080878</v>
      </c>
      <c r="P150" s="159">
        <f>-'Project Cash Flows'!P97</f>
        <v>-6.3715871925285219</v>
      </c>
      <c r="Q150" s="159">
        <f>-'Project Cash Flows'!Q97</f>
        <v>-6.9833866966672007</v>
      </c>
      <c r="R150" s="159">
        <f>-'Project Cash Flows'!R97</f>
        <v>-6.7679255764408008</v>
      </c>
      <c r="S150" s="159">
        <f>-'Project Cash Flows'!S97</f>
        <v>-7.1480535367782938</v>
      </c>
      <c r="T150" s="159">
        <f>-'Project Cash Flows'!T97</f>
        <v>-7.5478945971575504</v>
      </c>
    </row>
    <row r="151" spans="2:20" x14ac:dyDescent="0.25">
      <c r="B151" s="21" t="s">
        <v>3336</v>
      </c>
      <c r="C151" s="28" t="s">
        <v>493</v>
      </c>
      <c r="H151" s="26">
        <f>'Project Cash Flows'!H98</f>
        <v>10.963680862722088</v>
      </c>
      <c r="I151" s="26">
        <f>'Project Cash Flows'!I98</f>
        <v>10.534895457809036</v>
      </c>
      <c r="J151" s="26">
        <f>'Project Cash Flows'!J98</f>
        <v>12.702912273075443</v>
      </c>
      <c r="K151" s="26">
        <f>'Project Cash Flows'!K98</f>
        <v>14.033448232537314</v>
      </c>
      <c r="L151" s="26">
        <f>'Project Cash Flows'!L98</f>
        <v>15.477659752301467</v>
      </c>
      <c r="M151" s="26">
        <f>'Project Cash Flows'!M98</f>
        <v>17.044902770152468</v>
      </c>
      <c r="N151" s="26">
        <f>'Project Cash Flows'!N98</f>
        <v>18.745294389348494</v>
      </c>
      <c r="O151" s="26">
        <f>'Project Cash Flows'!O98</f>
        <v>20.589774563237768</v>
      </c>
      <c r="P151" s="26">
        <f>'Project Cash Flows'!P98</f>
        <v>22.590172773510211</v>
      </c>
      <c r="Q151" s="26">
        <f>'Project Cash Flows'!Q98</f>
        <v>24.75928010636553</v>
      </c>
      <c r="R151" s="26">
        <f>'Project Cash Flows'!R98</f>
        <v>23.995372498290109</v>
      </c>
      <c r="S151" s="26">
        <f>'Project Cash Flows'!S98</f>
        <v>25.343098903123042</v>
      </c>
      <c r="T151" s="26">
        <f>'Project Cash Flows'!T98</f>
        <v>26.76071720810404</v>
      </c>
    </row>
    <row r="152" spans="2:20" x14ac:dyDescent="0.25">
      <c r="B152" s="163" t="s">
        <v>3337</v>
      </c>
    </row>
    <row r="153" spans="2:20" x14ac:dyDescent="0.25">
      <c r="B153" s="23" t="s">
        <v>3338</v>
      </c>
      <c r="C153" s="28" t="s">
        <v>493</v>
      </c>
      <c r="G153" s="29">
        <f>'Capex &amp; Depreciation'!G288</f>
        <v>1.20478385166</v>
      </c>
      <c r="H153" s="29">
        <f>'Capex &amp; Depreciation'!H288</f>
        <v>0.76530343630999997</v>
      </c>
      <c r="I153" s="29">
        <f>'Capex &amp; Depreciation'!I288</f>
        <v>0.32582302095999999</v>
      </c>
      <c r="J153" s="29">
        <f>'Capex &amp; Depreciation'!J288</f>
        <v>-0.11365739439</v>
      </c>
      <c r="K153" s="29">
        <f>'Capex &amp; Depreciation'!K288</f>
        <v>-0.55313780973999993</v>
      </c>
      <c r="L153" s="29">
        <f>'Capex &amp; Depreciation'!L288</f>
        <v>-0.99261822508999997</v>
      </c>
      <c r="M153" s="29">
        <f>'Capex &amp; Depreciation'!M288</f>
        <v>-1.43209864044</v>
      </c>
      <c r="N153" s="29">
        <f>'Capex &amp; Depreciation'!N288</f>
        <v>-1.8715790557900001</v>
      </c>
      <c r="O153" s="29">
        <f>'Capex &amp; Depreciation'!O288</f>
        <v>-2.3110594711400001</v>
      </c>
      <c r="P153" s="29">
        <f>'Capex &amp; Depreciation'!P288</f>
        <v>-2.7505398864899999</v>
      </c>
      <c r="Q153" s="29">
        <f>'Capex &amp; Depreciation'!Q288</f>
        <v>-3.1900203018399997</v>
      </c>
      <c r="R153" s="29">
        <f>'Capex &amp; Depreciation'!R288</f>
        <v>-3.6295007171899996</v>
      </c>
      <c r="S153" s="29">
        <f>'Capex &amp; Depreciation'!S288</f>
        <v>-4.0689811325399994</v>
      </c>
      <c r="T153" s="29">
        <f>'Capex &amp; Depreciation'!T288</f>
        <v>-4.5084615478899996</v>
      </c>
    </row>
    <row r="154" spans="2:20" x14ac:dyDescent="0.25">
      <c r="B154" s="23" t="s">
        <v>3339</v>
      </c>
      <c r="C154" s="28" t="s">
        <v>493</v>
      </c>
      <c r="G154" s="159">
        <v>0</v>
      </c>
      <c r="H154" s="29">
        <f>'Working Capital'!H25</f>
        <v>10.813361355830398</v>
      </c>
      <c r="I154" s="29">
        <f>'Working Capital'!I25</f>
        <v>8.0579146479198425</v>
      </c>
      <c r="J154" s="29">
        <f>'Working Capital'!J25</f>
        <v>7.6425693072577525</v>
      </c>
      <c r="K154" s="29">
        <f>'Working Capital'!K25</f>
        <v>8.2427308074444774</v>
      </c>
      <c r="L154" s="29">
        <f>'Working Capital'!L25</f>
        <v>8.865898534562147</v>
      </c>
      <c r="M154" s="29">
        <f>'Working Capital'!M25</f>
        <v>9.5886824245287912</v>
      </c>
      <c r="N154" s="29">
        <f>'Working Capital'!N25</f>
        <v>10.342248191417244</v>
      </c>
      <c r="O154" s="29">
        <f>'Working Capital'!O25</f>
        <v>11.155242244536502</v>
      </c>
      <c r="P154" s="29">
        <f>'Working Capital'!P25</f>
        <v>11.999491173478418</v>
      </c>
      <c r="Q154" s="29">
        <f>'Working Capital'!Q25</f>
        <v>12.978695971842061</v>
      </c>
      <c r="R154" s="29">
        <f>'Working Capital'!R25</f>
        <v>11.488912021801587</v>
      </c>
      <c r="S154" s="29">
        <f>'Working Capital'!S25</f>
        <v>12.047280049591679</v>
      </c>
      <c r="T154" s="29">
        <f>'Working Capital'!T25</f>
        <v>12.598407191752283</v>
      </c>
    </row>
    <row r="155" spans="2:20" x14ac:dyDescent="0.25">
      <c r="B155" s="23" t="s">
        <v>3340</v>
      </c>
      <c r="C155" s="28" t="s">
        <v>493</v>
      </c>
      <c r="G155" s="159">
        <v>0</v>
      </c>
      <c r="H155" s="159">
        <f>-'Working Capital'!H26</f>
        <v>-5.8329021734587991</v>
      </c>
      <c r="I155" s="159">
        <f>-'Working Capital'!I26</f>
        <v>-4.0354670320630008</v>
      </c>
      <c r="J155" s="159">
        <f>-'Working Capital'!J26</f>
        <v>-3.5282148704100655</v>
      </c>
      <c r="K155" s="159">
        <f>-'Working Capital'!K26</f>
        <v>-3.7861970173773329</v>
      </c>
      <c r="L155" s="159">
        <f>-'Working Capital'!L26</f>
        <v>-4.0526093590521404</v>
      </c>
      <c r="M155" s="159">
        <f>-'Working Capital'!M26</f>
        <v>-4.3622679726536617</v>
      </c>
      <c r="N155" s="159">
        <f>-'Working Capital'!N26</f>
        <v>-4.6834882076525179</v>
      </c>
      <c r="O155" s="159">
        <f>-'Working Capital'!O26</f>
        <v>-5.0291243041022202</v>
      </c>
      <c r="P155" s="159">
        <f>-'Working Capital'!P26</f>
        <v>-5.3863071426822371</v>
      </c>
      <c r="Q155" s="159">
        <f>-'Working Capital'!Q26</f>
        <v>-5.801343051300619</v>
      </c>
      <c r="R155" s="159">
        <f>-'Working Capital'!R26</f>
        <v>-4.8865896817403058</v>
      </c>
      <c r="S155" s="159">
        <f>-'Working Capital'!S26</f>
        <v>-5.1147388756383956</v>
      </c>
      <c r="T155" s="159">
        <f>-'Working Capital'!T26</f>
        <v>-5.3390584426214138</v>
      </c>
    </row>
    <row r="156" spans="2:20" x14ac:dyDescent="0.25">
      <c r="B156" s="21" t="s">
        <v>3341</v>
      </c>
      <c r="C156" s="28" t="s">
        <v>493</v>
      </c>
      <c r="G156" s="26">
        <f>'Capex &amp; Depreciation'!G288</f>
        <v>1.20478385166</v>
      </c>
      <c r="H156" s="160">
        <f>'Capex &amp; Depreciation'!H288+'Working Capital'!H27</f>
        <v>5.7457626186815993</v>
      </c>
      <c r="I156" s="160">
        <f>'Capex &amp; Depreciation'!I288+'Working Capital'!I27</f>
        <v>4.3482706368168413</v>
      </c>
      <c r="J156" s="160">
        <f>'Capex &amp; Depreciation'!J288+'Working Capital'!J27</f>
        <v>4.0006970424576878</v>
      </c>
      <c r="K156" s="160">
        <f>'Capex &amp; Depreciation'!K288+'Working Capital'!K27</f>
        <v>3.9033959803271445</v>
      </c>
      <c r="L156" s="160">
        <f>'Capex &amp; Depreciation'!L288+'Working Capital'!L27</f>
        <v>3.8206709504200065</v>
      </c>
      <c r="M156" s="160">
        <f>'Capex &amp; Depreciation'!M288+'Working Capital'!M27</f>
        <v>3.7943158114351294</v>
      </c>
      <c r="N156" s="160">
        <f>'Capex &amp; Depreciation'!N288+'Working Capital'!N27</f>
        <v>3.7871809279747266</v>
      </c>
      <c r="O156" s="160">
        <f>'Capex &amp; Depreciation'!O288+'Working Capital'!O27</f>
        <v>3.8150584692942822</v>
      </c>
      <c r="P156" s="160">
        <f>'Capex &amp; Depreciation'!P288+'Working Capital'!P27</f>
        <v>3.8626441443061812</v>
      </c>
      <c r="Q156" s="160">
        <f>'Capex &amp; Depreciation'!Q288+'Working Capital'!Q27</f>
        <v>3.9873326187014424</v>
      </c>
      <c r="R156" s="160">
        <f>'Capex &amp; Depreciation'!R288+'Working Capital'!R27</f>
        <v>2.9728216228712818</v>
      </c>
      <c r="S156" s="160">
        <f>'Capex &amp; Depreciation'!S288+'Working Capital'!S27</f>
        <v>2.863560041413284</v>
      </c>
      <c r="T156" s="160">
        <f>'Capex &amp; Depreciation'!T288+'Working Capital'!T27</f>
        <v>2.7508872012408698</v>
      </c>
    </row>
    <row r="157" spans="2:20" x14ac:dyDescent="0.25">
      <c r="B157" s="163" t="s">
        <v>3342</v>
      </c>
    </row>
    <row r="158" spans="2:20" x14ac:dyDescent="0.25">
      <c r="B158" s="23" t="s">
        <v>3221</v>
      </c>
      <c r="C158" s="28" t="s">
        <v>493</v>
      </c>
      <c r="H158" s="29">
        <f>'Project Cash Flows'!H94</f>
        <v>14.495481521403958</v>
      </c>
      <c r="I158" s="29">
        <f>'Project Cash Flows'!I94</f>
        <v>13.9457566433103</v>
      </c>
      <c r="J158" s="29">
        <f>'Project Cash Flows'!J94</f>
        <v>16.725265380831338</v>
      </c>
      <c r="K158" s="29">
        <f>'Project Cash Flows'!K94</f>
        <v>18.431080713474763</v>
      </c>
      <c r="L158" s="29">
        <f>'Project Cash Flows'!L94</f>
        <v>20.282633943941626</v>
      </c>
      <c r="M158" s="29">
        <f>'Project Cash Flows'!M94</f>
        <v>22.29191986426342</v>
      </c>
      <c r="N158" s="29">
        <f>'Project Cash Flows'!N94</f>
        <v>24.471909119642945</v>
      </c>
      <c r="O158" s="29">
        <f>'Project Cash Flows'!O94</f>
        <v>26.836627291295855</v>
      </c>
      <c r="P158" s="29">
        <f>'Project Cash Flows'!P94</f>
        <v>29.401240381388735</v>
      </c>
      <c r="Q158" s="29">
        <f>'Project Cash Flows'!Q94</f>
        <v>32.182147218382731</v>
      </c>
      <c r="R158" s="29">
        <f>'Project Cash Flows'!R94</f>
        <v>31.202778490080913</v>
      </c>
      <c r="S158" s="29">
        <f>'Project Cash Flows'!S94</f>
        <v>32.930632855251332</v>
      </c>
      <c r="T158" s="29">
        <f>'Project Cash Flows'!T94</f>
        <v>34.748092220611589</v>
      </c>
    </row>
    <row r="159" spans="2:20" x14ac:dyDescent="0.25">
      <c r="B159" s="23" t="s">
        <v>3343</v>
      </c>
      <c r="C159" s="28" t="s">
        <v>493</v>
      </c>
      <c r="H159" s="29">
        <f>'Project Cash Flows'!H99</f>
        <v>-3.0923202433318711</v>
      </c>
      <c r="I159" s="29">
        <f>'Project Cash Flows'!I99</f>
        <v>-2.9713807701512662</v>
      </c>
      <c r="J159" s="29">
        <f>'Project Cash Flows'!J99</f>
        <v>-3.582872692405894</v>
      </c>
      <c r="K159" s="29">
        <f>'Project Cash Flows'!K99</f>
        <v>-3.9581520655874476</v>
      </c>
      <c r="L159" s="29">
        <f>'Project Cash Flows'!L99</f>
        <v>-4.3654937762901573</v>
      </c>
      <c r="M159" s="29">
        <f>'Project Cash Flows'!M99</f>
        <v>-4.8075366787609521</v>
      </c>
      <c r="N159" s="29">
        <f>'Project Cash Flows'!N99</f>
        <v>-5.2871343149444474</v>
      </c>
      <c r="O159" s="29">
        <f>'Project Cash Flows'!O99</f>
        <v>-5.8073723127080878</v>
      </c>
      <c r="P159" s="29">
        <f>'Project Cash Flows'!P99</f>
        <v>-6.3715871925285219</v>
      </c>
      <c r="Q159" s="29">
        <f>'Project Cash Flows'!Q99</f>
        <v>-6.9833866966672007</v>
      </c>
      <c r="R159" s="29">
        <f>'Project Cash Flows'!R99</f>
        <v>-6.7679255764408008</v>
      </c>
      <c r="S159" s="29">
        <f>'Project Cash Flows'!S99</f>
        <v>-7.1480535367782938</v>
      </c>
      <c r="T159" s="29">
        <f>'Project Cash Flows'!T99</f>
        <v>-7.5478945971575504</v>
      </c>
    </row>
    <row r="160" spans="2:20" x14ac:dyDescent="0.25">
      <c r="B160" s="23" t="s">
        <v>3227</v>
      </c>
      <c r="C160" s="28" t="s">
        <v>493</v>
      </c>
      <c r="H160" s="29">
        <f>'Project Cash Flows'!H100</f>
        <v>0</v>
      </c>
      <c r="I160" s="29">
        <f>'Project Cash Flows'!I100</f>
        <v>0</v>
      </c>
      <c r="J160" s="29">
        <f>'Project Cash Flows'!J100</f>
        <v>0</v>
      </c>
      <c r="K160" s="29">
        <f>'Project Cash Flows'!K100</f>
        <v>0</v>
      </c>
      <c r="L160" s="29">
        <f>'Project Cash Flows'!L100</f>
        <v>0</v>
      </c>
      <c r="M160" s="29">
        <f>'Project Cash Flows'!M100</f>
        <v>0</v>
      </c>
      <c r="N160" s="29">
        <f>'Project Cash Flows'!N100</f>
        <v>0</v>
      </c>
      <c r="O160" s="29">
        <f>'Project Cash Flows'!O100</f>
        <v>0</v>
      </c>
      <c r="P160" s="29">
        <f>'Project Cash Flows'!P100</f>
        <v>0</v>
      </c>
      <c r="Q160" s="29">
        <f>'Project Cash Flows'!Q100</f>
        <v>0</v>
      </c>
      <c r="R160" s="29">
        <f>'Project Cash Flows'!R100</f>
        <v>0</v>
      </c>
      <c r="S160" s="29">
        <f>'Project Cash Flows'!S100</f>
        <v>0</v>
      </c>
      <c r="T160" s="29">
        <f>'Project Cash Flows'!T100</f>
        <v>0</v>
      </c>
    </row>
    <row r="161" spans="2:20" x14ac:dyDescent="0.25">
      <c r="B161" s="23" t="s">
        <v>3228</v>
      </c>
      <c r="C161" s="28" t="s">
        <v>493</v>
      </c>
      <c r="H161" s="29">
        <f>'Project Cash Flows'!H101</f>
        <v>-4.9804591823715993</v>
      </c>
      <c r="I161" s="29">
        <f>'Project Cash Flows'!I101</f>
        <v>0.95801156651475772</v>
      </c>
      <c r="J161" s="29">
        <f>'Project Cash Flows'!J101</f>
        <v>-9.1906820990845794E-2</v>
      </c>
      <c r="K161" s="29">
        <f>'Project Cash Flows'!K101</f>
        <v>-0.34217935321945703</v>
      </c>
      <c r="L161" s="29">
        <f>'Project Cash Flows'!L101</f>
        <v>-0.35675538544286223</v>
      </c>
      <c r="M161" s="29">
        <f>'Project Cash Flows'!M101</f>
        <v>-0.41312527636512275</v>
      </c>
      <c r="N161" s="29">
        <f>'Project Cash Flows'!N101</f>
        <v>-0.43234553188959701</v>
      </c>
      <c r="O161" s="29">
        <f>'Project Cash Flows'!O101</f>
        <v>-0.46735795666955582</v>
      </c>
      <c r="P161" s="29">
        <f>'Project Cash Flows'!P101</f>
        <v>-0.48706609036189885</v>
      </c>
      <c r="Q161" s="29">
        <f>'Project Cash Flows'!Q101</f>
        <v>-0.56416888974526103</v>
      </c>
      <c r="R161" s="29">
        <f>'Project Cash Flows'!R101</f>
        <v>0.57503058048016076</v>
      </c>
      <c r="S161" s="29">
        <f>'Project Cash Flows'!S101</f>
        <v>-0.33021883389200202</v>
      </c>
      <c r="T161" s="29">
        <f>'Project Cash Flows'!T101</f>
        <v>-0.32680757517758607</v>
      </c>
    </row>
    <row r="162" spans="2:20" x14ac:dyDescent="0.25">
      <c r="B162" s="21" t="s">
        <v>3344</v>
      </c>
      <c r="C162" s="28" t="s">
        <v>493</v>
      </c>
      <c r="H162" s="26">
        <f>'Project Cash Flows'!H102</f>
        <v>6.4227020957004877</v>
      </c>
      <c r="I162" s="26">
        <f>'Project Cash Flows'!I102</f>
        <v>11.932387439673791</v>
      </c>
      <c r="J162" s="26">
        <f>'Project Cash Flows'!J102</f>
        <v>13.050485867434599</v>
      </c>
      <c r="K162" s="26">
        <f>'Project Cash Flows'!K102</f>
        <v>14.130749294667858</v>
      </c>
      <c r="L162" s="26">
        <f>'Project Cash Flows'!L102</f>
        <v>15.560384782208605</v>
      </c>
      <c r="M162" s="26">
        <f>'Project Cash Flows'!M102</f>
        <v>17.071257909137344</v>
      </c>
      <c r="N162" s="26">
        <f>'Project Cash Flows'!N102</f>
        <v>18.752429272808904</v>
      </c>
      <c r="O162" s="26">
        <f>'Project Cash Flows'!O102</f>
        <v>20.56189702191821</v>
      </c>
      <c r="P162" s="26">
        <f>'Project Cash Flows'!P102</f>
        <v>22.542587098498313</v>
      </c>
      <c r="Q162" s="26">
        <f>'Project Cash Flows'!Q102</f>
        <v>24.63459163197027</v>
      </c>
      <c r="R162" s="26">
        <f>'Project Cash Flows'!R102</f>
        <v>25.009883494120274</v>
      </c>
      <c r="S162" s="26">
        <f>'Project Cash Flows'!S102</f>
        <v>25.452360484581039</v>
      </c>
      <c r="T162" s="26">
        <f>'Project Cash Flows'!T102</f>
        <v>26.873390048276452</v>
      </c>
    </row>
    <row r="163" spans="2:20" x14ac:dyDescent="0.25">
      <c r="B163" s="23" t="s">
        <v>3345</v>
      </c>
      <c r="C163" s="28" t="s">
        <v>493</v>
      </c>
      <c r="G163" s="29">
        <f>'Project Cash Flows'!G105</f>
        <v>0</v>
      </c>
      <c r="H163" s="29">
        <f>'Project Cash Flows'!H105</f>
        <v>6.4227020957004877</v>
      </c>
      <c r="I163" s="29">
        <f>'Project Cash Flows'!I105</f>
        <v>18.35508953537428</v>
      </c>
      <c r="J163" s="29">
        <f>'Project Cash Flows'!J105</f>
        <v>31.405575402808878</v>
      </c>
      <c r="K163" s="29">
        <f>'Project Cash Flows'!K105</f>
        <v>45.536324697476736</v>
      </c>
      <c r="L163" s="29">
        <f>'Project Cash Flows'!L105</f>
        <v>61.096709479685344</v>
      </c>
      <c r="M163" s="29">
        <f>'Project Cash Flows'!M105</f>
        <v>78.167967388822689</v>
      </c>
      <c r="N163" s="29">
        <f>'Project Cash Flows'!N105</f>
        <v>96.920396661631599</v>
      </c>
      <c r="O163" s="29">
        <f>'Project Cash Flows'!O105</f>
        <v>117.48229368354981</v>
      </c>
      <c r="P163" s="29">
        <f>'Project Cash Flows'!P105</f>
        <v>140.02488078204811</v>
      </c>
      <c r="Q163" s="29">
        <f>'Project Cash Flows'!Q105</f>
        <v>164.65947241401838</v>
      </c>
      <c r="R163" s="29">
        <f>'Project Cash Flows'!R105</f>
        <v>189.66935590813864</v>
      </c>
      <c r="S163" s="29">
        <f>'Project Cash Flows'!S105</f>
        <v>215.12171639271969</v>
      </c>
      <c r="T163" s="29">
        <f>'Project Cash Flows'!T105</f>
        <v>241.99510644099615</v>
      </c>
    </row>
    <row r="164" spans="2:20" x14ac:dyDescent="0.25">
      <c r="B164" s="163" t="s">
        <v>3346</v>
      </c>
    </row>
    <row r="165" spans="2:20" x14ac:dyDescent="0.25">
      <c r="B165" s="23" t="s">
        <v>3347</v>
      </c>
      <c r="C165" s="28" t="s">
        <v>493</v>
      </c>
      <c r="H165" s="29">
        <f>'Capex &amp; Depreciation'!H261</f>
        <v>0</v>
      </c>
      <c r="I165" s="29">
        <f>'Capex &amp; Depreciation'!I261</f>
        <v>0</v>
      </c>
      <c r="J165" s="29">
        <f>'Capex &amp; Depreciation'!J261</f>
        <v>0</v>
      </c>
      <c r="K165" s="29">
        <f>'Capex &amp; Depreciation'!K261</f>
        <v>0</v>
      </c>
      <c r="L165" s="29">
        <f>'Capex &amp; Depreciation'!L261</f>
        <v>0</v>
      </c>
      <c r="M165" s="29">
        <f>'Capex &amp; Depreciation'!M261</f>
        <v>0</v>
      </c>
      <c r="N165" s="29">
        <f>'Capex &amp; Depreciation'!N261</f>
        <v>0</v>
      </c>
      <c r="O165" s="29">
        <f>'Capex &amp; Depreciation'!O261</f>
        <v>0</v>
      </c>
      <c r="P165" s="29">
        <f>'Capex &amp; Depreciation'!P261</f>
        <v>0</v>
      </c>
      <c r="Q165" s="29">
        <f>'Capex &amp; Depreciation'!Q261</f>
        <v>0</v>
      </c>
      <c r="R165" s="29">
        <f>'Capex &amp; Depreciation'!R261</f>
        <v>0</v>
      </c>
      <c r="S165" s="29">
        <f>'Capex &amp; Depreciation'!S261</f>
        <v>0</v>
      </c>
      <c r="T165" s="29">
        <f>'Capex &amp; Depreciation'!T261</f>
        <v>0</v>
      </c>
    </row>
    <row r="166" spans="2:20" x14ac:dyDescent="0.25">
      <c r="B166" s="163" t="s">
        <v>3348</v>
      </c>
    </row>
    <row r="167" spans="2:20" x14ac:dyDescent="0.25">
      <c r="B167" s="44" t="s">
        <v>3349</v>
      </c>
      <c r="D167" s="204">
        <f>'Project Cash Flows'!$E$10</f>
        <v>201.63311414396929</v>
      </c>
      <c r="H167" s="44" t="s">
        <v>3176</v>
      </c>
      <c r="K167" s="205" t="str">
        <f>'Project Cash Flows'!$H$10</f>
        <v>Not meaningful</v>
      </c>
      <c r="N167" s="44" t="s">
        <v>3350</v>
      </c>
      <c r="Q167" s="205" t="str">
        <f>'Project Cash Flows'!$I$10</f>
        <v>Not meaningful</v>
      </c>
    </row>
    <row r="168" spans="2:20" x14ac:dyDescent="0.25">
      <c r="B168" s="44" t="s">
        <v>3180</v>
      </c>
      <c r="D168" s="205" t="str">
        <f>'Project Cash Flows'!$L$10</f>
        <v>n/a</v>
      </c>
      <c r="H168" s="44" t="s">
        <v>3351</v>
      </c>
      <c r="K168" s="206" t="str">
        <f>'Project Cash Flows'!$J$10</f>
        <v>Not meaningful</v>
      </c>
      <c r="N168" s="44" t="s">
        <v>3179</v>
      </c>
      <c r="Q168" s="204" t="str">
        <f>'Project Cash Flows'!$K$10</f>
        <v>Not meaningful</v>
      </c>
    </row>
    <row r="170" spans="2:20" x14ac:dyDescent="0.25">
      <c r="B170" s="58" t="s">
        <v>3360</v>
      </c>
      <c r="C170" s="19"/>
      <c r="D170" s="19"/>
      <c r="E170" s="19"/>
      <c r="F170" s="19"/>
      <c r="G170" s="19"/>
      <c r="H170" s="19"/>
      <c r="I170" s="19"/>
      <c r="J170" s="19"/>
      <c r="K170" s="19"/>
      <c r="L170" s="19"/>
      <c r="M170" s="19"/>
      <c r="N170" s="19"/>
      <c r="O170" s="19"/>
      <c r="P170" s="19"/>
      <c r="Q170" s="19"/>
      <c r="R170" s="19"/>
      <c r="S170" s="19"/>
      <c r="T170" s="19"/>
    </row>
    <row r="171" spans="2:20" x14ac:dyDescent="0.25">
      <c r="B171" s="70" t="s">
        <v>1690</v>
      </c>
      <c r="D171" s="130" t="str">
        <f>Inputs!$I$64</f>
        <v>Included - both cases</v>
      </c>
      <c r="M171" s="202" t="s">
        <v>3323</v>
      </c>
      <c r="N171" s="203">
        <f>Inputs!$H$64</f>
        <v>1</v>
      </c>
    </row>
    <row r="172" spans="2:20" x14ac:dyDescent="0.25">
      <c r="B172" s="163" t="s">
        <v>3324</v>
      </c>
    </row>
    <row r="173" spans="2:20" x14ac:dyDescent="0.25">
      <c r="B173" s="23" t="s">
        <v>3353</v>
      </c>
      <c r="C173" s="28" t="s">
        <v>630</v>
      </c>
      <c r="H173" s="48">
        <f>'Revenue Calculation'!H97</f>
        <v>0</v>
      </c>
      <c r="I173" s="48">
        <f>'Revenue Calculation'!I97</f>
        <v>2449985.568</v>
      </c>
      <c r="J173" s="48">
        <f>'Revenue Calculation'!J97</f>
        <v>2523485.1350400001</v>
      </c>
      <c r="K173" s="48">
        <f>'Revenue Calculation'!K97</f>
        <v>2599189.6890912</v>
      </c>
      <c r="L173" s="48">
        <f>'Revenue Calculation'!L97</f>
        <v>2677165.3797639362</v>
      </c>
      <c r="M173" s="48">
        <f>'Revenue Calculation'!M97</f>
        <v>2757480.3411568543</v>
      </c>
      <c r="N173" s="48">
        <f>'Revenue Calculation'!N97</f>
        <v>2840204.7513915598</v>
      </c>
      <c r="O173" s="48">
        <f>'Revenue Calculation'!O97</f>
        <v>2925410.8939333069</v>
      </c>
      <c r="P173" s="48">
        <f>'Revenue Calculation'!P97</f>
        <v>3013173.220751306</v>
      </c>
      <c r="Q173" s="48">
        <f>'Revenue Calculation'!Q97</f>
        <v>3103568.4173738454</v>
      </c>
      <c r="R173" s="48">
        <f>'Revenue Calculation'!R97</f>
        <v>3196675.4698950611</v>
      </c>
      <c r="S173" s="48">
        <f>'Revenue Calculation'!S97</f>
        <v>3292575.7339919126</v>
      </c>
      <c r="T173" s="48">
        <f>'Revenue Calculation'!T97</f>
        <v>3391353.00601167</v>
      </c>
    </row>
    <row r="174" spans="2:20" x14ac:dyDescent="0.25">
      <c r="B174" s="23" t="s">
        <v>3354</v>
      </c>
      <c r="C174" s="28" t="s">
        <v>647</v>
      </c>
      <c r="H174" s="48">
        <f>'Revenue Calculation'!H98</f>
        <v>0</v>
      </c>
      <c r="I174" s="48">
        <f>'Revenue Calculation'!I98</f>
        <v>40944</v>
      </c>
      <c r="J174" s="48">
        <f>'Revenue Calculation'!J98</f>
        <v>40944</v>
      </c>
      <c r="K174" s="48">
        <f>'Revenue Calculation'!K98</f>
        <v>49132.800000000003</v>
      </c>
      <c r="L174" s="48">
        <f>'Revenue Calculation'!L98</f>
        <v>49132.800000000003</v>
      </c>
      <c r="M174" s="48">
        <f>'Revenue Calculation'!M98</f>
        <v>54046.080000000002</v>
      </c>
      <c r="N174" s="48">
        <f>'Revenue Calculation'!N98</f>
        <v>54046.080000000002</v>
      </c>
      <c r="O174" s="48">
        <f>'Revenue Calculation'!O98</f>
        <v>57288.844799999999</v>
      </c>
      <c r="P174" s="48">
        <f>'Revenue Calculation'!P98</f>
        <v>57288.844799999999</v>
      </c>
      <c r="Q174" s="48">
        <f>'Revenue Calculation'!Q98</f>
        <v>60726.175488000001</v>
      </c>
      <c r="R174" s="48">
        <f>'Revenue Calculation'!R98</f>
        <v>60726.175488000001</v>
      </c>
      <c r="S174" s="48">
        <f>'Revenue Calculation'!S98</f>
        <v>60726.175488000001</v>
      </c>
      <c r="T174" s="48">
        <f>'Revenue Calculation'!T98</f>
        <v>60726.175488000001</v>
      </c>
    </row>
    <row r="175" spans="2:20" x14ac:dyDescent="0.25">
      <c r="B175" s="163" t="s">
        <v>3328</v>
      </c>
    </row>
    <row r="176" spans="2:20" x14ac:dyDescent="0.25">
      <c r="B176" s="21" t="s">
        <v>3329</v>
      </c>
      <c r="C176" s="28" t="s">
        <v>493</v>
      </c>
      <c r="H176" s="26">
        <f>'Revenue Calculation'!H99</f>
        <v>0</v>
      </c>
      <c r="I176" s="26">
        <f>'Revenue Calculation'!I99</f>
        <v>100.31220909619201</v>
      </c>
      <c r="J176" s="26">
        <f>'Revenue Calculation'!J99</f>
        <v>103.32157536907776</v>
      </c>
      <c r="K176" s="26">
        <f>'Revenue Calculation'!K99</f>
        <v>127.70546715618012</v>
      </c>
      <c r="L176" s="26">
        <f>'Revenue Calculation'!L99</f>
        <v>131.53663117086552</v>
      </c>
      <c r="M176" s="26">
        <f>'Revenue Calculation'!M99</f>
        <v>149.03100311659063</v>
      </c>
      <c r="N176" s="26">
        <f>'Revenue Calculation'!N99</f>
        <v>153.50193321008834</v>
      </c>
      <c r="O176" s="26">
        <f>'Revenue Calculation'!O99</f>
        <v>167.59341067877446</v>
      </c>
      <c r="P176" s="26">
        <f>'Revenue Calculation'!P99</f>
        <v>172.6212129991377</v>
      </c>
      <c r="Q176" s="26">
        <f>'Revenue Calculation'!Q99</f>
        <v>188.46784035245855</v>
      </c>
      <c r="R176" s="26">
        <f>'Revenue Calculation'!R99</f>
        <v>194.12187556303235</v>
      </c>
      <c r="S176" s="26">
        <f>'Revenue Calculation'!S99</f>
        <v>199.94553182992328</v>
      </c>
      <c r="T176" s="26">
        <f>'Revenue Calculation'!T99</f>
        <v>205.94389778482099</v>
      </c>
    </row>
    <row r="177" spans="2:20" x14ac:dyDescent="0.25">
      <c r="B177" s="23" t="s">
        <v>3330</v>
      </c>
      <c r="C177" s="28" t="s">
        <v>493</v>
      </c>
      <c r="H177" s="159">
        <f>-'Cost Calculation'!H135</f>
        <v>0</v>
      </c>
      <c r="I177" s="159">
        <f>-'Cost Calculation'!I135</f>
        <v>-9.514942716380725</v>
      </c>
      <c r="J177" s="159">
        <f>-'Cost Calculation'!J135</f>
        <v>-10.03100826380831</v>
      </c>
      <c r="K177" s="159">
        <f>-'Cost Calculation'!K135</f>
        <v>-10.578502203074237</v>
      </c>
      <c r="L177" s="159">
        <f>-'Cost Calculation'!L135</f>
        <v>-11.159338523241457</v>
      </c>
      <c r="M177" s="159">
        <f>-'Cost Calculation'!M135</f>
        <v>-11.775547775306864</v>
      </c>
      <c r="N177" s="159">
        <f>-'Cost Calculation'!N135</f>
        <v>-12.429284170823051</v>
      </c>
      <c r="O177" s="159">
        <f>-'Cost Calculation'!O135</f>
        <v>-13.122833112826179</v>
      </c>
      <c r="P177" s="159">
        <f>-'Cost Calculation'!P135</f>
        <v>-13.85861918539729</v>
      </c>
      <c r="Q177" s="159">
        <f>-'Cost Calculation'!Q135</f>
        <v>-14.639214629787986</v>
      </c>
      <c r="R177" s="159">
        <f>-'Cost Calculation'!R135</f>
        <v>-15.467348336742077</v>
      </c>
      <c r="S177" s="159">
        <f>-'Cost Calculation'!S135</f>
        <v>-16.345915386449668</v>
      </c>
      <c r="T177" s="159">
        <f>-'Cost Calculation'!T135</f>
        <v>-17.277987169484454</v>
      </c>
    </row>
    <row r="178" spans="2:20" x14ac:dyDescent="0.25">
      <c r="B178" s="23" t="s">
        <v>3331</v>
      </c>
      <c r="C178" s="28" t="s">
        <v>493</v>
      </c>
      <c r="H178" s="159">
        <f>-'Cost Calculation'!H136</f>
        <v>0</v>
      </c>
      <c r="I178" s="159">
        <f>-'Cost Calculation'!I136</f>
        <v>-20.062441819238401</v>
      </c>
      <c r="J178" s="159">
        <f>-'Cost Calculation'!J136</f>
        <v>-20.664315073815555</v>
      </c>
      <c r="K178" s="159">
        <f>-'Cost Calculation'!K136</f>
        <v>-25.541093431236025</v>
      </c>
      <c r="L178" s="159">
        <f>-'Cost Calculation'!L136</f>
        <v>-26.307326234173104</v>
      </c>
      <c r="M178" s="159">
        <f>-'Cost Calculation'!M136</f>
        <v>-29.806200623318126</v>
      </c>
      <c r="N178" s="159">
        <f>-'Cost Calculation'!N136</f>
        <v>-30.700386642017669</v>
      </c>
      <c r="O178" s="159">
        <f>-'Cost Calculation'!O136</f>
        <v>-33.518682135754894</v>
      </c>
      <c r="P178" s="159">
        <f>-'Cost Calculation'!P136</f>
        <v>-34.524242599827538</v>
      </c>
      <c r="Q178" s="159">
        <f>-'Cost Calculation'!Q136</f>
        <v>-37.693568070491715</v>
      </c>
      <c r="R178" s="159">
        <f>-'Cost Calculation'!R136</f>
        <v>-38.824375112606475</v>
      </c>
      <c r="S178" s="159">
        <f>-'Cost Calculation'!S136</f>
        <v>-39.989106365984661</v>
      </c>
      <c r="T178" s="159">
        <f>-'Cost Calculation'!T136</f>
        <v>-41.188779556964199</v>
      </c>
    </row>
    <row r="179" spans="2:20" x14ac:dyDescent="0.25">
      <c r="B179" s="21" t="s">
        <v>3221</v>
      </c>
      <c r="C179" s="28" t="s">
        <v>493</v>
      </c>
      <c r="H179" s="26">
        <f>'Cost Calculation'!H137</f>
        <v>0</v>
      </c>
      <c r="I179" s="26">
        <f>'Cost Calculation'!I137</f>
        <v>70.734824560572875</v>
      </c>
      <c r="J179" s="26">
        <f>'Cost Calculation'!J137</f>
        <v>72.626252031453888</v>
      </c>
      <c r="K179" s="26">
        <f>'Cost Calculation'!K137</f>
        <v>91.585871521869862</v>
      </c>
      <c r="L179" s="26">
        <f>'Cost Calculation'!L137</f>
        <v>94.069966413450956</v>
      </c>
      <c r="M179" s="26">
        <f>'Cost Calculation'!M137</f>
        <v>107.44925471796563</v>
      </c>
      <c r="N179" s="26">
        <f>'Cost Calculation'!N137</f>
        <v>110.37226239724762</v>
      </c>
      <c r="O179" s="26">
        <f>'Cost Calculation'!O137</f>
        <v>120.95189543019339</v>
      </c>
      <c r="P179" s="26">
        <f>'Cost Calculation'!P137</f>
        <v>124.23835121391286</v>
      </c>
      <c r="Q179" s="26">
        <f>'Cost Calculation'!Q137</f>
        <v>136.13505765217883</v>
      </c>
      <c r="R179" s="26">
        <f>'Cost Calculation'!R137</f>
        <v>139.83015211368379</v>
      </c>
      <c r="S179" s="26">
        <f>'Cost Calculation'!S137</f>
        <v>143.61051007748895</v>
      </c>
      <c r="T179" s="26">
        <f>'Cost Calculation'!T137</f>
        <v>147.47713105837235</v>
      </c>
    </row>
    <row r="180" spans="2:20" x14ac:dyDescent="0.25">
      <c r="B180" s="23" t="s">
        <v>3332</v>
      </c>
      <c r="C180" s="28" t="s">
        <v>493</v>
      </c>
      <c r="H180" s="159">
        <f>-'Capex &amp; Depreciation'!H235</f>
        <v>0</v>
      </c>
      <c r="I180" s="159">
        <f>-'Capex &amp; Depreciation'!I235</f>
        <v>-17.79853586312198</v>
      </c>
      <c r="J180" s="159">
        <f>-'Capex &amp; Depreciation'!J235</f>
        <v>-17.79853586312198</v>
      </c>
      <c r="K180" s="159">
        <f>-'Capex &amp; Depreciation'!K235</f>
        <v>-17.79853586312198</v>
      </c>
      <c r="L180" s="159">
        <f>-'Capex &amp; Depreciation'!L235</f>
        <v>-17.79853586312198</v>
      </c>
      <c r="M180" s="159">
        <f>-'Capex &amp; Depreciation'!M235</f>
        <v>-17.79853586312198</v>
      </c>
      <c r="N180" s="159">
        <f>-'Capex &amp; Depreciation'!N235</f>
        <v>-17.79853586312198</v>
      </c>
      <c r="O180" s="159">
        <f>-'Capex &amp; Depreciation'!O235</f>
        <v>-17.79853586312198</v>
      </c>
      <c r="P180" s="159">
        <f>-'Capex &amp; Depreciation'!P235</f>
        <v>-17.79853586312198</v>
      </c>
      <c r="Q180" s="159">
        <f>-'Capex &amp; Depreciation'!Q235</f>
        <v>-17.79853586312198</v>
      </c>
      <c r="R180" s="159">
        <f>-'Capex &amp; Depreciation'!R235</f>
        <v>-17.79853586312198</v>
      </c>
      <c r="S180" s="159">
        <f>-'Capex &amp; Depreciation'!S235</f>
        <v>-17.79853586312198</v>
      </c>
      <c r="T180" s="159">
        <f>-'Capex &amp; Depreciation'!T235</f>
        <v>-17.79853586312198</v>
      </c>
    </row>
    <row r="181" spans="2:20" x14ac:dyDescent="0.25">
      <c r="B181" s="21" t="s">
        <v>3333</v>
      </c>
      <c r="C181" s="28" t="s">
        <v>493</v>
      </c>
      <c r="H181" s="26">
        <f>'Project Cash Flows'!H108</f>
        <v>0</v>
      </c>
      <c r="I181" s="26">
        <f>'Project Cash Flows'!I108</f>
        <v>52.936288697450891</v>
      </c>
      <c r="J181" s="26">
        <f>'Project Cash Flows'!J108</f>
        <v>54.827716168331904</v>
      </c>
      <c r="K181" s="26">
        <f>'Project Cash Flows'!K108</f>
        <v>73.787335658747878</v>
      </c>
      <c r="L181" s="26">
        <f>'Project Cash Flows'!L108</f>
        <v>76.271430550328972</v>
      </c>
      <c r="M181" s="26">
        <f>'Project Cash Flows'!M108</f>
        <v>89.650718854843646</v>
      </c>
      <c r="N181" s="26">
        <f>'Project Cash Flows'!N108</f>
        <v>92.57372653412564</v>
      </c>
      <c r="O181" s="26">
        <f>'Project Cash Flows'!O108</f>
        <v>103.1533595670714</v>
      </c>
      <c r="P181" s="26">
        <f>'Project Cash Flows'!P108</f>
        <v>106.43981535079088</v>
      </c>
      <c r="Q181" s="26">
        <f>'Project Cash Flows'!Q108</f>
        <v>118.33652178905685</v>
      </c>
      <c r="R181" s="26">
        <f>'Project Cash Flows'!R108</f>
        <v>122.03161625056181</v>
      </c>
      <c r="S181" s="26">
        <f>'Project Cash Flows'!S108</f>
        <v>125.81197421436697</v>
      </c>
      <c r="T181" s="26">
        <f>'Project Cash Flows'!T108</f>
        <v>129.67859519525038</v>
      </c>
    </row>
    <row r="182" spans="2:20" x14ac:dyDescent="0.25">
      <c r="B182" s="23" t="s">
        <v>3355</v>
      </c>
      <c r="C182" s="28" t="s">
        <v>493</v>
      </c>
      <c r="H182" s="159">
        <f>-'Project Cash Flows'!H109</f>
        <v>0</v>
      </c>
      <c r="I182" s="159">
        <f>-'Project Cash Flows'!I109</f>
        <v>-13.331278719</v>
      </c>
      <c r="J182" s="159">
        <f>-'Project Cash Flows'!J109</f>
        <v>-13.331278719000011</v>
      </c>
      <c r="K182" s="159">
        <f>-'Project Cash Flows'!K109</f>
        <v>-6.6108532825726085</v>
      </c>
      <c r="L182" s="159">
        <f>-'Project Cash Flows'!L109</f>
        <v>0</v>
      </c>
      <c r="M182" s="159">
        <f>-'Project Cash Flows'!M109</f>
        <v>0</v>
      </c>
      <c r="N182" s="159">
        <f>-'Project Cash Flows'!N109</f>
        <v>0</v>
      </c>
      <c r="O182" s="159">
        <f>-'Project Cash Flows'!O109</f>
        <v>0</v>
      </c>
      <c r="P182" s="159">
        <f>-'Project Cash Flows'!P109</f>
        <v>0</v>
      </c>
      <c r="Q182" s="159">
        <f>-'Project Cash Flows'!Q109</f>
        <v>0</v>
      </c>
      <c r="R182" s="159">
        <f>-'Project Cash Flows'!R109</f>
        <v>0</v>
      </c>
      <c r="S182" s="159">
        <f>-'Project Cash Flows'!S109</f>
        <v>0</v>
      </c>
      <c r="T182" s="159">
        <f>-'Project Cash Flows'!T109</f>
        <v>0</v>
      </c>
    </row>
    <row r="183" spans="2:20" x14ac:dyDescent="0.25">
      <c r="B183" s="23" t="s">
        <v>3335</v>
      </c>
      <c r="C183" s="28" t="s">
        <v>493</v>
      </c>
      <c r="H183" s="159">
        <f>-'Project Cash Flows'!H110</f>
        <v>0</v>
      </c>
      <c r="I183" s="159">
        <f>-'Project Cash Flows'!I110</f>
        <v>-8.7131021952591965</v>
      </c>
      <c r="J183" s="159">
        <f>-'Project Cash Flows'!J110</f>
        <v>-9.1292162388530169</v>
      </c>
      <c r="K183" s="159">
        <f>-'Project Cash Flows'!K110</f>
        <v>-14.778826122758559</v>
      </c>
      <c r="L183" s="159">
        <f>-'Project Cash Flows'!L110</f>
        <v>-16.779714721072374</v>
      </c>
      <c r="M183" s="159">
        <f>-'Project Cash Flows'!M110</f>
        <v>-19.723158148065604</v>
      </c>
      <c r="N183" s="159">
        <f>-'Project Cash Flows'!N110</f>
        <v>-20.366219837507639</v>
      </c>
      <c r="O183" s="159">
        <f>-'Project Cash Flows'!O110</f>
        <v>-22.693739104755711</v>
      </c>
      <c r="P183" s="159">
        <f>-'Project Cash Flows'!P110</f>
        <v>-23.416759377173992</v>
      </c>
      <c r="Q183" s="159">
        <f>-'Project Cash Flows'!Q110</f>
        <v>-26.034034793592507</v>
      </c>
      <c r="R183" s="159">
        <f>-'Project Cash Flows'!R110</f>
        <v>-26.846955575123598</v>
      </c>
      <c r="S183" s="159">
        <f>-'Project Cash Flows'!S110</f>
        <v>-27.678634327160733</v>
      </c>
      <c r="T183" s="159">
        <f>-'Project Cash Flows'!T110</f>
        <v>-28.529290942955082</v>
      </c>
    </row>
    <row r="184" spans="2:20" x14ac:dyDescent="0.25">
      <c r="B184" s="21" t="s">
        <v>3336</v>
      </c>
      <c r="C184" s="28" t="s">
        <v>493</v>
      </c>
      <c r="H184" s="26">
        <f>'Project Cash Flows'!H111</f>
        <v>0</v>
      </c>
      <c r="I184" s="26">
        <f>'Project Cash Flows'!I111</f>
        <v>30.891907783191698</v>
      </c>
      <c r="J184" s="26">
        <f>'Project Cash Flows'!J111</f>
        <v>32.367221210478874</v>
      </c>
      <c r="K184" s="26">
        <f>'Project Cash Flows'!K111</f>
        <v>52.397656253416713</v>
      </c>
      <c r="L184" s="26">
        <f>'Project Cash Flows'!L111</f>
        <v>59.491715829256599</v>
      </c>
      <c r="M184" s="26">
        <f>'Project Cash Flows'!M111</f>
        <v>69.927560706778038</v>
      </c>
      <c r="N184" s="26">
        <f>'Project Cash Flows'!N111</f>
        <v>72.207506696617997</v>
      </c>
      <c r="O184" s="26">
        <f>'Project Cash Flows'!O111</f>
        <v>80.459620462315698</v>
      </c>
      <c r="P184" s="26">
        <f>'Project Cash Flows'!P111</f>
        <v>83.023055973616891</v>
      </c>
      <c r="Q184" s="26">
        <f>'Project Cash Flows'!Q111</f>
        <v>92.302486995464335</v>
      </c>
      <c r="R184" s="26">
        <f>'Project Cash Flows'!R111</f>
        <v>95.184660675438209</v>
      </c>
      <c r="S184" s="26">
        <f>'Project Cash Flows'!S111</f>
        <v>98.133339887206233</v>
      </c>
      <c r="T184" s="26">
        <f>'Project Cash Flows'!T111</f>
        <v>101.14930425229529</v>
      </c>
    </row>
    <row r="185" spans="2:20" x14ac:dyDescent="0.25">
      <c r="B185" s="163" t="s">
        <v>3337</v>
      </c>
    </row>
    <row r="186" spans="2:20" x14ac:dyDescent="0.25">
      <c r="B186" s="23" t="s">
        <v>3361</v>
      </c>
      <c r="C186" s="28" t="s">
        <v>493</v>
      </c>
      <c r="G186" s="29">
        <f>'Capex &amp; Depreciation'!G289</f>
        <v>0</v>
      </c>
      <c r="H186" s="29">
        <f>'Capex &amp; Depreciation'!H289</f>
        <v>37.409500000000008</v>
      </c>
      <c r="I186" s="29">
        <f>'Capex &amp; Depreciation'!I289</f>
        <v>27.743464136878028</v>
      </c>
      <c r="J186" s="29">
        <f>'Capex &amp; Depreciation'!J289</f>
        <v>9.944928273756048</v>
      </c>
      <c r="K186" s="29">
        <f>'Capex &amp; Depreciation'!K289</f>
        <v>-7.8536075893659323</v>
      </c>
      <c r="L186" s="29">
        <f>'Capex &amp; Depreciation'!L289</f>
        <v>-25.652143452487913</v>
      </c>
      <c r="M186" s="29">
        <f>'Capex &amp; Depreciation'!M289</f>
        <v>-43.450679315609889</v>
      </c>
      <c r="N186" s="29">
        <f>'Capex &amp; Depreciation'!N289</f>
        <v>-61.249215178731873</v>
      </c>
      <c r="O186" s="29">
        <f>'Capex &amp; Depreciation'!O289</f>
        <v>-79.047751041853857</v>
      </c>
      <c r="P186" s="29">
        <f>'Capex &amp; Depreciation'!P289</f>
        <v>-96.846286904975841</v>
      </c>
      <c r="Q186" s="29">
        <f>'Capex &amp; Depreciation'!Q289</f>
        <v>-114.64482276809782</v>
      </c>
      <c r="R186" s="29">
        <f>'Capex &amp; Depreciation'!R289</f>
        <v>-132.44335863121981</v>
      </c>
      <c r="S186" s="29">
        <f>'Capex &amp; Depreciation'!S289</f>
        <v>-150.24189449434178</v>
      </c>
      <c r="T186" s="29">
        <f>'Capex &amp; Depreciation'!T289</f>
        <v>-168.04043035746375</v>
      </c>
    </row>
    <row r="187" spans="2:20" x14ac:dyDescent="0.25">
      <c r="B187" s="23" t="s">
        <v>3362</v>
      </c>
      <c r="C187" s="28" t="s">
        <v>493</v>
      </c>
      <c r="G187" s="29">
        <f>'Capex &amp; Depreciation'!G308</f>
        <v>161.81183149156558</v>
      </c>
      <c r="H187" s="29">
        <f>'Capex &amp; Depreciation'!H308</f>
        <v>161.81183149156558</v>
      </c>
      <c r="I187" s="29">
        <f>'Capex &amp; Depreciation'!I308</f>
        <v>161.81183149156558</v>
      </c>
      <c r="J187" s="29">
        <f>'Capex &amp; Depreciation'!J308</f>
        <v>161.81183149156558</v>
      </c>
      <c r="K187" s="29">
        <f>'Capex &amp; Depreciation'!K308</f>
        <v>161.81183149156558</v>
      </c>
      <c r="L187" s="29">
        <f>'Capex &amp; Depreciation'!L308</f>
        <v>161.81183149156558</v>
      </c>
      <c r="M187" s="29">
        <f>'Capex &amp; Depreciation'!M308</f>
        <v>161.81183149156558</v>
      </c>
      <c r="N187" s="29">
        <f>'Capex &amp; Depreciation'!N308</f>
        <v>161.81183149156558</v>
      </c>
      <c r="O187" s="29">
        <f>'Capex &amp; Depreciation'!O308</f>
        <v>161.81183149156558</v>
      </c>
      <c r="P187" s="29">
        <f>'Capex &amp; Depreciation'!P308</f>
        <v>161.81183149156558</v>
      </c>
      <c r="Q187" s="29">
        <f>'Capex &amp; Depreciation'!Q308</f>
        <v>161.81183149156558</v>
      </c>
      <c r="R187" s="29">
        <f>'Capex &amp; Depreciation'!R308</f>
        <v>161.81183149156558</v>
      </c>
      <c r="S187" s="29">
        <f>'Capex &amp; Depreciation'!S308</f>
        <v>161.81183149156558</v>
      </c>
      <c r="T187" s="29">
        <f>'Capex &amp; Depreciation'!T308</f>
        <v>161.81183149156558</v>
      </c>
    </row>
    <row r="188" spans="2:20" x14ac:dyDescent="0.25">
      <c r="B188" s="23" t="s">
        <v>3339</v>
      </c>
      <c r="C188" s="28" t="s">
        <v>493</v>
      </c>
      <c r="G188" s="159">
        <v>0</v>
      </c>
      <c r="H188" s="29">
        <f>'Working Capital'!H29</f>
        <v>0</v>
      </c>
      <c r="I188" s="29">
        <f>'Working Capital'!I29</f>
        <v>12.367258655694906</v>
      </c>
      <c r="J188" s="29">
        <f>'Working Capital'!J29</f>
        <v>12.738276415365752</v>
      </c>
      <c r="K188" s="29">
        <f>'Working Capital'!K29</f>
        <v>15.74450964939207</v>
      </c>
      <c r="L188" s="29">
        <f>'Working Capital'!L29</f>
        <v>16.17253661936871</v>
      </c>
      <c r="M188" s="29">
        <f>'Working Capital'!M29</f>
        <v>18.373685315744051</v>
      </c>
      <c r="N188" s="29">
        <f>'Working Capital'!N29</f>
        <v>18.924895875216372</v>
      </c>
      <c r="O188" s="29">
        <f>'Working Capital'!O29</f>
        <v>20.662201316561237</v>
      </c>
      <c r="P188" s="29">
        <f>'Working Capital'!P29</f>
        <v>21.223919631041522</v>
      </c>
      <c r="Q188" s="29">
        <f>'Working Capital'!Q29</f>
        <v>23.235761139344209</v>
      </c>
      <c r="R188" s="29">
        <f>'Working Capital'!R29</f>
        <v>23.932833973524538</v>
      </c>
      <c r="S188" s="29">
        <f>'Working Capital'!S29</f>
        <v>24.650818992730269</v>
      </c>
      <c r="T188" s="29">
        <f>'Working Capital'!T29</f>
        <v>25.320971039117332</v>
      </c>
    </row>
    <row r="189" spans="2:20" x14ac:dyDescent="0.25">
      <c r="B189" s="23" t="s">
        <v>3340</v>
      </c>
      <c r="C189" s="28" t="s">
        <v>493</v>
      </c>
      <c r="G189" s="159">
        <v>0</v>
      </c>
      <c r="H189" s="159">
        <f>-'Working Capital'!H30</f>
        <v>0</v>
      </c>
      <c r="I189" s="159">
        <f>-'Working Capital'!I30</f>
        <v>-0.78205008627786787</v>
      </c>
      <c r="J189" s="159">
        <f>-'Working Capital'!J30</f>
        <v>-0.82446643264177899</v>
      </c>
      <c r="K189" s="159">
        <f>-'Working Capital'!K30</f>
        <v>-0.86946593449925236</v>
      </c>
      <c r="L189" s="159">
        <f>-'Working Capital'!L30</f>
        <v>-0.91469987895421789</v>
      </c>
      <c r="M189" s="159">
        <f>-'Working Capital'!M30</f>
        <v>-0.96785324180604348</v>
      </c>
      <c r="N189" s="159">
        <f>-'Working Capital'!N30</f>
        <v>-1.0215850003416207</v>
      </c>
      <c r="O189" s="159">
        <f>-'Working Capital'!O30</f>
        <v>-1.0785890229720145</v>
      </c>
      <c r="P189" s="159">
        <f>-'Working Capital'!P30</f>
        <v>-1.1359523922456796</v>
      </c>
      <c r="Q189" s="159">
        <f>-'Working Capital'!Q30</f>
        <v>-1.2032231202565467</v>
      </c>
      <c r="R189" s="159">
        <f>-'Working Capital'!R30</f>
        <v>-1.2712889043897597</v>
      </c>
      <c r="S189" s="159">
        <f>-'Working Capital'!S30</f>
        <v>-1.3434998947766852</v>
      </c>
      <c r="T189" s="159">
        <f>-'Working Capital'!T30</f>
        <v>-1.4162284565151193</v>
      </c>
    </row>
    <row r="190" spans="2:20" x14ac:dyDescent="0.25">
      <c r="B190" s="21" t="s">
        <v>3341</v>
      </c>
      <c r="C190" s="28" t="s">
        <v>493</v>
      </c>
      <c r="G190" s="160">
        <f>'Capex &amp; Depreciation'!G289+'Capex &amp; Depreciation'!G308</f>
        <v>161.81183149156558</v>
      </c>
      <c r="H190" s="160">
        <f>'Capex &amp; Depreciation'!H289+'Capex &amp; Depreciation'!H308+'Working Capital'!H31</f>
        <v>199.22133149156559</v>
      </c>
      <c r="I190" s="160">
        <f>'Capex &amp; Depreciation'!I289+'Capex &amp; Depreciation'!I308+'Working Capital'!I31</f>
        <v>201.14050419786065</v>
      </c>
      <c r="J190" s="160">
        <f>'Capex &amp; Depreciation'!J289+'Capex &amp; Depreciation'!J308+'Working Capital'!J31</f>
        <v>183.67056974804561</v>
      </c>
      <c r="K190" s="160">
        <f>'Capex &amp; Depreciation'!K289+'Capex &amp; Depreciation'!K308+'Working Capital'!K31</f>
        <v>168.83326761709247</v>
      </c>
      <c r="L190" s="160">
        <f>'Capex &amp; Depreciation'!L289+'Capex &amp; Depreciation'!L308+'Working Capital'!L31</f>
        <v>151.41752477949217</v>
      </c>
      <c r="M190" s="160">
        <f>'Capex &amp; Depreciation'!M289+'Capex &amp; Depreciation'!M308+'Working Capital'!M31</f>
        <v>135.76698424989371</v>
      </c>
      <c r="N190" s="160">
        <f>'Capex &amp; Depreciation'!N289+'Capex &amp; Depreciation'!N308+'Working Capital'!N31</f>
        <v>118.46592718770846</v>
      </c>
      <c r="O190" s="160">
        <f>'Capex &amp; Depreciation'!O289+'Capex &amp; Depreciation'!O308+'Working Capital'!O31</f>
        <v>102.34769274330095</v>
      </c>
      <c r="P190" s="160">
        <f>'Capex &amp; Depreciation'!P289+'Capex &amp; Depreciation'!P308+'Working Capital'!P31</f>
        <v>85.053511825385584</v>
      </c>
      <c r="Q190" s="160">
        <f>'Capex &amp; Depreciation'!Q289+'Capex &amp; Depreciation'!Q308+'Working Capital'!Q31</f>
        <v>69.199546742555427</v>
      </c>
      <c r="R190" s="160">
        <f>'Capex &amp; Depreciation'!R289+'Capex &amp; Depreciation'!R308+'Working Capital'!R31</f>
        <v>52.03001792948055</v>
      </c>
      <c r="S190" s="160">
        <f>'Capex &amp; Depreciation'!S289+'Capex &amp; Depreciation'!S308+'Working Capital'!S31</f>
        <v>34.877256095177387</v>
      </c>
      <c r="T190" s="160">
        <f>'Capex &amp; Depreciation'!T289+'Capex &amp; Depreciation'!T308+'Working Capital'!T31</f>
        <v>17.676143716704047</v>
      </c>
    </row>
    <row r="191" spans="2:20" x14ac:dyDescent="0.25">
      <c r="B191" s="163" t="s">
        <v>3342</v>
      </c>
    </row>
    <row r="192" spans="2:20" x14ac:dyDescent="0.25">
      <c r="B192" s="23" t="s">
        <v>3221</v>
      </c>
      <c r="C192" s="28" t="s">
        <v>493</v>
      </c>
      <c r="H192" s="29">
        <f>'Project Cash Flows'!H107</f>
        <v>0</v>
      </c>
      <c r="I192" s="29">
        <f>'Project Cash Flows'!I107</f>
        <v>70.734824560572875</v>
      </c>
      <c r="J192" s="29">
        <f>'Project Cash Flows'!J107</f>
        <v>72.626252031453888</v>
      </c>
      <c r="K192" s="29">
        <f>'Project Cash Flows'!K107</f>
        <v>91.585871521869862</v>
      </c>
      <c r="L192" s="29">
        <f>'Project Cash Flows'!L107</f>
        <v>94.069966413450956</v>
      </c>
      <c r="M192" s="29">
        <f>'Project Cash Flows'!M107</f>
        <v>107.44925471796563</v>
      </c>
      <c r="N192" s="29">
        <f>'Project Cash Flows'!N107</f>
        <v>110.37226239724762</v>
      </c>
      <c r="O192" s="29">
        <f>'Project Cash Flows'!O107</f>
        <v>120.95189543019339</v>
      </c>
      <c r="P192" s="29">
        <f>'Project Cash Flows'!P107</f>
        <v>124.23835121391286</v>
      </c>
      <c r="Q192" s="29">
        <f>'Project Cash Flows'!Q107</f>
        <v>136.13505765217883</v>
      </c>
      <c r="R192" s="29">
        <f>'Project Cash Flows'!R107</f>
        <v>139.83015211368379</v>
      </c>
      <c r="S192" s="29">
        <f>'Project Cash Flows'!S107</f>
        <v>143.61051007748895</v>
      </c>
      <c r="T192" s="29">
        <f>'Project Cash Flows'!T107</f>
        <v>147.47713105837235</v>
      </c>
    </row>
    <row r="193" spans="2:20" x14ac:dyDescent="0.25">
      <c r="B193" s="23" t="s">
        <v>3343</v>
      </c>
      <c r="C193" s="28" t="s">
        <v>493</v>
      </c>
      <c r="H193" s="29">
        <f>'Project Cash Flows'!H112</f>
        <v>0</v>
      </c>
      <c r="I193" s="29">
        <f>'Project Cash Flows'!I112</f>
        <v>-11.645983513439196</v>
      </c>
      <c r="J193" s="29">
        <f>'Project Cash Flows'!J112</f>
        <v>-12.062097557033018</v>
      </c>
      <c r="K193" s="29">
        <f>'Project Cash Flows'!K112</f>
        <v>-16.233213844924535</v>
      </c>
      <c r="L193" s="29">
        <f>'Project Cash Flows'!L112</f>
        <v>-16.779714721072374</v>
      </c>
      <c r="M193" s="29">
        <f>'Project Cash Flows'!M112</f>
        <v>-19.723158148065604</v>
      </c>
      <c r="N193" s="29">
        <f>'Project Cash Flows'!N112</f>
        <v>-20.366219837507639</v>
      </c>
      <c r="O193" s="29">
        <f>'Project Cash Flows'!O112</f>
        <v>-22.693739104755711</v>
      </c>
      <c r="P193" s="29">
        <f>'Project Cash Flows'!P112</f>
        <v>-23.416759377173992</v>
      </c>
      <c r="Q193" s="29">
        <f>'Project Cash Flows'!Q112</f>
        <v>-26.034034793592507</v>
      </c>
      <c r="R193" s="29">
        <f>'Project Cash Flows'!R112</f>
        <v>-26.846955575123598</v>
      </c>
      <c r="S193" s="29">
        <f>'Project Cash Flows'!S112</f>
        <v>-27.678634327160733</v>
      </c>
      <c r="T193" s="29">
        <f>'Project Cash Flows'!T112</f>
        <v>-28.529290942955082</v>
      </c>
    </row>
    <row r="194" spans="2:20" x14ac:dyDescent="0.25">
      <c r="B194" s="23" t="s">
        <v>3227</v>
      </c>
      <c r="C194" s="28" t="s">
        <v>493</v>
      </c>
      <c r="H194" s="29">
        <f>'Project Cash Flows'!H113</f>
        <v>-37.409500000000008</v>
      </c>
      <c r="I194" s="29">
        <f>'Project Cash Flows'!I113</f>
        <v>-8.1325000000000003</v>
      </c>
      <c r="J194" s="29">
        <f>'Project Cash Flows'!J113</f>
        <v>0</v>
      </c>
      <c r="K194" s="29">
        <f>'Project Cash Flows'!K113</f>
        <v>0</v>
      </c>
      <c r="L194" s="29">
        <f>'Project Cash Flows'!L113</f>
        <v>0</v>
      </c>
      <c r="M194" s="29">
        <f>'Project Cash Flows'!M113</f>
        <v>0</v>
      </c>
      <c r="N194" s="29">
        <f>'Project Cash Flows'!N113</f>
        <v>0</v>
      </c>
      <c r="O194" s="29">
        <f>'Project Cash Flows'!O113</f>
        <v>0</v>
      </c>
      <c r="P194" s="29">
        <f>'Project Cash Flows'!P113</f>
        <v>0</v>
      </c>
      <c r="Q194" s="29">
        <f>'Project Cash Flows'!Q113</f>
        <v>0</v>
      </c>
      <c r="R194" s="29">
        <f>'Project Cash Flows'!R113</f>
        <v>0</v>
      </c>
      <c r="S194" s="29">
        <f>'Project Cash Flows'!S113</f>
        <v>0</v>
      </c>
      <c r="T194" s="29">
        <f>'Project Cash Flows'!T113</f>
        <v>0</v>
      </c>
    </row>
    <row r="195" spans="2:20" x14ac:dyDescent="0.25">
      <c r="B195" s="23" t="s">
        <v>3228</v>
      </c>
      <c r="C195" s="28" t="s">
        <v>493</v>
      </c>
      <c r="H195" s="29">
        <f>'Project Cash Flows'!H114</f>
        <v>0</v>
      </c>
      <c r="I195" s="29">
        <f>'Project Cash Flows'!I114</f>
        <v>-11.585208569417038</v>
      </c>
      <c r="J195" s="29">
        <f>'Project Cash Flows'!J114</f>
        <v>-0.32860141330693438</v>
      </c>
      <c r="K195" s="29">
        <f>'Project Cash Flows'!K114</f>
        <v>-2.9612337321688447</v>
      </c>
      <c r="L195" s="29">
        <f>'Project Cash Flows'!L114</f>
        <v>-0.38279302552167493</v>
      </c>
      <c r="M195" s="29">
        <f>'Project Cash Flows'!M114</f>
        <v>-2.1479953335235162</v>
      </c>
      <c r="N195" s="29">
        <f>'Project Cash Flows'!N114</f>
        <v>-0.49747880093674368</v>
      </c>
      <c r="O195" s="29">
        <f>'Project Cash Flows'!O114</f>
        <v>-1.6803014187144711</v>
      </c>
      <c r="P195" s="29">
        <f>'Project Cash Flows'!P114</f>
        <v>-0.50435494520661805</v>
      </c>
      <c r="Q195" s="29">
        <f>'Project Cash Flows'!Q114</f>
        <v>-1.9445707802918228</v>
      </c>
      <c r="R195" s="29">
        <f>'Project Cash Flows'!R114</f>
        <v>-0.62900705004711455</v>
      </c>
      <c r="S195" s="29">
        <f>'Project Cash Flows'!S114</f>
        <v>-0.6457740288188063</v>
      </c>
      <c r="T195" s="29">
        <f>'Project Cash Flows'!T114</f>
        <v>-0.59742348464862616</v>
      </c>
    </row>
    <row r="196" spans="2:20" x14ac:dyDescent="0.25">
      <c r="B196" s="21" t="s">
        <v>3344</v>
      </c>
      <c r="C196" s="28" t="s">
        <v>493</v>
      </c>
      <c r="H196" s="26">
        <f>'Project Cash Flows'!H115</f>
        <v>-37.409500000000008</v>
      </c>
      <c r="I196" s="26">
        <f>'Project Cash Flows'!I115</f>
        <v>39.371132477716642</v>
      </c>
      <c r="J196" s="26">
        <f>'Project Cash Flows'!J115</f>
        <v>60.235553061113933</v>
      </c>
      <c r="K196" s="26">
        <f>'Project Cash Flows'!K115</f>
        <v>72.391423944776477</v>
      </c>
      <c r="L196" s="26">
        <f>'Project Cash Flows'!L115</f>
        <v>76.907458666856897</v>
      </c>
      <c r="M196" s="26">
        <f>'Project Cash Flows'!M115</f>
        <v>85.578101236376511</v>
      </c>
      <c r="N196" s="26">
        <f>'Project Cash Flows'!N115</f>
        <v>89.508563758803234</v>
      </c>
      <c r="O196" s="26">
        <f>'Project Cash Flows'!O115</f>
        <v>96.577854906723218</v>
      </c>
      <c r="P196" s="26">
        <f>'Project Cash Flows'!P115</f>
        <v>100.31723689153226</v>
      </c>
      <c r="Q196" s="26">
        <f>'Project Cash Flows'!Q115</f>
        <v>108.15645207829449</v>
      </c>
      <c r="R196" s="26">
        <f>'Project Cash Flows'!R115</f>
        <v>112.35418948851307</v>
      </c>
      <c r="S196" s="26">
        <f>'Project Cash Flows'!S115</f>
        <v>115.28610172150941</v>
      </c>
      <c r="T196" s="26">
        <f>'Project Cash Flows'!T115</f>
        <v>118.35041663076863</v>
      </c>
    </row>
    <row r="197" spans="2:20" x14ac:dyDescent="0.25">
      <c r="B197" s="23" t="s">
        <v>3345</v>
      </c>
      <c r="C197" s="28" t="s">
        <v>493</v>
      </c>
      <c r="G197" s="29">
        <f>'Project Cash Flows'!G118</f>
        <v>-161.81183149156558</v>
      </c>
      <c r="H197" s="29">
        <f>'Project Cash Flows'!H118</f>
        <v>-199.22133149156559</v>
      </c>
      <c r="I197" s="29">
        <f>'Project Cash Flows'!I118</f>
        <v>-159.85019901384896</v>
      </c>
      <c r="J197" s="29">
        <f>'Project Cash Flows'!J118</f>
        <v>-99.614645952735032</v>
      </c>
      <c r="K197" s="29">
        <f>'Project Cash Flows'!K118</f>
        <v>-27.223222007958555</v>
      </c>
      <c r="L197" s="29">
        <f>'Project Cash Flows'!L118</f>
        <v>49.684236658898342</v>
      </c>
      <c r="M197" s="29">
        <f>'Project Cash Flows'!M118</f>
        <v>135.26233789527487</v>
      </c>
      <c r="N197" s="29">
        <f>'Project Cash Flows'!N118</f>
        <v>224.7709016540781</v>
      </c>
      <c r="O197" s="29">
        <f>'Project Cash Flows'!O118</f>
        <v>321.34875656080135</v>
      </c>
      <c r="P197" s="29">
        <f>'Project Cash Flows'!P118</f>
        <v>421.66599345233362</v>
      </c>
      <c r="Q197" s="29">
        <f>'Project Cash Flows'!Q118</f>
        <v>529.8224455306281</v>
      </c>
      <c r="R197" s="29">
        <f>'Project Cash Flows'!R118</f>
        <v>642.17663501914114</v>
      </c>
      <c r="S197" s="29">
        <f>'Project Cash Flows'!S118</f>
        <v>757.4627367406506</v>
      </c>
      <c r="T197" s="29">
        <f>'Project Cash Flows'!T118</f>
        <v>875.81315337141928</v>
      </c>
    </row>
    <row r="198" spans="2:20" x14ac:dyDescent="0.25">
      <c r="B198" s="163" t="s">
        <v>3346</v>
      </c>
    </row>
    <row r="199" spans="2:20" x14ac:dyDescent="0.25">
      <c r="B199" s="23" t="s">
        <v>3363</v>
      </c>
      <c r="C199" s="28" t="s">
        <v>806</v>
      </c>
      <c r="G199" s="34">
        <f>'Capex &amp; Depreciation'!G8</f>
        <v>10</v>
      </c>
      <c r="H199" s="34">
        <f>'Capex &amp; Depreciation'!H8</f>
        <v>2.3000000000000003</v>
      </c>
      <c r="I199" s="34">
        <f>'Capex &amp; Depreciation'!I8</f>
        <v>0.5</v>
      </c>
      <c r="J199" s="34">
        <f>'Capex &amp; Depreciation'!J8</f>
        <v>0</v>
      </c>
      <c r="K199" s="34">
        <f>'Capex &amp; Depreciation'!K8</f>
        <v>0</v>
      </c>
      <c r="L199" s="34">
        <f>'Capex &amp; Depreciation'!L8</f>
        <v>0</v>
      </c>
      <c r="M199" s="34">
        <f>'Capex &amp; Depreciation'!M8</f>
        <v>0</v>
      </c>
      <c r="N199" s="34">
        <f>'Capex &amp; Depreciation'!N8</f>
        <v>0</v>
      </c>
      <c r="O199" s="34">
        <f>'Capex &amp; Depreciation'!O8</f>
        <v>0</v>
      </c>
      <c r="P199" s="34">
        <f>'Capex &amp; Depreciation'!P8</f>
        <v>0</v>
      </c>
      <c r="Q199" s="34">
        <f>'Capex &amp; Depreciation'!Q8</f>
        <v>0</v>
      </c>
      <c r="R199" s="34">
        <f>'Capex &amp; Depreciation'!R8</f>
        <v>0</v>
      </c>
      <c r="S199" s="34">
        <f>'Capex &amp; Depreciation'!S8</f>
        <v>0</v>
      </c>
      <c r="T199" s="34">
        <f>'Capex &amp; Depreciation'!T8</f>
        <v>0</v>
      </c>
    </row>
    <row r="200" spans="2:20" x14ac:dyDescent="0.25">
      <c r="B200" s="23" t="s">
        <v>3364</v>
      </c>
      <c r="C200" s="28" t="s">
        <v>493</v>
      </c>
      <c r="G200" s="29">
        <f>'Capex &amp; Depreciation'!G56</f>
        <v>162.65</v>
      </c>
      <c r="H200" s="29">
        <f>'Capex &amp; Depreciation'!H56</f>
        <v>37.409500000000008</v>
      </c>
      <c r="I200" s="29">
        <f>'Capex &amp; Depreciation'!I56</f>
        <v>8.1325000000000003</v>
      </c>
      <c r="J200" s="29">
        <f>'Capex &amp; Depreciation'!J56</f>
        <v>0</v>
      </c>
      <c r="K200" s="29">
        <f>'Capex &amp; Depreciation'!K56</f>
        <v>0</v>
      </c>
      <c r="L200" s="29">
        <f>'Capex &amp; Depreciation'!L56</f>
        <v>0</v>
      </c>
      <c r="M200" s="29">
        <f>'Capex &amp; Depreciation'!M56</f>
        <v>0</v>
      </c>
      <c r="N200" s="29">
        <f>'Capex &amp; Depreciation'!N56</f>
        <v>0</v>
      </c>
      <c r="O200" s="29">
        <f>'Capex &amp; Depreciation'!O56</f>
        <v>0</v>
      </c>
      <c r="P200" s="29">
        <f>'Capex &amp; Depreciation'!P56</f>
        <v>0</v>
      </c>
      <c r="Q200" s="29">
        <f>'Capex &amp; Depreciation'!Q56</f>
        <v>0</v>
      </c>
      <c r="R200" s="29">
        <f>'Capex &amp; Depreciation'!R56</f>
        <v>0</v>
      </c>
      <c r="S200" s="29">
        <f>'Capex &amp; Depreciation'!S56</f>
        <v>0</v>
      </c>
      <c r="T200" s="29">
        <f>'Capex &amp; Depreciation'!T56</f>
        <v>0</v>
      </c>
    </row>
    <row r="201" spans="2:20" ht="26.25" customHeight="1" x14ac:dyDescent="0.25">
      <c r="B201" s="64" t="s">
        <v>3365</v>
      </c>
      <c r="C201" s="28" t="s">
        <v>493</v>
      </c>
      <c r="H201" s="29">
        <f>'Funding Requirement'!H115</f>
        <v>37.409500000000008</v>
      </c>
      <c r="I201" s="29">
        <f>'Funding Requirement'!I115</f>
        <v>0</v>
      </c>
      <c r="J201" s="29">
        <f>'Funding Requirement'!J115</f>
        <v>0</v>
      </c>
      <c r="K201" s="29">
        <f>'Funding Requirement'!K115</f>
        <v>0</v>
      </c>
      <c r="L201" s="29">
        <f>'Funding Requirement'!L115</f>
        <v>0</v>
      </c>
      <c r="M201" s="29">
        <f>'Funding Requirement'!M115</f>
        <v>0</v>
      </c>
      <c r="N201" s="29">
        <f>'Funding Requirement'!N115</f>
        <v>0</v>
      </c>
      <c r="O201" s="29">
        <f>'Funding Requirement'!O115</f>
        <v>0</v>
      </c>
      <c r="P201" s="29">
        <f>'Funding Requirement'!P115</f>
        <v>0</v>
      </c>
      <c r="Q201" s="29">
        <f>'Funding Requirement'!Q115</f>
        <v>0</v>
      </c>
      <c r="R201" s="29">
        <f>'Funding Requirement'!R115</f>
        <v>0</v>
      </c>
      <c r="S201" s="29">
        <f>'Funding Requirement'!S115</f>
        <v>0</v>
      </c>
      <c r="T201" s="29">
        <f>'Funding Requirement'!T115</f>
        <v>0</v>
      </c>
    </row>
    <row r="202" spans="2:20" x14ac:dyDescent="0.25">
      <c r="B202" s="163" t="s">
        <v>3348</v>
      </c>
    </row>
    <row r="203" spans="2:20" x14ac:dyDescent="0.25">
      <c r="B203" s="44" t="s">
        <v>3349</v>
      </c>
      <c r="D203" s="204">
        <f>'Project Cash Flows'!$E$11</f>
        <v>934.96369621477447</v>
      </c>
      <c r="H203" s="44" t="s">
        <v>3176</v>
      </c>
      <c r="K203" s="205">
        <f>'Project Cash Flows'!$H$11</f>
        <v>0.32247799038887037</v>
      </c>
      <c r="N203" s="44" t="s">
        <v>3350</v>
      </c>
      <c r="Q203" s="205" t="str">
        <f>'Project Cash Flows'!$I$11</f>
        <v>Not meaningful</v>
      </c>
    </row>
    <row r="204" spans="2:20" x14ac:dyDescent="0.25">
      <c r="B204" s="44" t="s">
        <v>3180</v>
      </c>
      <c r="D204" s="205" t="str">
        <f>'Project Cash Flows'!$L$11</f>
        <v>as project IRR</v>
      </c>
      <c r="H204" s="44" t="s">
        <v>3351</v>
      </c>
      <c r="K204" s="206">
        <f>'Project Cash Flows'!$J$11</f>
        <v>5.3539737559900722</v>
      </c>
      <c r="N204" s="44" t="s">
        <v>3179</v>
      </c>
      <c r="Q204" s="204">
        <f>'Project Cash Flows'!$K$11</f>
        <v>199.22133149156559</v>
      </c>
    </row>
    <row r="206" spans="2:20" x14ac:dyDescent="0.25">
      <c r="B206" s="58" t="s">
        <v>3366</v>
      </c>
      <c r="C206" s="19"/>
      <c r="D206" s="19"/>
      <c r="E206" s="19"/>
      <c r="F206" s="19"/>
      <c r="G206" s="19"/>
      <c r="H206" s="19"/>
      <c r="I206" s="19"/>
      <c r="J206" s="19"/>
      <c r="K206" s="19"/>
      <c r="L206" s="19"/>
      <c r="M206" s="19"/>
      <c r="N206" s="19"/>
      <c r="O206" s="19"/>
      <c r="P206" s="19"/>
      <c r="Q206" s="19"/>
      <c r="R206" s="19"/>
      <c r="S206" s="19"/>
      <c r="T206" s="19"/>
    </row>
    <row r="207" spans="2:20" x14ac:dyDescent="0.25">
      <c r="B207" s="70" t="s">
        <v>1690</v>
      </c>
      <c r="D207" s="130" t="str">
        <f>Inputs!$I$65</f>
        <v>Included - both cases</v>
      </c>
      <c r="M207" s="202" t="s">
        <v>3323</v>
      </c>
      <c r="N207" s="203">
        <f>Inputs!$H$65</f>
        <v>1</v>
      </c>
    </row>
    <row r="208" spans="2:20" x14ac:dyDescent="0.25">
      <c r="B208" s="163" t="s">
        <v>3324</v>
      </c>
    </row>
    <row r="209" spans="2:20" x14ac:dyDescent="0.25">
      <c r="B209" s="23" t="s">
        <v>3367</v>
      </c>
      <c r="C209" s="28" t="s">
        <v>630</v>
      </c>
      <c r="H209" s="48">
        <f>'Revenue Calculation'!H102</f>
        <v>0</v>
      </c>
      <c r="I209" s="48">
        <f>'Revenue Calculation'!I102</f>
        <v>2100000</v>
      </c>
      <c r="J209" s="48">
        <f>'Revenue Calculation'!J102</f>
        <v>2163000</v>
      </c>
      <c r="K209" s="48">
        <f>'Revenue Calculation'!K102</f>
        <v>2227890</v>
      </c>
      <c r="L209" s="48">
        <f>'Revenue Calculation'!L102</f>
        <v>2294726.7000000002</v>
      </c>
      <c r="M209" s="48">
        <f>'Revenue Calculation'!M102</f>
        <v>2363568.5010000002</v>
      </c>
      <c r="N209" s="48">
        <f>'Revenue Calculation'!N102</f>
        <v>2434475.5560300001</v>
      </c>
      <c r="O209" s="48">
        <f>'Revenue Calculation'!O102</f>
        <v>2507509.8227109001</v>
      </c>
      <c r="P209" s="48">
        <f>'Revenue Calculation'!P102</f>
        <v>2582735.1173922275</v>
      </c>
      <c r="Q209" s="48">
        <f>'Revenue Calculation'!Q102</f>
        <v>2660217.1709139943</v>
      </c>
      <c r="R209" s="48">
        <f>'Revenue Calculation'!R102</f>
        <v>2740023.6860414143</v>
      </c>
      <c r="S209" s="48">
        <f>'Revenue Calculation'!S102</f>
        <v>2822224.3966226568</v>
      </c>
      <c r="T209" s="48">
        <f>'Revenue Calculation'!T102</f>
        <v>2906891.1285213362</v>
      </c>
    </row>
    <row r="210" spans="2:20" x14ac:dyDescent="0.25">
      <c r="B210" s="23" t="s">
        <v>3354</v>
      </c>
      <c r="C210" s="28" t="s">
        <v>647</v>
      </c>
      <c r="H210" s="48">
        <f>'Revenue Calculation'!H103</f>
        <v>0</v>
      </c>
      <c r="I210" s="48">
        <f>'Revenue Calculation'!I103</f>
        <v>15000</v>
      </c>
      <c r="J210" s="48">
        <f>'Revenue Calculation'!J103</f>
        <v>15000</v>
      </c>
      <c r="K210" s="48">
        <f>'Revenue Calculation'!K103</f>
        <v>15000</v>
      </c>
      <c r="L210" s="48">
        <f>'Revenue Calculation'!L103</f>
        <v>15000</v>
      </c>
      <c r="M210" s="48">
        <f>'Revenue Calculation'!M103</f>
        <v>15000</v>
      </c>
      <c r="N210" s="48">
        <f>'Revenue Calculation'!N103</f>
        <v>15000</v>
      </c>
      <c r="O210" s="48">
        <f>'Revenue Calculation'!O103</f>
        <v>15000</v>
      </c>
      <c r="P210" s="48">
        <f>'Revenue Calculation'!P103</f>
        <v>15000</v>
      </c>
      <c r="Q210" s="48">
        <f>'Revenue Calculation'!Q103</f>
        <v>15000</v>
      </c>
      <c r="R210" s="48">
        <f>'Revenue Calculation'!R103</f>
        <v>15000</v>
      </c>
      <c r="S210" s="48">
        <f>'Revenue Calculation'!S103</f>
        <v>15000</v>
      </c>
      <c r="T210" s="48">
        <f>'Revenue Calculation'!T103</f>
        <v>15000</v>
      </c>
    </row>
    <row r="211" spans="2:20" x14ac:dyDescent="0.25">
      <c r="B211" s="163" t="s">
        <v>3328</v>
      </c>
    </row>
    <row r="212" spans="2:20" x14ac:dyDescent="0.25">
      <c r="B212" s="21" t="s">
        <v>3329</v>
      </c>
      <c r="C212" s="28" t="s">
        <v>493</v>
      </c>
      <c r="H212" s="26">
        <f>'Revenue Calculation'!H104</f>
        <v>0</v>
      </c>
      <c r="I212" s="26">
        <f>'Revenue Calculation'!I104</f>
        <v>31.5</v>
      </c>
      <c r="J212" s="26">
        <f>'Revenue Calculation'!J104</f>
        <v>32.445</v>
      </c>
      <c r="K212" s="26">
        <f>'Revenue Calculation'!K104</f>
        <v>33.418349999999997</v>
      </c>
      <c r="L212" s="26">
        <f>'Revenue Calculation'!L104</f>
        <v>34.420900500000002</v>
      </c>
      <c r="M212" s="26">
        <f>'Revenue Calculation'!M104</f>
        <v>35.453527514999998</v>
      </c>
      <c r="N212" s="26">
        <f>'Revenue Calculation'!N104</f>
        <v>36.517133340450002</v>
      </c>
      <c r="O212" s="26">
        <f>'Revenue Calculation'!O104</f>
        <v>37.6126473406635</v>
      </c>
      <c r="P212" s="26">
        <f>'Revenue Calculation'!P104</f>
        <v>38.741026760883415</v>
      </c>
      <c r="Q212" s="26">
        <f>'Revenue Calculation'!Q104</f>
        <v>39.903257563709914</v>
      </c>
      <c r="R212" s="26">
        <f>'Revenue Calculation'!R104</f>
        <v>41.100355290621216</v>
      </c>
      <c r="S212" s="26">
        <f>'Revenue Calculation'!S104</f>
        <v>42.33336594933985</v>
      </c>
      <c r="T212" s="26">
        <f>'Revenue Calculation'!T104</f>
        <v>43.603366927820048</v>
      </c>
    </row>
    <row r="213" spans="2:20" x14ac:dyDescent="0.25">
      <c r="B213" s="23" t="s">
        <v>3330</v>
      </c>
      <c r="C213" s="28" t="s">
        <v>493</v>
      </c>
      <c r="H213" s="159">
        <f>-'Cost Calculation'!H139</f>
        <v>0</v>
      </c>
      <c r="I213" s="159">
        <f>-'Cost Calculation'!I139</f>
        <v>-2.4271241506568551</v>
      </c>
      <c r="J213" s="159">
        <f>-'Cost Calculation'!J139</f>
        <v>-2.5353144714318572</v>
      </c>
      <c r="K213" s="159">
        <f>-'Cost Calculation'!K139</f>
        <v>-2.6500935827420573</v>
      </c>
      <c r="L213" s="159">
        <f>-'Cost Calculation'!L139</f>
        <v>-2.7718627419310486</v>
      </c>
      <c r="M213" s="159">
        <f>-'Cost Calculation'!M139</f>
        <v>-2.9010476429146497</v>
      </c>
      <c r="N213" s="159">
        <f>-'Cost Calculation'!N139</f>
        <v>-3.0380999043681518</v>
      </c>
      <c r="O213" s="159">
        <f>-'Cost Calculation'!O139</f>
        <v>-3.1834986485441732</v>
      </c>
      <c r="P213" s="159">
        <f>-'Cost Calculation'!P139</f>
        <v>-3.3377521762405129</v>
      </c>
      <c r="Q213" s="159">
        <f>-'Cost Calculation'!Q139</f>
        <v>-3.5013997437735602</v>
      </c>
      <c r="R213" s="159">
        <f>-'Cost Calculation'!R139</f>
        <v>-3.6750134481693699</v>
      </c>
      <c r="S213" s="159">
        <f>-'Cost Calculation'!S139</f>
        <v>-3.8592002271628854</v>
      </c>
      <c r="T213" s="159">
        <f>-'Cost Calculation'!T139</f>
        <v>-4.0546039809971051</v>
      </c>
    </row>
    <row r="214" spans="2:20" x14ac:dyDescent="0.25">
      <c r="B214" s="23" t="s">
        <v>3331</v>
      </c>
      <c r="C214" s="28" t="s">
        <v>493</v>
      </c>
      <c r="H214" s="159">
        <f>-'Cost Calculation'!H140</f>
        <v>0</v>
      </c>
      <c r="I214" s="159">
        <f>-'Cost Calculation'!I140</f>
        <v>0</v>
      </c>
      <c r="J214" s="159">
        <f>-'Cost Calculation'!J140</f>
        <v>0</v>
      </c>
      <c r="K214" s="159">
        <f>-'Cost Calculation'!K140</f>
        <v>0</v>
      </c>
      <c r="L214" s="159">
        <f>-'Cost Calculation'!L140</f>
        <v>0</v>
      </c>
      <c r="M214" s="159">
        <f>-'Cost Calculation'!M140</f>
        <v>0</v>
      </c>
      <c r="N214" s="159">
        <f>-'Cost Calculation'!N140</f>
        <v>0</v>
      </c>
      <c r="O214" s="159">
        <f>-'Cost Calculation'!O140</f>
        <v>0</v>
      </c>
      <c r="P214" s="159">
        <f>-'Cost Calculation'!P140</f>
        <v>0</v>
      </c>
      <c r="Q214" s="159">
        <f>-'Cost Calculation'!Q140</f>
        <v>0</v>
      </c>
      <c r="R214" s="159">
        <f>-'Cost Calculation'!R140</f>
        <v>0</v>
      </c>
      <c r="S214" s="159">
        <f>-'Cost Calculation'!S140</f>
        <v>0</v>
      </c>
      <c r="T214" s="159">
        <f>-'Cost Calculation'!T140</f>
        <v>0</v>
      </c>
    </row>
    <row r="215" spans="2:20" x14ac:dyDescent="0.25">
      <c r="B215" s="21" t="s">
        <v>3221</v>
      </c>
      <c r="C215" s="28" t="s">
        <v>493</v>
      </c>
      <c r="H215" s="26">
        <f>'Cost Calculation'!H141</f>
        <v>0</v>
      </c>
      <c r="I215" s="26">
        <f>'Cost Calculation'!I141</f>
        <v>29.072875849343145</v>
      </c>
      <c r="J215" s="26">
        <f>'Cost Calculation'!J141</f>
        <v>29.909685528568144</v>
      </c>
      <c r="K215" s="26">
        <f>'Cost Calculation'!K141</f>
        <v>30.768256417257938</v>
      </c>
      <c r="L215" s="26">
        <f>'Cost Calculation'!L141</f>
        <v>31.649037758068953</v>
      </c>
      <c r="M215" s="26">
        <f>'Cost Calculation'!M141</f>
        <v>32.55247987208535</v>
      </c>
      <c r="N215" s="26">
        <f>'Cost Calculation'!N141</f>
        <v>33.479033436081849</v>
      </c>
      <c r="O215" s="26">
        <f>'Cost Calculation'!O141</f>
        <v>34.429148692119327</v>
      </c>
      <c r="P215" s="26">
        <f>'Cost Calculation'!P141</f>
        <v>35.403274584642901</v>
      </c>
      <c r="Q215" s="26">
        <f>'Cost Calculation'!Q141</f>
        <v>36.401857819936353</v>
      </c>
      <c r="R215" s="26">
        <f>'Cost Calculation'!R141</f>
        <v>37.425341842451843</v>
      </c>
      <c r="S215" s="26">
        <f>'Cost Calculation'!S141</f>
        <v>38.474165722176963</v>
      </c>
      <c r="T215" s="26">
        <f>'Cost Calculation'!T141</f>
        <v>39.54876294682294</v>
      </c>
    </row>
    <row r="216" spans="2:20" x14ac:dyDescent="0.25">
      <c r="B216" s="23" t="s">
        <v>3332</v>
      </c>
      <c r="C216" s="28" t="s">
        <v>493</v>
      </c>
      <c r="H216" s="159">
        <f>-'Capex &amp; Depreciation'!H236</f>
        <v>0</v>
      </c>
      <c r="I216" s="159">
        <f>-'Capex &amp; Depreciation'!I236</f>
        <v>-7.4200198051661976</v>
      </c>
      <c r="J216" s="159">
        <f>-'Capex &amp; Depreciation'!J236</f>
        <v>-7.4200198051661976</v>
      </c>
      <c r="K216" s="159">
        <f>-'Capex &amp; Depreciation'!K236</f>
        <v>-7.4200198051661976</v>
      </c>
      <c r="L216" s="159">
        <f>-'Capex &amp; Depreciation'!L236</f>
        <v>-7.4200198051661976</v>
      </c>
      <c r="M216" s="159">
        <f>-'Capex &amp; Depreciation'!M236</f>
        <v>-7.4200198051661976</v>
      </c>
      <c r="N216" s="159">
        <f>-'Capex &amp; Depreciation'!N236</f>
        <v>-7.4200198051661976</v>
      </c>
      <c r="O216" s="159">
        <f>-'Capex &amp; Depreciation'!O236</f>
        <v>-7.4200198051661976</v>
      </c>
      <c r="P216" s="159">
        <f>-'Capex &amp; Depreciation'!P236</f>
        <v>-7.4200198051661976</v>
      </c>
      <c r="Q216" s="159">
        <f>-'Capex &amp; Depreciation'!Q236</f>
        <v>-7.4200198051661976</v>
      </c>
      <c r="R216" s="159">
        <f>-'Capex &amp; Depreciation'!R236</f>
        <v>-7.4200198051661976</v>
      </c>
      <c r="S216" s="159">
        <f>-'Capex &amp; Depreciation'!S236</f>
        <v>-7.4200198051661976</v>
      </c>
      <c r="T216" s="159">
        <f>-'Capex &amp; Depreciation'!T236</f>
        <v>-7.4200198051661976</v>
      </c>
    </row>
    <row r="217" spans="2:20" x14ac:dyDescent="0.25">
      <c r="B217" s="21" t="s">
        <v>3333</v>
      </c>
      <c r="C217" s="28" t="s">
        <v>493</v>
      </c>
      <c r="H217" s="26">
        <f>'Project Cash Flows'!H121</f>
        <v>0</v>
      </c>
      <c r="I217" s="26">
        <f>'Project Cash Flows'!I121</f>
        <v>21.652856044176946</v>
      </c>
      <c r="J217" s="26">
        <f>'Project Cash Flows'!J121</f>
        <v>22.489665723401945</v>
      </c>
      <c r="K217" s="26">
        <f>'Project Cash Flows'!K121</f>
        <v>23.348236612091739</v>
      </c>
      <c r="L217" s="26">
        <f>'Project Cash Flows'!L121</f>
        <v>24.229017952902755</v>
      </c>
      <c r="M217" s="26">
        <f>'Project Cash Flows'!M121</f>
        <v>25.132460066919151</v>
      </c>
      <c r="N217" s="26">
        <f>'Project Cash Flows'!N121</f>
        <v>26.059013630915651</v>
      </c>
      <c r="O217" s="26">
        <f>'Project Cash Flows'!O121</f>
        <v>27.009128886953128</v>
      </c>
      <c r="P217" s="26">
        <f>'Project Cash Flows'!P121</f>
        <v>27.983254779476702</v>
      </c>
      <c r="Q217" s="26">
        <f>'Project Cash Flows'!Q121</f>
        <v>28.981838014770155</v>
      </c>
      <c r="R217" s="26">
        <f>'Project Cash Flows'!R121</f>
        <v>30.005322037285644</v>
      </c>
      <c r="S217" s="26">
        <f>'Project Cash Flows'!S121</f>
        <v>31.054145917010764</v>
      </c>
      <c r="T217" s="26">
        <f>'Project Cash Flows'!T121</f>
        <v>32.128743141656741</v>
      </c>
    </row>
    <row r="218" spans="2:20" x14ac:dyDescent="0.25">
      <c r="B218" s="23" t="s">
        <v>3334</v>
      </c>
      <c r="C218" s="28" t="s">
        <v>493</v>
      </c>
      <c r="H218" s="159">
        <f>-'Project Cash Flows'!H122</f>
        <v>0</v>
      </c>
      <c r="I218" s="159">
        <f>-'Project Cash Flows'!I122</f>
        <v>0</v>
      </c>
      <c r="J218" s="159">
        <f>-'Project Cash Flows'!J122</f>
        <v>0</v>
      </c>
      <c r="K218" s="159">
        <f>-'Project Cash Flows'!K122</f>
        <v>0</v>
      </c>
      <c r="L218" s="159">
        <f>-'Project Cash Flows'!L122</f>
        <v>0</v>
      </c>
      <c r="M218" s="159">
        <f>-'Project Cash Flows'!M122</f>
        <v>0</v>
      </c>
      <c r="N218" s="159">
        <f>-'Project Cash Flows'!N122</f>
        <v>0</v>
      </c>
      <c r="O218" s="159">
        <f>-'Project Cash Flows'!O122</f>
        <v>0</v>
      </c>
      <c r="P218" s="159">
        <f>-'Project Cash Flows'!P122</f>
        <v>0</v>
      </c>
      <c r="Q218" s="159">
        <f>-'Project Cash Flows'!Q122</f>
        <v>0</v>
      </c>
      <c r="R218" s="159">
        <f>-'Project Cash Flows'!R122</f>
        <v>0</v>
      </c>
      <c r="S218" s="159">
        <f>-'Project Cash Flows'!S122</f>
        <v>0</v>
      </c>
      <c r="T218" s="159">
        <f>-'Project Cash Flows'!T122</f>
        <v>0</v>
      </c>
    </row>
    <row r="219" spans="2:20" x14ac:dyDescent="0.25">
      <c r="B219" s="23" t="s">
        <v>3335</v>
      </c>
      <c r="C219" s="28" t="s">
        <v>493</v>
      </c>
      <c r="H219" s="159">
        <f>-'Project Cash Flows'!H123</f>
        <v>0</v>
      </c>
      <c r="I219" s="159">
        <f>-'Project Cash Flows'!I123</f>
        <v>-4.7636283297189284</v>
      </c>
      <c r="J219" s="159">
        <f>-'Project Cash Flows'!J123</f>
        <v>-4.947726459148428</v>
      </c>
      <c r="K219" s="159">
        <f>-'Project Cash Flows'!K123</f>
        <v>-5.1366120546601826</v>
      </c>
      <c r="L219" s="159">
        <f>-'Project Cash Flows'!L123</f>
        <v>-5.3303839496386063</v>
      </c>
      <c r="M219" s="159">
        <f>-'Project Cash Flows'!M123</f>
        <v>-5.5291412147222134</v>
      </c>
      <c r="N219" s="159">
        <f>-'Project Cash Flows'!N123</f>
        <v>-5.7329829988014431</v>
      </c>
      <c r="O219" s="159">
        <f>-'Project Cash Flows'!O123</f>
        <v>-5.9420083551296878</v>
      </c>
      <c r="P219" s="159">
        <f>-'Project Cash Flows'!P123</f>
        <v>-6.1563160514848745</v>
      </c>
      <c r="Q219" s="159">
        <f>-'Project Cash Flows'!Q123</f>
        <v>-6.3760043632494341</v>
      </c>
      <c r="R219" s="159">
        <f>-'Project Cash Flows'!R123</f>
        <v>-6.6011708482028419</v>
      </c>
      <c r="S219" s="159">
        <f>-'Project Cash Flows'!S123</f>
        <v>-6.8319121017423683</v>
      </c>
      <c r="T219" s="159">
        <f>-'Project Cash Flows'!T123</f>
        <v>-7.0683234911644828</v>
      </c>
    </row>
    <row r="220" spans="2:20" x14ac:dyDescent="0.25">
      <c r="B220" s="21" t="s">
        <v>3336</v>
      </c>
      <c r="C220" s="28" t="s">
        <v>493</v>
      </c>
      <c r="H220" s="26">
        <f>'Project Cash Flows'!H124</f>
        <v>0</v>
      </c>
      <c r="I220" s="26">
        <f>'Project Cash Flows'!I124</f>
        <v>16.889227714458016</v>
      </c>
      <c r="J220" s="26">
        <f>'Project Cash Flows'!J124</f>
        <v>17.541939264253518</v>
      </c>
      <c r="K220" s="26">
        <f>'Project Cash Flows'!K124</f>
        <v>18.211624557431556</v>
      </c>
      <c r="L220" s="26">
        <f>'Project Cash Flows'!L124</f>
        <v>18.898634003264149</v>
      </c>
      <c r="M220" s="26">
        <f>'Project Cash Flows'!M124</f>
        <v>19.603318852196939</v>
      </c>
      <c r="N220" s="26">
        <f>'Project Cash Flows'!N124</f>
        <v>20.326030632114207</v>
      </c>
      <c r="O220" s="26">
        <f>'Project Cash Flows'!O124</f>
        <v>21.067120531823441</v>
      </c>
      <c r="P220" s="26">
        <f>'Project Cash Flows'!P124</f>
        <v>21.826938727991827</v>
      </c>
      <c r="Q220" s="26">
        <f>'Project Cash Flows'!Q124</f>
        <v>22.605833651520719</v>
      </c>
      <c r="R220" s="26">
        <f>'Project Cash Flows'!R124</f>
        <v>23.404151189082803</v>
      </c>
      <c r="S220" s="26">
        <f>'Project Cash Flows'!S124</f>
        <v>24.222233815268396</v>
      </c>
      <c r="T220" s="26">
        <f>'Project Cash Flows'!T124</f>
        <v>25.060419650492257</v>
      </c>
    </row>
    <row r="221" spans="2:20" x14ac:dyDescent="0.25">
      <c r="B221" s="163" t="s">
        <v>3337</v>
      </c>
    </row>
    <row r="222" spans="2:20" x14ac:dyDescent="0.25">
      <c r="B222" s="23" t="s">
        <v>3361</v>
      </c>
      <c r="C222" s="28" t="s">
        <v>493</v>
      </c>
      <c r="G222" s="29">
        <f>'Capex &amp; Depreciation'!G290</f>
        <v>0</v>
      </c>
      <c r="H222" s="29">
        <f>'Capex &amp; Depreciation'!H290</f>
        <v>87.831000000000003</v>
      </c>
      <c r="I222" s="29">
        <f>'Capex &amp; Depreciation'!I290</f>
        <v>86.916980194833812</v>
      </c>
      <c r="J222" s="29">
        <f>'Capex &amp; Depreciation'!J290</f>
        <v>79.49696038966762</v>
      </c>
      <c r="K222" s="29">
        <f>'Capex &amp; Depreciation'!K290</f>
        <v>72.076940584501429</v>
      </c>
      <c r="L222" s="29">
        <f>'Capex &amp; Depreciation'!L290</f>
        <v>64.656920779335238</v>
      </c>
      <c r="M222" s="29">
        <f>'Capex &amp; Depreciation'!M290</f>
        <v>57.236900974169039</v>
      </c>
      <c r="N222" s="29">
        <f>'Capex &amp; Depreciation'!N290</f>
        <v>49.816881169002841</v>
      </c>
      <c r="O222" s="29">
        <f>'Capex &amp; Depreciation'!O290</f>
        <v>42.396861363836642</v>
      </c>
      <c r="P222" s="29">
        <f>'Capex &amp; Depreciation'!P290</f>
        <v>34.976841558670444</v>
      </c>
      <c r="Q222" s="29">
        <f>'Capex &amp; Depreciation'!Q290</f>
        <v>27.556821753504245</v>
      </c>
      <c r="R222" s="29">
        <f>'Capex &amp; Depreciation'!R290</f>
        <v>20.136801948338046</v>
      </c>
      <c r="S222" s="29">
        <f>'Capex &amp; Depreciation'!S290</f>
        <v>12.716782143171848</v>
      </c>
      <c r="T222" s="29">
        <f>'Capex &amp; Depreciation'!T290</f>
        <v>5.2967623380056503</v>
      </c>
    </row>
    <row r="223" spans="2:20" x14ac:dyDescent="0.25">
      <c r="B223" s="23" t="s">
        <v>3362</v>
      </c>
      <c r="C223" s="28" t="s">
        <v>493</v>
      </c>
      <c r="G223" s="29">
        <f>'Capex &amp; Depreciation'!G309</f>
        <v>35.59860292814443</v>
      </c>
      <c r="H223" s="29">
        <f>'Capex &amp; Depreciation'!H309</f>
        <v>35.59860292814443</v>
      </c>
      <c r="I223" s="29">
        <f>'Capex &amp; Depreciation'!I309</f>
        <v>35.59860292814443</v>
      </c>
      <c r="J223" s="29">
        <f>'Capex &amp; Depreciation'!J309</f>
        <v>35.59860292814443</v>
      </c>
      <c r="K223" s="29">
        <f>'Capex &amp; Depreciation'!K309</f>
        <v>35.59860292814443</v>
      </c>
      <c r="L223" s="29">
        <f>'Capex &amp; Depreciation'!L309</f>
        <v>35.59860292814443</v>
      </c>
      <c r="M223" s="29">
        <f>'Capex &amp; Depreciation'!M309</f>
        <v>35.59860292814443</v>
      </c>
      <c r="N223" s="29">
        <f>'Capex &amp; Depreciation'!N309</f>
        <v>35.59860292814443</v>
      </c>
      <c r="O223" s="29">
        <f>'Capex &amp; Depreciation'!O309</f>
        <v>35.59860292814443</v>
      </c>
      <c r="P223" s="29">
        <f>'Capex &amp; Depreciation'!P309</f>
        <v>35.59860292814443</v>
      </c>
      <c r="Q223" s="29">
        <f>'Capex &amp; Depreciation'!Q309</f>
        <v>35.59860292814443</v>
      </c>
      <c r="R223" s="29">
        <f>'Capex &amp; Depreciation'!R309</f>
        <v>35.59860292814443</v>
      </c>
      <c r="S223" s="29">
        <f>'Capex &amp; Depreciation'!S309</f>
        <v>35.59860292814443</v>
      </c>
      <c r="T223" s="29">
        <f>'Capex &amp; Depreciation'!T309</f>
        <v>35.59860292814443</v>
      </c>
    </row>
    <row r="224" spans="2:20" x14ac:dyDescent="0.25">
      <c r="B224" s="23" t="s">
        <v>3339</v>
      </c>
      <c r="C224" s="28" t="s">
        <v>493</v>
      </c>
      <c r="G224" s="159">
        <v>0</v>
      </c>
      <c r="H224" s="29">
        <f>'Working Capital'!H33</f>
        <v>0</v>
      </c>
      <c r="I224" s="29">
        <f>'Working Capital'!I33</f>
        <v>3.8835616438356166</v>
      </c>
      <c r="J224" s="29">
        <f>'Working Capital'!J33</f>
        <v>4.0000684931506854</v>
      </c>
      <c r="K224" s="29">
        <f>'Working Capital'!K33</f>
        <v>4.1200705479452049</v>
      </c>
      <c r="L224" s="29">
        <f>'Working Capital'!L33</f>
        <v>4.2320779303278693</v>
      </c>
      <c r="M224" s="29">
        <f>'Working Capital'!M33</f>
        <v>4.3709828443150682</v>
      </c>
      <c r="N224" s="29">
        <f>'Working Capital'!N33</f>
        <v>4.5021123296445209</v>
      </c>
      <c r="O224" s="29">
        <f>'Working Capital'!O33</f>
        <v>4.6371756995338558</v>
      </c>
      <c r="P224" s="29">
        <f>'Working Capital'!P33</f>
        <v>4.7632409951905839</v>
      </c>
      <c r="Q224" s="29">
        <f>'Working Capital'!Q33</f>
        <v>4.9195796996354693</v>
      </c>
      <c r="R224" s="29">
        <f>'Working Capital'!R33</f>
        <v>5.0671670906245332</v>
      </c>
      <c r="S224" s="29">
        <f>'Working Capital'!S33</f>
        <v>5.219182103343269</v>
      </c>
      <c r="T224" s="29">
        <f>'Working Capital'!T33</f>
        <v>5.3610697042401698</v>
      </c>
    </row>
    <row r="225" spans="2:20" x14ac:dyDescent="0.25">
      <c r="B225" s="23" t="s">
        <v>3340</v>
      </c>
      <c r="C225" s="28" t="s">
        <v>493</v>
      </c>
      <c r="G225" s="159">
        <v>0</v>
      </c>
      <c r="H225" s="159">
        <f>-'Working Capital'!H34</f>
        <v>0</v>
      </c>
      <c r="I225" s="159">
        <f>-'Working Capital'!I34</f>
        <v>-0.19948965621837167</v>
      </c>
      <c r="J225" s="159">
        <f>-'Working Capital'!J34</f>
        <v>-0.20838201135056358</v>
      </c>
      <c r="K225" s="159">
        <f>-'Working Capital'!K34</f>
        <v>-0.21781591091030608</v>
      </c>
      <c r="L225" s="159">
        <f>-'Working Capital'!L34</f>
        <v>-0.22720186409270893</v>
      </c>
      <c r="M225" s="159">
        <f>-'Working Capital'!M34</f>
        <v>-0.23844227202038218</v>
      </c>
      <c r="N225" s="159">
        <f>-'Working Capital'!N34</f>
        <v>-0.24970684145491659</v>
      </c>
      <c r="O225" s="159">
        <f>-'Working Capital'!O34</f>
        <v>-0.26165742316801421</v>
      </c>
      <c r="P225" s="159">
        <f>-'Working Capital'!P34</f>
        <v>-0.27358624395414038</v>
      </c>
      <c r="Q225" s="159">
        <f>-'Working Capital'!Q34</f>
        <v>-0.28778628031015563</v>
      </c>
      <c r="R225" s="159">
        <f>-'Working Capital'!R34</f>
        <v>-0.30205589984953729</v>
      </c>
      <c r="S225" s="159">
        <f>-'Working Capital'!S34</f>
        <v>-0.31719453921886726</v>
      </c>
      <c r="T225" s="159">
        <f>-'Working Capital'!T34</f>
        <v>-0.33234458860632005</v>
      </c>
    </row>
    <row r="226" spans="2:20" x14ac:dyDescent="0.25">
      <c r="B226" s="21" t="s">
        <v>3341</v>
      </c>
      <c r="C226" s="28" t="s">
        <v>493</v>
      </c>
      <c r="G226" s="160">
        <f>'Capex &amp; Depreciation'!G290+'Capex &amp; Depreciation'!G309</f>
        <v>35.59860292814443</v>
      </c>
      <c r="H226" s="160">
        <f>'Capex &amp; Depreciation'!H290+'Capex &amp; Depreciation'!H309+'Working Capital'!H35</f>
        <v>123.42960292814443</v>
      </c>
      <c r="I226" s="160">
        <f>'Capex &amp; Depreciation'!I290+'Capex &amp; Depreciation'!I309+'Working Capital'!I35</f>
        <v>126.19965511059549</v>
      </c>
      <c r="J226" s="160">
        <f>'Capex &amp; Depreciation'!J290+'Capex &amp; Depreciation'!J309+'Working Capital'!J35</f>
        <v>118.88724979961218</v>
      </c>
      <c r="K226" s="160">
        <f>'Capex &amp; Depreciation'!K290+'Capex &amp; Depreciation'!K309+'Working Capital'!K35</f>
        <v>111.57779814968076</v>
      </c>
      <c r="L226" s="160">
        <f>'Capex &amp; Depreciation'!L290+'Capex &amp; Depreciation'!L309+'Working Capital'!L35</f>
        <v>104.26039977371482</v>
      </c>
      <c r="M226" s="160">
        <f>'Capex &amp; Depreciation'!M290+'Capex &amp; Depreciation'!M309+'Working Capital'!M35</f>
        <v>96.968044474608149</v>
      </c>
      <c r="N226" s="160">
        <f>'Capex &amp; Depreciation'!N290+'Capex &amp; Depreciation'!N309+'Working Capital'!N35</f>
        <v>89.66788958533688</v>
      </c>
      <c r="O226" s="160">
        <f>'Capex &amp; Depreciation'!O290+'Capex &amp; Depreciation'!O309+'Working Capital'!O35</f>
        <v>82.370982568346918</v>
      </c>
      <c r="P226" s="160">
        <f>'Capex &amp; Depreciation'!P290+'Capex &amp; Depreciation'!P309+'Working Capital'!P35</f>
        <v>75.065099238051317</v>
      </c>
      <c r="Q226" s="160">
        <f>'Capex &amp; Depreciation'!Q290+'Capex &amp; Depreciation'!Q309+'Working Capital'!Q35</f>
        <v>67.787218100973988</v>
      </c>
      <c r="R226" s="160">
        <f>'Capex &amp; Depreciation'!R290+'Capex &amp; Depreciation'!R309+'Working Capital'!R35</f>
        <v>60.500516067257472</v>
      </c>
      <c r="S226" s="160">
        <f>'Capex &amp; Depreciation'!S290+'Capex &amp; Depreciation'!S309+'Working Capital'!S35</f>
        <v>53.217372635440682</v>
      </c>
      <c r="T226" s="160">
        <f>'Capex &amp; Depreciation'!T290+'Capex &amp; Depreciation'!T309+'Working Capital'!T35</f>
        <v>45.924090381783927</v>
      </c>
    </row>
    <row r="227" spans="2:20" x14ac:dyDescent="0.25">
      <c r="B227" s="163" t="s">
        <v>3342</v>
      </c>
    </row>
    <row r="228" spans="2:20" x14ac:dyDescent="0.25">
      <c r="B228" s="23" t="s">
        <v>3221</v>
      </c>
      <c r="C228" s="28" t="s">
        <v>493</v>
      </c>
      <c r="H228" s="29">
        <f>'Project Cash Flows'!H120</f>
        <v>0</v>
      </c>
      <c r="I228" s="29">
        <f>'Project Cash Flows'!I120</f>
        <v>29.072875849343145</v>
      </c>
      <c r="J228" s="29">
        <f>'Project Cash Flows'!J120</f>
        <v>29.909685528568144</v>
      </c>
      <c r="K228" s="29">
        <f>'Project Cash Flows'!K120</f>
        <v>30.768256417257938</v>
      </c>
      <c r="L228" s="29">
        <f>'Project Cash Flows'!L120</f>
        <v>31.649037758068953</v>
      </c>
      <c r="M228" s="29">
        <f>'Project Cash Flows'!M120</f>
        <v>32.55247987208535</v>
      </c>
      <c r="N228" s="29">
        <f>'Project Cash Flows'!N120</f>
        <v>33.479033436081849</v>
      </c>
      <c r="O228" s="29">
        <f>'Project Cash Flows'!O120</f>
        <v>34.429148692119327</v>
      </c>
      <c r="P228" s="29">
        <f>'Project Cash Flows'!P120</f>
        <v>35.403274584642901</v>
      </c>
      <c r="Q228" s="29">
        <f>'Project Cash Flows'!Q120</f>
        <v>36.401857819936353</v>
      </c>
      <c r="R228" s="29">
        <f>'Project Cash Flows'!R120</f>
        <v>37.425341842451843</v>
      </c>
      <c r="S228" s="29">
        <f>'Project Cash Flows'!S120</f>
        <v>38.474165722176963</v>
      </c>
      <c r="T228" s="29">
        <f>'Project Cash Flows'!T120</f>
        <v>39.54876294682294</v>
      </c>
    </row>
    <row r="229" spans="2:20" x14ac:dyDescent="0.25">
      <c r="B229" s="23" t="s">
        <v>3343</v>
      </c>
      <c r="C229" s="28" t="s">
        <v>493</v>
      </c>
      <c r="H229" s="29">
        <f>'Project Cash Flows'!H125</f>
        <v>0</v>
      </c>
      <c r="I229" s="29">
        <f>'Project Cash Flows'!I125</f>
        <v>-4.7636283297189284</v>
      </c>
      <c r="J229" s="29">
        <f>'Project Cash Flows'!J125</f>
        <v>-4.947726459148428</v>
      </c>
      <c r="K229" s="29">
        <f>'Project Cash Flows'!K125</f>
        <v>-5.1366120546601826</v>
      </c>
      <c r="L229" s="29">
        <f>'Project Cash Flows'!L125</f>
        <v>-5.3303839496386063</v>
      </c>
      <c r="M229" s="29">
        <f>'Project Cash Flows'!M125</f>
        <v>-5.5291412147222134</v>
      </c>
      <c r="N229" s="29">
        <f>'Project Cash Flows'!N125</f>
        <v>-5.7329829988014431</v>
      </c>
      <c r="O229" s="29">
        <f>'Project Cash Flows'!O125</f>
        <v>-5.9420083551296878</v>
      </c>
      <c r="P229" s="29">
        <f>'Project Cash Flows'!P125</f>
        <v>-6.1563160514848745</v>
      </c>
      <c r="Q229" s="29">
        <f>'Project Cash Flows'!Q125</f>
        <v>-6.3760043632494341</v>
      </c>
      <c r="R229" s="29">
        <f>'Project Cash Flows'!R125</f>
        <v>-6.6011708482028419</v>
      </c>
      <c r="S229" s="29">
        <f>'Project Cash Flows'!S125</f>
        <v>-6.8319121017423683</v>
      </c>
      <c r="T229" s="29">
        <f>'Project Cash Flows'!T125</f>
        <v>-7.0683234911644828</v>
      </c>
    </row>
    <row r="230" spans="2:20" x14ac:dyDescent="0.25">
      <c r="B230" s="23" t="s">
        <v>3227</v>
      </c>
      <c r="C230" s="28" t="s">
        <v>493</v>
      </c>
      <c r="H230" s="29">
        <f>'Project Cash Flows'!H126</f>
        <v>-87.831000000000003</v>
      </c>
      <c r="I230" s="29">
        <f>'Project Cash Flows'!I126</f>
        <v>-6.5060000000000002</v>
      </c>
      <c r="J230" s="29">
        <f>'Project Cash Flows'!J126</f>
        <v>0</v>
      </c>
      <c r="K230" s="29">
        <f>'Project Cash Flows'!K126</f>
        <v>0</v>
      </c>
      <c r="L230" s="29">
        <f>'Project Cash Flows'!L126</f>
        <v>0</v>
      </c>
      <c r="M230" s="29">
        <f>'Project Cash Flows'!M126</f>
        <v>0</v>
      </c>
      <c r="N230" s="29">
        <f>'Project Cash Flows'!N126</f>
        <v>0</v>
      </c>
      <c r="O230" s="29">
        <f>'Project Cash Flows'!O126</f>
        <v>0</v>
      </c>
      <c r="P230" s="29">
        <f>'Project Cash Flows'!P126</f>
        <v>0</v>
      </c>
      <c r="Q230" s="29">
        <f>'Project Cash Flows'!Q126</f>
        <v>0</v>
      </c>
      <c r="R230" s="29">
        <f>'Project Cash Flows'!R126</f>
        <v>0</v>
      </c>
      <c r="S230" s="29">
        <f>'Project Cash Flows'!S126</f>
        <v>0</v>
      </c>
      <c r="T230" s="29">
        <f>'Project Cash Flows'!T126</f>
        <v>0</v>
      </c>
    </row>
    <row r="231" spans="2:20" x14ac:dyDescent="0.25">
      <c r="B231" s="23" t="s">
        <v>3228</v>
      </c>
      <c r="C231" s="28" t="s">
        <v>493</v>
      </c>
      <c r="H231" s="29">
        <f>'Project Cash Flows'!H127</f>
        <v>0</v>
      </c>
      <c r="I231" s="29">
        <f>'Project Cash Flows'!I127</f>
        <v>-3.6840719876172452</v>
      </c>
      <c r="J231" s="29">
        <f>'Project Cash Flows'!J127</f>
        <v>-0.10761449418287672</v>
      </c>
      <c r="K231" s="29">
        <f>'Project Cash Flows'!K127</f>
        <v>-0.11056815523477681</v>
      </c>
      <c r="L231" s="29">
        <f>'Project Cash Flows'!L127</f>
        <v>-0.10262142920026207</v>
      </c>
      <c r="M231" s="29">
        <f>'Project Cash Flows'!M127</f>
        <v>-0.12766450605952517</v>
      </c>
      <c r="N231" s="29">
        <f>'Project Cash Flows'!N127</f>
        <v>-0.11986491589491877</v>
      </c>
      <c r="O231" s="29">
        <f>'Project Cash Flows'!O127</f>
        <v>-0.12311278817623705</v>
      </c>
      <c r="P231" s="29">
        <f>'Project Cash Flows'!P127</f>
        <v>-0.11413647487060175</v>
      </c>
      <c r="Q231" s="29">
        <f>'Project Cash Flows'!Q127</f>
        <v>-0.14213866808887055</v>
      </c>
      <c r="R231" s="29">
        <f>'Project Cash Flows'!R127</f>
        <v>-0.13331777144968182</v>
      </c>
      <c r="S231" s="29">
        <f>'Project Cash Flows'!S127</f>
        <v>-0.13687637334940561</v>
      </c>
      <c r="T231" s="29">
        <f>'Project Cash Flows'!T127</f>
        <v>-0.12673755150944821</v>
      </c>
    </row>
    <row r="232" spans="2:20" x14ac:dyDescent="0.25">
      <c r="B232" s="21" t="s">
        <v>3344</v>
      </c>
      <c r="C232" s="28" t="s">
        <v>493</v>
      </c>
      <c r="H232" s="26">
        <f>'Project Cash Flows'!H128</f>
        <v>-87.831000000000003</v>
      </c>
      <c r="I232" s="26">
        <f>'Project Cash Flows'!I128</f>
        <v>14.11917553200697</v>
      </c>
      <c r="J232" s="26">
        <f>'Project Cash Flows'!J128</f>
        <v>24.854344575236841</v>
      </c>
      <c r="K232" s="26">
        <f>'Project Cash Flows'!K128</f>
        <v>25.521076207362977</v>
      </c>
      <c r="L232" s="26">
        <f>'Project Cash Flows'!L128</f>
        <v>26.216032379230086</v>
      </c>
      <c r="M232" s="26">
        <f>'Project Cash Flows'!M128</f>
        <v>26.895674151303613</v>
      </c>
      <c r="N232" s="26">
        <f>'Project Cash Flows'!N128</f>
        <v>27.626185521385487</v>
      </c>
      <c r="O232" s="26">
        <f>'Project Cash Flows'!O128</f>
        <v>28.364027548813404</v>
      </c>
      <c r="P232" s="26">
        <f>'Project Cash Flows'!P128</f>
        <v>29.132822058287424</v>
      </c>
      <c r="Q232" s="26">
        <f>'Project Cash Flows'!Q128</f>
        <v>29.883714788598049</v>
      </c>
      <c r="R232" s="26">
        <f>'Project Cash Flows'!R128</f>
        <v>30.690853222799319</v>
      </c>
      <c r="S232" s="26">
        <f>'Project Cash Flows'!S128</f>
        <v>31.505377247085189</v>
      </c>
      <c r="T232" s="26">
        <f>'Project Cash Flows'!T128</f>
        <v>32.353701904149005</v>
      </c>
    </row>
    <row r="233" spans="2:20" x14ac:dyDescent="0.25">
      <c r="B233" s="23" t="s">
        <v>3345</v>
      </c>
      <c r="C233" s="28" t="s">
        <v>493</v>
      </c>
      <c r="G233" s="29">
        <f>'Project Cash Flows'!G131</f>
        <v>-35.59860292814443</v>
      </c>
      <c r="H233" s="29">
        <f>'Project Cash Flows'!H131</f>
        <v>-123.42960292814443</v>
      </c>
      <c r="I233" s="29">
        <f>'Project Cash Flows'!I131</f>
        <v>-109.31042739613747</v>
      </c>
      <c r="J233" s="29">
        <f>'Project Cash Flows'!J131</f>
        <v>-84.456082820900633</v>
      </c>
      <c r="K233" s="29">
        <f>'Project Cash Flows'!K131</f>
        <v>-58.935006613537652</v>
      </c>
      <c r="L233" s="29">
        <f>'Project Cash Flows'!L131</f>
        <v>-32.718974234307566</v>
      </c>
      <c r="M233" s="29">
        <f>'Project Cash Flows'!M131</f>
        <v>-5.8233000830039536</v>
      </c>
      <c r="N233" s="29">
        <f>'Project Cash Flows'!N131</f>
        <v>21.802885438381534</v>
      </c>
      <c r="O233" s="29">
        <f>'Project Cash Flows'!O131</f>
        <v>50.166912987194934</v>
      </c>
      <c r="P233" s="29">
        <f>'Project Cash Flows'!P131</f>
        <v>79.29973504548235</v>
      </c>
      <c r="Q233" s="29">
        <f>'Project Cash Flows'!Q131</f>
        <v>109.18344983408039</v>
      </c>
      <c r="R233" s="29">
        <f>'Project Cash Flows'!R131</f>
        <v>139.87430305687971</v>
      </c>
      <c r="S233" s="29">
        <f>'Project Cash Flows'!S131</f>
        <v>171.3796803039649</v>
      </c>
      <c r="T233" s="29">
        <f>'Project Cash Flows'!T131</f>
        <v>203.73338220811391</v>
      </c>
    </row>
    <row r="234" spans="2:20" x14ac:dyDescent="0.25">
      <c r="B234" s="163" t="s">
        <v>3346</v>
      </c>
    </row>
    <row r="235" spans="2:20" x14ac:dyDescent="0.25">
      <c r="B235" s="23" t="s">
        <v>3363</v>
      </c>
      <c r="C235" s="28" t="s">
        <v>806</v>
      </c>
      <c r="G235" s="34">
        <f>'Capex &amp; Depreciation'!G9</f>
        <v>2.2000000000000002</v>
      </c>
      <c r="H235" s="34">
        <f>'Capex &amp; Depreciation'!H9</f>
        <v>5.4</v>
      </c>
      <c r="I235" s="34">
        <f>'Capex &amp; Depreciation'!I9</f>
        <v>0.4</v>
      </c>
      <c r="J235" s="34">
        <f>'Capex &amp; Depreciation'!J9</f>
        <v>0</v>
      </c>
      <c r="K235" s="34">
        <f>'Capex &amp; Depreciation'!K9</f>
        <v>0</v>
      </c>
      <c r="L235" s="34">
        <f>'Capex &amp; Depreciation'!L9</f>
        <v>0</v>
      </c>
      <c r="M235" s="34">
        <f>'Capex &amp; Depreciation'!M9</f>
        <v>0</v>
      </c>
      <c r="N235" s="34">
        <f>'Capex &amp; Depreciation'!N9</f>
        <v>0</v>
      </c>
      <c r="O235" s="34">
        <f>'Capex &amp; Depreciation'!O9</f>
        <v>0</v>
      </c>
      <c r="P235" s="34">
        <f>'Capex &amp; Depreciation'!P9</f>
        <v>0</v>
      </c>
      <c r="Q235" s="34">
        <f>'Capex &amp; Depreciation'!Q9</f>
        <v>0</v>
      </c>
      <c r="R235" s="34">
        <f>'Capex &amp; Depreciation'!R9</f>
        <v>0</v>
      </c>
      <c r="S235" s="34">
        <f>'Capex &amp; Depreciation'!S9</f>
        <v>0</v>
      </c>
      <c r="T235" s="34">
        <f>'Capex &amp; Depreciation'!T9</f>
        <v>0</v>
      </c>
    </row>
    <row r="236" spans="2:20" x14ac:dyDescent="0.25">
      <c r="B236" s="23" t="s">
        <v>3364</v>
      </c>
      <c r="C236" s="28" t="s">
        <v>493</v>
      </c>
      <c r="G236" s="29">
        <f>'Capex &amp; Depreciation'!G57</f>
        <v>35.783000000000001</v>
      </c>
      <c r="H236" s="29">
        <f>'Capex &amp; Depreciation'!H57</f>
        <v>87.831000000000003</v>
      </c>
      <c r="I236" s="29">
        <f>'Capex &amp; Depreciation'!I57</f>
        <v>6.5060000000000002</v>
      </c>
      <c r="J236" s="29">
        <f>'Capex &amp; Depreciation'!J57</f>
        <v>0</v>
      </c>
      <c r="K236" s="29">
        <f>'Capex &amp; Depreciation'!K57</f>
        <v>0</v>
      </c>
      <c r="L236" s="29">
        <f>'Capex &amp; Depreciation'!L57</f>
        <v>0</v>
      </c>
      <c r="M236" s="29">
        <f>'Capex &amp; Depreciation'!M57</f>
        <v>0</v>
      </c>
      <c r="N236" s="29">
        <f>'Capex &amp; Depreciation'!N57</f>
        <v>0</v>
      </c>
      <c r="O236" s="29">
        <f>'Capex &amp; Depreciation'!O57</f>
        <v>0</v>
      </c>
      <c r="P236" s="29">
        <f>'Capex &amp; Depreciation'!P57</f>
        <v>0</v>
      </c>
      <c r="Q236" s="29">
        <f>'Capex &amp; Depreciation'!Q57</f>
        <v>0</v>
      </c>
      <c r="R236" s="29">
        <f>'Capex &amp; Depreciation'!R57</f>
        <v>0</v>
      </c>
      <c r="S236" s="29">
        <f>'Capex &amp; Depreciation'!S57</f>
        <v>0</v>
      </c>
      <c r="T236" s="29">
        <f>'Capex &amp; Depreciation'!T57</f>
        <v>0</v>
      </c>
    </row>
    <row r="237" spans="2:20" ht="26.25" customHeight="1" x14ac:dyDescent="0.25">
      <c r="B237" s="64" t="s">
        <v>3365</v>
      </c>
      <c r="C237" s="28" t="s">
        <v>493</v>
      </c>
      <c r="H237" s="29">
        <f>'Funding Requirement'!H116</f>
        <v>87.831000000000003</v>
      </c>
      <c r="I237" s="29">
        <f>'Funding Requirement'!I116</f>
        <v>0</v>
      </c>
      <c r="J237" s="29">
        <f>'Funding Requirement'!J116</f>
        <v>0</v>
      </c>
      <c r="K237" s="29">
        <f>'Funding Requirement'!K116</f>
        <v>0</v>
      </c>
      <c r="L237" s="29">
        <f>'Funding Requirement'!L116</f>
        <v>0</v>
      </c>
      <c r="M237" s="29">
        <f>'Funding Requirement'!M116</f>
        <v>0</v>
      </c>
      <c r="N237" s="29">
        <f>'Funding Requirement'!N116</f>
        <v>0</v>
      </c>
      <c r="O237" s="29">
        <f>'Funding Requirement'!O116</f>
        <v>0</v>
      </c>
      <c r="P237" s="29">
        <f>'Funding Requirement'!P116</f>
        <v>0</v>
      </c>
      <c r="Q237" s="29">
        <f>'Funding Requirement'!Q116</f>
        <v>0</v>
      </c>
      <c r="R237" s="29">
        <f>'Funding Requirement'!R116</f>
        <v>0</v>
      </c>
      <c r="S237" s="29">
        <f>'Funding Requirement'!S116</f>
        <v>0</v>
      </c>
      <c r="T237" s="29">
        <f>'Funding Requirement'!T116</f>
        <v>0</v>
      </c>
    </row>
    <row r="238" spans="2:20" x14ac:dyDescent="0.25">
      <c r="B238" s="163" t="s">
        <v>3348</v>
      </c>
    </row>
    <row r="239" spans="2:20" x14ac:dyDescent="0.25">
      <c r="B239" s="44" t="s">
        <v>3349</v>
      </c>
      <c r="D239" s="204">
        <f>'Project Cash Flows'!$E$12</f>
        <v>270.90470772699769</v>
      </c>
      <c r="H239" s="44" t="s">
        <v>3176</v>
      </c>
      <c r="K239" s="205">
        <f>'Project Cash Flows'!$H$12</f>
        <v>0.22154718041419977</v>
      </c>
      <c r="N239" s="44" t="s">
        <v>3350</v>
      </c>
      <c r="Q239" s="205" t="str">
        <f>'Project Cash Flows'!$I$12</f>
        <v>Not meaningful</v>
      </c>
    </row>
    <row r="240" spans="2:20" x14ac:dyDescent="0.25">
      <c r="B240" s="44" t="s">
        <v>3180</v>
      </c>
      <c r="D240" s="205" t="str">
        <f>'Project Cash Flows'!$L$12</f>
        <v>as project IRR</v>
      </c>
      <c r="H240" s="44" t="s">
        <v>3351</v>
      </c>
      <c r="K240" s="206">
        <f>'Project Cash Flows'!$J$12</f>
        <v>7.2107891470755572</v>
      </c>
      <c r="N240" s="44" t="s">
        <v>3179</v>
      </c>
      <c r="Q240" s="204">
        <f>'Project Cash Flows'!$K$12</f>
        <v>123.42960292814443</v>
      </c>
    </row>
    <row r="242" spans="2:20" x14ac:dyDescent="0.25">
      <c r="B242" s="58" t="s">
        <v>3368</v>
      </c>
      <c r="C242" s="19"/>
      <c r="D242" s="19"/>
      <c r="E242" s="19"/>
      <c r="F242" s="19"/>
      <c r="G242" s="19"/>
      <c r="H242" s="19"/>
      <c r="I242" s="19"/>
      <c r="J242" s="19"/>
      <c r="K242" s="19"/>
      <c r="L242" s="19"/>
      <c r="M242" s="19"/>
      <c r="N242" s="19"/>
      <c r="O242" s="19"/>
      <c r="P242" s="19"/>
      <c r="Q242" s="19"/>
      <c r="R242" s="19"/>
      <c r="S242" s="19"/>
      <c r="T242" s="19"/>
    </row>
    <row r="243" spans="2:20" x14ac:dyDescent="0.25">
      <c r="B243" s="70" t="s">
        <v>1690</v>
      </c>
      <c r="D243" s="130" t="str">
        <f>Inputs!$I$66</f>
        <v>Included - both cases</v>
      </c>
      <c r="M243" s="202" t="s">
        <v>3323</v>
      </c>
      <c r="N243" s="203">
        <f>Inputs!$H$66</f>
        <v>1</v>
      </c>
    </row>
    <row r="244" spans="2:20" x14ac:dyDescent="0.25">
      <c r="B244" s="163" t="s">
        <v>3324</v>
      </c>
    </row>
    <row r="245" spans="2:20" x14ac:dyDescent="0.25">
      <c r="B245" s="23" t="s">
        <v>3369</v>
      </c>
      <c r="C245" s="28" t="s">
        <v>630</v>
      </c>
      <c r="H245" s="48">
        <f>'Revenue Calculation'!H107</f>
        <v>0</v>
      </c>
      <c r="I245" s="48">
        <f>'Revenue Calculation'!I107</f>
        <v>0</v>
      </c>
      <c r="J245" s="48">
        <f>'Revenue Calculation'!J107</f>
        <v>0</v>
      </c>
      <c r="K245" s="48">
        <f>'Revenue Calculation'!K107</f>
        <v>1803530</v>
      </c>
      <c r="L245" s="48">
        <f>'Revenue Calculation'!L107</f>
        <v>1857635.9</v>
      </c>
      <c r="M245" s="48">
        <f>'Revenue Calculation'!M107</f>
        <v>1913364.9770000002</v>
      </c>
      <c r="N245" s="48">
        <f>'Revenue Calculation'!N107</f>
        <v>1970765.92631</v>
      </c>
      <c r="O245" s="48">
        <f>'Revenue Calculation'!O107</f>
        <v>2029888.9040993003</v>
      </c>
      <c r="P245" s="48">
        <f>'Revenue Calculation'!P107</f>
        <v>2090785.5712222795</v>
      </c>
      <c r="Q245" s="48">
        <f>'Revenue Calculation'!Q107</f>
        <v>2153509.1383589478</v>
      </c>
      <c r="R245" s="48">
        <f>'Revenue Calculation'!R107</f>
        <v>2218114.4125097161</v>
      </c>
      <c r="S245" s="48">
        <f>'Revenue Calculation'!S107</f>
        <v>2284657.8448850079</v>
      </c>
      <c r="T245" s="48">
        <f>'Revenue Calculation'!T107</f>
        <v>2353197.5802315581</v>
      </c>
    </row>
    <row r="246" spans="2:20" x14ac:dyDescent="0.25">
      <c r="B246" s="23" t="s">
        <v>3370</v>
      </c>
      <c r="C246" s="28" t="s">
        <v>647</v>
      </c>
      <c r="H246" s="48">
        <f>'Revenue Calculation'!H108</f>
        <v>60000</v>
      </c>
      <c r="I246" s="48">
        <f>'Revenue Calculation'!I108</f>
        <v>60000</v>
      </c>
      <c r="J246" s="48">
        <f>'Revenue Calculation'!J108</f>
        <v>60000</v>
      </c>
      <c r="K246" s="48">
        <f>'Revenue Calculation'!K108</f>
        <v>60000</v>
      </c>
      <c r="L246" s="48">
        <f>'Revenue Calculation'!L108</f>
        <v>60000</v>
      </c>
      <c r="M246" s="48">
        <f>'Revenue Calculation'!M108</f>
        <v>60000</v>
      </c>
      <c r="N246" s="48">
        <f>'Revenue Calculation'!N108</f>
        <v>60000</v>
      </c>
      <c r="O246" s="48">
        <f>'Revenue Calculation'!O108</f>
        <v>60000</v>
      </c>
      <c r="P246" s="48">
        <f>'Revenue Calculation'!P108</f>
        <v>60000</v>
      </c>
      <c r="Q246" s="48">
        <f>'Revenue Calculation'!Q108</f>
        <v>60000</v>
      </c>
      <c r="R246" s="48">
        <f>'Revenue Calculation'!R108</f>
        <v>60000</v>
      </c>
      <c r="S246" s="48">
        <f>'Revenue Calculation'!S108</f>
        <v>60000</v>
      </c>
      <c r="T246" s="48">
        <f>'Revenue Calculation'!T108</f>
        <v>60000</v>
      </c>
    </row>
    <row r="247" spans="2:20" x14ac:dyDescent="0.25">
      <c r="B247" s="163" t="s">
        <v>3328</v>
      </c>
    </row>
    <row r="248" spans="2:20" x14ac:dyDescent="0.25">
      <c r="B248" s="21" t="s">
        <v>3329</v>
      </c>
      <c r="C248" s="28" t="s">
        <v>493</v>
      </c>
      <c r="H248" s="26">
        <f>'Revenue Calculation'!H111</f>
        <v>0</v>
      </c>
      <c r="I248" s="26">
        <f>'Revenue Calculation'!I111</f>
        <v>0</v>
      </c>
      <c r="J248" s="26">
        <f>'Revenue Calculation'!J111</f>
        <v>0</v>
      </c>
      <c r="K248" s="26">
        <f>'Revenue Calculation'!K111</f>
        <v>53.023781999999997</v>
      </c>
      <c r="L248" s="26">
        <f>'Revenue Calculation'!L111</f>
        <v>54.614495459999993</v>
      </c>
      <c r="M248" s="26">
        <f>'Revenue Calculation'!M111</f>
        <v>56.252930323800008</v>
      </c>
      <c r="N248" s="26">
        <f>'Revenue Calculation'!N111</f>
        <v>57.940518233513998</v>
      </c>
      <c r="O248" s="26">
        <f>'Revenue Calculation'!O111</f>
        <v>59.67873378051943</v>
      </c>
      <c r="P248" s="26">
        <f>'Revenue Calculation'!P111</f>
        <v>61.469095793935011</v>
      </c>
      <c r="Q248" s="26">
        <f>'Revenue Calculation'!Q111</f>
        <v>63.313168667753068</v>
      </c>
      <c r="R248" s="26">
        <f>'Revenue Calculation'!R111</f>
        <v>65.21256372778565</v>
      </c>
      <c r="S248" s="26">
        <f>'Revenue Calculation'!S111</f>
        <v>67.168940639619237</v>
      </c>
      <c r="T248" s="26">
        <f>'Revenue Calculation'!T111</f>
        <v>69.1840088588078</v>
      </c>
    </row>
    <row r="249" spans="2:20" x14ac:dyDescent="0.25">
      <c r="B249" s="23" t="s">
        <v>3330</v>
      </c>
      <c r="C249" s="28" t="s">
        <v>493</v>
      </c>
      <c r="H249" s="159">
        <f>-'Cost Calculation'!H143</f>
        <v>0</v>
      </c>
      <c r="I249" s="159">
        <f>-'Cost Calculation'!I143</f>
        <v>0</v>
      </c>
      <c r="J249" s="159">
        <f>-'Cost Calculation'!J143</f>
        <v>0</v>
      </c>
      <c r="K249" s="159">
        <f>-'Cost Calculation'!K143</f>
        <v>-5.3023781999999997</v>
      </c>
      <c r="L249" s="159">
        <f>-'Cost Calculation'!L143</f>
        <v>-5.4614495459999999</v>
      </c>
      <c r="M249" s="159">
        <f>-'Cost Calculation'!M143</f>
        <v>-5.625293032380001</v>
      </c>
      <c r="N249" s="159">
        <f>-'Cost Calculation'!N143</f>
        <v>-5.7940518233514</v>
      </c>
      <c r="O249" s="159">
        <f>-'Cost Calculation'!O143</f>
        <v>-5.9678733780519435</v>
      </c>
      <c r="P249" s="159">
        <f>-'Cost Calculation'!P143</f>
        <v>-6.1469095793935011</v>
      </c>
      <c r="Q249" s="159">
        <f>-'Cost Calculation'!Q143</f>
        <v>-6.3313168667753068</v>
      </c>
      <c r="R249" s="159">
        <f>-'Cost Calculation'!R143</f>
        <v>-6.5212563727785655</v>
      </c>
      <c r="S249" s="159">
        <f>-'Cost Calculation'!S143</f>
        <v>-6.7168940639619237</v>
      </c>
      <c r="T249" s="159">
        <f>-'Cost Calculation'!T143</f>
        <v>-6.9184008858807804</v>
      </c>
    </row>
    <row r="250" spans="2:20" x14ac:dyDescent="0.25">
      <c r="B250" s="23" t="s">
        <v>3331</v>
      </c>
      <c r="C250" s="28" t="s">
        <v>493</v>
      </c>
      <c r="H250" s="159">
        <f>-'Cost Calculation'!H144</f>
        <v>0</v>
      </c>
      <c r="I250" s="159">
        <f>-'Cost Calculation'!I144</f>
        <v>0</v>
      </c>
      <c r="J250" s="159">
        <f>-'Cost Calculation'!J144</f>
        <v>0</v>
      </c>
      <c r="K250" s="159">
        <f>-'Cost Calculation'!K144</f>
        <v>-26.511890999999999</v>
      </c>
      <c r="L250" s="159">
        <f>-'Cost Calculation'!L144</f>
        <v>-27.307247729999997</v>
      </c>
      <c r="M250" s="159">
        <f>-'Cost Calculation'!M144</f>
        <v>-28.126465161900004</v>
      </c>
      <c r="N250" s="159">
        <f>-'Cost Calculation'!N144</f>
        <v>-28.970259116756999</v>
      </c>
      <c r="O250" s="159">
        <f>-'Cost Calculation'!O144</f>
        <v>-29.839366890259715</v>
      </c>
      <c r="P250" s="159">
        <f>-'Cost Calculation'!P144</f>
        <v>-30.734547896967506</v>
      </c>
      <c r="Q250" s="159">
        <f>-'Cost Calculation'!Q144</f>
        <v>-31.656584333876534</v>
      </c>
      <c r="R250" s="159">
        <f>-'Cost Calculation'!R144</f>
        <v>-32.606281863892825</v>
      </c>
      <c r="S250" s="159">
        <f>-'Cost Calculation'!S144</f>
        <v>-33.584470319809618</v>
      </c>
      <c r="T250" s="159">
        <f>-'Cost Calculation'!T144</f>
        <v>-34.5920044294039</v>
      </c>
    </row>
    <row r="251" spans="2:20" x14ac:dyDescent="0.25">
      <c r="B251" s="21" t="s">
        <v>3221</v>
      </c>
      <c r="C251" s="28" t="s">
        <v>493</v>
      </c>
      <c r="H251" s="26">
        <f>'Cost Calculation'!H145</f>
        <v>0</v>
      </c>
      <c r="I251" s="26">
        <f>'Cost Calculation'!I145</f>
        <v>0</v>
      </c>
      <c r="J251" s="26">
        <f>'Cost Calculation'!J145</f>
        <v>0</v>
      </c>
      <c r="K251" s="26">
        <f>'Cost Calculation'!K145</f>
        <v>21.209512799999999</v>
      </c>
      <c r="L251" s="26">
        <f>'Cost Calculation'!L145</f>
        <v>21.845798184</v>
      </c>
      <c r="M251" s="26">
        <f>'Cost Calculation'!M145</f>
        <v>22.501172129520004</v>
      </c>
      <c r="N251" s="26">
        <f>'Cost Calculation'!N145</f>
        <v>23.176207293405596</v>
      </c>
      <c r="O251" s="26">
        <f>'Cost Calculation'!O145</f>
        <v>23.871493512207774</v>
      </c>
      <c r="P251" s="26">
        <f>'Cost Calculation'!P145</f>
        <v>24.587638317574005</v>
      </c>
      <c r="Q251" s="26">
        <f>'Cost Calculation'!Q145</f>
        <v>25.325267467101231</v>
      </c>
      <c r="R251" s="26">
        <f>'Cost Calculation'!R145</f>
        <v>26.085025491114259</v>
      </c>
      <c r="S251" s="26">
        <f>'Cost Calculation'!S145</f>
        <v>26.867576255847695</v>
      </c>
      <c r="T251" s="26">
        <f>'Cost Calculation'!T145</f>
        <v>27.673603543523122</v>
      </c>
    </row>
    <row r="252" spans="2:20" x14ac:dyDescent="0.25">
      <c r="B252" s="23" t="s">
        <v>3332</v>
      </c>
      <c r="C252" s="28" t="s">
        <v>493</v>
      </c>
      <c r="H252" s="159">
        <f>-'Capex &amp; Depreciation'!H237</f>
        <v>0</v>
      </c>
      <c r="I252" s="159">
        <f>-'Capex &amp; Depreciation'!I237</f>
        <v>0</v>
      </c>
      <c r="J252" s="159">
        <f>-'Capex &amp; Depreciation'!J237</f>
        <v>0</v>
      </c>
      <c r="K252" s="159">
        <f>-'Capex &amp; Depreciation'!K237</f>
        <v>0</v>
      </c>
      <c r="L252" s="159">
        <f>-'Capex &amp; Depreciation'!L237</f>
        <v>0</v>
      </c>
      <c r="M252" s="159">
        <f>-'Capex &amp; Depreciation'!M237</f>
        <v>0</v>
      </c>
      <c r="N252" s="159">
        <f>-'Capex &amp; Depreciation'!N237</f>
        <v>0</v>
      </c>
      <c r="O252" s="159">
        <f>-'Capex &amp; Depreciation'!O237</f>
        <v>0</v>
      </c>
      <c r="P252" s="159">
        <f>-'Capex &amp; Depreciation'!P237</f>
        <v>0</v>
      </c>
      <c r="Q252" s="159">
        <f>-'Capex &amp; Depreciation'!Q237</f>
        <v>0</v>
      </c>
      <c r="R252" s="159">
        <f>-'Capex &amp; Depreciation'!R237</f>
        <v>0</v>
      </c>
      <c r="S252" s="159">
        <f>-'Capex &amp; Depreciation'!S237</f>
        <v>0</v>
      </c>
      <c r="T252" s="159">
        <f>-'Capex &amp; Depreciation'!T237</f>
        <v>0</v>
      </c>
    </row>
    <row r="253" spans="2:20" x14ac:dyDescent="0.25">
      <c r="B253" s="21" t="s">
        <v>3333</v>
      </c>
      <c r="C253" s="28" t="s">
        <v>493</v>
      </c>
      <c r="H253" s="26">
        <f>'Project Cash Flows'!H134</f>
        <v>0</v>
      </c>
      <c r="I253" s="26">
        <f>'Project Cash Flows'!I134</f>
        <v>0</v>
      </c>
      <c r="J253" s="26">
        <f>'Project Cash Flows'!J134</f>
        <v>0</v>
      </c>
      <c r="K253" s="26">
        <f>'Project Cash Flows'!K134</f>
        <v>21.209512799999999</v>
      </c>
      <c r="L253" s="26">
        <f>'Project Cash Flows'!L134</f>
        <v>21.845798184</v>
      </c>
      <c r="M253" s="26">
        <f>'Project Cash Flows'!M134</f>
        <v>22.501172129520004</v>
      </c>
      <c r="N253" s="26">
        <f>'Project Cash Flows'!N134</f>
        <v>23.176207293405596</v>
      </c>
      <c r="O253" s="26">
        <f>'Project Cash Flows'!O134</f>
        <v>23.871493512207774</v>
      </c>
      <c r="P253" s="26">
        <f>'Project Cash Flows'!P134</f>
        <v>24.587638317574005</v>
      </c>
      <c r="Q253" s="26">
        <f>'Project Cash Flows'!Q134</f>
        <v>25.325267467101231</v>
      </c>
      <c r="R253" s="26">
        <f>'Project Cash Flows'!R134</f>
        <v>26.085025491114259</v>
      </c>
      <c r="S253" s="26">
        <f>'Project Cash Flows'!S134</f>
        <v>26.867576255847695</v>
      </c>
      <c r="T253" s="26">
        <f>'Project Cash Flows'!T134</f>
        <v>27.673603543523122</v>
      </c>
    </row>
    <row r="254" spans="2:20" x14ac:dyDescent="0.25">
      <c r="B254" s="23" t="s">
        <v>3334</v>
      </c>
      <c r="C254" s="28" t="s">
        <v>493</v>
      </c>
      <c r="H254" s="159">
        <f>-'Project Cash Flows'!H135</f>
        <v>0</v>
      </c>
      <c r="I254" s="159">
        <f>-'Project Cash Flows'!I135</f>
        <v>0</v>
      </c>
      <c r="J254" s="159">
        <f>-'Project Cash Flows'!J135</f>
        <v>0</v>
      </c>
      <c r="K254" s="159">
        <f>-'Project Cash Flows'!K135</f>
        <v>0</v>
      </c>
      <c r="L254" s="159">
        <f>-'Project Cash Flows'!L135</f>
        <v>0</v>
      </c>
      <c r="M254" s="159">
        <f>-'Project Cash Flows'!M135</f>
        <v>0</v>
      </c>
      <c r="N254" s="159">
        <f>-'Project Cash Flows'!N135</f>
        <v>0</v>
      </c>
      <c r="O254" s="159">
        <f>-'Project Cash Flows'!O135</f>
        <v>0</v>
      </c>
      <c r="P254" s="159">
        <f>-'Project Cash Flows'!P135</f>
        <v>0</v>
      </c>
      <c r="Q254" s="159">
        <f>-'Project Cash Flows'!Q135</f>
        <v>0</v>
      </c>
      <c r="R254" s="159">
        <f>-'Project Cash Flows'!R135</f>
        <v>0</v>
      </c>
      <c r="S254" s="159">
        <f>-'Project Cash Flows'!S135</f>
        <v>0</v>
      </c>
      <c r="T254" s="159">
        <f>-'Project Cash Flows'!T135</f>
        <v>0</v>
      </c>
    </row>
    <row r="255" spans="2:20" x14ac:dyDescent="0.25">
      <c r="B255" s="23" t="s">
        <v>3335</v>
      </c>
      <c r="C255" s="28" t="s">
        <v>493</v>
      </c>
      <c r="H255" s="159">
        <f>-'Project Cash Flows'!H136</f>
        <v>0</v>
      </c>
      <c r="I255" s="159">
        <f>-'Project Cash Flows'!I136</f>
        <v>0</v>
      </c>
      <c r="J255" s="159">
        <f>-'Project Cash Flows'!J136</f>
        <v>0</v>
      </c>
      <c r="K255" s="159">
        <f>-'Project Cash Flows'!K136</f>
        <v>-4.6660928159999999</v>
      </c>
      <c r="L255" s="159">
        <f>-'Project Cash Flows'!L136</f>
        <v>-4.8060756004799998</v>
      </c>
      <c r="M255" s="159">
        <f>-'Project Cash Flows'!M136</f>
        <v>-4.9502578684944005</v>
      </c>
      <c r="N255" s="159">
        <f>-'Project Cash Flows'!N136</f>
        <v>-5.0987656045492313</v>
      </c>
      <c r="O255" s="159">
        <f>-'Project Cash Flows'!O136</f>
        <v>-5.2517285726857104</v>
      </c>
      <c r="P255" s="159">
        <f>-'Project Cash Flows'!P136</f>
        <v>-5.4092804298662811</v>
      </c>
      <c r="Q255" s="159">
        <f>-'Project Cash Flows'!Q136</f>
        <v>-5.5715588427622711</v>
      </c>
      <c r="R255" s="159">
        <f>-'Project Cash Flows'!R136</f>
        <v>-5.7387056080451373</v>
      </c>
      <c r="S255" s="159">
        <f>-'Project Cash Flows'!S136</f>
        <v>-5.9108667762864933</v>
      </c>
      <c r="T255" s="159">
        <f>-'Project Cash Flows'!T136</f>
        <v>-6.0881927795750865</v>
      </c>
    </row>
    <row r="256" spans="2:20" x14ac:dyDescent="0.25">
      <c r="B256" s="21" t="s">
        <v>3336</v>
      </c>
      <c r="C256" s="28" t="s">
        <v>493</v>
      </c>
      <c r="H256" s="26">
        <f>'Project Cash Flows'!H137</f>
        <v>0</v>
      </c>
      <c r="I256" s="26">
        <f>'Project Cash Flows'!I137</f>
        <v>0</v>
      </c>
      <c r="J256" s="26">
        <f>'Project Cash Flows'!J137</f>
        <v>0</v>
      </c>
      <c r="K256" s="26">
        <f>'Project Cash Flows'!K137</f>
        <v>16.543419984</v>
      </c>
      <c r="L256" s="26">
        <f>'Project Cash Flows'!L137</f>
        <v>17.03972258352</v>
      </c>
      <c r="M256" s="26">
        <f>'Project Cash Flows'!M137</f>
        <v>17.550914261025603</v>
      </c>
      <c r="N256" s="26">
        <f>'Project Cash Flows'!N137</f>
        <v>18.077441688856364</v>
      </c>
      <c r="O256" s="26">
        <f>'Project Cash Flows'!O137</f>
        <v>18.619764939522064</v>
      </c>
      <c r="P256" s="26">
        <f>'Project Cash Flows'!P137</f>
        <v>19.178357887707723</v>
      </c>
      <c r="Q256" s="26">
        <f>'Project Cash Flows'!Q137</f>
        <v>19.753708624338959</v>
      </c>
      <c r="R256" s="26">
        <f>'Project Cash Flows'!R137</f>
        <v>20.346319883069121</v>
      </c>
      <c r="S256" s="26">
        <f>'Project Cash Flows'!S137</f>
        <v>20.956709479561201</v>
      </c>
      <c r="T256" s="26">
        <f>'Project Cash Flows'!T137</f>
        <v>21.585410763948033</v>
      </c>
    </row>
    <row r="257" spans="2:20" x14ac:dyDescent="0.25">
      <c r="B257" s="163" t="s">
        <v>3337</v>
      </c>
    </row>
    <row r="258" spans="2:20" x14ac:dyDescent="0.25">
      <c r="B258" s="23" t="s">
        <v>3338</v>
      </c>
      <c r="C258" s="28" t="s">
        <v>493</v>
      </c>
      <c r="G258" s="29">
        <f>'Capex &amp; Depreciation'!G291</f>
        <v>0</v>
      </c>
      <c r="H258" s="29">
        <f>'Capex &amp; Depreciation'!H291</f>
        <v>0</v>
      </c>
      <c r="I258" s="29">
        <f>'Capex &amp; Depreciation'!I291</f>
        <v>0</v>
      </c>
      <c r="J258" s="29">
        <f>'Capex &amp; Depreciation'!J291</f>
        <v>97.990000000000052</v>
      </c>
      <c r="K258" s="29">
        <f>'Capex &amp; Depreciation'!K291</f>
        <v>97.990000000000052</v>
      </c>
      <c r="L258" s="29">
        <f>'Capex &amp; Depreciation'!L291</f>
        <v>97.990000000000052</v>
      </c>
      <c r="M258" s="29">
        <f>'Capex &amp; Depreciation'!M291</f>
        <v>97.990000000000052</v>
      </c>
      <c r="N258" s="29">
        <f>'Capex &amp; Depreciation'!N291</f>
        <v>97.990000000000052</v>
      </c>
      <c r="O258" s="29">
        <f>'Capex &amp; Depreciation'!O291</f>
        <v>97.990000000000052</v>
      </c>
      <c r="P258" s="29">
        <f>'Capex &amp; Depreciation'!P291</f>
        <v>97.990000000000052</v>
      </c>
      <c r="Q258" s="29">
        <f>'Capex &amp; Depreciation'!Q291</f>
        <v>97.990000000000052</v>
      </c>
      <c r="R258" s="29">
        <f>'Capex &amp; Depreciation'!R291</f>
        <v>97.990000000000052</v>
      </c>
      <c r="S258" s="29">
        <f>'Capex &amp; Depreciation'!S291</f>
        <v>97.990000000000052</v>
      </c>
      <c r="T258" s="29">
        <f>'Capex &amp; Depreciation'!T291</f>
        <v>97.990000000000052</v>
      </c>
    </row>
    <row r="259" spans="2:20" x14ac:dyDescent="0.25">
      <c r="B259" s="23" t="s">
        <v>3339</v>
      </c>
      <c r="C259" s="28" t="s">
        <v>493</v>
      </c>
      <c r="G259" s="159">
        <v>0</v>
      </c>
      <c r="H259" s="29">
        <f>'Working Capital'!H37</f>
        <v>0</v>
      </c>
      <c r="I259" s="29">
        <f>'Working Capital'!I37</f>
        <v>0</v>
      </c>
      <c r="J259" s="29">
        <f>'Working Capital'!J37</f>
        <v>0</v>
      </c>
      <c r="K259" s="29">
        <f>'Working Capital'!K37</f>
        <v>6.5371786027397256</v>
      </c>
      <c r="L259" s="29">
        <f>'Working Capital'!L37</f>
        <v>6.7148969827868843</v>
      </c>
      <c r="M259" s="29">
        <f>'Working Capital'!M37</f>
        <v>6.9352927796465762</v>
      </c>
      <c r="N259" s="29">
        <f>'Working Capital'!N37</f>
        <v>7.1433515630359725</v>
      </c>
      <c r="O259" s="29">
        <f>'Working Capital'!O37</f>
        <v>7.3576521099270531</v>
      </c>
      <c r="P259" s="29">
        <f>'Working Capital'!P37</f>
        <v>7.5576757123690586</v>
      </c>
      <c r="Q259" s="29">
        <f>'Working Capital'!Q37</f>
        <v>7.8057331234216116</v>
      </c>
      <c r="R259" s="29">
        <f>'Working Capital'!R37</f>
        <v>8.0399051171242579</v>
      </c>
      <c r="S259" s="29">
        <f>'Working Capital'!S37</f>
        <v>8.2811022706379891</v>
      </c>
      <c r="T259" s="29">
        <f>'Working Capital'!T37</f>
        <v>8.506230597394401</v>
      </c>
    </row>
    <row r="260" spans="2:20" x14ac:dyDescent="0.25">
      <c r="B260" s="23" t="s">
        <v>3340</v>
      </c>
      <c r="C260" s="28" t="s">
        <v>493</v>
      </c>
      <c r="G260" s="159">
        <v>0</v>
      </c>
      <c r="H260" s="159">
        <f>-'Working Capital'!H38</f>
        <v>0</v>
      </c>
      <c r="I260" s="159">
        <f>-'Working Capital'!I38</f>
        <v>0</v>
      </c>
      <c r="J260" s="159">
        <f>-'Working Capital'!J38</f>
        <v>0</v>
      </c>
      <c r="K260" s="159">
        <f>-'Working Capital'!K38</f>
        <v>-0.43581190684931509</v>
      </c>
      <c r="L260" s="159">
        <f>-'Working Capital'!L38</f>
        <v>-0.44765979885245905</v>
      </c>
      <c r="M260" s="159">
        <f>-'Working Capital'!M38</f>
        <v>-0.46235285197643844</v>
      </c>
      <c r="N260" s="159">
        <f>-'Working Capital'!N38</f>
        <v>-0.47622343753573154</v>
      </c>
      <c r="O260" s="159">
        <f>-'Working Capital'!O38</f>
        <v>-0.49051014066180354</v>
      </c>
      <c r="P260" s="159">
        <f>-'Working Capital'!P38</f>
        <v>-0.50384504749127057</v>
      </c>
      <c r="Q260" s="159">
        <f>-'Working Capital'!Q38</f>
        <v>-0.52038220822810743</v>
      </c>
      <c r="R260" s="159">
        <f>-'Working Capital'!R38</f>
        <v>-0.53599367447495061</v>
      </c>
      <c r="S260" s="159">
        <f>-'Working Capital'!S38</f>
        <v>-0.55207348470919926</v>
      </c>
      <c r="T260" s="159">
        <f>-'Working Capital'!T38</f>
        <v>-0.56708203982629346</v>
      </c>
    </row>
    <row r="261" spans="2:20" x14ac:dyDescent="0.25">
      <c r="B261" s="21" t="s">
        <v>3341</v>
      </c>
      <c r="C261" s="28" t="s">
        <v>493</v>
      </c>
      <c r="G261" s="26">
        <f>'Capex &amp; Depreciation'!G291</f>
        <v>0</v>
      </c>
      <c r="H261" s="160">
        <f>'Capex &amp; Depreciation'!H291+'Working Capital'!H39</f>
        <v>0</v>
      </c>
      <c r="I261" s="160">
        <f>'Capex &amp; Depreciation'!I291+'Working Capital'!I39</f>
        <v>0</v>
      </c>
      <c r="J261" s="160">
        <f>'Capex &amp; Depreciation'!J291+'Working Capital'!J39</f>
        <v>97.990000000000052</v>
      </c>
      <c r="K261" s="160">
        <f>'Capex &amp; Depreciation'!K291+'Working Capital'!K39</f>
        <v>104.09136669589046</v>
      </c>
      <c r="L261" s="160">
        <f>'Capex &amp; Depreciation'!L291+'Working Capital'!L39</f>
        <v>104.25723718393448</v>
      </c>
      <c r="M261" s="160">
        <f>'Capex &amp; Depreciation'!M291+'Working Capital'!M39</f>
        <v>104.46293992767019</v>
      </c>
      <c r="N261" s="160">
        <f>'Capex &amp; Depreciation'!N291+'Working Capital'!N39</f>
        <v>104.65712812550029</v>
      </c>
      <c r="O261" s="160">
        <f>'Capex &amp; Depreciation'!O291+'Working Capital'!O39</f>
        <v>104.8571419692653</v>
      </c>
      <c r="P261" s="160">
        <f>'Capex &amp; Depreciation'!P291+'Working Capital'!P39</f>
        <v>105.04383066487785</v>
      </c>
      <c r="Q261" s="160">
        <f>'Capex &amp; Depreciation'!Q291+'Working Capital'!Q39</f>
        <v>105.27535091519356</v>
      </c>
      <c r="R261" s="160">
        <f>'Capex &amp; Depreciation'!R291+'Working Capital'!R39</f>
        <v>105.49391144264936</v>
      </c>
      <c r="S261" s="160">
        <f>'Capex &amp; Depreciation'!S291+'Working Capital'!S39</f>
        <v>105.71902878592884</v>
      </c>
      <c r="T261" s="160">
        <f>'Capex &amp; Depreciation'!T291+'Working Capital'!T39</f>
        <v>105.92914855756815</v>
      </c>
    </row>
    <row r="262" spans="2:20" x14ac:dyDescent="0.25">
      <c r="B262" s="163" t="s">
        <v>3342</v>
      </c>
    </row>
    <row r="263" spans="2:20" x14ac:dyDescent="0.25">
      <c r="B263" s="23" t="s">
        <v>3221</v>
      </c>
      <c r="C263" s="28" t="s">
        <v>493</v>
      </c>
      <c r="H263" s="29">
        <f>'Project Cash Flows'!H133</f>
        <v>0</v>
      </c>
      <c r="I263" s="29">
        <f>'Project Cash Flows'!I133</f>
        <v>0</v>
      </c>
      <c r="J263" s="29">
        <f>'Project Cash Flows'!J133</f>
        <v>0</v>
      </c>
      <c r="K263" s="29">
        <f>'Project Cash Flows'!K133</f>
        <v>21.209512799999999</v>
      </c>
      <c r="L263" s="29">
        <f>'Project Cash Flows'!L133</f>
        <v>21.845798184</v>
      </c>
      <c r="M263" s="29">
        <f>'Project Cash Flows'!M133</f>
        <v>22.501172129520004</v>
      </c>
      <c r="N263" s="29">
        <f>'Project Cash Flows'!N133</f>
        <v>23.176207293405596</v>
      </c>
      <c r="O263" s="29">
        <f>'Project Cash Flows'!O133</f>
        <v>23.871493512207774</v>
      </c>
      <c r="P263" s="29">
        <f>'Project Cash Flows'!P133</f>
        <v>24.587638317574005</v>
      </c>
      <c r="Q263" s="29">
        <f>'Project Cash Flows'!Q133</f>
        <v>25.325267467101231</v>
      </c>
      <c r="R263" s="29">
        <f>'Project Cash Flows'!R133</f>
        <v>26.085025491114259</v>
      </c>
      <c r="S263" s="29">
        <f>'Project Cash Flows'!S133</f>
        <v>26.867576255847695</v>
      </c>
      <c r="T263" s="29">
        <f>'Project Cash Flows'!T133</f>
        <v>27.673603543523122</v>
      </c>
    </row>
    <row r="264" spans="2:20" x14ac:dyDescent="0.25">
      <c r="B264" s="23" t="s">
        <v>3343</v>
      </c>
      <c r="C264" s="28" t="s">
        <v>493</v>
      </c>
      <c r="H264" s="29">
        <f>'Project Cash Flows'!H138</f>
        <v>0</v>
      </c>
      <c r="I264" s="29">
        <f>'Project Cash Flows'!I138</f>
        <v>0</v>
      </c>
      <c r="J264" s="29">
        <f>'Project Cash Flows'!J138</f>
        <v>0</v>
      </c>
      <c r="K264" s="29">
        <f>'Project Cash Flows'!K138</f>
        <v>-4.6660928159999999</v>
      </c>
      <c r="L264" s="29">
        <f>'Project Cash Flows'!L138</f>
        <v>-4.8060756004799998</v>
      </c>
      <c r="M264" s="29">
        <f>'Project Cash Flows'!M138</f>
        <v>-4.9502578684944005</v>
      </c>
      <c r="N264" s="29">
        <f>'Project Cash Flows'!N138</f>
        <v>-5.0987656045492313</v>
      </c>
      <c r="O264" s="29">
        <f>'Project Cash Flows'!O138</f>
        <v>-5.2517285726857104</v>
      </c>
      <c r="P264" s="29">
        <f>'Project Cash Flows'!P138</f>
        <v>-5.4092804298662811</v>
      </c>
      <c r="Q264" s="29">
        <f>'Project Cash Flows'!Q138</f>
        <v>-5.5715588427622711</v>
      </c>
      <c r="R264" s="29">
        <f>'Project Cash Flows'!R138</f>
        <v>-5.7387056080451373</v>
      </c>
      <c r="S264" s="29">
        <f>'Project Cash Flows'!S138</f>
        <v>-5.9108667762864933</v>
      </c>
      <c r="T264" s="29">
        <f>'Project Cash Flows'!T138</f>
        <v>-6.0881927795750865</v>
      </c>
    </row>
    <row r="265" spans="2:20" x14ac:dyDescent="0.25">
      <c r="B265" s="23" t="s">
        <v>3227</v>
      </c>
      <c r="C265" s="28" t="s">
        <v>493</v>
      </c>
      <c r="H265" s="29">
        <f>'Project Cash Flows'!H139</f>
        <v>0</v>
      </c>
      <c r="I265" s="29">
        <f>'Project Cash Flows'!I139</f>
        <v>0</v>
      </c>
      <c r="J265" s="29">
        <f>'Project Cash Flows'!J139</f>
        <v>-97.990000000000052</v>
      </c>
      <c r="K265" s="29">
        <f>'Project Cash Flows'!K139</f>
        <v>0</v>
      </c>
      <c r="L265" s="29">
        <f>'Project Cash Flows'!L139</f>
        <v>0</v>
      </c>
      <c r="M265" s="29">
        <f>'Project Cash Flows'!M139</f>
        <v>0</v>
      </c>
      <c r="N265" s="29">
        <f>'Project Cash Flows'!N139</f>
        <v>0</v>
      </c>
      <c r="O265" s="29">
        <f>'Project Cash Flows'!O139</f>
        <v>0</v>
      </c>
      <c r="P265" s="29">
        <f>'Project Cash Flows'!P139</f>
        <v>0</v>
      </c>
      <c r="Q265" s="29">
        <f>'Project Cash Flows'!Q139</f>
        <v>0</v>
      </c>
      <c r="R265" s="29">
        <f>'Project Cash Flows'!R139</f>
        <v>0</v>
      </c>
      <c r="S265" s="29">
        <f>'Project Cash Flows'!S139</f>
        <v>0</v>
      </c>
      <c r="T265" s="29">
        <f>'Project Cash Flows'!T139</f>
        <v>0</v>
      </c>
    </row>
    <row r="266" spans="2:20" x14ac:dyDescent="0.25">
      <c r="B266" s="23" t="s">
        <v>3228</v>
      </c>
      <c r="C266" s="28" t="s">
        <v>493</v>
      </c>
      <c r="H266" s="29">
        <f>'Project Cash Flows'!H140</f>
        <v>0</v>
      </c>
      <c r="I266" s="29">
        <f>'Project Cash Flows'!I140</f>
        <v>0</v>
      </c>
      <c r="J266" s="29">
        <f>'Project Cash Flows'!J140</f>
        <v>0</v>
      </c>
      <c r="K266" s="29">
        <f>'Project Cash Flows'!K140</f>
        <v>-6.1013666958904107</v>
      </c>
      <c r="L266" s="29">
        <f>'Project Cash Flows'!L140</f>
        <v>-0.16587048804401494</v>
      </c>
      <c r="M266" s="29">
        <f>'Project Cash Flows'!M140</f>
        <v>-0.20570274373571173</v>
      </c>
      <c r="N266" s="29">
        <f>'Project Cash Flows'!N140</f>
        <v>-0.19418819783010388</v>
      </c>
      <c r="O266" s="29">
        <f>'Project Cash Flows'!O140</f>
        <v>-0.2000138437650083</v>
      </c>
      <c r="P266" s="29">
        <f>'Project Cash Flows'!P140</f>
        <v>-0.18668869561253842</v>
      </c>
      <c r="Q266" s="29">
        <f>'Project Cash Flows'!Q140</f>
        <v>-0.23152025031571632</v>
      </c>
      <c r="R266" s="29">
        <f>'Project Cash Flows'!R140</f>
        <v>-0.21856052745580268</v>
      </c>
      <c r="S266" s="29">
        <f>'Project Cash Flows'!S140</f>
        <v>-0.22511734327948307</v>
      </c>
      <c r="T266" s="29">
        <f>'Project Cash Flows'!T140</f>
        <v>-0.2101197716393175</v>
      </c>
    </row>
    <row r="267" spans="2:20" x14ac:dyDescent="0.25">
      <c r="B267" s="21" t="s">
        <v>3344</v>
      </c>
      <c r="C267" s="28" t="s">
        <v>493</v>
      </c>
      <c r="H267" s="26">
        <f>'Project Cash Flows'!H141</f>
        <v>0</v>
      </c>
      <c r="I267" s="26">
        <f>'Project Cash Flows'!I141</f>
        <v>0</v>
      </c>
      <c r="J267" s="26">
        <f>'Project Cash Flows'!J141</f>
        <v>-97.990000000000052</v>
      </c>
      <c r="K267" s="26">
        <f>'Project Cash Flows'!K141</f>
        <v>10.442053288109589</v>
      </c>
      <c r="L267" s="26">
        <f>'Project Cash Flows'!L141</f>
        <v>16.873852095475986</v>
      </c>
      <c r="M267" s="26">
        <f>'Project Cash Flows'!M141</f>
        <v>17.34521151728989</v>
      </c>
      <c r="N267" s="26">
        <f>'Project Cash Flows'!N141</f>
        <v>17.883253491026259</v>
      </c>
      <c r="O267" s="26">
        <f>'Project Cash Flows'!O141</f>
        <v>18.419751095757057</v>
      </c>
      <c r="P267" s="26">
        <f>'Project Cash Flows'!P141</f>
        <v>18.991669192095184</v>
      </c>
      <c r="Q267" s="26">
        <f>'Project Cash Flows'!Q141</f>
        <v>19.522188374023244</v>
      </c>
      <c r="R267" s="26">
        <f>'Project Cash Flows'!R141</f>
        <v>20.127759355613318</v>
      </c>
      <c r="S267" s="26">
        <f>'Project Cash Flows'!S141</f>
        <v>20.731592136281719</v>
      </c>
      <c r="T267" s="26">
        <f>'Project Cash Flows'!T141</f>
        <v>21.375290992308717</v>
      </c>
    </row>
    <row r="268" spans="2:20" x14ac:dyDescent="0.25">
      <c r="B268" s="23" t="s">
        <v>3345</v>
      </c>
      <c r="C268" s="28" t="s">
        <v>493</v>
      </c>
      <c r="G268" s="29">
        <f>'Project Cash Flows'!G144</f>
        <v>0</v>
      </c>
      <c r="H268" s="29">
        <f>'Project Cash Flows'!H144</f>
        <v>0</v>
      </c>
      <c r="I268" s="29">
        <f>'Project Cash Flows'!I144</f>
        <v>0</v>
      </c>
      <c r="J268" s="29">
        <f>'Project Cash Flows'!J144</f>
        <v>-97.990000000000052</v>
      </c>
      <c r="K268" s="29">
        <f>'Project Cash Flows'!K144</f>
        <v>-87.547946711890461</v>
      </c>
      <c r="L268" s="29">
        <f>'Project Cash Flows'!L144</f>
        <v>-70.674094616414479</v>
      </c>
      <c r="M268" s="29">
        <f>'Project Cash Flows'!M144</f>
        <v>-53.328883099124589</v>
      </c>
      <c r="N268" s="29">
        <f>'Project Cash Flows'!N144</f>
        <v>-35.445629608098329</v>
      </c>
      <c r="O268" s="29">
        <f>'Project Cash Flows'!O144</f>
        <v>-17.025878512341272</v>
      </c>
      <c r="P268" s="29">
        <f>'Project Cash Flows'!P144</f>
        <v>1.965790679753912</v>
      </c>
      <c r="Q268" s="29">
        <f>'Project Cash Flows'!Q144</f>
        <v>21.487979053777156</v>
      </c>
      <c r="R268" s="29">
        <f>'Project Cash Flows'!R144</f>
        <v>41.615738409390474</v>
      </c>
      <c r="S268" s="29">
        <f>'Project Cash Flows'!S144</f>
        <v>62.347330545672193</v>
      </c>
      <c r="T268" s="29">
        <f>'Project Cash Flows'!T144</f>
        <v>83.722621537980913</v>
      </c>
    </row>
    <row r="269" spans="2:20" x14ac:dyDescent="0.25">
      <c r="B269" s="163" t="s">
        <v>3346</v>
      </c>
    </row>
    <row r="270" spans="2:20" x14ac:dyDescent="0.25">
      <c r="B270" s="23" t="s">
        <v>3363</v>
      </c>
      <c r="C270" s="28" t="s">
        <v>806</v>
      </c>
      <c r="G270" s="34">
        <f>'Capex &amp; Depreciation'!G10</f>
        <v>0</v>
      </c>
      <c r="H270" s="34">
        <f>'Capex &amp; Depreciation'!H10</f>
        <v>0</v>
      </c>
      <c r="I270" s="34">
        <f>'Capex &amp; Depreciation'!I10</f>
        <v>0</v>
      </c>
      <c r="J270" s="34">
        <f>'Capex &amp; Depreciation'!J10</f>
        <v>6.0245926836766097</v>
      </c>
      <c r="K270" s="34">
        <f>'Capex &amp; Depreciation'!K10</f>
        <v>0</v>
      </c>
      <c r="L270" s="34">
        <f>'Capex &amp; Depreciation'!L10</f>
        <v>0</v>
      </c>
      <c r="M270" s="34">
        <f>'Capex &amp; Depreciation'!M10</f>
        <v>0</v>
      </c>
      <c r="N270" s="34">
        <f>'Capex &amp; Depreciation'!N10</f>
        <v>0</v>
      </c>
      <c r="O270" s="34">
        <f>'Capex &amp; Depreciation'!O10</f>
        <v>0</v>
      </c>
      <c r="P270" s="34">
        <f>'Capex &amp; Depreciation'!P10</f>
        <v>0</v>
      </c>
      <c r="Q270" s="34">
        <f>'Capex &amp; Depreciation'!Q10</f>
        <v>0</v>
      </c>
      <c r="R270" s="34">
        <f>'Capex &amp; Depreciation'!R10</f>
        <v>0</v>
      </c>
      <c r="S270" s="34">
        <f>'Capex &amp; Depreciation'!S10</f>
        <v>0</v>
      </c>
      <c r="T270" s="34">
        <f>'Capex &amp; Depreciation'!T10</f>
        <v>0</v>
      </c>
    </row>
    <row r="271" spans="2:20" x14ac:dyDescent="0.25">
      <c r="B271" s="23" t="s">
        <v>3364</v>
      </c>
      <c r="C271" s="28" t="s">
        <v>493</v>
      </c>
      <c r="G271" s="29">
        <f>'Capex &amp; Depreciation'!G58</f>
        <v>0</v>
      </c>
      <c r="H271" s="29">
        <f>'Capex &amp; Depreciation'!H58</f>
        <v>0</v>
      </c>
      <c r="I271" s="29">
        <f>'Capex &amp; Depreciation'!I58</f>
        <v>0</v>
      </c>
      <c r="J271" s="29">
        <f>'Capex &amp; Depreciation'!J58</f>
        <v>97.990000000000052</v>
      </c>
      <c r="K271" s="29">
        <f>'Capex &amp; Depreciation'!K58</f>
        <v>0</v>
      </c>
      <c r="L271" s="29">
        <f>'Capex &amp; Depreciation'!L58</f>
        <v>0</v>
      </c>
      <c r="M271" s="29">
        <f>'Capex &amp; Depreciation'!M58</f>
        <v>0</v>
      </c>
      <c r="N271" s="29">
        <f>'Capex &amp; Depreciation'!N58</f>
        <v>0</v>
      </c>
      <c r="O271" s="29">
        <f>'Capex &amp; Depreciation'!O58</f>
        <v>0</v>
      </c>
      <c r="P271" s="29">
        <f>'Capex &amp; Depreciation'!P58</f>
        <v>0</v>
      </c>
      <c r="Q271" s="29">
        <f>'Capex &amp; Depreciation'!Q58</f>
        <v>0</v>
      </c>
      <c r="R271" s="29">
        <f>'Capex &amp; Depreciation'!R58</f>
        <v>0</v>
      </c>
      <c r="S271" s="29">
        <f>'Capex &amp; Depreciation'!S58</f>
        <v>0</v>
      </c>
      <c r="T271" s="29">
        <f>'Capex &amp; Depreciation'!T58</f>
        <v>0</v>
      </c>
    </row>
    <row r="272" spans="2:20" ht="26.25" customHeight="1" x14ac:dyDescent="0.25">
      <c r="B272" s="64" t="s">
        <v>3365</v>
      </c>
      <c r="C272" s="28" t="s">
        <v>493</v>
      </c>
      <c r="H272" s="29">
        <f>'Funding Requirement'!H117</f>
        <v>0</v>
      </c>
      <c r="I272" s="29">
        <f>'Funding Requirement'!I117</f>
        <v>0</v>
      </c>
      <c r="J272" s="29">
        <f>'Funding Requirement'!J117</f>
        <v>97.990000000000052</v>
      </c>
      <c r="K272" s="29">
        <f>'Funding Requirement'!K117</f>
        <v>0</v>
      </c>
      <c r="L272" s="29">
        <f>'Funding Requirement'!L117</f>
        <v>0</v>
      </c>
      <c r="M272" s="29">
        <f>'Funding Requirement'!M117</f>
        <v>0</v>
      </c>
      <c r="N272" s="29">
        <f>'Funding Requirement'!N117</f>
        <v>0</v>
      </c>
      <c r="O272" s="29">
        <f>'Funding Requirement'!O117</f>
        <v>0</v>
      </c>
      <c r="P272" s="29">
        <f>'Funding Requirement'!P117</f>
        <v>0</v>
      </c>
      <c r="Q272" s="29">
        <f>'Funding Requirement'!Q117</f>
        <v>0</v>
      </c>
      <c r="R272" s="29">
        <f>'Funding Requirement'!R117</f>
        <v>0</v>
      </c>
      <c r="S272" s="29">
        <f>'Funding Requirement'!S117</f>
        <v>0</v>
      </c>
      <c r="T272" s="29">
        <f>'Funding Requirement'!T117</f>
        <v>0</v>
      </c>
    </row>
    <row r="273" spans="2:20" x14ac:dyDescent="0.25">
      <c r="B273" s="163" t="s">
        <v>3348</v>
      </c>
    </row>
    <row r="274" spans="2:20" x14ac:dyDescent="0.25">
      <c r="B274" s="44" t="s">
        <v>3349</v>
      </c>
      <c r="D274" s="204">
        <f>'Project Cash Flows'!$E$13</f>
        <v>171.12518722945146</v>
      </c>
      <c r="H274" s="44" t="s">
        <v>3176</v>
      </c>
      <c r="K274" s="205">
        <f>'Project Cash Flows'!$H$13</f>
        <v>2.9802322387695314E-9</v>
      </c>
      <c r="N274" s="44" t="s">
        <v>3350</v>
      </c>
      <c r="Q274" s="205" t="str">
        <f>'Project Cash Flows'!$I$13</f>
        <v>Not meaningful</v>
      </c>
    </row>
    <row r="275" spans="2:20" x14ac:dyDescent="0.25">
      <c r="B275" s="44" t="s">
        <v>3180</v>
      </c>
      <c r="D275" s="205" t="str">
        <f>'Project Cash Flows'!$L$13</f>
        <v>as project IRR</v>
      </c>
      <c r="H275" s="44" t="s">
        <v>3351</v>
      </c>
      <c r="K275" s="206">
        <f>'Project Cash Flows'!$J$13</f>
        <v>6.8964919481341784</v>
      </c>
      <c r="N275" s="44" t="s">
        <v>3179</v>
      </c>
      <c r="Q275" s="204">
        <f>'Project Cash Flows'!$K$13</f>
        <v>97.990000000000052</v>
      </c>
    </row>
    <row r="277" spans="2:20" x14ac:dyDescent="0.25">
      <c r="B277" s="58" t="s">
        <v>3371</v>
      </c>
      <c r="C277" s="19"/>
      <c r="D277" s="19"/>
      <c r="E277" s="19"/>
      <c r="F277" s="19"/>
      <c r="G277" s="19"/>
      <c r="H277" s="19"/>
      <c r="I277" s="19"/>
      <c r="J277" s="19"/>
      <c r="K277" s="19"/>
      <c r="L277" s="19"/>
      <c r="M277" s="19"/>
      <c r="N277" s="19"/>
      <c r="O277" s="19"/>
      <c r="P277" s="19"/>
      <c r="Q277" s="19"/>
      <c r="R277" s="19"/>
      <c r="S277" s="19"/>
      <c r="T277" s="19"/>
    </row>
    <row r="278" spans="2:20" x14ac:dyDescent="0.25">
      <c r="B278" s="70" t="s">
        <v>1690</v>
      </c>
      <c r="D278" s="130" t="str">
        <f>Inputs!$I$67</f>
        <v>Included - both cases</v>
      </c>
      <c r="M278" s="202" t="s">
        <v>3323</v>
      </c>
      <c r="N278" s="203">
        <f>Inputs!$H$67</f>
        <v>1</v>
      </c>
    </row>
    <row r="279" spans="2:20" x14ac:dyDescent="0.25">
      <c r="B279" s="163" t="s">
        <v>3324</v>
      </c>
    </row>
    <row r="280" spans="2:20" x14ac:dyDescent="0.25">
      <c r="B280" s="23" t="s">
        <v>3372</v>
      </c>
      <c r="C280" s="28" t="s">
        <v>1968</v>
      </c>
      <c r="H280" s="48">
        <f>'Revenue Calculation'!H113</f>
        <v>0</v>
      </c>
      <c r="I280" s="48">
        <f>'Revenue Calculation'!I113</f>
        <v>0</v>
      </c>
      <c r="J280" s="48">
        <f>'Revenue Calculation'!J113</f>
        <v>0</v>
      </c>
      <c r="K280" s="48">
        <f>'Revenue Calculation'!K113</f>
        <v>17000</v>
      </c>
      <c r="L280" s="48">
        <f>'Revenue Calculation'!L113</f>
        <v>17000</v>
      </c>
      <c r="M280" s="48">
        <f>'Revenue Calculation'!M113</f>
        <v>17000</v>
      </c>
      <c r="N280" s="48">
        <f>'Revenue Calculation'!N113</f>
        <v>17000</v>
      </c>
      <c r="O280" s="48">
        <f>'Revenue Calculation'!O113</f>
        <v>17000</v>
      </c>
      <c r="P280" s="48">
        <f>'Revenue Calculation'!P113</f>
        <v>17000</v>
      </c>
      <c r="Q280" s="48">
        <f>'Revenue Calculation'!Q113</f>
        <v>17000</v>
      </c>
      <c r="R280" s="48">
        <f>'Revenue Calculation'!R113</f>
        <v>17000</v>
      </c>
      <c r="S280" s="48">
        <f>'Revenue Calculation'!S113</f>
        <v>17000</v>
      </c>
      <c r="T280" s="48">
        <f>'Revenue Calculation'!T113</f>
        <v>17000</v>
      </c>
    </row>
    <row r="281" spans="2:20" x14ac:dyDescent="0.25">
      <c r="B281" s="23" t="s">
        <v>3354</v>
      </c>
      <c r="C281" s="28" t="s">
        <v>886</v>
      </c>
      <c r="H281" s="48">
        <f>'Revenue Calculation'!H114</f>
        <v>65000</v>
      </c>
      <c r="I281" s="48">
        <f>'Revenue Calculation'!I114</f>
        <v>65000</v>
      </c>
      <c r="J281" s="48">
        <f>'Revenue Calculation'!J114</f>
        <v>65000</v>
      </c>
      <c r="K281" s="48">
        <f>'Revenue Calculation'!K114</f>
        <v>65000</v>
      </c>
      <c r="L281" s="48">
        <f>'Revenue Calculation'!L114</f>
        <v>65000</v>
      </c>
      <c r="M281" s="48">
        <f>'Revenue Calculation'!M114</f>
        <v>65000</v>
      </c>
      <c r="N281" s="48">
        <f>'Revenue Calculation'!N114</f>
        <v>65000</v>
      </c>
      <c r="O281" s="48">
        <f>'Revenue Calculation'!O114</f>
        <v>65000</v>
      </c>
      <c r="P281" s="48">
        <f>'Revenue Calculation'!P114</f>
        <v>65000</v>
      </c>
      <c r="Q281" s="48">
        <f>'Revenue Calculation'!Q114</f>
        <v>65000</v>
      </c>
      <c r="R281" s="48">
        <f>'Revenue Calculation'!R114</f>
        <v>65000</v>
      </c>
      <c r="S281" s="48">
        <f>'Revenue Calculation'!S114</f>
        <v>65000</v>
      </c>
      <c r="T281" s="48">
        <f>'Revenue Calculation'!T114</f>
        <v>65000</v>
      </c>
    </row>
    <row r="282" spans="2:20" x14ac:dyDescent="0.25">
      <c r="B282" s="163" t="s">
        <v>3328</v>
      </c>
    </row>
    <row r="283" spans="2:20" x14ac:dyDescent="0.25">
      <c r="B283" s="21" t="s">
        <v>3329</v>
      </c>
      <c r="C283" s="28" t="s">
        <v>493</v>
      </c>
      <c r="H283" s="26">
        <f>'Revenue Calculation'!H115</f>
        <v>0</v>
      </c>
      <c r="I283" s="26">
        <f>'Revenue Calculation'!I115</f>
        <v>0</v>
      </c>
      <c r="J283" s="26">
        <f>'Revenue Calculation'!J115</f>
        <v>0</v>
      </c>
      <c r="K283" s="26">
        <f>'Revenue Calculation'!K115</f>
        <v>13.26</v>
      </c>
      <c r="L283" s="26">
        <f>'Revenue Calculation'!L115</f>
        <v>13.26</v>
      </c>
      <c r="M283" s="26">
        <f>'Revenue Calculation'!M115</f>
        <v>13.26</v>
      </c>
      <c r="N283" s="26">
        <f>'Revenue Calculation'!N115</f>
        <v>13.26</v>
      </c>
      <c r="O283" s="26">
        <f>'Revenue Calculation'!O115</f>
        <v>13.26</v>
      </c>
      <c r="P283" s="26">
        <f>'Revenue Calculation'!P115</f>
        <v>13.26</v>
      </c>
      <c r="Q283" s="26">
        <f>'Revenue Calculation'!Q115</f>
        <v>13.26</v>
      </c>
      <c r="R283" s="26">
        <f>'Revenue Calculation'!R115</f>
        <v>13.26</v>
      </c>
      <c r="S283" s="26">
        <f>'Revenue Calculation'!S115</f>
        <v>13.26</v>
      </c>
      <c r="T283" s="26">
        <f>'Revenue Calculation'!T115</f>
        <v>13.26</v>
      </c>
    </row>
    <row r="284" spans="2:20" x14ac:dyDescent="0.25">
      <c r="B284" s="23" t="s">
        <v>3330</v>
      </c>
      <c r="C284" s="28" t="s">
        <v>493</v>
      </c>
      <c r="H284" s="159">
        <f>-'Cost Calculation'!H147</f>
        <v>0</v>
      </c>
      <c r="I284" s="159">
        <f>-'Cost Calculation'!I147</f>
        <v>0</v>
      </c>
      <c r="J284" s="159">
        <f>-'Cost Calculation'!J147</f>
        <v>0</v>
      </c>
      <c r="K284" s="159">
        <f>-'Cost Calculation'!K147</f>
        <v>0</v>
      </c>
      <c r="L284" s="159">
        <f>-'Cost Calculation'!L147</f>
        <v>0</v>
      </c>
      <c r="M284" s="159">
        <f>-'Cost Calculation'!M147</f>
        <v>0</v>
      </c>
      <c r="N284" s="159">
        <f>-'Cost Calculation'!N147</f>
        <v>0</v>
      </c>
      <c r="O284" s="159">
        <f>-'Cost Calculation'!O147</f>
        <v>0</v>
      </c>
      <c r="P284" s="159">
        <f>-'Cost Calculation'!P147</f>
        <v>0</v>
      </c>
      <c r="Q284" s="159">
        <f>-'Cost Calculation'!Q147</f>
        <v>0</v>
      </c>
      <c r="R284" s="159">
        <f>-'Cost Calculation'!R147</f>
        <v>0</v>
      </c>
      <c r="S284" s="159">
        <f>-'Cost Calculation'!S147</f>
        <v>0</v>
      </c>
      <c r="T284" s="159">
        <f>-'Cost Calculation'!T147</f>
        <v>0</v>
      </c>
    </row>
    <row r="285" spans="2:20" x14ac:dyDescent="0.25">
      <c r="B285" s="23" t="s">
        <v>3331</v>
      </c>
      <c r="C285" s="28" t="s">
        <v>493</v>
      </c>
      <c r="H285" s="159">
        <f>-'Cost Calculation'!H148</f>
        <v>0</v>
      </c>
      <c r="I285" s="159">
        <f>-'Cost Calculation'!I148</f>
        <v>0</v>
      </c>
      <c r="J285" s="159">
        <f>-'Cost Calculation'!J148</f>
        <v>0</v>
      </c>
      <c r="K285" s="159">
        <f>-'Cost Calculation'!K148</f>
        <v>-6.1199999999999997E-2</v>
      </c>
      <c r="L285" s="159">
        <f>-'Cost Calculation'!L148</f>
        <v>-6.1199999999999997E-2</v>
      </c>
      <c r="M285" s="159">
        <f>-'Cost Calculation'!M148</f>
        <v>-6.1199999999999997E-2</v>
      </c>
      <c r="N285" s="159">
        <f>-'Cost Calculation'!N148</f>
        <v>-6.1199999999999997E-2</v>
      </c>
      <c r="O285" s="159">
        <f>-'Cost Calculation'!O148</f>
        <v>-6.1199999999999997E-2</v>
      </c>
      <c r="P285" s="159">
        <f>-'Cost Calculation'!P148</f>
        <v>-6.1199999999999997E-2</v>
      </c>
      <c r="Q285" s="159">
        <f>-'Cost Calculation'!Q148</f>
        <v>-6.1199999999999997E-2</v>
      </c>
      <c r="R285" s="159">
        <f>-'Cost Calculation'!R148</f>
        <v>-6.1199999999999997E-2</v>
      </c>
      <c r="S285" s="159">
        <f>-'Cost Calculation'!S148</f>
        <v>-6.1199999999999997E-2</v>
      </c>
      <c r="T285" s="159">
        <f>-'Cost Calculation'!T148</f>
        <v>-6.1199999999999997E-2</v>
      </c>
    </row>
    <row r="286" spans="2:20" x14ac:dyDescent="0.25">
      <c r="B286" s="21" t="s">
        <v>3221</v>
      </c>
      <c r="C286" s="28" t="s">
        <v>493</v>
      </c>
      <c r="H286" s="26">
        <f>'Cost Calculation'!H149</f>
        <v>0</v>
      </c>
      <c r="I286" s="26">
        <f>'Cost Calculation'!I149</f>
        <v>0</v>
      </c>
      <c r="J286" s="26">
        <f>'Cost Calculation'!J149</f>
        <v>0</v>
      </c>
      <c r="K286" s="26">
        <f>'Cost Calculation'!K149</f>
        <v>13.1988</v>
      </c>
      <c r="L286" s="26">
        <f>'Cost Calculation'!L149</f>
        <v>13.1988</v>
      </c>
      <c r="M286" s="26">
        <f>'Cost Calculation'!M149</f>
        <v>13.1988</v>
      </c>
      <c r="N286" s="26">
        <f>'Cost Calculation'!N149</f>
        <v>13.1988</v>
      </c>
      <c r="O286" s="26">
        <f>'Cost Calculation'!O149</f>
        <v>13.1988</v>
      </c>
      <c r="P286" s="26">
        <f>'Cost Calculation'!P149</f>
        <v>13.1988</v>
      </c>
      <c r="Q286" s="26">
        <f>'Cost Calculation'!Q149</f>
        <v>13.1988</v>
      </c>
      <c r="R286" s="26">
        <f>'Cost Calculation'!R149</f>
        <v>13.1988</v>
      </c>
      <c r="S286" s="26">
        <f>'Cost Calculation'!S149</f>
        <v>13.1988</v>
      </c>
      <c r="T286" s="26">
        <f>'Cost Calculation'!T149</f>
        <v>13.1988</v>
      </c>
    </row>
    <row r="287" spans="2:20" x14ac:dyDescent="0.25">
      <c r="B287" s="23" t="s">
        <v>3332</v>
      </c>
      <c r="C287" s="28" t="s">
        <v>493</v>
      </c>
      <c r="H287" s="159">
        <f>-'Capex &amp; Depreciation'!H238</f>
        <v>0</v>
      </c>
      <c r="I287" s="159">
        <f>-'Capex &amp; Depreciation'!I238</f>
        <v>0</v>
      </c>
      <c r="J287" s="159">
        <f>-'Capex &amp; Depreciation'!J238</f>
        <v>0</v>
      </c>
      <c r="K287" s="159">
        <f>-'Capex &amp; Depreciation'!K238</f>
        <v>-4.191771874999997</v>
      </c>
      <c r="L287" s="159">
        <f>-'Capex &amp; Depreciation'!L238</f>
        <v>-4.191771874999997</v>
      </c>
      <c r="M287" s="159">
        <f>-'Capex &amp; Depreciation'!M238</f>
        <v>-4.191771874999997</v>
      </c>
      <c r="N287" s="159">
        <f>-'Capex &amp; Depreciation'!N238</f>
        <v>-4.191771874999997</v>
      </c>
      <c r="O287" s="159">
        <f>-'Capex &amp; Depreciation'!O238</f>
        <v>-4.191771874999997</v>
      </c>
      <c r="P287" s="159">
        <f>-'Capex &amp; Depreciation'!P238</f>
        <v>-4.191771874999997</v>
      </c>
      <c r="Q287" s="159">
        <f>-'Capex &amp; Depreciation'!Q238</f>
        <v>-4.191771874999997</v>
      </c>
      <c r="R287" s="159">
        <f>-'Capex &amp; Depreciation'!R238</f>
        <v>-4.191771874999997</v>
      </c>
      <c r="S287" s="159">
        <f>-'Capex &amp; Depreciation'!S238</f>
        <v>-4.191771874999997</v>
      </c>
      <c r="T287" s="159">
        <f>-'Capex &amp; Depreciation'!T238</f>
        <v>-4.191771874999997</v>
      </c>
    </row>
    <row r="288" spans="2:20" x14ac:dyDescent="0.25">
      <c r="B288" s="21" t="s">
        <v>3333</v>
      </c>
      <c r="C288" s="28" t="s">
        <v>493</v>
      </c>
      <c r="H288" s="26">
        <f>'Project Cash Flows'!H147</f>
        <v>0</v>
      </c>
      <c r="I288" s="26">
        <f>'Project Cash Flows'!I147</f>
        <v>0</v>
      </c>
      <c r="J288" s="26">
        <f>'Project Cash Flows'!J147</f>
        <v>0</v>
      </c>
      <c r="K288" s="26">
        <f>'Project Cash Flows'!K147</f>
        <v>9.0070281250000033</v>
      </c>
      <c r="L288" s="26">
        <f>'Project Cash Flows'!L147</f>
        <v>9.0070281250000033</v>
      </c>
      <c r="M288" s="26">
        <f>'Project Cash Flows'!M147</f>
        <v>9.0070281250000033</v>
      </c>
      <c r="N288" s="26">
        <f>'Project Cash Flows'!N147</f>
        <v>9.0070281250000033</v>
      </c>
      <c r="O288" s="26">
        <f>'Project Cash Flows'!O147</f>
        <v>9.0070281250000033</v>
      </c>
      <c r="P288" s="26">
        <f>'Project Cash Flows'!P147</f>
        <v>9.0070281250000033</v>
      </c>
      <c r="Q288" s="26">
        <f>'Project Cash Flows'!Q147</f>
        <v>9.0070281250000033</v>
      </c>
      <c r="R288" s="26">
        <f>'Project Cash Flows'!R147</f>
        <v>9.0070281250000033</v>
      </c>
      <c r="S288" s="26">
        <f>'Project Cash Flows'!S147</f>
        <v>9.0070281250000033</v>
      </c>
      <c r="T288" s="26">
        <f>'Project Cash Flows'!T147</f>
        <v>9.0070281250000033</v>
      </c>
    </row>
    <row r="289" spans="2:20" x14ac:dyDescent="0.25">
      <c r="B289" s="23" t="s">
        <v>3334</v>
      </c>
      <c r="C289" s="28" t="s">
        <v>493</v>
      </c>
      <c r="H289" s="159">
        <f>-'Project Cash Flows'!H148</f>
        <v>0</v>
      </c>
      <c r="I289" s="159">
        <f>-'Project Cash Flows'!I148</f>
        <v>0</v>
      </c>
      <c r="J289" s="159">
        <f>-'Project Cash Flows'!J148</f>
        <v>0</v>
      </c>
      <c r="K289" s="159">
        <f>-'Project Cash Flows'!K148</f>
        <v>0</v>
      </c>
      <c r="L289" s="159">
        <f>-'Project Cash Flows'!L148</f>
        <v>0</v>
      </c>
      <c r="M289" s="159">
        <f>-'Project Cash Flows'!M148</f>
        <v>0</v>
      </c>
      <c r="N289" s="159">
        <f>-'Project Cash Flows'!N148</f>
        <v>0</v>
      </c>
      <c r="O289" s="159">
        <f>-'Project Cash Flows'!O148</f>
        <v>0</v>
      </c>
      <c r="P289" s="159">
        <f>-'Project Cash Flows'!P148</f>
        <v>0</v>
      </c>
      <c r="Q289" s="159">
        <f>-'Project Cash Flows'!Q148</f>
        <v>0</v>
      </c>
      <c r="R289" s="159">
        <f>-'Project Cash Flows'!R148</f>
        <v>0</v>
      </c>
      <c r="S289" s="159">
        <f>-'Project Cash Flows'!S148</f>
        <v>0</v>
      </c>
      <c r="T289" s="159">
        <f>-'Project Cash Flows'!T148</f>
        <v>0</v>
      </c>
    </row>
    <row r="290" spans="2:20" x14ac:dyDescent="0.25">
      <c r="B290" s="23" t="s">
        <v>3335</v>
      </c>
      <c r="C290" s="28" t="s">
        <v>493</v>
      </c>
      <c r="H290" s="159">
        <f>-'Project Cash Flows'!H149</f>
        <v>0</v>
      </c>
      <c r="I290" s="159">
        <f>-'Project Cash Flows'!I149</f>
        <v>0</v>
      </c>
      <c r="J290" s="159">
        <f>-'Project Cash Flows'!J149</f>
        <v>0</v>
      </c>
      <c r="K290" s="159">
        <f>-'Project Cash Flows'!K149</f>
        <v>-1.9815461875000007</v>
      </c>
      <c r="L290" s="159">
        <f>-'Project Cash Flows'!L149</f>
        <v>-1.9815461875000007</v>
      </c>
      <c r="M290" s="159">
        <f>-'Project Cash Flows'!M149</f>
        <v>-1.9815461875000007</v>
      </c>
      <c r="N290" s="159">
        <f>-'Project Cash Flows'!N149</f>
        <v>-1.9815461875000007</v>
      </c>
      <c r="O290" s="159">
        <f>-'Project Cash Flows'!O149</f>
        <v>-1.9815461875000007</v>
      </c>
      <c r="P290" s="159">
        <f>-'Project Cash Flows'!P149</f>
        <v>-1.9815461875000007</v>
      </c>
      <c r="Q290" s="159">
        <f>-'Project Cash Flows'!Q149</f>
        <v>-1.9815461875000007</v>
      </c>
      <c r="R290" s="159">
        <f>-'Project Cash Flows'!R149</f>
        <v>-1.9815461875000007</v>
      </c>
      <c r="S290" s="159">
        <f>-'Project Cash Flows'!S149</f>
        <v>-1.9815461875000007</v>
      </c>
      <c r="T290" s="159">
        <f>-'Project Cash Flows'!T149</f>
        <v>-1.9815461875000007</v>
      </c>
    </row>
    <row r="291" spans="2:20" x14ac:dyDescent="0.25">
      <c r="B291" s="21" t="s">
        <v>3336</v>
      </c>
      <c r="C291" s="28" t="s">
        <v>493</v>
      </c>
      <c r="H291" s="26">
        <f>'Project Cash Flows'!H150</f>
        <v>0</v>
      </c>
      <c r="I291" s="26">
        <f>'Project Cash Flows'!I150</f>
        <v>0</v>
      </c>
      <c r="J291" s="26">
        <f>'Project Cash Flows'!J150</f>
        <v>0</v>
      </c>
      <c r="K291" s="26">
        <f>'Project Cash Flows'!K150</f>
        <v>7.0254819375000022</v>
      </c>
      <c r="L291" s="26">
        <f>'Project Cash Flows'!L150</f>
        <v>7.0254819375000022</v>
      </c>
      <c r="M291" s="26">
        <f>'Project Cash Flows'!M150</f>
        <v>7.0254819375000022</v>
      </c>
      <c r="N291" s="26">
        <f>'Project Cash Flows'!N150</f>
        <v>7.0254819375000022</v>
      </c>
      <c r="O291" s="26">
        <f>'Project Cash Flows'!O150</f>
        <v>7.0254819375000022</v>
      </c>
      <c r="P291" s="26">
        <f>'Project Cash Flows'!P150</f>
        <v>7.0254819375000022</v>
      </c>
      <c r="Q291" s="26">
        <f>'Project Cash Flows'!Q150</f>
        <v>7.0254819375000022</v>
      </c>
      <c r="R291" s="26">
        <f>'Project Cash Flows'!R150</f>
        <v>7.0254819375000022</v>
      </c>
      <c r="S291" s="26">
        <f>'Project Cash Flows'!S150</f>
        <v>7.0254819375000022</v>
      </c>
      <c r="T291" s="26">
        <f>'Project Cash Flows'!T150</f>
        <v>7.0254819375000022</v>
      </c>
    </row>
    <row r="292" spans="2:20" x14ac:dyDescent="0.25">
      <c r="B292" s="163" t="s">
        <v>3337</v>
      </c>
    </row>
    <row r="293" spans="2:20" x14ac:dyDescent="0.25">
      <c r="B293" s="23" t="s">
        <v>3338</v>
      </c>
      <c r="C293" s="28" t="s">
        <v>493</v>
      </c>
      <c r="G293" s="29">
        <f>'Capex &amp; Depreciation'!G292</f>
        <v>0</v>
      </c>
      <c r="H293" s="29">
        <f>'Capex &amp; Depreciation'!H292</f>
        <v>0</v>
      </c>
      <c r="I293" s="29">
        <f>'Capex &amp; Depreciation'!I292</f>
        <v>0</v>
      </c>
      <c r="J293" s="29">
        <f>'Capex &amp; Depreciation'!J292</f>
        <v>61.193749999999952</v>
      </c>
      <c r="K293" s="29">
        <f>'Capex &amp; Depreciation'!K292</f>
        <v>57.001978124999951</v>
      </c>
      <c r="L293" s="29">
        <f>'Capex &amp; Depreciation'!L292</f>
        <v>52.810206249999951</v>
      </c>
      <c r="M293" s="29">
        <f>'Capex &amp; Depreciation'!M292</f>
        <v>48.61843437499995</v>
      </c>
      <c r="N293" s="29">
        <f>'Capex &amp; Depreciation'!N292</f>
        <v>44.426662499999949</v>
      </c>
      <c r="O293" s="29">
        <f>'Capex &amp; Depreciation'!O292</f>
        <v>40.234890624999949</v>
      </c>
      <c r="P293" s="29">
        <f>'Capex &amp; Depreciation'!P292</f>
        <v>36.043118749999948</v>
      </c>
      <c r="Q293" s="29">
        <f>'Capex &amp; Depreciation'!Q292</f>
        <v>31.851346874999951</v>
      </c>
      <c r="R293" s="29">
        <f>'Capex &amp; Depreciation'!R292</f>
        <v>27.659574999999954</v>
      </c>
      <c r="S293" s="29">
        <f>'Capex &amp; Depreciation'!S292</f>
        <v>23.467803124999957</v>
      </c>
      <c r="T293" s="29">
        <f>'Capex &amp; Depreciation'!T292</f>
        <v>19.27603124999996</v>
      </c>
    </row>
    <row r="294" spans="2:20" x14ac:dyDescent="0.25">
      <c r="B294" s="23" t="s">
        <v>3339</v>
      </c>
      <c r="C294" s="28" t="s">
        <v>493</v>
      </c>
      <c r="G294" s="159">
        <v>0</v>
      </c>
      <c r="H294" s="29">
        <f>'Working Capital'!H41</f>
        <v>0</v>
      </c>
      <c r="I294" s="29">
        <f>'Working Capital'!I41</f>
        <v>0</v>
      </c>
      <c r="J294" s="29">
        <f>'Working Capital'!J41</f>
        <v>0</v>
      </c>
      <c r="K294" s="29">
        <f>'Working Capital'!K41</f>
        <v>1.6347945205479453</v>
      </c>
      <c r="L294" s="29">
        <f>'Working Capital'!L41</f>
        <v>1.6303278688524592</v>
      </c>
      <c r="M294" s="29">
        <f>'Working Capital'!M41</f>
        <v>1.6347945205479453</v>
      </c>
      <c r="N294" s="29">
        <f>'Working Capital'!N41</f>
        <v>1.6347945205479453</v>
      </c>
      <c r="O294" s="29">
        <f>'Working Capital'!O41</f>
        <v>1.6347945205479453</v>
      </c>
      <c r="P294" s="29">
        <f>'Working Capital'!P41</f>
        <v>1.6303278688524592</v>
      </c>
      <c r="Q294" s="29">
        <f>'Working Capital'!Q41</f>
        <v>1.6347945205479453</v>
      </c>
      <c r="R294" s="29">
        <f>'Working Capital'!R41</f>
        <v>1.6347945205479453</v>
      </c>
      <c r="S294" s="29">
        <f>'Working Capital'!S41</f>
        <v>1.6347945205479453</v>
      </c>
      <c r="T294" s="29">
        <f>'Working Capital'!T41</f>
        <v>1.6303278688524592</v>
      </c>
    </row>
    <row r="295" spans="2:20" x14ac:dyDescent="0.25">
      <c r="B295" s="23" t="s">
        <v>3340</v>
      </c>
      <c r="C295" s="28" t="s">
        <v>493</v>
      </c>
      <c r="G295" s="159">
        <v>0</v>
      </c>
      <c r="H295" s="159">
        <f>-'Working Capital'!H42</f>
        <v>0</v>
      </c>
      <c r="I295" s="159">
        <f>-'Working Capital'!I42</f>
        <v>0</v>
      </c>
      <c r="J295" s="159">
        <f>-'Working Capital'!J42</f>
        <v>0</v>
      </c>
      <c r="K295" s="159">
        <f>-'Working Capital'!K42</f>
        <v>0</v>
      </c>
      <c r="L295" s="159">
        <f>-'Working Capital'!L42</f>
        <v>0</v>
      </c>
      <c r="M295" s="159">
        <f>-'Working Capital'!M42</f>
        <v>0</v>
      </c>
      <c r="N295" s="159">
        <f>-'Working Capital'!N42</f>
        <v>0</v>
      </c>
      <c r="O295" s="159">
        <f>-'Working Capital'!O42</f>
        <v>0</v>
      </c>
      <c r="P295" s="159">
        <f>-'Working Capital'!P42</f>
        <v>0</v>
      </c>
      <c r="Q295" s="159">
        <f>-'Working Capital'!Q42</f>
        <v>0</v>
      </c>
      <c r="R295" s="159">
        <f>-'Working Capital'!R42</f>
        <v>0</v>
      </c>
      <c r="S295" s="159">
        <f>-'Working Capital'!S42</f>
        <v>0</v>
      </c>
      <c r="T295" s="159">
        <f>-'Working Capital'!T42</f>
        <v>0</v>
      </c>
    </row>
    <row r="296" spans="2:20" x14ac:dyDescent="0.25">
      <c r="B296" s="21" t="s">
        <v>3341</v>
      </c>
      <c r="C296" s="28" t="s">
        <v>493</v>
      </c>
      <c r="G296" s="26">
        <f>'Capex &amp; Depreciation'!G292</f>
        <v>0</v>
      </c>
      <c r="H296" s="160">
        <f>'Capex &amp; Depreciation'!H292+'Working Capital'!H43</f>
        <v>0</v>
      </c>
      <c r="I296" s="160">
        <f>'Capex &amp; Depreciation'!I292+'Working Capital'!I43</f>
        <v>0</v>
      </c>
      <c r="J296" s="160">
        <f>'Capex &amp; Depreciation'!J292+'Working Capital'!J43</f>
        <v>61.193749999999952</v>
      </c>
      <c r="K296" s="160">
        <f>'Capex &amp; Depreciation'!K292+'Working Capital'!K43</f>
        <v>58.636772645547893</v>
      </c>
      <c r="L296" s="160">
        <f>'Capex &amp; Depreciation'!L292+'Working Capital'!L43</f>
        <v>54.440534118852412</v>
      </c>
      <c r="M296" s="160">
        <f>'Capex &amp; Depreciation'!M292+'Working Capital'!M43</f>
        <v>50.253228895547892</v>
      </c>
      <c r="N296" s="160">
        <f>'Capex &amp; Depreciation'!N292+'Working Capital'!N43</f>
        <v>46.061457020547891</v>
      </c>
      <c r="O296" s="160">
        <f>'Capex &amp; Depreciation'!O292+'Working Capital'!O43</f>
        <v>41.869685145547891</v>
      </c>
      <c r="P296" s="160">
        <f>'Capex &amp; Depreciation'!P292+'Working Capital'!P43</f>
        <v>37.67344661885241</v>
      </c>
      <c r="Q296" s="160">
        <f>'Capex &amp; Depreciation'!Q292+'Working Capital'!Q43</f>
        <v>33.486141395547897</v>
      </c>
      <c r="R296" s="160">
        <f>'Capex &amp; Depreciation'!R292+'Working Capital'!R43</f>
        <v>29.2943695205479</v>
      </c>
      <c r="S296" s="160">
        <f>'Capex &amp; Depreciation'!S292+'Working Capital'!S43</f>
        <v>25.102597645547903</v>
      </c>
      <c r="T296" s="160">
        <f>'Capex &amp; Depreciation'!T292+'Working Capital'!T43</f>
        <v>20.906359118852418</v>
      </c>
    </row>
    <row r="297" spans="2:20" x14ac:dyDescent="0.25">
      <c r="B297" s="163" t="s">
        <v>3342</v>
      </c>
    </row>
    <row r="298" spans="2:20" x14ac:dyDescent="0.25">
      <c r="B298" s="23" t="s">
        <v>3221</v>
      </c>
      <c r="C298" s="28" t="s">
        <v>493</v>
      </c>
      <c r="H298" s="29">
        <f>'Project Cash Flows'!H146</f>
        <v>0</v>
      </c>
      <c r="I298" s="29">
        <f>'Project Cash Flows'!I146</f>
        <v>0</v>
      </c>
      <c r="J298" s="29">
        <f>'Project Cash Flows'!J146</f>
        <v>0</v>
      </c>
      <c r="K298" s="29">
        <f>'Project Cash Flows'!K146</f>
        <v>13.1988</v>
      </c>
      <c r="L298" s="29">
        <f>'Project Cash Flows'!L146</f>
        <v>13.1988</v>
      </c>
      <c r="M298" s="29">
        <f>'Project Cash Flows'!M146</f>
        <v>13.1988</v>
      </c>
      <c r="N298" s="29">
        <f>'Project Cash Flows'!N146</f>
        <v>13.1988</v>
      </c>
      <c r="O298" s="29">
        <f>'Project Cash Flows'!O146</f>
        <v>13.1988</v>
      </c>
      <c r="P298" s="29">
        <f>'Project Cash Flows'!P146</f>
        <v>13.1988</v>
      </c>
      <c r="Q298" s="29">
        <f>'Project Cash Flows'!Q146</f>
        <v>13.1988</v>
      </c>
      <c r="R298" s="29">
        <f>'Project Cash Flows'!R146</f>
        <v>13.1988</v>
      </c>
      <c r="S298" s="29">
        <f>'Project Cash Flows'!S146</f>
        <v>13.1988</v>
      </c>
      <c r="T298" s="29">
        <f>'Project Cash Flows'!T146</f>
        <v>13.1988</v>
      </c>
    </row>
    <row r="299" spans="2:20" x14ac:dyDescent="0.25">
      <c r="B299" s="23" t="s">
        <v>3343</v>
      </c>
      <c r="C299" s="28" t="s">
        <v>493</v>
      </c>
      <c r="H299" s="29">
        <f>'Project Cash Flows'!H151</f>
        <v>0</v>
      </c>
      <c r="I299" s="29">
        <f>'Project Cash Flows'!I151</f>
        <v>0</v>
      </c>
      <c r="J299" s="29">
        <f>'Project Cash Flows'!J151</f>
        <v>0</v>
      </c>
      <c r="K299" s="29">
        <f>'Project Cash Flows'!K151</f>
        <v>-1.9815461875000007</v>
      </c>
      <c r="L299" s="29">
        <f>'Project Cash Flows'!L151</f>
        <v>-1.9815461875000007</v>
      </c>
      <c r="M299" s="29">
        <f>'Project Cash Flows'!M151</f>
        <v>-1.9815461875000007</v>
      </c>
      <c r="N299" s="29">
        <f>'Project Cash Flows'!N151</f>
        <v>-1.9815461875000007</v>
      </c>
      <c r="O299" s="29">
        <f>'Project Cash Flows'!O151</f>
        <v>-1.9815461875000007</v>
      </c>
      <c r="P299" s="29">
        <f>'Project Cash Flows'!P151</f>
        <v>-1.9815461875000007</v>
      </c>
      <c r="Q299" s="29">
        <f>'Project Cash Flows'!Q151</f>
        <v>-1.9815461875000007</v>
      </c>
      <c r="R299" s="29">
        <f>'Project Cash Flows'!R151</f>
        <v>-1.9815461875000007</v>
      </c>
      <c r="S299" s="29">
        <f>'Project Cash Flows'!S151</f>
        <v>-1.9815461875000007</v>
      </c>
      <c r="T299" s="29">
        <f>'Project Cash Flows'!T151</f>
        <v>-1.9815461875000007</v>
      </c>
    </row>
    <row r="300" spans="2:20" x14ac:dyDescent="0.25">
      <c r="B300" s="23" t="s">
        <v>3227</v>
      </c>
      <c r="C300" s="28" t="s">
        <v>493</v>
      </c>
      <c r="H300" s="29">
        <f>'Project Cash Flows'!H152</f>
        <v>0</v>
      </c>
      <c r="I300" s="29">
        <f>'Project Cash Flows'!I152</f>
        <v>0</v>
      </c>
      <c r="J300" s="29">
        <f>'Project Cash Flows'!J152</f>
        <v>-61.193749999999952</v>
      </c>
      <c r="K300" s="29">
        <f>'Project Cash Flows'!K152</f>
        <v>0</v>
      </c>
      <c r="L300" s="29">
        <f>'Project Cash Flows'!L152</f>
        <v>0</v>
      </c>
      <c r="M300" s="29">
        <f>'Project Cash Flows'!M152</f>
        <v>0</v>
      </c>
      <c r="N300" s="29">
        <f>'Project Cash Flows'!N152</f>
        <v>0</v>
      </c>
      <c r="O300" s="29">
        <f>'Project Cash Flows'!O152</f>
        <v>0</v>
      </c>
      <c r="P300" s="29">
        <f>'Project Cash Flows'!P152</f>
        <v>0</v>
      </c>
      <c r="Q300" s="29">
        <f>'Project Cash Flows'!Q152</f>
        <v>0</v>
      </c>
      <c r="R300" s="29">
        <f>'Project Cash Flows'!R152</f>
        <v>0</v>
      </c>
      <c r="S300" s="29">
        <f>'Project Cash Flows'!S152</f>
        <v>0</v>
      </c>
      <c r="T300" s="29">
        <f>'Project Cash Flows'!T152</f>
        <v>0</v>
      </c>
    </row>
    <row r="301" spans="2:20" x14ac:dyDescent="0.25">
      <c r="B301" s="23" t="s">
        <v>3228</v>
      </c>
      <c r="C301" s="28" t="s">
        <v>493</v>
      </c>
      <c r="H301" s="29">
        <f>'Project Cash Flows'!H153</f>
        <v>0</v>
      </c>
      <c r="I301" s="29">
        <f>'Project Cash Flows'!I153</f>
        <v>0</v>
      </c>
      <c r="J301" s="29">
        <f>'Project Cash Flows'!J153</f>
        <v>0</v>
      </c>
      <c r="K301" s="29">
        <f>'Project Cash Flows'!K153</f>
        <v>-1.6347945205479453</v>
      </c>
      <c r="L301" s="29">
        <f>'Project Cash Flows'!L153</f>
        <v>4.4666516954861013E-3</v>
      </c>
      <c r="M301" s="29">
        <f>'Project Cash Flows'!M153</f>
        <v>-4.4666516954861013E-3</v>
      </c>
      <c r="N301" s="29">
        <f>'Project Cash Flows'!N153</f>
        <v>0</v>
      </c>
      <c r="O301" s="29">
        <f>'Project Cash Flows'!O153</f>
        <v>0</v>
      </c>
      <c r="P301" s="29">
        <f>'Project Cash Flows'!P153</f>
        <v>4.4666516954861013E-3</v>
      </c>
      <c r="Q301" s="29">
        <f>'Project Cash Flows'!Q153</f>
        <v>-4.4666516954861013E-3</v>
      </c>
      <c r="R301" s="29">
        <f>'Project Cash Flows'!R153</f>
        <v>0</v>
      </c>
      <c r="S301" s="29">
        <f>'Project Cash Flows'!S153</f>
        <v>0</v>
      </c>
      <c r="T301" s="29">
        <f>'Project Cash Flows'!T153</f>
        <v>4.4666516954861013E-3</v>
      </c>
    </row>
    <row r="302" spans="2:20" x14ac:dyDescent="0.25">
      <c r="B302" s="21" t="s">
        <v>3344</v>
      </c>
      <c r="C302" s="28" t="s">
        <v>493</v>
      </c>
      <c r="H302" s="26">
        <f>'Project Cash Flows'!H154</f>
        <v>0</v>
      </c>
      <c r="I302" s="26">
        <f>'Project Cash Flows'!I154</f>
        <v>0</v>
      </c>
      <c r="J302" s="26">
        <f>'Project Cash Flows'!J154</f>
        <v>-61.193749999999952</v>
      </c>
      <c r="K302" s="26">
        <f>'Project Cash Flows'!K154</f>
        <v>9.5824592919520537</v>
      </c>
      <c r="L302" s="26">
        <f>'Project Cash Flows'!L154</f>
        <v>11.221720464195485</v>
      </c>
      <c r="M302" s="26">
        <f>'Project Cash Flows'!M154</f>
        <v>11.212787160804513</v>
      </c>
      <c r="N302" s="26">
        <f>'Project Cash Flows'!N154</f>
        <v>11.217253812499999</v>
      </c>
      <c r="O302" s="26">
        <f>'Project Cash Flows'!O154</f>
        <v>11.217253812499999</v>
      </c>
      <c r="P302" s="26">
        <f>'Project Cash Flows'!P154</f>
        <v>11.221720464195485</v>
      </c>
      <c r="Q302" s="26">
        <f>'Project Cash Flows'!Q154</f>
        <v>11.212787160804513</v>
      </c>
      <c r="R302" s="26">
        <f>'Project Cash Flows'!R154</f>
        <v>11.217253812499999</v>
      </c>
      <c r="S302" s="26">
        <f>'Project Cash Flows'!S154</f>
        <v>11.217253812499999</v>
      </c>
      <c r="T302" s="26">
        <f>'Project Cash Flows'!T154</f>
        <v>11.221720464195485</v>
      </c>
    </row>
    <row r="303" spans="2:20" x14ac:dyDescent="0.25">
      <c r="B303" s="23" t="s">
        <v>3345</v>
      </c>
      <c r="C303" s="28" t="s">
        <v>493</v>
      </c>
      <c r="G303" s="29">
        <f>'Project Cash Flows'!G157</f>
        <v>0</v>
      </c>
      <c r="H303" s="29">
        <f>'Project Cash Flows'!H157</f>
        <v>0</v>
      </c>
      <c r="I303" s="29">
        <f>'Project Cash Flows'!I157</f>
        <v>0</v>
      </c>
      <c r="J303" s="29">
        <f>'Project Cash Flows'!J157</f>
        <v>-61.193749999999952</v>
      </c>
      <c r="K303" s="29">
        <f>'Project Cash Flows'!K157</f>
        <v>-51.611290708047896</v>
      </c>
      <c r="L303" s="29">
        <f>'Project Cash Flows'!L157</f>
        <v>-40.389570243852411</v>
      </c>
      <c r="M303" s="29">
        <f>'Project Cash Flows'!M157</f>
        <v>-29.176783083047898</v>
      </c>
      <c r="N303" s="29">
        <f>'Project Cash Flows'!N157</f>
        <v>-17.959529270547897</v>
      </c>
      <c r="O303" s="29">
        <f>'Project Cash Flows'!O157</f>
        <v>-6.7422754580478976</v>
      </c>
      <c r="P303" s="29">
        <f>'Project Cash Flows'!P157</f>
        <v>4.4794450061475874</v>
      </c>
      <c r="Q303" s="29">
        <f>'Project Cash Flows'!Q157</f>
        <v>15.692232166952101</v>
      </c>
      <c r="R303" s="29">
        <f>'Project Cash Flows'!R157</f>
        <v>26.9094859794521</v>
      </c>
      <c r="S303" s="29">
        <f>'Project Cash Flows'!S157</f>
        <v>38.126739791952097</v>
      </c>
      <c r="T303" s="29">
        <f>'Project Cash Flows'!T157</f>
        <v>49.348460256147582</v>
      </c>
    </row>
    <row r="304" spans="2:20" x14ac:dyDescent="0.25">
      <c r="B304" s="163" t="s">
        <v>3346</v>
      </c>
    </row>
    <row r="305" spans="2:20" x14ac:dyDescent="0.25">
      <c r="B305" s="23" t="s">
        <v>3363</v>
      </c>
      <c r="C305" s="28" t="s">
        <v>806</v>
      </c>
      <c r="G305" s="34">
        <f>'Capex &amp; Depreciation'!G11</f>
        <v>0</v>
      </c>
      <c r="H305" s="34">
        <f>'Capex &amp; Depreciation'!H11</f>
        <v>0</v>
      </c>
      <c r="I305" s="34">
        <f>'Capex &amp; Depreciation'!I11</f>
        <v>0</v>
      </c>
      <c r="J305" s="34">
        <f>'Capex &amp; Depreciation'!J11</f>
        <v>3.7622963418383</v>
      </c>
      <c r="K305" s="34">
        <f>'Capex &amp; Depreciation'!K11</f>
        <v>0</v>
      </c>
      <c r="L305" s="34">
        <f>'Capex &amp; Depreciation'!L11</f>
        <v>0</v>
      </c>
      <c r="M305" s="34">
        <f>'Capex &amp; Depreciation'!M11</f>
        <v>0</v>
      </c>
      <c r="N305" s="34">
        <f>'Capex &amp; Depreciation'!N11</f>
        <v>0</v>
      </c>
      <c r="O305" s="34">
        <f>'Capex &amp; Depreciation'!O11</f>
        <v>0</v>
      </c>
      <c r="P305" s="34">
        <f>'Capex &amp; Depreciation'!P11</f>
        <v>0</v>
      </c>
      <c r="Q305" s="34">
        <f>'Capex &amp; Depreciation'!Q11</f>
        <v>0</v>
      </c>
      <c r="R305" s="34">
        <f>'Capex &amp; Depreciation'!R11</f>
        <v>0</v>
      </c>
      <c r="S305" s="34">
        <f>'Capex &amp; Depreciation'!S11</f>
        <v>0</v>
      </c>
      <c r="T305" s="34">
        <f>'Capex &amp; Depreciation'!T11</f>
        <v>0</v>
      </c>
    </row>
    <row r="306" spans="2:20" x14ac:dyDescent="0.25">
      <c r="B306" s="23" t="s">
        <v>3364</v>
      </c>
      <c r="C306" s="28" t="s">
        <v>493</v>
      </c>
      <c r="G306" s="29">
        <f>'Capex &amp; Depreciation'!G59</f>
        <v>0</v>
      </c>
      <c r="H306" s="29">
        <f>'Capex &amp; Depreciation'!H59</f>
        <v>0</v>
      </c>
      <c r="I306" s="29">
        <f>'Capex &amp; Depreciation'!I59</f>
        <v>0</v>
      </c>
      <c r="J306" s="29">
        <f>'Capex &amp; Depreciation'!J59</f>
        <v>61.193749999999952</v>
      </c>
      <c r="K306" s="29">
        <f>'Capex &amp; Depreciation'!K59</f>
        <v>0</v>
      </c>
      <c r="L306" s="29">
        <f>'Capex &amp; Depreciation'!L59</f>
        <v>0</v>
      </c>
      <c r="M306" s="29">
        <f>'Capex &amp; Depreciation'!M59</f>
        <v>0</v>
      </c>
      <c r="N306" s="29">
        <f>'Capex &amp; Depreciation'!N59</f>
        <v>0</v>
      </c>
      <c r="O306" s="29">
        <f>'Capex &amp; Depreciation'!O59</f>
        <v>0</v>
      </c>
      <c r="P306" s="29">
        <f>'Capex &amp; Depreciation'!P59</f>
        <v>0</v>
      </c>
      <c r="Q306" s="29">
        <f>'Capex &amp; Depreciation'!Q59</f>
        <v>0</v>
      </c>
      <c r="R306" s="29">
        <f>'Capex &amp; Depreciation'!R59</f>
        <v>0</v>
      </c>
      <c r="S306" s="29">
        <f>'Capex &amp; Depreciation'!S59</f>
        <v>0</v>
      </c>
      <c r="T306" s="29">
        <f>'Capex &amp; Depreciation'!T59</f>
        <v>0</v>
      </c>
    </row>
    <row r="307" spans="2:20" ht="26.25" customHeight="1" x14ac:dyDescent="0.25">
      <c r="B307" s="64" t="s">
        <v>3365</v>
      </c>
      <c r="C307" s="28" t="s">
        <v>493</v>
      </c>
      <c r="H307" s="29">
        <f>'Funding Requirement'!H118</f>
        <v>0</v>
      </c>
      <c r="I307" s="29">
        <f>'Funding Requirement'!I118</f>
        <v>0</v>
      </c>
      <c r="J307" s="29">
        <f>'Funding Requirement'!J118</f>
        <v>61.193749999999952</v>
      </c>
      <c r="K307" s="29">
        <f>'Funding Requirement'!K118</f>
        <v>0</v>
      </c>
      <c r="L307" s="29">
        <f>'Funding Requirement'!L118</f>
        <v>0</v>
      </c>
      <c r="M307" s="29">
        <f>'Funding Requirement'!M118</f>
        <v>0</v>
      </c>
      <c r="N307" s="29">
        <f>'Funding Requirement'!N118</f>
        <v>0</v>
      </c>
      <c r="O307" s="29">
        <f>'Funding Requirement'!O118</f>
        <v>0</v>
      </c>
      <c r="P307" s="29">
        <f>'Funding Requirement'!P118</f>
        <v>0</v>
      </c>
      <c r="Q307" s="29">
        <f>'Funding Requirement'!Q118</f>
        <v>0</v>
      </c>
      <c r="R307" s="29">
        <f>'Funding Requirement'!R118</f>
        <v>0</v>
      </c>
      <c r="S307" s="29">
        <f>'Funding Requirement'!S118</f>
        <v>0</v>
      </c>
      <c r="T307" s="29">
        <f>'Funding Requirement'!T118</f>
        <v>0</v>
      </c>
    </row>
    <row r="308" spans="2:20" x14ac:dyDescent="0.25">
      <c r="B308" s="163" t="s">
        <v>3348</v>
      </c>
    </row>
    <row r="309" spans="2:20" x14ac:dyDescent="0.25">
      <c r="B309" s="44" t="s">
        <v>3349</v>
      </c>
      <c r="D309" s="204">
        <f>'Project Cash Flows'!$E$14</f>
        <v>99.491203584522466</v>
      </c>
      <c r="H309" s="44" t="s">
        <v>3176</v>
      </c>
      <c r="K309" s="205">
        <f>'Project Cash Flows'!$H$14</f>
        <v>2.9802322387695314E-9</v>
      </c>
      <c r="N309" s="44" t="s">
        <v>3350</v>
      </c>
      <c r="Q309" s="205" t="str">
        <f>'Project Cash Flows'!$I$14</f>
        <v>Not meaningful</v>
      </c>
    </row>
    <row r="310" spans="2:20" x14ac:dyDescent="0.25">
      <c r="B310" s="44" t="s">
        <v>3180</v>
      </c>
      <c r="D310" s="205" t="str">
        <f>'Project Cash Flows'!$L$14</f>
        <v>as project IRR</v>
      </c>
      <c r="H310" s="44" t="s">
        <v>3351</v>
      </c>
      <c r="K310" s="206">
        <f>'Project Cash Flows'!$J$14</f>
        <v>6.6008236864890817</v>
      </c>
      <c r="N310" s="44" t="s">
        <v>3179</v>
      </c>
      <c r="Q310" s="204">
        <f>'Project Cash Flows'!$K$14</f>
        <v>61.193749999999952</v>
      </c>
    </row>
    <row r="312" spans="2:20" x14ac:dyDescent="0.25">
      <c r="B312" s="58" t="s">
        <v>3373</v>
      </c>
      <c r="C312" s="19"/>
      <c r="D312" s="19"/>
      <c r="E312" s="19"/>
      <c r="F312" s="19"/>
      <c r="G312" s="19"/>
      <c r="H312" s="19"/>
      <c r="I312" s="19"/>
      <c r="J312" s="19"/>
      <c r="K312" s="19"/>
      <c r="L312" s="19"/>
      <c r="M312" s="19"/>
      <c r="N312" s="19"/>
      <c r="O312" s="19"/>
      <c r="P312" s="19"/>
      <c r="Q312" s="19"/>
      <c r="R312" s="19"/>
      <c r="S312" s="19"/>
      <c r="T312" s="19"/>
    </row>
    <row r="313" spans="2:20" x14ac:dyDescent="0.25">
      <c r="B313" s="70" t="s">
        <v>1690</v>
      </c>
      <c r="D313" s="130" t="str">
        <f>Inputs!$I$68</f>
        <v>Included - both cases</v>
      </c>
      <c r="M313" s="202" t="s">
        <v>3323</v>
      </c>
      <c r="N313" s="203">
        <f>Inputs!$H$68</f>
        <v>1</v>
      </c>
    </row>
    <row r="314" spans="2:20" x14ac:dyDescent="0.25">
      <c r="B314" s="163" t="s">
        <v>3324</v>
      </c>
    </row>
    <row r="315" spans="2:20" x14ac:dyDescent="0.25">
      <c r="B315" s="23" t="s">
        <v>3374</v>
      </c>
      <c r="C315" s="28" t="s">
        <v>630</v>
      </c>
      <c r="H315" s="48">
        <f>'Revenue Calculation'!H117</f>
        <v>0</v>
      </c>
      <c r="I315" s="48">
        <f>'Revenue Calculation'!I117</f>
        <v>0</v>
      </c>
      <c r="J315" s="48">
        <f>'Revenue Calculation'!J117</f>
        <v>1300000</v>
      </c>
      <c r="K315" s="48">
        <f>'Revenue Calculation'!K117</f>
        <v>1300000</v>
      </c>
      <c r="L315" s="48">
        <f>'Revenue Calculation'!L117</f>
        <v>1300000</v>
      </c>
      <c r="M315" s="48">
        <f>'Revenue Calculation'!M117</f>
        <v>1339000</v>
      </c>
      <c r="N315" s="48">
        <f>'Revenue Calculation'!N117</f>
        <v>1339000</v>
      </c>
      <c r="O315" s="48">
        <f>'Revenue Calculation'!O117</f>
        <v>1339000</v>
      </c>
      <c r="P315" s="48">
        <f>'Revenue Calculation'!P117</f>
        <v>1339000</v>
      </c>
      <c r="Q315" s="48">
        <f>'Revenue Calculation'!Q117</f>
        <v>1379170</v>
      </c>
      <c r="R315" s="48">
        <f>'Revenue Calculation'!R117</f>
        <v>1379170</v>
      </c>
      <c r="S315" s="48">
        <f>'Revenue Calculation'!S117</f>
        <v>1379170</v>
      </c>
      <c r="T315" s="48">
        <f>'Revenue Calculation'!T117</f>
        <v>1379170</v>
      </c>
    </row>
    <row r="316" spans="2:20" x14ac:dyDescent="0.25">
      <c r="B316" s="23" t="s">
        <v>3375</v>
      </c>
      <c r="C316" s="28" t="s">
        <v>647</v>
      </c>
      <c r="H316" s="48">
        <f>'Revenue Calculation'!H118</f>
        <v>0</v>
      </c>
      <c r="I316" s="48">
        <f>'Revenue Calculation'!I118</f>
        <v>0</v>
      </c>
      <c r="J316" s="48">
        <f>'Revenue Calculation'!J118</f>
        <v>35000</v>
      </c>
      <c r="K316" s="48">
        <f>'Revenue Calculation'!K118</f>
        <v>35000</v>
      </c>
      <c r="L316" s="48">
        <f>'Revenue Calculation'!L118</f>
        <v>35000</v>
      </c>
      <c r="M316" s="48">
        <f>'Revenue Calculation'!M118</f>
        <v>36400</v>
      </c>
      <c r="N316" s="48">
        <f>'Revenue Calculation'!N118</f>
        <v>36400</v>
      </c>
      <c r="O316" s="48">
        <f>'Revenue Calculation'!O118</f>
        <v>36400</v>
      </c>
      <c r="P316" s="48">
        <f>'Revenue Calculation'!P118</f>
        <v>36400</v>
      </c>
      <c r="Q316" s="48">
        <f>'Revenue Calculation'!Q118</f>
        <v>37856</v>
      </c>
      <c r="R316" s="48">
        <f>'Revenue Calculation'!R118</f>
        <v>37856</v>
      </c>
      <c r="S316" s="48">
        <f>'Revenue Calculation'!S118</f>
        <v>37856</v>
      </c>
      <c r="T316" s="48">
        <f>'Revenue Calculation'!T118</f>
        <v>37856</v>
      </c>
    </row>
    <row r="317" spans="2:20" x14ac:dyDescent="0.25">
      <c r="B317" s="23" t="s">
        <v>3376</v>
      </c>
      <c r="C317" s="28" t="s">
        <v>647</v>
      </c>
      <c r="H317" s="48">
        <f>'Revenue Calculation'!H119</f>
        <v>0</v>
      </c>
      <c r="I317" s="48">
        <f>'Revenue Calculation'!I119</f>
        <v>0</v>
      </c>
      <c r="J317" s="48">
        <f>'Revenue Calculation'!J119</f>
        <v>2000</v>
      </c>
      <c r="K317" s="48">
        <f>'Revenue Calculation'!K119</f>
        <v>2000</v>
      </c>
      <c r="L317" s="48">
        <f>'Revenue Calculation'!L119</f>
        <v>2000</v>
      </c>
      <c r="M317" s="48">
        <f>'Revenue Calculation'!M119</f>
        <v>2000</v>
      </c>
      <c r="N317" s="48">
        <f>'Revenue Calculation'!N119</f>
        <v>2000</v>
      </c>
      <c r="O317" s="48">
        <f>'Revenue Calculation'!O119</f>
        <v>2000</v>
      </c>
      <c r="P317" s="48">
        <f>'Revenue Calculation'!P119</f>
        <v>2000</v>
      </c>
      <c r="Q317" s="48">
        <f>'Revenue Calculation'!Q119</f>
        <v>2000</v>
      </c>
      <c r="R317" s="48">
        <f>'Revenue Calculation'!R119</f>
        <v>2000</v>
      </c>
      <c r="S317" s="48">
        <f>'Revenue Calculation'!S119</f>
        <v>2000</v>
      </c>
      <c r="T317" s="48">
        <f>'Revenue Calculation'!T119</f>
        <v>2000</v>
      </c>
    </row>
    <row r="318" spans="2:20" x14ac:dyDescent="0.25">
      <c r="B318" s="163" t="s">
        <v>3328</v>
      </c>
    </row>
    <row r="319" spans="2:20" x14ac:dyDescent="0.25">
      <c r="B319" s="21" t="s">
        <v>3329</v>
      </c>
      <c r="C319" s="28" t="s">
        <v>493</v>
      </c>
      <c r="H319" s="26">
        <f>'Revenue Calculation'!H122</f>
        <v>0</v>
      </c>
      <c r="I319" s="26">
        <f>'Revenue Calculation'!I122</f>
        <v>0</v>
      </c>
      <c r="J319" s="26">
        <f>'Revenue Calculation'!J122</f>
        <v>48.1</v>
      </c>
      <c r="K319" s="26">
        <f>'Revenue Calculation'!K122</f>
        <v>48.1</v>
      </c>
      <c r="L319" s="26">
        <f>'Revenue Calculation'!L122</f>
        <v>48.1</v>
      </c>
      <c r="M319" s="26">
        <f>'Revenue Calculation'!M122</f>
        <v>51.4176</v>
      </c>
      <c r="N319" s="26">
        <f>'Revenue Calculation'!N122</f>
        <v>51.4176</v>
      </c>
      <c r="O319" s="26">
        <f>'Revenue Calculation'!O122</f>
        <v>51.4176</v>
      </c>
      <c r="P319" s="26">
        <f>'Revenue Calculation'!P122</f>
        <v>51.4176</v>
      </c>
      <c r="Q319" s="26">
        <f>'Revenue Calculation'!Q122</f>
        <v>54.968199519999999</v>
      </c>
      <c r="R319" s="26">
        <f>'Revenue Calculation'!R122</f>
        <v>54.968199519999999</v>
      </c>
      <c r="S319" s="26">
        <f>'Revenue Calculation'!S122</f>
        <v>54.968199519999999</v>
      </c>
      <c r="T319" s="26">
        <f>'Revenue Calculation'!T122</f>
        <v>54.968199519999999</v>
      </c>
    </row>
    <row r="320" spans="2:20" x14ac:dyDescent="0.25">
      <c r="B320" s="23" t="s">
        <v>3330</v>
      </c>
      <c r="C320" s="28" t="s">
        <v>493</v>
      </c>
      <c r="H320" s="159">
        <f>-'Cost Calculation'!H151</f>
        <v>0</v>
      </c>
      <c r="I320" s="159">
        <f>-'Cost Calculation'!I151</f>
        <v>0</v>
      </c>
      <c r="J320" s="159">
        <f>-'Cost Calculation'!J151</f>
        <v>0</v>
      </c>
      <c r="K320" s="159">
        <f>-'Cost Calculation'!K151</f>
        <v>0</v>
      </c>
      <c r="L320" s="159">
        <f>-'Cost Calculation'!L151</f>
        <v>0</v>
      </c>
      <c r="M320" s="159">
        <f>-'Cost Calculation'!M151</f>
        <v>0</v>
      </c>
      <c r="N320" s="159">
        <f>-'Cost Calculation'!N151</f>
        <v>0</v>
      </c>
      <c r="O320" s="159">
        <f>-'Cost Calculation'!O151</f>
        <v>0</v>
      </c>
      <c r="P320" s="159">
        <f>-'Cost Calculation'!P151</f>
        <v>0</v>
      </c>
      <c r="Q320" s="159">
        <f>-'Cost Calculation'!Q151</f>
        <v>0</v>
      </c>
      <c r="R320" s="159">
        <f>-'Cost Calculation'!R151</f>
        <v>0</v>
      </c>
      <c r="S320" s="159">
        <f>-'Cost Calculation'!S151</f>
        <v>0</v>
      </c>
      <c r="T320" s="159">
        <f>-'Cost Calculation'!T151</f>
        <v>0</v>
      </c>
    </row>
    <row r="321" spans="2:20" x14ac:dyDescent="0.25">
      <c r="B321" s="23" t="s">
        <v>3331</v>
      </c>
      <c r="C321" s="28" t="s">
        <v>493</v>
      </c>
      <c r="H321" s="159">
        <f>-'Cost Calculation'!H152</f>
        <v>0</v>
      </c>
      <c r="I321" s="159">
        <f>-'Cost Calculation'!I152</f>
        <v>0</v>
      </c>
      <c r="J321" s="159">
        <f>-'Cost Calculation'!J152</f>
        <v>-22.349182568122753</v>
      </c>
      <c r="K321" s="159">
        <f>-'Cost Calculation'!K152</f>
        <v>-22.860856571580246</v>
      </c>
      <c r="L321" s="159">
        <f>-'Cost Calculation'!L152</f>
        <v>-23.385322425124158</v>
      </c>
      <c r="M321" s="159">
        <f>-'Cost Calculation'!M152</f>
        <v>-24.368177184432536</v>
      </c>
      <c r="N321" s="159">
        <f>-'Cost Calculation'!N152</f>
        <v>-25.366275592338283</v>
      </c>
      <c r="O321" s="159">
        <f>-'Cost Calculation'!O152</f>
        <v>-25.721335378404895</v>
      </c>
      <c r="P321" s="159">
        <f>-'Cost Calculation'!P152</f>
        <v>-26.309760465381427</v>
      </c>
      <c r="Q321" s="159">
        <f>-'Cost Calculation'!Q152</f>
        <v>-27.41367594071637</v>
      </c>
      <c r="R321" s="159">
        <f>-'Cost Calculation'!R152</f>
        <v>-28.042184391550673</v>
      </c>
      <c r="S321" s="159">
        <f>-'Cost Calculation'!S152</f>
        <v>-29.124593172696311</v>
      </c>
      <c r="T321" s="159">
        <f>-'Cost Calculation'!T152</f>
        <v>-29.390551006717725</v>
      </c>
    </row>
    <row r="322" spans="2:20" x14ac:dyDescent="0.25">
      <c r="B322" s="21" t="s">
        <v>3221</v>
      </c>
      <c r="C322" s="28" t="s">
        <v>493</v>
      </c>
      <c r="H322" s="26">
        <f>'Cost Calculation'!H153</f>
        <v>0</v>
      </c>
      <c r="I322" s="26">
        <f>'Cost Calculation'!I153</f>
        <v>0</v>
      </c>
      <c r="J322" s="26">
        <f>'Cost Calculation'!J153</f>
        <v>25.750817431877248</v>
      </c>
      <c r="K322" s="26">
        <f>'Cost Calculation'!K153</f>
        <v>25.239143428419755</v>
      </c>
      <c r="L322" s="26">
        <f>'Cost Calculation'!L153</f>
        <v>24.714677574875843</v>
      </c>
      <c r="M322" s="26">
        <f>'Cost Calculation'!M153</f>
        <v>27.049422815567464</v>
      </c>
      <c r="N322" s="26">
        <f>'Cost Calculation'!N153</f>
        <v>26.051324407661717</v>
      </c>
      <c r="O322" s="26">
        <f>'Cost Calculation'!O153</f>
        <v>25.696264621595105</v>
      </c>
      <c r="P322" s="26">
        <f>'Cost Calculation'!P153</f>
        <v>25.107839534618574</v>
      </c>
      <c r="Q322" s="26">
        <f>'Cost Calculation'!Q153</f>
        <v>27.554523579283629</v>
      </c>
      <c r="R322" s="26">
        <f>'Cost Calculation'!R153</f>
        <v>26.926015128449325</v>
      </c>
      <c r="S322" s="26">
        <f>'Cost Calculation'!S153</f>
        <v>25.843606347303687</v>
      </c>
      <c r="T322" s="26">
        <f>'Cost Calculation'!T153</f>
        <v>25.577648513282274</v>
      </c>
    </row>
    <row r="323" spans="2:20" x14ac:dyDescent="0.25">
      <c r="B323" s="23" t="s">
        <v>3332</v>
      </c>
      <c r="C323" s="28" t="s">
        <v>493</v>
      </c>
      <c r="H323" s="159">
        <f>-'Capex &amp; Depreciation'!H239</f>
        <v>0</v>
      </c>
      <c r="I323" s="159">
        <f>-'Capex &amp; Depreciation'!I239</f>
        <v>0</v>
      </c>
      <c r="J323" s="159">
        <f>-'Capex &amp; Depreciation'!J239</f>
        <v>-8.8605523809523792</v>
      </c>
      <c r="K323" s="159">
        <f>-'Capex &amp; Depreciation'!K239</f>
        <v>-8.8605523809523792</v>
      </c>
      <c r="L323" s="159">
        <f>-'Capex &amp; Depreciation'!L239</f>
        <v>-8.8605523809523792</v>
      </c>
      <c r="M323" s="159">
        <f>-'Capex &amp; Depreciation'!M239</f>
        <v>-8.8605523809523792</v>
      </c>
      <c r="N323" s="159">
        <f>-'Capex &amp; Depreciation'!N239</f>
        <v>-8.8605523809523792</v>
      </c>
      <c r="O323" s="159">
        <f>-'Capex &amp; Depreciation'!O239</f>
        <v>-8.8605523809523792</v>
      </c>
      <c r="P323" s="159">
        <f>-'Capex &amp; Depreciation'!P239</f>
        <v>-8.8605523809523792</v>
      </c>
      <c r="Q323" s="159">
        <f>-'Capex &amp; Depreciation'!Q239</f>
        <v>-8.8605523809523792</v>
      </c>
      <c r="R323" s="159">
        <f>-'Capex &amp; Depreciation'!R239</f>
        <v>-3.322707142857142</v>
      </c>
      <c r="S323" s="159">
        <f>-'Capex &amp; Depreciation'!S239</f>
        <v>-3.322707142857142</v>
      </c>
      <c r="T323" s="159">
        <f>-'Capex &amp; Depreciation'!T239</f>
        <v>-3.322707142857142</v>
      </c>
    </row>
    <row r="324" spans="2:20" x14ac:dyDescent="0.25">
      <c r="B324" s="21" t="s">
        <v>3333</v>
      </c>
      <c r="C324" s="28" t="s">
        <v>493</v>
      </c>
      <c r="H324" s="26">
        <f>'Project Cash Flows'!H160</f>
        <v>0</v>
      </c>
      <c r="I324" s="26">
        <f>'Project Cash Flows'!I160</f>
        <v>0</v>
      </c>
      <c r="J324" s="26">
        <f>'Project Cash Flows'!J160</f>
        <v>16.890265050924867</v>
      </c>
      <c r="K324" s="26">
        <f>'Project Cash Flows'!K160</f>
        <v>16.378591047467374</v>
      </c>
      <c r="L324" s="26">
        <f>'Project Cash Flows'!L160</f>
        <v>15.854125193923464</v>
      </c>
      <c r="M324" s="26">
        <f>'Project Cash Flows'!M160</f>
        <v>18.188870434615083</v>
      </c>
      <c r="N324" s="26">
        <f>'Project Cash Flows'!N160</f>
        <v>17.19077202670934</v>
      </c>
      <c r="O324" s="26">
        <f>'Project Cash Flows'!O160</f>
        <v>16.835712240642728</v>
      </c>
      <c r="P324" s="26">
        <f>'Project Cash Flows'!P160</f>
        <v>16.247287153666193</v>
      </c>
      <c r="Q324" s="26">
        <f>'Project Cash Flows'!Q160</f>
        <v>18.693971198331248</v>
      </c>
      <c r="R324" s="26">
        <f>'Project Cash Flows'!R160</f>
        <v>23.603307985592185</v>
      </c>
      <c r="S324" s="26">
        <f>'Project Cash Flows'!S160</f>
        <v>22.520899204446547</v>
      </c>
      <c r="T324" s="26">
        <f>'Project Cash Flows'!T160</f>
        <v>22.254941370425133</v>
      </c>
    </row>
    <row r="325" spans="2:20" x14ac:dyDescent="0.25">
      <c r="B325" s="23" t="s">
        <v>3334</v>
      </c>
      <c r="C325" s="28" t="s">
        <v>493</v>
      </c>
      <c r="H325" s="159">
        <f>-'Project Cash Flows'!H161</f>
        <v>0</v>
      </c>
      <c r="I325" s="159">
        <f>-'Project Cash Flows'!I161</f>
        <v>0</v>
      </c>
      <c r="J325" s="159">
        <f>-'Project Cash Flows'!J161</f>
        <v>0</v>
      </c>
      <c r="K325" s="159">
        <f>-'Project Cash Flows'!K161</f>
        <v>0</v>
      </c>
      <c r="L325" s="159">
        <f>-'Project Cash Flows'!L161</f>
        <v>0</v>
      </c>
      <c r="M325" s="159">
        <f>-'Project Cash Flows'!M161</f>
        <v>0</v>
      </c>
      <c r="N325" s="159">
        <f>-'Project Cash Flows'!N161</f>
        <v>0</v>
      </c>
      <c r="O325" s="159">
        <f>-'Project Cash Flows'!O161</f>
        <v>0</v>
      </c>
      <c r="P325" s="159">
        <f>-'Project Cash Flows'!P161</f>
        <v>0</v>
      </c>
      <c r="Q325" s="159">
        <f>-'Project Cash Flows'!Q161</f>
        <v>0</v>
      </c>
      <c r="R325" s="159">
        <f>-'Project Cash Flows'!R161</f>
        <v>0</v>
      </c>
      <c r="S325" s="159">
        <f>-'Project Cash Flows'!S161</f>
        <v>0</v>
      </c>
      <c r="T325" s="159">
        <f>-'Project Cash Flows'!T161</f>
        <v>0</v>
      </c>
    </row>
    <row r="326" spans="2:20" x14ac:dyDescent="0.25">
      <c r="B326" s="23" t="s">
        <v>3335</v>
      </c>
      <c r="C326" s="28" t="s">
        <v>493</v>
      </c>
      <c r="H326" s="159">
        <f>-'Project Cash Flows'!H162</f>
        <v>0</v>
      </c>
      <c r="I326" s="159">
        <f>-'Project Cash Flows'!I162</f>
        <v>0</v>
      </c>
      <c r="J326" s="159">
        <f>-'Project Cash Flows'!J162</f>
        <v>-3.7158583112034709</v>
      </c>
      <c r="K326" s="159">
        <f>-'Project Cash Flows'!K162</f>
        <v>-3.6032900304428224</v>
      </c>
      <c r="L326" s="159">
        <f>-'Project Cash Flows'!L162</f>
        <v>-3.4879075426631618</v>
      </c>
      <c r="M326" s="159">
        <f>-'Project Cash Flows'!M162</f>
        <v>-4.0015514956153186</v>
      </c>
      <c r="N326" s="159">
        <f>-'Project Cash Flows'!N162</f>
        <v>-3.7819698458760547</v>
      </c>
      <c r="O326" s="159">
        <f>-'Project Cash Flows'!O162</f>
        <v>-3.7038566929414003</v>
      </c>
      <c r="P326" s="159">
        <f>-'Project Cash Flows'!P162</f>
        <v>-3.5744031738065623</v>
      </c>
      <c r="Q326" s="159">
        <f>-'Project Cash Flows'!Q162</f>
        <v>-4.1126736636328749</v>
      </c>
      <c r="R326" s="159">
        <f>-'Project Cash Flows'!R162</f>
        <v>-5.1927277568302808</v>
      </c>
      <c r="S326" s="159">
        <f>-'Project Cash Flows'!S162</f>
        <v>-4.9545978249782401</v>
      </c>
      <c r="T326" s="159">
        <f>-'Project Cash Flows'!T162</f>
        <v>-4.8960871014935297</v>
      </c>
    </row>
    <row r="327" spans="2:20" x14ac:dyDescent="0.25">
      <c r="B327" s="21" t="s">
        <v>3336</v>
      </c>
      <c r="C327" s="28" t="s">
        <v>493</v>
      </c>
      <c r="H327" s="26">
        <f>'Project Cash Flows'!H163</f>
        <v>0</v>
      </c>
      <c r="I327" s="26">
        <f>'Project Cash Flows'!I163</f>
        <v>0</v>
      </c>
      <c r="J327" s="26">
        <f>'Project Cash Flows'!J163</f>
        <v>13.174406739721396</v>
      </c>
      <c r="K327" s="26">
        <f>'Project Cash Flows'!K163</f>
        <v>12.775301017024551</v>
      </c>
      <c r="L327" s="26">
        <f>'Project Cash Flows'!L163</f>
        <v>12.366217651260301</v>
      </c>
      <c r="M327" s="26">
        <f>'Project Cash Flows'!M163</f>
        <v>14.187318938999764</v>
      </c>
      <c r="N327" s="26">
        <f>'Project Cash Flows'!N163</f>
        <v>13.408802180833284</v>
      </c>
      <c r="O327" s="26">
        <f>'Project Cash Flows'!O163</f>
        <v>13.131855547701328</v>
      </c>
      <c r="P327" s="26">
        <f>'Project Cash Flows'!P163</f>
        <v>12.67288397985963</v>
      </c>
      <c r="Q327" s="26">
        <f>'Project Cash Flows'!Q163</f>
        <v>14.581297534698372</v>
      </c>
      <c r="R327" s="26">
        <f>'Project Cash Flows'!R163</f>
        <v>18.410580228761905</v>
      </c>
      <c r="S327" s="26">
        <f>'Project Cash Flows'!S163</f>
        <v>17.566301379468307</v>
      </c>
      <c r="T327" s="26">
        <f>'Project Cash Flows'!T163</f>
        <v>17.358854268931601</v>
      </c>
    </row>
    <row r="328" spans="2:20" x14ac:dyDescent="0.25">
      <c r="B328" s="163" t="s">
        <v>3337</v>
      </c>
    </row>
    <row r="329" spans="2:20" x14ac:dyDescent="0.25">
      <c r="B329" s="23" t="s">
        <v>3338</v>
      </c>
      <c r="C329" s="28" t="s">
        <v>493</v>
      </c>
      <c r="G329" s="29">
        <f>'Capex &amp; Depreciation'!G293</f>
        <v>0</v>
      </c>
      <c r="H329" s="29">
        <f>'Capex &amp; Depreciation'!H293</f>
        <v>0</v>
      </c>
      <c r="I329" s="29">
        <f>'Capex &amp; Depreciation'!I293</f>
        <v>0</v>
      </c>
      <c r="J329" s="29">
        <f>'Capex &amp; Depreciation'!J293</f>
        <v>96.610227380952352</v>
      </c>
      <c r="K329" s="29">
        <f>'Capex &amp; Depreciation'!K293</f>
        <v>93.035799999999966</v>
      </c>
      <c r="L329" s="29">
        <f>'Capex &amp; Depreciation'!L293</f>
        <v>84.175247619047582</v>
      </c>
      <c r="M329" s="29">
        <f>'Capex &amp; Depreciation'!M293</f>
        <v>75.314695238095197</v>
      </c>
      <c r="N329" s="29">
        <f>'Capex &amp; Depreciation'!N293</f>
        <v>66.454142857142813</v>
      </c>
      <c r="O329" s="29">
        <f>'Capex &amp; Depreciation'!O293</f>
        <v>57.593590476190435</v>
      </c>
      <c r="P329" s="29">
        <f>'Capex &amp; Depreciation'!P293</f>
        <v>48.733038095238058</v>
      </c>
      <c r="Q329" s="29">
        <f>'Capex &amp; Depreciation'!Q293</f>
        <v>39.872485714285681</v>
      </c>
      <c r="R329" s="29">
        <f>'Capex &amp; Depreciation'!R293</f>
        <v>36.54977857142854</v>
      </c>
      <c r="S329" s="29">
        <f>'Capex &amp; Depreciation'!S293</f>
        <v>33.227071428571399</v>
      </c>
      <c r="T329" s="29">
        <f>'Capex &amp; Depreciation'!T293</f>
        <v>29.904364285714259</v>
      </c>
    </row>
    <row r="330" spans="2:20" x14ac:dyDescent="0.25">
      <c r="B330" s="23" t="s">
        <v>3339</v>
      </c>
      <c r="C330" s="28" t="s">
        <v>493</v>
      </c>
      <c r="G330" s="159">
        <v>0</v>
      </c>
      <c r="H330" s="29">
        <f>'Working Capital'!H45</f>
        <v>0</v>
      </c>
      <c r="I330" s="29">
        <f>'Working Capital'!I45</f>
        <v>0</v>
      </c>
      <c r="J330" s="29">
        <f>'Working Capital'!J45</f>
        <v>5.9301369863013695</v>
      </c>
      <c r="K330" s="29">
        <f>'Working Capital'!K45</f>
        <v>5.9301369863013695</v>
      </c>
      <c r="L330" s="29">
        <f>'Working Capital'!L45</f>
        <v>5.9139344262295079</v>
      </c>
      <c r="M330" s="29">
        <f>'Working Capital'!M45</f>
        <v>6.339156164383561</v>
      </c>
      <c r="N330" s="29">
        <f>'Working Capital'!N45</f>
        <v>6.339156164383561</v>
      </c>
      <c r="O330" s="29">
        <f>'Working Capital'!O45</f>
        <v>6.339156164383561</v>
      </c>
      <c r="P330" s="29">
        <f>'Working Capital'!P45</f>
        <v>6.3218360655737706</v>
      </c>
      <c r="Q330" s="29">
        <f>'Working Capital'!Q45</f>
        <v>6.7769013106849316</v>
      </c>
      <c r="R330" s="29">
        <f>'Working Capital'!R45</f>
        <v>6.7769013106849316</v>
      </c>
      <c r="S330" s="29">
        <f>'Working Capital'!S45</f>
        <v>6.7769013106849316</v>
      </c>
      <c r="T330" s="29">
        <f>'Working Capital'!T45</f>
        <v>6.7583851868852465</v>
      </c>
    </row>
    <row r="331" spans="2:20" x14ac:dyDescent="0.25">
      <c r="B331" s="23" t="s">
        <v>3340</v>
      </c>
      <c r="C331" s="28" t="s">
        <v>493</v>
      </c>
      <c r="G331" s="159">
        <v>0</v>
      </c>
      <c r="H331" s="159">
        <f>-'Working Capital'!H46</f>
        <v>0</v>
      </c>
      <c r="I331" s="159">
        <f>-'Working Capital'!I46</f>
        <v>0</v>
      </c>
      <c r="J331" s="159">
        <f>-'Working Capital'!J46</f>
        <v>0</v>
      </c>
      <c r="K331" s="159">
        <f>-'Working Capital'!K46</f>
        <v>0</v>
      </c>
      <c r="L331" s="159">
        <f>-'Working Capital'!L46</f>
        <v>0</v>
      </c>
      <c r="M331" s="159">
        <f>-'Working Capital'!M46</f>
        <v>0</v>
      </c>
      <c r="N331" s="159">
        <f>-'Working Capital'!N46</f>
        <v>0</v>
      </c>
      <c r="O331" s="159">
        <f>-'Working Capital'!O46</f>
        <v>0</v>
      </c>
      <c r="P331" s="159">
        <f>-'Working Capital'!P46</f>
        <v>0</v>
      </c>
      <c r="Q331" s="159">
        <f>-'Working Capital'!Q46</f>
        <v>0</v>
      </c>
      <c r="R331" s="159">
        <f>-'Working Capital'!R46</f>
        <v>0</v>
      </c>
      <c r="S331" s="159">
        <f>-'Working Capital'!S46</f>
        <v>0</v>
      </c>
      <c r="T331" s="159">
        <f>-'Working Capital'!T46</f>
        <v>0</v>
      </c>
    </row>
    <row r="332" spans="2:20" x14ac:dyDescent="0.25">
      <c r="B332" s="21" t="s">
        <v>3341</v>
      </c>
      <c r="C332" s="28" t="s">
        <v>493</v>
      </c>
      <c r="G332" s="26">
        <f>'Capex &amp; Depreciation'!G293</f>
        <v>0</v>
      </c>
      <c r="H332" s="160">
        <f>'Capex &amp; Depreciation'!H293+'Working Capital'!H47</f>
        <v>0</v>
      </c>
      <c r="I332" s="160">
        <f>'Capex &amp; Depreciation'!I293+'Working Capital'!I47</f>
        <v>0</v>
      </c>
      <c r="J332" s="160">
        <f>'Capex &amp; Depreciation'!J293+'Working Capital'!J47</f>
        <v>102.54036436725372</v>
      </c>
      <c r="K332" s="160">
        <f>'Capex &amp; Depreciation'!K293+'Working Capital'!K47</f>
        <v>98.96593698630133</v>
      </c>
      <c r="L332" s="160">
        <f>'Capex &amp; Depreciation'!L293+'Working Capital'!L47</f>
        <v>90.089182045277084</v>
      </c>
      <c r="M332" s="160">
        <f>'Capex &amp; Depreciation'!M293+'Working Capital'!M47</f>
        <v>81.653851402478764</v>
      </c>
      <c r="N332" s="160">
        <f>'Capex &amp; Depreciation'!N293+'Working Capital'!N47</f>
        <v>72.79329902152638</v>
      </c>
      <c r="O332" s="160">
        <f>'Capex &amp; Depreciation'!O293+'Working Capital'!O47</f>
        <v>63.932746640573995</v>
      </c>
      <c r="P332" s="160">
        <f>'Capex &amp; Depreciation'!P293+'Working Capital'!P47</f>
        <v>55.054874160811828</v>
      </c>
      <c r="Q332" s="160">
        <f>'Capex &amp; Depreciation'!Q293+'Working Capital'!Q47</f>
        <v>46.649387024970615</v>
      </c>
      <c r="R332" s="160">
        <f>'Capex &amp; Depreciation'!R293+'Working Capital'!R47</f>
        <v>43.326679882113474</v>
      </c>
      <c r="S332" s="160">
        <f>'Capex &amp; Depreciation'!S293+'Working Capital'!S47</f>
        <v>40.003972739256334</v>
      </c>
      <c r="T332" s="160">
        <f>'Capex &amp; Depreciation'!T293+'Working Capital'!T47</f>
        <v>36.662749472599508</v>
      </c>
    </row>
    <row r="333" spans="2:20" x14ac:dyDescent="0.25">
      <c r="B333" s="163" t="s">
        <v>3342</v>
      </c>
    </row>
    <row r="334" spans="2:20" x14ac:dyDescent="0.25">
      <c r="B334" s="23" t="s">
        <v>3221</v>
      </c>
      <c r="C334" s="28" t="s">
        <v>493</v>
      </c>
      <c r="H334" s="29">
        <f>'Project Cash Flows'!H159</f>
        <v>0</v>
      </c>
      <c r="I334" s="29">
        <f>'Project Cash Flows'!I159</f>
        <v>0</v>
      </c>
      <c r="J334" s="29">
        <f>'Project Cash Flows'!J159</f>
        <v>25.750817431877248</v>
      </c>
      <c r="K334" s="29">
        <f>'Project Cash Flows'!K159</f>
        <v>25.239143428419755</v>
      </c>
      <c r="L334" s="29">
        <f>'Project Cash Flows'!L159</f>
        <v>24.714677574875843</v>
      </c>
      <c r="M334" s="29">
        <f>'Project Cash Flows'!M159</f>
        <v>27.049422815567464</v>
      </c>
      <c r="N334" s="29">
        <f>'Project Cash Flows'!N159</f>
        <v>26.051324407661717</v>
      </c>
      <c r="O334" s="29">
        <f>'Project Cash Flows'!O159</f>
        <v>25.696264621595105</v>
      </c>
      <c r="P334" s="29">
        <f>'Project Cash Flows'!P159</f>
        <v>25.107839534618574</v>
      </c>
      <c r="Q334" s="29">
        <f>'Project Cash Flows'!Q159</f>
        <v>27.554523579283629</v>
      </c>
      <c r="R334" s="29">
        <f>'Project Cash Flows'!R159</f>
        <v>26.926015128449325</v>
      </c>
      <c r="S334" s="29">
        <f>'Project Cash Flows'!S159</f>
        <v>25.843606347303687</v>
      </c>
      <c r="T334" s="29">
        <f>'Project Cash Flows'!T159</f>
        <v>25.577648513282274</v>
      </c>
    </row>
    <row r="335" spans="2:20" x14ac:dyDescent="0.25">
      <c r="B335" s="23" t="s">
        <v>3343</v>
      </c>
      <c r="C335" s="28" t="s">
        <v>493</v>
      </c>
      <c r="H335" s="29">
        <f>'Project Cash Flows'!H164</f>
        <v>0</v>
      </c>
      <c r="I335" s="29">
        <f>'Project Cash Flows'!I164</f>
        <v>0</v>
      </c>
      <c r="J335" s="29">
        <f>'Project Cash Flows'!J164</f>
        <v>-3.7158583112034709</v>
      </c>
      <c r="K335" s="29">
        <f>'Project Cash Flows'!K164</f>
        <v>-3.6032900304428224</v>
      </c>
      <c r="L335" s="29">
        <f>'Project Cash Flows'!L164</f>
        <v>-3.4879075426631618</v>
      </c>
      <c r="M335" s="29">
        <f>'Project Cash Flows'!M164</f>
        <v>-4.0015514956153186</v>
      </c>
      <c r="N335" s="29">
        <f>'Project Cash Flows'!N164</f>
        <v>-3.7819698458760547</v>
      </c>
      <c r="O335" s="29">
        <f>'Project Cash Flows'!O164</f>
        <v>-3.7038566929414003</v>
      </c>
      <c r="P335" s="29">
        <f>'Project Cash Flows'!P164</f>
        <v>-3.5744031738065623</v>
      </c>
      <c r="Q335" s="29">
        <f>'Project Cash Flows'!Q164</f>
        <v>-4.1126736636328749</v>
      </c>
      <c r="R335" s="29">
        <f>'Project Cash Flows'!R164</f>
        <v>-5.1927277568302808</v>
      </c>
      <c r="S335" s="29">
        <f>'Project Cash Flows'!S164</f>
        <v>-4.9545978249782401</v>
      </c>
      <c r="T335" s="29">
        <f>'Project Cash Flows'!T164</f>
        <v>-4.8960871014935297</v>
      </c>
    </row>
    <row r="336" spans="2:20" x14ac:dyDescent="0.25">
      <c r="B336" s="23" t="s">
        <v>3227</v>
      </c>
      <c r="C336" s="28" t="s">
        <v>493</v>
      </c>
      <c r="H336" s="29">
        <f>'Project Cash Flows'!H165</f>
        <v>0</v>
      </c>
      <c r="I336" s="29">
        <f>'Project Cash Flows'!I165</f>
        <v>0</v>
      </c>
      <c r="J336" s="29">
        <f>'Project Cash Flows'!J165</f>
        <v>-105.47077976190474</v>
      </c>
      <c r="K336" s="29">
        <f>'Project Cash Flows'!K165</f>
        <v>-5.2861249999999975</v>
      </c>
      <c r="L336" s="29">
        <f>'Project Cash Flows'!L165</f>
        <v>0</v>
      </c>
      <c r="M336" s="29">
        <f>'Project Cash Flows'!M165</f>
        <v>0</v>
      </c>
      <c r="N336" s="29">
        <f>'Project Cash Flows'!N165</f>
        <v>0</v>
      </c>
      <c r="O336" s="29">
        <f>'Project Cash Flows'!O165</f>
        <v>0</v>
      </c>
      <c r="P336" s="29">
        <f>'Project Cash Flows'!P165</f>
        <v>0</v>
      </c>
      <c r="Q336" s="29">
        <f>'Project Cash Flows'!Q165</f>
        <v>0</v>
      </c>
      <c r="R336" s="29">
        <f>'Project Cash Flows'!R165</f>
        <v>0</v>
      </c>
      <c r="S336" s="29">
        <f>'Project Cash Flows'!S165</f>
        <v>0</v>
      </c>
      <c r="T336" s="29">
        <f>'Project Cash Flows'!T165</f>
        <v>0</v>
      </c>
    </row>
    <row r="337" spans="2:20" x14ac:dyDescent="0.25">
      <c r="B337" s="23" t="s">
        <v>3228</v>
      </c>
      <c r="C337" s="28" t="s">
        <v>493</v>
      </c>
      <c r="H337" s="29">
        <f>'Project Cash Flows'!H166</f>
        <v>0</v>
      </c>
      <c r="I337" s="29">
        <f>'Project Cash Flows'!I166</f>
        <v>0</v>
      </c>
      <c r="J337" s="29">
        <f>'Project Cash Flows'!J166</f>
        <v>-5.9301369863013695</v>
      </c>
      <c r="K337" s="29">
        <f>'Project Cash Flows'!K166</f>
        <v>0</v>
      </c>
      <c r="L337" s="29">
        <f>'Project Cash Flows'!L166</f>
        <v>1.6202560071861605E-2</v>
      </c>
      <c r="M337" s="29">
        <f>'Project Cash Flows'!M166</f>
        <v>-0.42522173815405306</v>
      </c>
      <c r="N337" s="29">
        <f>'Project Cash Flows'!N166</f>
        <v>0</v>
      </c>
      <c r="O337" s="29">
        <f>'Project Cash Flows'!O166</f>
        <v>0</v>
      </c>
      <c r="P337" s="29">
        <f>'Project Cash Flows'!P166</f>
        <v>1.7320098809790352E-2</v>
      </c>
      <c r="Q337" s="29">
        <f>'Project Cash Flows'!Q166</f>
        <v>-0.45506524511116098</v>
      </c>
      <c r="R337" s="29">
        <f>'Project Cash Flows'!R166</f>
        <v>0</v>
      </c>
      <c r="S337" s="29">
        <f>'Project Cash Flows'!S166</f>
        <v>0</v>
      </c>
      <c r="T337" s="29">
        <f>'Project Cash Flows'!T166</f>
        <v>1.8516123799685147E-2</v>
      </c>
    </row>
    <row r="338" spans="2:20" x14ac:dyDescent="0.25">
      <c r="B338" s="21" t="s">
        <v>3344</v>
      </c>
      <c r="C338" s="28" t="s">
        <v>493</v>
      </c>
      <c r="H338" s="26">
        <f>'Project Cash Flows'!H167</f>
        <v>0</v>
      </c>
      <c r="I338" s="26">
        <f>'Project Cash Flows'!I167</f>
        <v>0</v>
      </c>
      <c r="J338" s="26">
        <f>'Project Cash Flows'!J167</f>
        <v>-89.365957627532325</v>
      </c>
      <c r="K338" s="26">
        <f>'Project Cash Flows'!K167</f>
        <v>16.349728397976936</v>
      </c>
      <c r="L338" s="26">
        <f>'Project Cash Flows'!L167</f>
        <v>21.242972592284541</v>
      </c>
      <c r="M338" s="26">
        <f>'Project Cash Flows'!M167</f>
        <v>22.62264958179809</v>
      </c>
      <c r="N338" s="26">
        <f>'Project Cash Flows'!N167</f>
        <v>22.269354561785661</v>
      </c>
      <c r="O338" s="26">
        <f>'Project Cash Flows'!O167</f>
        <v>21.992407928653705</v>
      </c>
      <c r="P338" s="26">
        <f>'Project Cash Flows'!P167</f>
        <v>21.550756459621802</v>
      </c>
      <c r="Q338" s="26">
        <f>'Project Cash Flows'!Q167</f>
        <v>22.986784670539592</v>
      </c>
      <c r="R338" s="26">
        <f>'Project Cash Flows'!R167</f>
        <v>21.733287371619046</v>
      </c>
      <c r="S338" s="26">
        <f>'Project Cash Flows'!S167</f>
        <v>20.889008522325447</v>
      </c>
      <c r="T338" s="26">
        <f>'Project Cash Flows'!T167</f>
        <v>20.700077535588427</v>
      </c>
    </row>
    <row r="339" spans="2:20" x14ac:dyDescent="0.25">
      <c r="B339" s="23" t="s">
        <v>3345</v>
      </c>
      <c r="C339" s="28" t="s">
        <v>493</v>
      </c>
      <c r="G339" s="29">
        <f>'Project Cash Flows'!G170</f>
        <v>0</v>
      </c>
      <c r="H339" s="29">
        <f>'Project Cash Flows'!H170</f>
        <v>0</v>
      </c>
      <c r="I339" s="29">
        <f>'Project Cash Flows'!I170</f>
        <v>0</v>
      </c>
      <c r="J339" s="29">
        <f>'Project Cash Flows'!J170</f>
        <v>-89.365957627532325</v>
      </c>
      <c r="K339" s="29">
        <f>'Project Cash Flows'!K170</f>
        <v>-73.016229229555393</v>
      </c>
      <c r="L339" s="29">
        <f>'Project Cash Flows'!L170</f>
        <v>-51.773256637270848</v>
      </c>
      <c r="M339" s="29">
        <f>'Project Cash Flows'!M170</f>
        <v>-29.150607055472758</v>
      </c>
      <c r="N339" s="29">
        <f>'Project Cash Flows'!N170</f>
        <v>-6.8812524936870965</v>
      </c>
      <c r="O339" s="29">
        <f>'Project Cash Flows'!O170</f>
        <v>15.111155434966609</v>
      </c>
      <c r="P339" s="29">
        <f>'Project Cash Flows'!P170</f>
        <v>36.661911894588414</v>
      </c>
      <c r="Q339" s="29">
        <f>'Project Cash Flows'!Q170</f>
        <v>59.648696565128006</v>
      </c>
      <c r="R339" s="29">
        <f>'Project Cash Flows'!R170</f>
        <v>81.381983936747048</v>
      </c>
      <c r="S339" s="29">
        <f>'Project Cash Flows'!S170</f>
        <v>102.27099245907249</v>
      </c>
      <c r="T339" s="29">
        <f>'Project Cash Flows'!T170</f>
        <v>122.97106999466092</v>
      </c>
    </row>
    <row r="340" spans="2:20" x14ac:dyDescent="0.25">
      <c r="B340" s="163" t="s">
        <v>3346</v>
      </c>
    </row>
    <row r="341" spans="2:20" x14ac:dyDescent="0.25">
      <c r="B341" s="23" t="s">
        <v>3363</v>
      </c>
      <c r="C341" s="28" t="s">
        <v>806</v>
      </c>
      <c r="G341" s="34">
        <f>'Capex &amp; Depreciation'!G12</f>
        <v>0</v>
      </c>
      <c r="H341" s="34">
        <f>'Capex &amp; Depreciation'!H12</f>
        <v>0</v>
      </c>
      <c r="I341" s="34">
        <f>'Capex &amp; Depreciation'!I12</f>
        <v>0</v>
      </c>
      <c r="J341" s="34">
        <f>'Capex &amp; Depreciation'!J12</f>
        <v>6.4845238095238082</v>
      </c>
      <c r="K341" s="34">
        <f>'Capex &amp; Depreciation'!K12</f>
        <v>0.32499999999999984</v>
      </c>
      <c r="L341" s="34">
        <f>'Capex &amp; Depreciation'!L12</f>
        <v>0</v>
      </c>
      <c r="M341" s="34">
        <f>'Capex &amp; Depreciation'!M12</f>
        <v>0</v>
      </c>
      <c r="N341" s="34">
        <f>'Capex &amp; Depreciation'!N12</f>
        <v>0</v>
      </c>
      <c r="O341" s="34">
        <f>'Capex &amp; Depreciation'!O12</f>
        <v>0</v>
      </c>
      <c r="P341" s="34">
        <f>'Capex &amp; Depreciation'!P12</f>
        <v>0</v>
      </c>
      <c r="Q341" s="34">
        <f>'Capex &amp; Depreciation'!Q12</f>
        <v>0</v>
      </c>
      <c r="R341" s="34">
        <f>'Capex &amp; Depreciation'!R12</f>
        <v>0</v>
      </c>
      <c r="S341" s="34">
        <f>'Capex &amp; Depreciation'!S12</f>
        <v>0</v>
      </c>
      <c r="T341" s="34">
        <f>'Capex &amp; Depreciation'!T12</f>
        <v>0</v>
      </c>
    </row>
    <row r="342" spans="2:20" x14ac:dyDescent="0.25">
      <c r="B342" s="23" t="s">
        <v>3364</v>
      </c>
      <c r="C342" s="28" t="s">
        <v>493</v>
      </c>
      <c r="G342" s="29">
        <f>'Capex &amp; Depreciation'!G60</f>
        <v>0</v>
      </c>
      <c r="H342" s="29">
        <f>'Capex &amp; Depreciation'!H60</f>
        <v>0</v>
      </c>
      <c r="I342" s="29">
        <f>'Capex &amp; Depreciation'!I60</f>
        <v>0</v>
      </c>
      <c r="J342" s="29">
        <f>'Capex &amp; Depreciation'!J60</f>
        <v>105.47077976190474</v>
      </c>
      <c r="K342" s="29">
        <f>'Capex &amp; Depreciation'!K60</f>
        <v>5.2861249999999975</v>
      </c>
      <c r="L342" s="29">
        <f>'Capex &amp; Depreciation'!L60</f>
        <v>0</v>
      </c>
      <c r="M342" s="29">
        <f>'Capex &amp; Depreciation'!M60</f>
        <v>0</v>
      </c>
      <c r="N342" s="29">
        <f>'Capex &amp; Depreciation'!N60</f>
        <v>0</v>
      </c>
      <c r="O342" s="29">
        <f>'Capex &amp; Depreciation'!O60</f>
        <v>0</v>
      </c>
      <c r="P342" s="29">
        <f>'Capex &amp; Depreciation'!P60</f>
        <v>0</v>
      </c>
      <c r="Q342" s="29">
        <f>'Capex &amp; Depreciation'!Q60</f>
        <v>0</v>
      </c>
      <c r="R342" s="29">
        <f>'Capex &amp; Depreciation'!R60</f>
        <v>0</v>
      </c>
      <c r="S342" s="29">
        <f>'Capex &amp; Depreciation'!S60</f>
        <v>0</v>
      </c>
      <c r="T342" s="29">
        <f>'Capex &amp; Depreciation'!T60</f>
        <v>0</v>
      </c>
    </row>
    <row r="343" spans="2:20" ht="26.25" customHeight="1" x14ac:dyDescent="0.25">
      <c r="B343" s="64" t="s">
        <v>3365</v>
      </c>
      <c r="C343" s="28" t="s">
        <v>493</v>
      </c>
      <c r="H343" s="29">
        <f>'Funding Requirement'!H119</f>
        <v>0</v>
      </c>
      <c r="I343" s="29">
        <f>'Funding Requirement'!I119</f>
        <v>0</v>
      </c>
      <c r="J343" s="29">
        <f>'Funding Requirement'!J119</f>
        <v>89.365957627532325</v>
      </c>
      <c r="K343" s="29">
        <f>'Funding Requirement'!K119</f>
        <v>0</v>
      </c>
      <c r="L343" s="29">
        <f>'Funding Requirement'!L119</f>
        <v>0</v>
      </c>
      <c r="M343" s="29">
        <f>'Funding Requirement'!M119</f>
        <v>0</v>
      </c>
      <c r="N343" s="29">
        <f>'Funding Requirement'!N119</f>
        <v>0</v>
      </c>
      <c r="O343" s="29">
        <f>'Funding Requirement'!O119</f>
        <v>0</v>
      </c>
      <c r="P343" s="29">
        <f>'Funding Requirement'!P119</f>
        <v>0</v>
      </c>
      <c r="Q343" s="29">
        <f>'Funding Requirement'!Q119</f>
        <v>0</v>
      </c>
      <c r="R343" s="29">
        <f>'Funding Requirement'!R119</f>
        <v>0</v>
      </c>
      <c r="S343" s="29">
        <f>'Funding Requirement'!S119</f>
        <v>0</v>
      </c>
      <c r="T343" s="29">
        <f>'Funding Requirement'!T119</f>
        <v>0</v>
      </c>
    </row>
    <row r="344" spans="2:20" x14ac:dyDescent="0.25">
      <c r="B344" s="163" t="s">
        <v>3348</v>
      </c>
    </row>
    <row r="345" spans="2:20" x14ac:dyDescent="0.25">
      <c r="B345" s="44" t="s">
        <v>3349</v>
      </c>
      <c r="D345" s="204">
        <f>'Project Cash Flows'!$E$15</f>
        <v>187.50658422819535</v>
      </c>
      <c r="H345" s="44" t="s">
        <v>3176</v>
      </c>
      <c r="K345" s="205">
        <f>'Project Cash Flows'!$H$15</f>
        <v>2.9802322387695314E-9</v>
      </c>
      <c r="N345" s="44" t="s">
        <v>3350</v>
      </c>
      <c r="Q345" s="205" t="str">
        <f>'Project Cash Flows'!$I$15</f>
        <v>Not meaningful</v>
      </c>
    </row>
    <row r="346" spans="2:20" x14ac:dyDescent="0.25">
      <c r="B346" s="44" t="s">
        <v>3180</v>
      </c>
      <c r="D346" s="205" t="str">
        <f>'Project Cash Flows'!$L$15</f>
        <v>as project IRR</v>
      </c>
      <c r="H346" s="44" t="s">
        <v>3351</v>
      </c>
      <c r="K346" s="206">
        <f>'Project Cash Flows'!$J$15</f>
        <v>5.3128921815205867</v>
      </c>
      <c r="N346" s="44" t="s">
        <v>3179</v>
      </c>
      <c r="Q346" s="204">
        <f>'Project Cash Flows'!$K$15</f>
        <v>89.365957627532325</v>
      </c>
    </row>
    <row r="348" spans="2:20" x14ac:dyDescent="0.25">
      <c r="B348" s="58" t="s">
        <v>3377</v>
      </c>
      <c r="C348" s="19"/>
      <c r="D348" s="19"/>
      <c r="E348" s="19"/>
      <c r="F348" s="19"/>
      <c r="G348" s="19"/>
      <c r="H348" s="19"/>
      <c r="I348" s="19"/>
      <c r="J348" s="19"/>
      <c r="K348" s="19"/>
      <c r="L348" s="19"/>
      <c r="M348" s="19"/>
      <c r="N348" s="19"/>
      <c r="O348" s="19"/>
      <c r="P348" s="19"/>
      <c r="Q348" s="19"/>
      <c r="R348" s="19"/>
      <c r="S348" s="19"/>
      <c r="T348" s="19"/>
    </row>
    <row r="349" spans="2:20" x14ac:dyDescent="0.25">
      <c r="B349" s="70" t="s">
        <v>1690</v>
      </c>
      <c r="D349" s="130" t="str">
        <f>Inputs!$I$69</f>
        <v>Included - both cases</v>
      </c>
      <c r="M349" s="202" t="s">
        <v>3323</v>
      </c>
      <c r="N349" s="203">
        <f>Inputs!$H$69</f>
        <v>1</v>
      </c>
    </row>
    <row r="350" spans="2:20" x14ac:dyDescent="0.25">
      <c r="B350" s="163" t="s">
        <v>3324</v>
      </c>
    </row>
    <row r="351" spans="2:20" x14ac:dyDescent="0.25">
      <c r="B351" s="23" t="s">
        <v>3353</v>
      </c>
      <c r="C351" s="28" t="s">
        <v>630</v>
      </c>
      <c r="H351" s="48">
        <f>'Revenue Calculation'!H126</f>
        <v>0</v>
      </c>
      <c r="I351" s="48">
        <f>'Revenue Calculation'!I126</f>
        <v>0</v>
      </c>
      <c r="J351" s="48">
        <f>'Revenue Calculation'!J126</f>
        <v>0</v>
      </c>
      <c r="K351" s="48">
        <f>'Revenue Calculation'!K126</f>
        <v>0</v>
      </c>
      <c r="L351" s="48">
        <f>'Revenue Calculation'!L126</f>
        <v>1600000</v>
      </c>
      <c r="M351" s="48">
        <f>'Revenue Calculation'!M126</f>
        <v>1760000.0000000002</v>
      </c>
      <c r="N351" s="48">
        <f>'Revenue Calculation'!N126</f>
        <v>1936000.0000000002</v>
      </c>
      <c r="O351" s="48">
        <f>'Revenue Calculation'!O126</f>
        <v>2129600.0000000005</v>
      </c>
      <c r="P351" s="48">
        <f>'Revenue Calculation'!P126</f>
        <v>2257376.0000000009</v>
      </c>
      <c r="Q351" s="48">
        <f>'Revenue Calculation'!Q126</f>
        <v>2392818.560000001</v>
      </c>
      <c r="R351" s="48">
        <f>'Revenue Calculation'!R126</f>
        <v>2536387.6736000013</v>
      </c>
      <c r="S351" s="48">
        <f>'Revenue Calculation'!S126</f>
        <v>2688570.9340160014</v>
      </c>
      <c r="T351" s="48">
        <f>'Revenue Calculation'!T126</f>
        <v>2849885.190056962</v>
      </c>
    </row>
    <row r="352" spans="2:20" x14ac:dyDescent="0.25">
      <c r="B352" s="23" t="s">
        <v>3378</v>
      </c>
      <c r="C352" s="28" t="s">
        <v>647</v>
      </c>
      <c r="H352" s="48">
        <f>'Revenue Calculation'!H127</f>
        <v>0</v>
      </c>
      <c r="I352" s="48">
        <f>'Revenue Calculation'!I127</f>
        <v>0</v>
      </c>
      <c r="J352" s="48">
        <f>'Revenue Calculation'!J127</f>
        <v>0</v>
      </c>
      <c r="K352" s="48">
        <f>'Revenue Calculation'!K127</f>
        <v>0</v>
      </c>
      <c r="L352" s="48">
        <f>'Revenue Calculation'!L127</f>
        <v>36411.149742396497</v>
      </c>
      <c r="M352" s="48">
        <f>'Revenue Calculation'!M127</f>
        <v>43693.379690875903</v>
      </c>
      <c r="N352" s="48">
        <f>'Revenue Calculation'!N127</f>
        <v>43693.379690875903</v>
      </c>
      <c r="O352" s="48">
        <f>'Revenue Calculation'!O127</f>
        <v>48062.717659963397</v>
      </c>
      <c r="P352" s="48">
        <f>'Revenue Calculation'!P127</f>
        <v>48062.717659963397</v>
      </c>
      <c r="Q352" s="48">
        <f>'Revenue Calculation'!Q127</f>
        <v>50946.480719561201</v>
      </c>
      <c r="R352" s="48">
        <f>'Revenue Calculation'!R127</f>
        <v>50946.480719561201</v>
      </c>
      <c r="S352" s="48">
        <f>'Revenue Calculation'!S127</f>
        <v>54003.269562734902</v>
      </c>
      <c r="T352" s="48">
        <f>'Revenue Calculation'!T127</f>
        <v>54003.269562734902</v>
      </c>
    </row>
    <row r="353" spans="2:20" x14ac:dyDescent="0.25">
      <c r="B353" s="163" t="s">
        <v>3328</v>
      </c>
    </row>
    <row r="354" spans="2:20" x14ac:dyDescent="0.25">
      <c r="B354" s="21" t="s">
        <v>3329</v>
      </c>
      <c r="C354" s="28" t="s">
        <v>493</v>
      </c>
      <c r="H354" s="26">
        <f>'Revenue Calculation'!H129</f>
        <v>0</v>
      </c>
      <c r="I354" s="26">
        <f>'Revenue Calculation'!I129</f>
        <v>0</v>
      </c>
      <c r="J354" s="26">
        <f>'Revenue Calculation'!J129</f>
        <v>0</v>
      </c>
      <c r="K354" s="26">
        <f>'Revenue Calculation'!K129</f>
        <v>0</v>
      </c>
      <c r="L354" s="26">
        <f>'Revenue Calculation'!L129</f>
        <v>58.257839587834397</v>
      </c>
      <c r="M354" s="26">
        <f>'Revenue Calculation'!M129</f>
        <v>76.900348255941608</v>
      </c>
      <c r="N354" s="26">
        <f>'Revenue Calculation'!N129</f>
        <v>84.590383081535748</v>
      </c>
      <c r="O354" s="26">
        <f>'Revenue Calculation'!O129</f>
        <v>102.35436352865807</v>
      </c>
      <c r="P354" s="26">
        <f>'Revenue Calculation'!P129</f>
        <v>108.49562534037757</v>
      </c>
      <c r="Q354" s="26">
        <f>'Revenue Calculation'!Q129</f>
        <v>121.90568463244824</v>
      </c>
      <c r="R354" s="26">
        <f>'Revenue Calculation'!R129</f>
        <v>129.22002571039516</v>
      </c>
      <c r="S354" s="26">
        <f>'Revenue Calculation'!S129</f>
        <v>145.19162088820008</v>
      </c>
      <c r="T354" s="26">
        <f>'Revenue Calculation'!T129</f>
        <v>153.90311814149209</v>
      </c>
    </row>
    <row r="355" spans="2:20" x14ac:dyDescent="0.25">
      <c r="B355" s="23" t="s">
        <v>3330</v>
      </c>
      <c r="C355" s="28" t="s">
        <v>493</v>
      </c>
      <c r="H355" s="159">
        <f>-'Cost Calculation'!H155</f>
        <v>0</v>
      </c>
      <c r="I355" s="159">
        <f>-'Cost Calculation'!I155</f>
        <v>0</v>
      </c>
      <c r="J355" s="159">
        <f>-'Cost Calculation'!J155</f>
        <v>0</v>
      </c>
      <c r="K355" s="159">
        <f>-'Cost Calculation'!K155</f>
        <v>0</v>
      </c>
      <c r="L355" s="159">
        <f>-'Cost Calculation'!L155</f>
        <v>-15.060366036570924</v>
      </c>
      <c r="M355" s="159">
        <f>-'Cost Calculation'!M155</f>
        <v>-18.293330967567442</v>
      </c>
      <c r="N355" s="159">
        <f>-'Cost Calculation'!N155</f>
        <v>-20.331384195423436</v>
      </c>
      <c r="O355" s="159">
        <f>-'Cost Calculation'!O155</f>
        <v>-23.455629098209837</v>
      </c>
      <c r="P355" s="159">
        <f>-'Cost Calculation'!P155</f>
        <v>-25.179645829240791</v>
      </c>
      <c r="Q355" s="159">
        <f>-'Cost Calculation'!Q155</f>
        <v>-26.987302524079226</v>
      </c>
      <c r="R355" s="159">
        <f>-'Cost Calculation'!R155</f>
        <v>-28.932476872844543</v>
      </c>
      <c r="S355" s="159">
        <f>-'Cost Calculation'!S155</f>
        <v>-32.887630952372412</v>
      </c>
      <c r="T355" s="159">
        <f>-'Cost Calculation'!T155</f>
        <v>-35.276654045694144</v>
      </c>
    </row>
    <row r="356" spans="2:20" x14ac:dyDescent="0.25">
      <c r="B356" s="23" t="s">
        <v>3331</v>
      </c>
      <c r="C356" s="28" t="s">
        <v>493</v>
      </c>
      <c r="H356" s="159">
        <f>-'Cost Calculation'!H156</f>
        <v>0</v>
      </c>
      <c r="I356" s="159">
        <f>-'Cost Calculation'!I156</f>
        <v>0</v>
      </c>
      <c r="J356" s="159">
        <f>-'Cost Calculation'!J156</f>
        <v>0</v>
      </c>
      <c r="K356" s="159">
        <f>-'Cost Calculation'!K156</f>
        <v>0</v>
      </c>
      <c r="L356" s="159">
        <f>-'Cost Calculation'!L156</f>
        <v>-10.091454118495877</v>
      </c>
      <c r="M356" s="159">
        <f>-'Cost Calculation'!M156</f>
        <v>-12.135871994283461</v>
      </c>
      <c r="N356" s="159">
        <f>-'Cost Calculation'!N156</f>
        <v>-13.378373539314355</v>
      </c>
      <c r="O356" s="159">
        <f>-'Cost Calculation'!O156</f>
        <v>-15.304745477403898</v>
      </c>
      <c r="P356" s="159">
        <f>-'Cost Calculation'!P156</f>
        <v>-16.258440915252198</v>
      </c>
      <c r="Q356" s="159">
        <f>-'Cost Calculation'!Q156</f>
        <v>-17.271708621838521</v>
      </c>
      <c r="R356" s="159">
        <f>-'Cost Calculation'!R156</f>
        <v>-18.348278232607907</v>
      </c>
      <c r="S356" s="159">
        <f>-'Cost Calculation'!S156</f>
        <v>-20.661640189328775</v>
      </c>
      <c r="T356" s="159">
        <f>-'Cost Calculation'!T156</f>
        <v>-21.949872022071517</v>
      </c>
    </row>
    <row r="357" spans="2:20" x14ac:dyDescent="0.25">
      <c r="B357" s="21" t="s">
        <v>3221</v>
      </c>
      <c r="C357" s="28" t="s">
        <v>493</v>
      </c>
      <c r="H357" s="26">
        <f>'Cost Calculation'!H157</f>
        <v>0</v>
      </c>
      <c r="I357" s="26">
        <f>'Cost Calculation'!I157</f>
        <v>0</v>
      </c>
      <c r="J357" s="26">
        <f>'Cost Calculation'!J157</f>
        <v>0</v>
      </c>
      <c r="K357" s="26">
        <f>'Cost Calculation'!K157</f>
        <v>0</v>
      </c>
      <c r="L357" s="26">
        <f>'Cost Calculation'!L157</f>
        <v>33.106019432767596</v>
      </c>
      <c r="M357" s="26">
        <f>'Cost Calculation'!M157</f>
        <v>46.471145294090704</v>
      </c>
      <c r="N357" s="26">
        <f>'Cost Calculation'!N157</f>
        <v>50.880625346797956</v>
      </c>
      <c r="O357" s="26">
        <f>'Cost Calculation'!O157</f>
        <v>63.593988953044331</v>
      </c>
      <c r="P357" s="26">
        <f>'Cost Calculation'!P157</f>
        <v>67.057538595884594</v>
      </c>
      <c r="Q357" s="26">
        <f>'Cost Calculation'!Q157</f>
        <v>77.646673486530489</v>
      </c>
      <c r="R357" s="26">
        <f>'Cost Calculation'!R157</f>
        <v>81.939270604942706</v>
      </c>
      <c r="S357" s="26">
        <f>'Cost Calculation'!S157</f>
        <v>91.642349746498894</v>
      </c>
      <c r="T357" s="26">
        <f>'Cost Calculation'!T157</f>
        <v>96.676592073726425</v>
      </c>
    </row>
    <row r="358" spans="2:20" x14ac:dyDescent="0.25">
      <c r="B358" s="23" t="s">
        <v>3332</v>
      </c>
      <c r="C358" s="28" t="s">
        <v>493</v>
      </c>
      <c r="H358" s="159">
        <f>-'Capex &amp; Depreciation'!H240</f>
        <v>0</v>
      </c>
      <c r="I358" s="159">
        <f>-'Capex &amp; Depreciation'!I240</f>
        <v>0</v>
      </c>
      <c r="J358" s="159">
        <f>-'Capex &amp; Depreciation'!J240</f>
        <v>0</v>
      </c>
      <c r="K358" s="159">
        <f>-'Capex &amp; Depreciation'!K240</f>
        <v>0</v>
      </c>
      <c r="L358" s="159">
        <f>-'Capex &amp; Depreciation'!L240</f>
        <v>-7.1509375000000039</v>
      </c>
      <c r="M358" s="159">
        <f>-'Capex &amp; Depreciation'!M240</f>
        <v>-7.1509375000000039</v>
      </c>
      <c r="N358" s="159">
        <f>-'Capex &amp; Depreciation'!N240</f>
        <v>-7.1509375000000039</v>
      </c>
      <c r="O358" s="159">
        <f>-'Capex &amp; Depreciation'!O240</f>
        <v>-7.1509375000000039</v>
      </c>
      <c r="P358" s="159">
        <f>-'Capex &amp; Depreciation'!P240</f>
        <v>-7.1509375000000039</v>
      </c>
      <c r="Q358" s="159">
        <f>-'Capex &amp; Depreciation'!Q240</f>
        <v>-7.1509375000000039</v>
      </c>
      <c r="R358" s="159">
        <f>-'Capex &amp; Depreciation'!R240</f>
        <v>-7.1509375000000039</v>
      </c>
      <c r="S358" s="159">
        <f>-'Capex &amp; Depreciation'!S240</f>
        <v>-7.1509375000000039</v>
      </c>
      <c r="T358" s="159">
        <f>-'Capex &amp; Depreciation'!T240</f>
        <v>-7.1509375000000039</v>
      </c>
    </row>
    <row r="359" spans="2:20" x14ac:dyDescent="0.25">
      <c r="B359" s="21" t="s">
        <v>3333</v>
      </c>
      <c r="C359" s="28" t="s">
        <v>493</v>
      </c>
      <c r="H359" s="26">
        <f>'Project Cash Flows'!H173</f>
        <v>0</v>
      </c>
      <c r="I359" s="26">
        <f>'Project Cash Flows'!I173</f>
        <v>0</v>
      </c>
      <c r="J359" s="26">
        <f>'Project Cash Flows'!J173</f>
        <v>0</v>
      </c>
      <c r="K359" s="26">
        <f>'Project Cash Flows'!K173</f>
        <v>0</v>
      </c>
      <c r="L359" s="26">
        <f>'Project Cash Flows'!L173</f>
        <v>25.955081932767591</v>
      </c>
      <c r="M359" s="26">
        <f>'Project Cash Flows'!M173</f>
        <v>39.320207794090699</v>
      </c>
      <c r="N359" s="26">
        <f>'Project Cash Flows'!N173</f>
        <v>43.729687846797951</v>
      </c>
      <c r="O359" s="26">
        <f>'Project Cash Flows'!O173</f>
        <v>56.443051453044326</v>
      </c>
      <c r="P359" s="26">
        <f>'Project Cash Flows'!P173</f>
        <v>59.906601095884589</v>
      </c>
      <c r="Q359" s="26">
        <f>'Project Cash Flows'!Q173</f>
        <v>70.495735986530491</v>
      </c>
      <c r="R359" s="26">
        <f>'Project Cash Flows'!R173</f>
        <v>74.788333104942708</v>
      </c>
      <c r="S359" s="26">
        <f>'Project Cash Flows'!S173</f>
        <v>84.491412246498896</v>
      </c>
      <c r="T359" s="26">
        <f>'Project Cash Flows'!T173</f>
        <v>89.525654573726428</v>
      </c>
    </row>
    <row r="360" spans="2:20" x14ac:dyDescent="0.25">
      <c r="B360" s="23" t="s">
        <v>3334</v>
      </c>
      <c r="C360" s="28" t="s">
        <v>493</v>
      </c>
      <c r="H360" s="159">
        <f>-'Project Cash Flows'!H174</f>
        <v>0</v>
      </c>
      <c r="I360" s="159">
        <f>-'Project Cash Flows'!I174</f>
        <v>0</v>
      </c>
      <c r="J360" s="159">
        <f>-'Project Cash Flows'!J174</f>
        <v>0</v>
      </c>
      <c r="K360" s="159">
        <f>-'Project Cash Flows'!K174</f>
        <v>0</v>
      </c>
      <c r="L360" s="159">
        <f>-'Project Cash Flows'!L174</f>
        <v>0</v>
      </c>
      <c r="M360" s="159">
        <f>-'Project Cash Flows'!M174</f>
        <v>0</v>
      </c>
      <c r="N360" s="159">
        <f>-'Project Cash Flows'!N174</f>
        <v>0</v>
      </c>
      <c r="O360" s="159">
        <f>-'Project Cash Flows'!O174</f>
        <v>0</v>
      </c>
      <c r="P360" s="159">
        <f>-'Project Cash Flows'!P174</f>
        <v>0</v>
      </c>
      <c r="Q360" s="159">
        <f>-'Project Cash Flows'!Q174</f>
        <v>0</v>
      </c>
      <c r="R360" s="159">
        <f>-'Project Cash Flows'!R174</f>
        <v>0</v>
      </c>
      <c r="S360" s="159">
        <f>-'Project Cash Flows'!S174</f>
        <v>0</v>
      </c>
      <c r="T360" s="159">
        <f>-'Project Cash Flows'!T174</f>
        <v>0</v>
      </c>
    </row>
    <row r="361" spans="2:20" x14ac:dyDescent="0.25">
      <c r="B361" s="23" t="s">
        <v>3335</v>
      </c>
      <c r="C361" s="28" t="s">
        <v>493</v>
      </c>
      <c r="H361" s="159">
        <f>-'Project Cash Flows'!H175</f>
        <v>0</v>
      </c>
      <c r="I361" s="159">
        <f>-'Project Cash Flows'!I175</f>
        <v>0</v>
      </c>
      <c r="J361" s="159">
        <f>-'Project Cash Flows'!J175</f>
        <v>0</v>
      </c>
      <c r="K361" s="159">
        <f>-'Project Cash Flows'!K175</f>
        <v>0</v>
      </c>
      <c r="L361" s="159">
        <f>-'Project Cash Flows'!L175</f>
        <v>-5.7101180252088701</v>
      </c>
      <c r="M361" s="159">
        <f>-'Project Cash Flows'!M175</f>
        <v>-8.6504457146999538</v>
      </c>
      <c r="N361" s="159">
        <f>-'Project Cash Flows'!N175</f>
        <v>-9.6205313262955485</v>
      </c>
      <c r="O361" s="159">
        <f>-'Project Cash Flows'!O175</f>
        <v>-12.417471319669751</v>
      </c>
      <c r="P361" s="159">
        <f>-'Project Cash Flows'!P175</f>
        <v>-13.17945224109461</v>
      </c>
      <c r="Q361" s="159">
        <f>-'Project Cash Flows'!Q175</f>
        <v>-15.509061917036709</v>
      </c>
      <c r="R361" s="159">
        <f>-'Project Cash Flows'!R175</f>
        <v>-16.453433283087396</v>
      </c>
      <c r="S361" s="159">
        <f>-'Project Cash Flows'!S175</f>
        <v>-18.588110694229758</v>
      </c>
      <c r="T361" s="159">
        <f>-'Project Cash Flows'!T175</f>
        <v>-19.695644006219815</v>
      </c>
    </row>
    <row r="362" spans="2:20" x14ac:dyDescent="0.25">
      <c r="B362" s="21" t="s">
        <v>3336</v>
      </c>
      <c r="C362" s="28" t="s">
        <v>493</v>
      </c>
      <c r="H362" s="26">
        <f>'Project Cash Flows'!H176</f>
        <v>0</v>
      </c>
      <c r="I362" s="26">
        <f>'Project Cash Flows'!I176</f>
        <v>0</v>
      </c>
      <c r="J362" s="26">
        <f>'Project Cash Flows'!J176</f>
        <v>0</v>
      </c>
      <c r="K362" s="26">
        <f>'Project Cash Flows'!K176</f>
        <v>0</v>
      </c>
      <c r="L362" s="26">
        <f>'Project Cash Flows'!L176</f>
        <v>20.24496390755872</v>
      </c>
      <c r="M362" s="26">
        <f>'Project Cash Flows'!M176</f>
        <v>30.669762079390743</v>
      </c>
      <c r="N362" s="26">
        <f>'Project Cash Flows'!N176</f>
        <v>34.109156520502403</v>
      </c>
      <c r="O362" s="26">
        <f>'Project Cash Flows'!O176</f>
        <v>44.025580133374575</v>
      </c>
      <c r="P362" s="26">
        <f>'Project Cash Flows'!P176</f>
        <v>46.727148854789981</v>
      </c>
      <c r="Q362" s="26">
        <f>'Project Cash Flows'!Q176</f>
        <v>54.98667406949378</v>
      </c>
      <c r="R362" s="26">
        <f>'Project Cash Flows'!R176</f>
        <v>58.334899821855316</v>
      </c>
      <c r="S362" s="26">
        <f>'Project Cash Flows'!S176</f>
        <v>65.903301552269141</v>
      </c>
      <c r="T362" s="26">
        <f>'Project Cash Flows'!T176</f>
        <v>69.830010567506605</v>
      </c>
    </row>
    <row r="363" spans="2:20" x14ac:dyDescent="0.25">
      <c r="B363" s="163" t="s">
        <v>3337</v>
      </c>
    </row>
    <row r="364" spans="2:20" x14ac:dyDescent="0.25">
      <c r="B364" s="23" t="s">
        <v>3338</v>
      </c>
      <c r="C364" s="28" t="s">
        <v>493</v>
      </c>
      <c r="G364" s="29">
        <f>'Capex &amp; Depreciation'!G294</f>
        <v>0</v>
      </c>
      <c r="H364" s="29">
        <f>'Capex &amp; Depreciation'!H294</f>
        <v>0</v>
      </c>
      <c r="I364" s="29">
        <f>'Capex &amp; Depreciation'!I294</f>
        <v>0</v>
      </c>
      <c r="J364" s="29">
        <f>'Capex &amp; Depreciation'!J294</f>
        <v>40.862500000000026</v>
      </c>
      <c r="K364" s="29">
        <f>'Capex &amp; Depreciation'!K294</f>
        <v>81.725000000000051</v>
      </c>
      <c r="L364" s="29">
        <f>'Capex &amp; Depreciation'!L294</f>
        <v>74.574062500000053</v>
      </c>
      <c r="M364" s="29">
        <f>'Capex &amp; Depreciation'!M294</f>
        <v>67.423125000000056</v>
      </c>
      <c r="N364" s="29">
        <f>'Capex &amp; Depreciation'!N294</f>
        <v>60.272187500000051</v>
      </c>
      <c r="O364" s="29">
        <f>'Capex &amp; Depreciation'!O294</f>
        <v>53.121250000000046</v>
      </c>
      <c r="P364" s="29">
        <f>'Capex &amp; Depreciation'!P294</f>
        <v>45.970312500000041</v>
      </c>
      <c r="Q364" s="29">
        <f>'Capex &amp; Depreciation'!Q294</f>
        <v>38.819375000000036</v>
      </c>
      <c r="R364" s="29">
        <f>'Capex &amp; Depreciation'!R294</f>
        <v>31.668437500000032</v>
      </c>
      <c r="S364" s="29">
        <f>'Capex &amp; Depreciation'!S294</f>
        <v>24.517500000000027</v>
      </c>
      <c r="T364" s="29">
        <f>'Capex &amp; Depreciation'!T294</f>
        <v>17.366562500000022</v>
      </c>
    </row>
    <row r="365" spans="2:20" x14ac:dyDescent="0.25">
      <c r="B365" s="23" t="s">
        <v>3339</v>
      </c>
      <c r="C365" s="28" t="s">
        <v>493</v>
      </c>
      <c r="G365" s="159">
        <v>0</v>
      </c>
      <c r="H365" s="29">
        <f>'Working Capital'!H49</f>
        <v>0</v>
      </c>
      <c r="I365" s="29">
        <f>'Working Capital'!I49</f>
        <v>0</v>
      </c>
      <c r="J365" s="29">
        <f>'Working Capital'!J49</f>
        <v>0</v>
      </c>
      <c r="K365" s="29">
        <f>'Working Capital'!K49</f>
        <v>0</v>
      </c>
      <c r="L365" s="29">
        <f>'Working Capital'!L49</f>
        <v>7.1628491296517698</v>
      </c>
      <c r="M365" s="29">
        <f>'Working Capital'!M49</f>
        <v>9.4808648534722533</v>
      </c>
      <c r="N365" s="29">
        <f>'Working Capital'!N49</f>
        <v>10.428951338819475</v>
      </c>
      <c r="O365" s="29">
        <f>'Working Capital'!O49</f>
        <v>12.619031119971543</v>
      </c>
      <c r="P365" s="29">
        <f>'Working Capital'!P49</f>
        <v>13.339626066439866</v>
      </c>
      <c r="Q365" s="29">
        <f>'Working Capital'!Q49</f>
        <v>15.029467968384029</v>
      </c>
      <c r="R365" s="29">
        <f>'Working Capital'!R49</f>
        <v>15.931236046487074</v>
      </c>
      <c r="S365" s="29">
        <f>'Working Capital'!S49</f>
        <v>17.900336821832887</v>
      </c>
      <c r="T365" s="29">
        <f>'Working Capital'!T49</f>
        <v>18.922514525593289</v>
      </c>
    </row>
    <row r="366" spans="2:20" x14ac:dyDescent="0.25">
      <c r="B366" s="23" t="s">
        <v>3340</v>
      </c>
      <c r="C366" s="28" t="s">
        <v>493</v>
      </c>
      <c r="G366" s="159">
        <v>0</v>
      </c>
      <c r="H366" s="159">
        <f>-'Working Capital'!H50</f>
        <v>0</v>
      </c>
      <c r="I366" s="159">
        <f>-'Working Capital'!I50</f>
        <v>0</v>
      </c>
      <c r="J366" s="159">
        <f>-'Working Capital'!J50</f>
        <v>0</v>
      </c>
      <c r="K366" s="159">
        <f>-'Working Capital'!K50</f>
        <v>0</v>
      </c>
      <c r="L366" s="159">
        <f>-'Working Capital'!L50</f>
        <v>-1.2344562325058135</v>
      </c>
      <c r="M366" s="159">
        <f>-'Working Capital'!M50</f>
        <v>-1.5035614493891047</v>
      </c>
      <c r="N366" s="159">
        <f>-'Working Capital'!N50</f>
        <v>-1.6710726735964467</v>
      </c>
      <c r="O366" s="159">
        <f>-'Working Capital'!O50</f>
        <v>-1.9278599258802604</v>
      </c>
      <c r="P366" s="159">
        <f>-'Working Capital'!P50</f>
        <v>-2.0639053958394094</v>
      </c>
      <c r="Q366" s="159">
        <f>-'Working Capital'!Q50</f>
        <v>-2.2181344540339092</v>
      </c>
      <c r="R366" s="159">
        <f>-'Working Capital'!R50</f>
        <v>-2.3780117977680448</v>
      </c>
      <c r="S366" s="159">
        <f>-'Working Capital'!S50</f>
        <v>-2.7030929549895131</v>
      </c>
      <c r="T366" s="159">
        <f>-'Working Capital'!T50</f>
        <v>-2.8915290201388641</v>
      </c>
    </row>
    <row r="367" spans="2:20" x14ac:dyDescent="0.25">
      <c r="B367" s="21" t="s">
        <v>3341</v>
      </c>
      <c r="C367" s="28" t="s">
        <v>493</v>
      </c>
      <c r="G367" s="26">
        <f>'Capex &amp; Depreciation'!G294</f>
        <v>0</v>
      </c>
      <c r="H367" s="160">
        <f>'Capex &amp; Depreciation'!H294+'Working Capital'!H51</f>
        <v>0</v>
      </c>
      <c r="I367" s="160">
        <f>'Capex &amp; Depreciation'!I294+'Working Capital'!I51</f>
        <v>0</v>
      </c>
      <c r="J367" s="160">
        <f>'Capex &amp; Depreciation'!J294+'Working Capital'!J51</f>
        <v>40.862500000000026</v>
      </c>
      <c r="K367" s="160">
        <f>'Capex &amp; Depreciation'!K294+'Working Capital'!K51</f>
        <v>81.725000000000051</v>
      </c>
      <c r="L367" s="160">
        <f>'Capex &amp; Depreciation'!L294+'Working Capital'!L51</f>
        <v>80.502455397146008</v>
      </c>
      <c r="M367" s="160">
        <f>'Capex &amp; Depreciation'!M294+'Working Capital'!M51</f>
        <v>75.4004284040832</v>
      </c>
      <c r="N367" s="160">
        <f>'Capex &amp; Depreciation'!N294+'Working Capital'!N51</f>
        <v>69.030066165223076</v>
      </c>
      <c r="O367" s="160">
        <f>'Capex &amp; Depreciation'!O294+'Working Capital'!O51</f>
        <v>63.812421194091328</v>
      </c>
      <c r="P367" s="160">
        <f>'Capex &amp; Depreciation'!P294+'Working Capital'!P51</f>
        <v>57.246033170600498</v>
      </c>
      <c r="Q367" s="160">
        <f>'Capex &amp; Depreciation'!Q294+'Working Capital'!Q51</f>
        <v>51.630708514350161</v>
      </c>
      <c r="R367" s="160">
        <f>'Capex &amp; Depreciation'!R294+'Working Capital'!R51</f>
        <v>45.221661748719058</v>
      </c>
      <c r="S367" s="160">
        <f>'Capex &amp; Depreciation'!S294+'Working Capital'!S51</f>
        <v>39.714743866843399</v>
      </c>
      <c r="T367" s="160">
        <f>'Capex &amp; Depreciation'!T294+'Working Capital'!T51</f>
        <v>33.397548005454446</v>
      </c>
    </row>
    <row r="368" spans="2:20" x14ac:dyDescent="0.25">
      <c r="B368" s="163" t="s">
        <v>3342</v>
      </c>
    </row>
    <row r="369" spans="2:20" x14ac:dyDescent="0.25">
      <c r="B369" s="23" t="s">
        <v>3221</v>
      </c>
      <c r="C369" s="28" t="s">
        <v>493</v>
      </c>
      <c r="H369" s="29">
        <f>'Project Cash Flows'!H172</f>
        <v>0</v>
      </c>
      <c r="I369" s="29">
        <f>'Project Cash Flows'!I172</f>
        <v>0</v>
      </c>
      <c r="J369" s="29">
        <f>'Project Cash Flows'!J172</f>
        <v>0</v>
      </c>
      <c r="K369" s="29">
        <f>'Project Cash Flows'!K172</f>
        <v>0</v>
      </c>
      <c r="L369" s="29">
        <f>'Project Cash Flows'!L172</f>
        <v>33.106019432767596</v>
      </c>
      <c r="M369" s="29">
        <f>'Project Cash Flows'!M172</f>
        <v>46.471145294090704</v>
      </c>
      <c r="N369" s="29">
        <f>'Project Cash Flows'!N172</f>
        <v>50.880625346797956</v>
      </c>
      <c r="O369" s="29">
        <f>'Project Cash Flows'!O172</f>
        <v>63.593988953044331</v>
      </c>
      <c r="P369" s="29">
        <f>'Project Cash Flows'!P172</f>
        <v>67.057538595884594</v>
      </c>
      <c r="Q369" s="29">
        <f>'Project Cash Flows'!Q172</f>
        <v>77.646673486530489</v>
      </c>
      <c r="R369" s="29">
        <f>'Project Cash Flows'!R172</f>
        <v>81.939270604942706</v>
      </c>
      <c r="S369" s="29">
        <f>'Project Cash Flows'!S172</f>
        <v>91.642349746498894</v>
      </c>
      <c r="T369" s="29">
        <f>'Project Cash Flows'!T172</f>
        <v>96.676592073726425</v>
      </c>
    </row>
    <row r="370" spans="2:20" x14ac:dyDescent="0.25">
      <c r="B370" s="23" t="s">
        <v>3343</v>
      </c>
      <c r="C370" s="28" t="s">
        <v>493</v>
      </c>
      <c r="H370" s="29">
        <f>'Project Cash Flows'!H177</f>
        <v>0</v>
      </c>
      <c r="I370" s="29">
        <f>'Project Cash Flows'!I177</f>
        <v>0</v>
      </c>
      <c r="J370" s="29">
        <f>'Project Cash Flows'!J177</f>
        <v>0</v>
      </c>
      <c r="K370" s="29">
        <f>'Project Cash Flows'!K177</f>
        <v>0</v>
      </c>
      <c r="L370" s="29">
        <f>'Project Cash Flows'!L177</f>
        <v>-5.7101180252088701</v>
      </c>
      <c r="M370" s="29">
        <f>'Project Cash Flows'!M177</f>
        <v>-8.6504457146999538</v>
      </c>
      <c r="N370" s="29">
        <f>'Project Cash Flows'!N177</f>
        <v>-9.6205313262955485</v>
      </c>
      <c r="O370" s="29">
        <f>'Project Cash Flows'!O177</f>
        <v>-12.417471319669751</v>
      </c>
      <c r="P370" s="29">
        <f>'Project Cash Flows'!P177</f>
        <v>-13.17945224109461</v>
      </c>
      <c r="Q370" s="29">
        <f>'Project Cash Flows'!Q177</f>
        <v>-15.509061917036709</v>
      </c>
      <c r="R370" s="29">
        <f>'Project Cash Flows'!R177</f>
        <v>-16.453433283087396</v>
      </c>
      <c r="S370" s="29">
        <f>'Project Cash Flows'!S177</f>
        <v>-18.588110694229758</v>
      </c>
      <c r="T370" s="29">
        <f>'Project Cash Flows'!T177</f>
        <v>-19.695644006219815</v>
      </c>
    </row>
    <row r="371" spans="2:20" x14ac:dyDescent="0.25">
      <c r="B371" s="23" t="s">
        <v>3227</v>
      </c>
      <c r="C371" s="28" t="s">
        <v>493</v>
      </c>
      <c r="H371" s="29">
        <f>'Project Cash Flows'!H178</f>
        <v>0</v>
      </c>
      <c r="I371" s="29">
        <f>'Project Cash Flows'!I178</f>
        <v>0</v>
      </c>
      <c r="J371" s="29">
        <f>'Project Cash Flows'!J178</f>
        <v>-40.862500000000026</v>
      </c>
      <c r="K371" s="29">
        <f>'Project Cash Flows'!K178</f>
        <v>-40.862500000000026</v>
      </c>
      <c r="L371" s="29">
        <f>'Project Cash Flows'!L178</f>
        <v>0</v>
      </c>
      <c r="M371" s="29">
        <f>'Project Cash Flows'!M178</f>
        <v>0</v>
      </c>
      <c r="N371" s="29">
        <f>'Project Cash Flows'!N178</f>
        <v>0</v>
      </c>
      <c r="O371" s="29">
        <f>'Project Cash Flows'!O178</f>
        <v>0</v>
      </c>
      <c r="P371" s="29">
        <f>'Project Cash Flows'!P178</f>
        <v>0</v>
      </c>
      <c r="Q371" s="29">
        <f>'Project Cash Flows'!Q178</f>
        <v>0</v>
      </c>
      <c r="R371" s="29">
        <f>'Project Cash Flows'!R178</f>
        <v>0</v>
      </c>
      <c r="S371" s="29">
        <f>'Project Cash Flows'!S178</f>
        <v>0</v>
      </c>
      <c r="T371" s="29">
        <f>'Project Cash Flows'!T178</f>
        <v>0</v>
      </c>
    </row>
    <row r="372" spans="2:20" x14ac:dyDescent="0.25">
      <c r="B372" s="23" t="s">
        <v>3228</v>
      </c>
      <c r="C372" s="28" t="s">
        <v>493</v>
      </c>
      <c r="H372" s="29">
        <f>'Project Cash Flows'!H179</f>
        <v>0</v>
      </c>
      <c r="I372" s="29">
        <f>'Project Cash Flows'!I179</f>
        <v>0</v>
      </c>
      <c r="J372" s="29">
        <f>'Project Cash Flows'!J179</f>
        <v>0</v>
      </c>
      <c r="K372" s="29">
        <f>'Project Cash Flows'!K179</f>
        <v>0</v>
      </c>
      <c r="L372" s="29">
        <f>'Project Cash Flows'!L179</f>
        <v>-5.9283928971459563</v>
      </c>
      <c r="M372" s="29">
        <f>'Project Cash Flows'!M179</f>
        <v>-2.048910506937192</v>
      </c>
      <c r="N372" s="29">
        <f>'Project Cash Flows'!N179</f>
        <v>-0.78057526113988018</v>
      </c>
      <c r="O372" s="29">
        <f>'Project Cash Flows'!O179</f>
        <v>-1.9332925288682539</v>
      </c>
      <c r="P372" s="29">
        <f>'Project Cash Flows'!P179</f>
        <v>-0.58454947650917433</v>
      </c>
      <c r="Q372" s="29">
        <f>'Project Cash Flows'!Q179</f>
        <v>-1.5356128437496643</v>
      </c>
      <c r="R372" s="29">
        <f>'Project Cash Flows'!R179</f>
        <v>-0.74189073436890851</v>
      </c>
      <c r="S372" s="29">
        <f>'Project Cash Flows'!S179</f>
        <v>-1.6440196181243447</v>
      </c>
      <c r="T372" s="29">
        <f>'Project Cash Flows'!T179</f>
        <v>-0.83374163861105011</v>
      </c>
    </row>
    <row r="373" spans="2:20" x14ac:dyDescent="0.25">
      <c r="B373" s="21" t="s">
        <v>3344</v>
      </c>
      <c r="C373" s="28" t="s">
        <v>493</v>
      </c>
      <c r="H373" s="26">
        <f>'Project Cash Flows'!H180</f>
        <v>0</v>
      </c>
      <c r="I373" s="26">
        <f>'Project Cash Flows'!I180</f>
        <v>0</v>
      </c>
      <c r="J373" s="26">
        <f>'Project Cash Flows'!J180</f>
        <v>-40.862500000000026</v>
      </c>
      <c r="K373" s="26">
        <f>'Project Cash Flows'!K180</f>
        <v>-40.862500000000026</v>
      </c>
      <c r="L373" s="26">
        <f>'Project Cash Flows'!L180</f>
        <v>21.46750851041277</v>
      </c>
      <c r="M373" s="26">
        <f>'Project Cash Flows'!M180</f>
        <v>35.771789072453558</v>
      </c>
      <c r="N373" s="26">
        <f>'Project Cash Flows'!N180</f>
        <v>40.479518759362527</v>
      </c>
      <c r="O373" s="26">
        <f>'Project Cash Flows'!O180</f>
        <v>49.243225104506323</v>
      </c>
      <c r="P373" s="26">
        <f>'Project Cash Flows'!P180</f>
        <v>53.293536878280811</v>
      </c>
      <c r="Q373" s="26">
        <f>'Project Cash Flows'!Q180</f>
        <v>60.60199872574411</v>
      </c>
      <c r="R373" s="26">
        <f>'Project Cash Flows'!R180</f>
        <v>64.743946587486406</v>
      </c>
      <c r="S373" s="26">
        <f>'Project Cash Flows'!S180</f>
        <v>71.410219434144793</v>
      </c>
      <c r="T373" s="26">
        <f>'Project Cash Flows'!T180</f>
        <v>76.147206428895558</v>
      </c>
    </row>
    <row r="374" spans="2:20" x14ac:dyDescent="0.25">
      <c r="B374" s="23" t="s">
        <v>3345</v>
      </c>
      <c r="C374" s="28" t="s">
        <v>493</v>
      </c>
      <c r="G374" s="29">
        <f>'Project Cash Flows'!G183</f>
        <v>0</v>
      </c>
      <c r="H374" s="29">
        <f>'Project Cash Flows'!H183</f>
        <v>0</v>
      </c>
      <c r="I374" s="29">
        <f>'Project Cash Flows'!I183</f>
        <v>0</v>
      </c>
      <c r="J374" s="29">
        <f>'Project Cash Flows'!J183</f>
        <v>-40.862500000000026</v>
      </c>
      <c r="K374" s="29">
        <f>'Project Cash Flows'!K183</f>
        <v>-81.725000000000051</v>
      </c>
      <c r="L374" s="29">
        <f>'Project Cash Flows'!L183</f>
        <v>-60.257491489587281</v>
      </c>
      <c r="M374" s="29">
        <f>'Project Cash Flows'!M183</f>
        <v>-24.485702417133723</v>
      </c>
      <c r="N374" s="29">
        <f>'Project Cash Flows'!N183</f>
        <v>15.993816342228804</v>
      </c>
      <c r="O374" s="29">
        <f>'Project Cash Flows'!O183</f>
        <v>65.237041446735134</v>
      </c>
      <c r="P374" s="29">
        <f>'Project Cash Flows'!P183</f>
        <v>118.53057832501594</v>
      </c>
      <c r="Q374" s="29">
        <f>'Project Cash Flows'!Q183</f>
        <v>179.13257705076006</v>
      </c>
      <c r="R374" s="29">
        <f>'Project Cash Flows'!R183</f>
        <v>243.87652363824645</v>
      </c>
      <c r="S374" s="29">
        <f>'Project Cash Flows'!S183</f>
        <v>315.28674307239123</v>
      </c>
      <c r="T374" s="29">
        <f>'Project Cash Flows'!T183</f>
        <v>391.4339495012868</v>
      </c>
    </row>
    <row r="375" spans="2:20" x14ac:dyDescent="0.25">
      <c r="B375" s="163" t="s">
        <v>3346</v>
      </c>
    </row>
    <row r="376" spans="2:20" x14ac:dyDescent="0.25">
      <c r="B376" s="23" t="s">
        <v>3363</v>
      </c>
      <c r="C376" s="28" t="s">
        <v>806</v>
      </c>
      <c r="G376" s="34">
        <f>'Capex &amp; Depreciation'!G13</f>
        <v>0</v>
      </c>
      <c r="H376" s="34">
        <f>'Capex &amp; Depreciation'!H13</f>
        <v>0</v>
      </c>
      <c r="I376" s="34">
        <f>'Capex &amp; Depreciation'!I13</f>
        <v>0</v>
      </c>
      <c r="J376" s="34">
        <f>'Capex &amp; Depreciation'!J13</f>
        <v>2.5122963418383049</v>
      </c>
      <c r="K376" s="34">
        <f>'Capex &amp; Depreciation'!K13</f>
        <v>2.5122963418383049</v>
      </c>
      <c r="L376" s="34">
        <f>'Capex &amp; Depreciation'!L13</f>
        <v>0</v>
      </c>
      <c r="M376" s="34">
        <f>'Capex &amp; Depreciation'!M13</f>
        <v>0</v>
      </c>
      <c r="N376" s="34">
        <f>'Capex &amp; Depreciation'!N13</f>
        <v>0</v>
      </c>
      <c r="O376" s="34">
        <f>'Capex &amp; Depreciation'!O13</f>
        <v>0</v>
      </c>
      <c r="P376" s="34">
        <f>'Capex &amp; Depreciation'!P13</f>
        <v>0</v>
      </c>
      <c r="Q376" s="34">
        <f>'Capex &amp; Depreciation'!Q13</f>
        <v>0</v>
      </c>
      <c r="R376" s="34">
        <f>'Capex &amp; Depreciation'!R13</f>
        <v>0</v>
      </c>
      <c r="S376" s="34">
        <f>'Capex &amp; Depreciation'!S13</f>
        <v>0</v>
      </c>
      <c r="T376" s="34">
        <f>'Capex &amp; Depreciation'!T13</f>
        <v>0</v>
      </c>
    </row>
    <row r="377" spans="2:20" x14ac:dyDescent="0.25">
      <c r="B377" s="23" t="s">
        <v>3364</v>
      </c>
      <c r="C377" s="28" t="s">
        <v>493</v>
      </c>
      <c r="G377" s="29">
        <f>'Capex &amp; Depreciation'!G61</f>
        <v>0</v>
      </c>
      <c r="H377" s="29">
        <f>'Capex &amp; Depreciation'!H61</f>
        <v>0</v>
      </c>
      <c r="I377" s="29">
        <f>'Capex &amp; Depreciation'!I61</f>
        <v>0</v>
      </c>
      <c r="J377" s="29">
        <f>'Capex &amp; Depreciation'!J61</f>
        <v>40.862500000000026</v>
      </c>
      <c r="K377" s="29">
        <f>'Capex &amp; Depreciation'!K61</f>
        <v>40.862500000000026</v>
      </c>
      <c r="L377" s="29">
        <f>'Capex &amp; Depreciation'!L61</f>
        <v>0</v>
      </c>
      <c r="M377" s="29">
        <f>'Capex &amp; Depreciation'!M61</f>
        <v>0</v>
      </c>
      <c r="N377" s="29">
        <f>'Capex &amp; Depreciation'!N61</f>
        <v>0</v>
      </c>
      <c r="O377" s="29">
        <f>'Capex &amp; Depreciation'!O61</f>
        <v>0</v>
      </c>
      <c r="P377" s="29">
        <f>'Capex &amp; Depreciation'!P61</f>
        <v>0</v>
      </c>
      <c r="Q377" s="29">
        <f>'Capex &amp; Depreciation'!Q61</f>
        <v>0</v>
      </c>
      <c r="R377" s="29">
        <f>'Capex &amp; Depreciation'!R61</f>
        <v>0</v>
      </c>
      <c r="S377" s="29">
        <f>'Capex &amp; Depreciation'!S61</f>
        <v>0</v>
      </c>
      <c r="T377" s="29">
        <f>'Capex &amp; Depreciation'!T61</f>
        <v>0</v>
      </c>
    </row>
    <row r="378" spans="2:20" ht="26.25" customHeight="1" x14ac:dyDescent="0.25">
      <c r="B378" s="64" t="s">
        <v>3365</v>
      </c>
      <c r="C378" s="28" t="s">
        <v>493</v>
      </c>
      <c r="H378" s="29">
        <f>'Funding Requirement'!H120</f>
        <v>0</v>
      </c>
      <c r="I378" s="29">
        <f>'Funding Requirement'!I120</f>
        <v>0</v>
      </c>
      <c r="J378" s="29">
        <f>'Funding Requirement'!J120</f>
        <v>40.862500000000026</v>
      </c>
      <c r="K378" s="29">
        <f>'Funding Requirement'!K120</f>
        <v>40.862500000000026</v>
      </c>
      <c r="L378" s="29">
        <f>'Funding Requirement'!L120</f>
        <v>0</v>
      </c>
      <c r="M378" s="29">
        <f>'Funding Requirement'!M120</f>
        <v>0</v>
      </c>
      <c r="N378" s="29">
        <f>'Funding Requirement'!N120</f>
        <v>0</v>
      </c>
      <c r="O378" s="29">
        <f>'Funding Requirement'!O120</f>
        <v>0</v>
      </c>
      <c r="P378" s="29">
        <f>'Funding Requirement'!P120</f>
        <v>0</v>
      </c>
      <c r="Q378" s="29">
        <f>'Funding Requirement'!Q120</f>
        <v>0</v>
      </c>
      <c r="R378" s="29">
        <f>'Funding Requirement'!R120</f>
        <v>0</v>
      </c>
      <c r="S378" s="29">
        <f>'Funding Requirement'!S120</f>
        <v>0</v>
      </c>
      <c r="T378" s="29">
        <f>'Funding Requirement'!T120</f>
        <v>0</v>
      </c>
    </row>
    <row r="379" spans="2:20" x14ac:dyDescent="0.25">
      <c r="B379" s="163" t="s">
        <v>3348</v>
      </c>
    </row>
    <row r="380" spans="2:20" x14ac:dyDescent="0.25">
      <c r="B380" s="44" t="s">
        <v>3349</v>
      </c>
      <c r="D380" s="204">
        <f>'Project Cash Flows'!$E$16</f>
        <v>457.70156997017023</v>
      </c>
      <c r="H380" s="44" t="s">
        <v>3176</v>
      </c>
      <c r="K380" s="205">
        <f>'Project Cash Flows'!$H$16</f>
        <v>2.9802322387695314E-9</v>
      </c>
      <c r="N380" s="44" t="s">
        <v>3350</v>
      </c>
      <c r="Q380" s="205">
        <f>'Project Cash Flows'!$I$16</f>
        <v>0.85818659067153935</v>
      </c>
    </row>
    <row r="381" spans="2:20" x14ac:dyDescent="0.25">
      <c r="B381" s="44" t="s">
        <v>3180</v>
      </c>
      <c r="D381" s="205" t="str">
        <f>'Project Cash Flows'!$L$16</f>
        <v>as project IRR</v>
      </c>
      <c r="H381" s="44" t="s">
        <v>3351</v>
      </c>
      <c r="K381" s="206">
        <f>'Project Cash Flows'!$J$16</f>
        <v>4.6048911441534965</v>
      </c>
      <c r="N381" s="44" t="s">
        <v>3179</v>
      </c>
      <c r="Q381" s="204">
        <f>'Project Cash Flows'!$K$16</f>
        <v>81.725000000000051</v>
      </c>
    </row>
    <row r="383" spans="2:20" x14ac:dyDescent="0.25">
      <c r="B383" s="58" t="s">
        <v>3379</v>
      </c>
      <c r="C383" s="19"/>
      <c r="D383" s="19"/>
      <c r="E383" s="19"/>
      <c r="F383" s="19"/>
      <c r="G383" s="19"/>
      <c r="H383" s="19"/>
      <c r="I383" s="19"/>
      <c r="J383" s="19"/>
      <c r="K383" s="19"/>
      <c r="L383" s="19"/>
      <c r="M383" s="19"/>
      <c r="N383" s="19"/>
      <c r="O383" s="19"/>
      <c r="P383" s="19"/>
      <c r="Q383" s="19"/>
      <c r="R383" s="19"/>
      <c r="S383" s="19"/>
      <c r="T383" s="19"/>
    </row>
    <row r="384" spans="2:20" x14ac:dyDescent="0.25">
      <c r="B384" s="70" t="s">
        <v>1690</v>
      </c>
      <c r="D384" s="130" t="str">
        <f>Inputs!$I$70</f>
        <v>Included - both cases</v>
      </c>
      <c r="M384" s="202" t="s">
        <v>3323</v>
      </c>
      <c r="N384" s="203">
        <f>Inputs!$H$70</f>
        <v>1</v>
      </c>
    </row>
    <row r="385" spans="2:20" x14ac:dyDescent="0.25">
      <c r="B385" s="163" t="s">
        <v>3324</v>
      </c>
    </row>
    <row r="386" spans="2:20" x14ac:dyDescent="0.25">
      <c r="B386" s="23" t="s">
        <v>3380</v>
      </c>
      <c r="C386" s="28" t="s">
        <v>630</v>
      </c>
      <c r="H386" s="48">
        <f>'Revenue Calculation'!H132</f>
        <v>0</v>
      </c>
      <c r="I386" s="48">
        <f>'Revenue Calculation'!I132</f>
        <v>0</v>
      </c>
      <c r="J386" s="48">
        <f>'Revenue Calculation'!J132</f>
        <v>0</v>
      </c>
      <c r="K386" s="48">
        <f>'Revenue Calculation'!K132</f>
        <v>200000</v>
      </c>
      <c r="L386" s="48">
        <f>'Revenue Calculation'!L132</f>
        <v>250000</v>
      </c>
      <c r="M386" s="48">
        <f>'Revenue Calculation'!M132</f>
        <v>300000</v>
      </c>
      <c r="N386" s="48">
        <f>'Revenue Calculation'!N132</f>
        <v>350000</v>
      </c>
      <c r="O386" s="48">
        <f>'Revenue Calculation'!O132</f>
        <v>400000</v>
      </c>
      <c r="P386" s="48">
        <f>'Revenue Calculation'!P132</f>
        <v>450000</v>
      </c>
      <c r="Q386" s="48">
        <f>'Revenue Calculation'!Q132</f>
        <v>500000</v>
      </c>
      <c r="R386" s="48">
        <f>'Revenue Calculation'!R132</f>
        <v>550000</v>
      </c>
      <c r="S386" s="48">
        <f>'Revenue Calculation'!S132</f>
        <v>0</v>
      </c>
      <c r="T386" s="48">
        <f>'Revenue Calculation'!T132</f>
        <v>0</v>
      </c>
    </row>
    <row r="387" spans="2:20" x14ac:dyDescent="0.25">
      <c r="B387" s="23" t="s">
        <v>3354</v>
      </c>
      <c r="C387" s="28" t="s">
        <v>647</v>
      </c>
      <c r="H387" s="48">
        <f>'Revenue Calculation'!H52</f>
        <v>29658</v>
      </c>
      <c r="I387" s="48">
        <f>'Revenue Calculation'!I52</f>
        <v>29658</v>
      </c>
      <c r="J387" s="48">
        <f>'Revenue Calculation'!J52</f>
        <v>43947.5</v>
      </c>
      <c r="K387" s="48">
        <f>'Revenue Calculation'!K52</f>
        <v>43947.5</v>
      </c>
      <c r="L387" s="48">
        <f>'Revenue Calculation'!L52</f>
        <v>45265.925000000003</v>
      </c>
      <c r="M387" s="48">
        <f>'Revenue Calculation'!M52</f>
        <v>46623.902750000001</v>
      </c>
      <c r="N387" s="48">
        <f>'Revenue Calculation'!N52</f>
        <v>48022.6198325</v>
      </c>
      <c r="O387" s="48">
        <f>'Revenue Calculation'!O52</f>
        <v>49463.298427474998</v>
      </c>
      <c r="P387" s="48">
        <f>'Revenue Calculation'!P52</f>
        <v>50947.197380299302</v>
      </c>
      <c r="Q387" s="48">
        <f>'Revenue Calculation'!Q52</f>
        <v>52475.613301708203</v>
      </c>
      <c r="R387" s="48">
        <f>'Revenue Calculation'!R52</f>
        <v>54049.881700759499</v>
      </c>
      <c r="S387" s="48">
        <f>'Revenue Calculation'!S52</f>
        <v>55671.378151782301</v>
      </c>
      <c r="T387" s="48">
        <f>'Revenue Calculation'!T52</f>
        <v>57341.519496335699</v>
      </c>
    </row>
    <row r="388" spans="2:20" x14ac:dyDescent="0.25">
      <c r="B388" s="163" t="s">
        <v>3328</v>
      </c>
    </row>
    <row r="389" spans="2:20" x14ac:dyDescent="0.25">
      <c r="B389" s="21" t="s">
        <v>3329</v>
      </c>
      <c r="C389" s="28" t="s">
        <v>493</v>
      </c>
      <c r="H389" s="26">
        <f>'Revenue Calculation'!H133</f>
        <v>0</v>
      </c>
      <c r="I389" s="26">
        <f>'Revenue Calculation'!I133</f>
        <v>0</v>
      </c>
      <c r="J389" s="26">
        <f>'Revenue Calculation'!J133</f>
        <v>0</v>
      </c>
      <c r="K389" s="26">
        <f>'Revenue Calculation'!K133</f>
        <v>8.7895000000000003</v>
      </c>
      <c r="L389" s="26">
        <f>'Revenue Calculation'!L133</f>
        <v>11.316481250000001</v>
      </c>
      <c r="M389" s="26">
        <f>'Revenue Calculation'!M133</f>
        <v>13.987170825</v>
      </c>
      <c r="N389" s="26">
        <f>'Revenue Calculation'!N133</f>
        <v>16.807916941375002</v>
      </c>
      <c r="O389" s="26">
        <f>'Revenue Calculation'!O133</f>
        <v>19.785319370989999</v>
      </c>
      <c r="P389" s="26">
        <f>'Revenue Calculation'!P133</f>
        <v>22.926238821134685</v>
      </c>
      <c r="Q389" s="26">
        <f>'Revenue Calculation'!Q133</f>
        <v>26.237806650854104</v>
      </c>
      <c r="R389" s="26">
        <f>'Revenue Calculation'!R133</f>
        <v>29.727434935417726</v>
      </c>
      <c r="S389" s="26">
        <f>'Revenue Calculation'!S133</f>
        <v>0</v>
      </c>
      <c r="T389" s="26">
        <f>'Revenue Calculation'!T133</f>
        <v>0</v>
      </c>
    </row>
    <row r="390" spans="2:20" x14ac:dyDescent="0.25">
      <c r="B390" s="23" t="s">
        <v>3330</v>
      </c>
      <c r="C390" s="28" t="s">
        <v>493</v>
      </c>
      <c r="H390" s="159">
        <f>-'Cost Calculation'!H159</f>
        <v>0</v>
      </c>
      <c r="I390" s="159">
        <f>-'Cost Calculation'!I159</f>
        <v>0</v>
      </c>
      <c r="J390" s="159">
        <f>-'Cost Calculation'!J159</f>
        <v>-0.45621999999999979</v>
      </c>
      <c r="K390" s="159">
        <f>-'Cost Calculation'!K159</f>
        <v>-1.265716970099966</v>
      </c>
      <c r="L390" s="159">
        <f>-'Cost Calculation'!L159</f>
        <v>-1.4988468745802355</v>
      </c>
      <c r="M390" s="159">
        <f>-'Cost Calculation'!M159</f>
        <v>-1.7454030277472206</v>
      </c>
      <c r="N390" s="159">
        <f>-'Cost Calculation'!N159</f>
        <v>-2.0059874461762481</v>
      </c>
      <c r="O390" s="159">
        <f>-'Cost Calculation'!O159</f>
        <v>-2.2812264173360459</v>
      </c>
      <c r="P390" s="159">
        <f>-'Cost Calculation'!P159</f>
        <v>-2.5717714227072737</v>
      </c>
      <c r="Q390" s="159">
        <f>-'Cost Calculation'!Q159</f>
        <v>-2.8783000947658786</v>
      </c>
      <c r="R390" s="159">
        <f>-'Cost Calculation'!R159</f>
        <v>-3.2015172090442521</v>
      </c>
      <c r="S390" s="159">
        <f>-'Cost Calculation'!S159</f>
        <v>-0.45621999999999979</v>
      </c>
      <c r="T390" s="159">
        <f>-'Cost Calculation'!T159</f>
        <v>-0.45621999999999979</v>
      </c>
    </row>
    <row r="391" spans="2:20" x14ac:dyDescent="0.25">
      <c r="B391" s="23" t="s">
        <v>3331</v>
      </c>
      <c r="C391" s="28" t="s">
        <v>493</v>
      </c>
      <c r="H391" s="159">
        <f>-'Cost Calculation'!H160</f>
        <v>0</v>
      </c>
      <c r="I391" s="159">
        <f>-'Cost Calculation'!I160</f>
        <v>0</v>
      </c>
      <c r="J391" s="159">
        <f>-'Cost Calculation'!J160</f>
        <v>0</v>
      </c>
      <c r="K391" s="159">
        <f>-'Cost Calculation'!K160</f>
        <v>0</v>
      </c>
      <c r="L391" s="159">
        <f>-'Cost Calculation'!L160</f>
        <v>0</v>
      </c>
      <c r="M391" s="159">
        <f>-'Cost Calculation'!M160</f>
        <v>0</v>
      </c>
      <c r="N391" s="159">
        <f>-'Cost Calculation'!N160</f>
        <v>0</v>
      </c>
      <c r="O391" s="159">
        <f>-'Cost Calculation'!O160</f>
        <v>0</v>
      </c>
      <c r="P391" s="159">
        <f>-'Cost Calculation'!P160</f>
        <v>0</v>
      </c>
      <c r="Q391" s="159">
        <f>-'Cost Calculation'!Q160</f>
        <v>0</v>
      </c>
      <c r="R391" s="159">
        <f>-'Cost Calculation'!R160</f>
        <v>0</v>
      </c>
      <c r="S391" s="159">
        <f>-'Cost Calculation'!S160</f>
        <v>0</v>
      </c>
      <c r="T391" s="159">
        <f>-'Cost Calculation'!T160</f>
        <v>0</v>
      </c>
    </row>
    <row r="392" spans="2:20" x14ac:dyDescent="0.25">
      <c r="B392" s="21" t="s">
        <v>3221</v>
      </c>
      <c r="C392" s="28" t="s">
        <v>493</v>
      </c>
      <c r="H392" s="26">
        <f>'Cost Calculation'!H161</f>
        <v>0</v>
      </c>
      <c r="I392" s="26">
        <f>'Cost Calculation'!I161</f>
        <v>0</v>
      </c>
      <c r="J392" s="26">
        <f>'Cost Calculation'!J161</f>
        <v>-0.45621999999999979</v>
      </c>
      <c r="K392" s="26">
        <f>'Cost Calculation'!K161</f>
        <v>7.5237830299000343</v>
      </c>
      <c r="L392" s="26">
        <f>'Cost Calculation'!L161</f>
        <v>9.8176343754197646</v>
      </c>
      <c r="M392" s="26">
        <f>'Cost Calculation'!M161</f>
        <v>12.241767797252779</v>
      </c>
      <c r="N392" s="26">
        <f>'Cost Calculation'!N161</f>
        <v>14.801929495198753</v>
      </c>
      <c r="O392" s="26">
        <f>'Cost Calculation'!O161</f>
        <v>17.504092953653952</v>
      </c>
      <c r="P392" s="26">
        <f>'Cost Calculation'!P161</f>
        <v>20.35446739842741</v>
      </c>
      <c r="Q392" s="26">
        <f>'Cost Calculation'!Q161</f>
        <v>23.359506556088224</v>
      </c>
      <c r="R392" s="26">
        <f>'Cost Calculation'!R161</f>
        <v>26.525917726373475</v>
      </c>
      <c r="S392" s="26">
        <f>'Cost Calculation'!S161</f>
        <v>-0.45621999999999979</v>
      </c>
      <c r="T392" s="26">
        <f>'Cost Calculation'!T161</f>
        <v>-0.45621999999999979</v>
      </c>
    </row>
    <row r="393" spans="2:20" x14ac:dyDescent="0.25">
      <c r="B393" s="23" t="s">
        <v>3332</v>
      </c>
      <c r="C393" s="28" t="s">
        <v>493</v>
      </c>
      <c r="H393" s="159">
        <f>-'Capex &amp; Depreciation'!H241</f>
        <v>0</v>
      </c>
      <c r="I393" s="159">
        <f>-'Capex &amp; Depreciation'!I241</f>
        <v>0</v>
      </c>
      <c r="J393" s="159">
        <f>-'Capex &amp; Depreciation'!J241</f>
        <v>-13.116324999999991</v>
      </c>
      <c r="K393" s="159">
        <f>-'Capex &amp; Depreciation'!K241</f>
        <v>-13.116324999999991</v>
      </c>
      <c r="L393" s="159">
        <f>-'Capex &amp; Depreciation'!L241</f>
        <v>-13.116324999999991</v>
      </c>
      <c r="M393" s="159">
        <f>-'Capex &amp; Depreciation'!M241</f>
        <v>-13.116324999999991</v>
      </c>
      <c r="N393" s="159">
        <f>-'Capex &amp; Depreciation'!N241</f>
        <v>-13.116324999999991</v>
      </c>
      <c r="O393" s="159">
        <f>-'Capex &amp; Depreciation'!O241</f>
        <v>-13.116324999999991</v>
      </c>
      <c r="P393" s="159">
        <f>-'Capex &amp; Depreciation'!P241</f>
        <v>-13.116324999999991</v>
      </c>
      <c r="Q393" s="159">
        <f>-'Capex &amp; Depreciation'!Q241</f>
        <v>-13.116324999999991</v>
      </c>
      <c r="R393" s="159">
        <f>-'Capex &amp; Depreciation'!R241</f>
        <v>-13.116324999999991</v>
      </c>
      <c r="S393" s="159">
        <f>-'Capex &amp; Depreciation'!S241</f>
        <v>-13.116324999999991</v>
      </c>
      <c r="T393" s="159">
        <f>-'Capex &amp; Depreciation'!T241</f>
        <v>-13.116324999999991</v>
      </c>
    </row>
    <row r="394" spans="2:20" x14ac:dyDescent="0.25">
      <c r="B394" s="21" t="s">
        <v>3333</v>
      </c>
      <c r="C394" s="28" t="s">
        <v>493</v>
      </c>
      <c r="H394" s="26">
        <f>'Project Cash Flows'!H186</f>
        <v>0</v>
      </c>
      <c r="I394" s="26">
        <f>'Project Cash Flows'!I186</f>
        <v>0</v>
      </c>
      <c r="J394" s="26">
        <f>'Project Cash Flows'!J186</f>
        <v>-13.572544999999991</v>
      </c>
      <c r="K394" s="26">
        <f>'Project Cash Flows'!K186</f>
        <v>-5.5925419700999566</v>
      </c>
      <c r="L394" s="26">
        <f>'Project Cash Flows'!L186</f>
        <v>-3.2986906245802263</v>
      </c>
      <c r="M394" s="26">
        <f>'Project Cash Flows'!M186</f>
        <v>-0.87455720274721216</v>
      </c>
      <c r="N394" s="26">
        <f>'Project Cash Flows'!N186</f>
        <v>1.6856044951987617</v>
      </c>
      <c r="O394" s="26">
        <f>'Project Cash Flows'!O186</f>
        <v>4.3877679536539613</v>
      </c>
      <c r="P394" s="26">
        <f>'Project Cash Flows'!P186</f>
        <v>7.2381423984274189</v>
      </c>
      <c r="Q394" s="26">
        <f>'Project Cash Flows'!Q186</f>
        <v>10.243181556088233</v>
      </c>
      <c r="R394" s="26">
        <f>'Project Cash Flows'!R186</f>
        <v>13.409592726373484</v>
      </c>
      <c r="S394" s="26">
        <f>'Project Cash Flows'!S186</f>
        <v>-13.572544999999991</v>
      </c>
      <c r="T394" s="26">
        <f>'Project Cash Flows'!T186</f>
        <v>-13.572544999999991</v>
      </c>
    </row>
    <row r="395" spans="2:20" x14ac:dyDescent="0.25">
      <c r="B395" s="23" t="s">
        <v>3334</v>
      </c>
      <c r="C395" s="28" t="s">
        <v>493</v>
      </c>
      <c r="H395" s="159">
        <f>-'Project Cash Flows'!H187</f>
        <v>0</v>
      </c>
      <c r="I395" s="159">
        <f>-'Project Cash Flows'!I187</f>
        <v>0</v>
      </c>
      <c r="J395" s="159">
        <f>-'Project Cash Flows'!J187</f>
        <v>0</v>
      </c>
      <c r="K395" s="159">
        <f>-'Project Cash Flows'!K187</f>
        <v>0</v>
      </c>
      <c r="L395" s="159">
        <f>-'Project Cash Flows'!L187</f>
        <v>0</v>
      </c>
      <c r="M395" s="159">
        <f>-'Project Cash Flows'!M187</f>
        <v>0</v>
      </c>
      <c r="N395" s="159">
        <f>-'Project Cash Flows'!N187</f>
        <v>0</v>
      </c>
      <c r="O395" s="159">
        <f>-'Project Cash Flows'!O187</f>
        <v>0</v>
      </c>
      <c r="P395" s="159">
        <f>-'Project Cash Flows'!P187</f>
        <v>0</v>
      </c>
      <c r="Q395" s="159">
        <f>-'Project Cash Flows'!Q187</f>
        <v>0</v>
      </c>
      <c r="R395" s="159">
        <f>-'Project Cash Flows'!R187</f>
        <v>0</v>
      </c>
      <c r="S395" s="159">
        <f>-'Project Cash Flows'!S187</f>
        <v>0</v>
      </c>
      <c r="T395" s="159">
        <f>-'Project Cash Flows'!T187</f>
        <v>0</v>
      </c>
    </row>
    <row r="396" spans="2:20" x14ac:dyDescent="0.25">
      <c r="B396" s="23" t="s">
        <v>3335</v>
      </c>
      <c r="C396" s="28" t="s">
        <v>493</v>
      </c>
      <c r="H396" s="159">
        <f>-'Project Cash Flows'!H188</f>
        <v>0</v>
      </c>
      <c r="I396" s="159">
        <f>-'Project Cash Flows'!I188</f>
        <v>0</v>
      </c>
      <c r="J396" s="159">
        <f>-'Project Cash Flows'!J188</f>
        <v>0</v>
      </c>
      <c r="K396" s="159">
        <f>-'Project Cash Flows'!K188</f>
        <v>0</v>
      </c>
      <c r="L396" s="159">
        <f>-'Project Cash Flows'!L188</f>
        <v>0</v>
      </c>
      <c r="M396" s="159">
        <f>-'Project Cash Flows'!M188</f>
        <v>0</v>
      </c>
      <c r="N396" s="159">
        <f>-'Project Cash Flows'!N188</f>
        <v>-0.37083298894372757</v>
      </c>
      <c r="O396" s="159">
        <f>-'Project Cash Flows'!O188</f>
        <v>-0.9653089498038715</v>
      </c>
      <c r="P396" s="159">
        <f>-'Project Cash Flows'!P188</f>
        <v>-1.5923913276540322</v>
      </c>
      <c r="Q396" s="159">
        <f>-'Project Cash Flows'!Q188</f>
        <v>-2.2534999423394111</v>
      </c>
      <c r="R396" s="159">
        <f>-'Project Cash Flows'!R188</f>
        <v>-2.9501103998021665</v>
      </c>
      <c r="S396" s="159">
        <f>-'Project Cash Flows'!S188</f>
        <v>0</v>
      </c>
      <c r="T396" s="159">
        <f>-'Project Cash Flows'!T188</f>
        <v>0</v>
      </c>
    </row>
    <row r="397" spans="2:20" x14ac:dyDescent="0.25">
      <c r="B397" s="21" t="s">
        <v>3336</v>
      </c>
      <c r="C397" s="28" t="s">
        <v>493</v>
      </c>
      <c r="H397" s="26">
        <f>'Project Cash Flows'!H189</f>
        <v>0</v>
      </c>
      <c r="I397" s="26">
        <f>'Project Cash Flows'!I189</f>
        <v>0</v>
      </c>
      <c r="J397" s="26">
        <f>'Project Cash Flows'!J189</f>
        <v>-13.572544999999991</v>
      </c>
      <c r="K397" s="26">
        <f>'Project Cash Flows'!K189</f>
        <v>-5.5925419700999566</v>
      </c>
      <c r="L397" s="26">
        <f>'Project Cash Flows'!L189</f>
        <v>-3.2986906245802263</v>
      </c>
      <c r="M397" s="26">
        <f>'Project Cash Flows'!M189</f>
        <v>-0.87455720274721216</v>
      </c>
      <c r="N397" s="26">
        <f>'Project Cash Flows'!N189</f>
        <v>1.314771506255034</v>
      </c>
      <c r="O397" s="26">
        <f>'Project Cash Flows'!O189</f>
        <v>3.4224590038500899</v>
      </c>
      <c r="P397" s="26">
        <f>'Project Cash Flows'!P189</f>
        <v>5.6457510707733869</v>
      </c>
      <c r="Q397" s="26">
        <f>'Project Cash Flows'!Q189</f>
        <v>7.9896816137488216</v>
      </c>
      <c r="R397" s="26">
        <f>'Project Cash Flows'!R189</f>
        <v>10.459482326571317</v>
      </c>
      <c r="S397" s="26">
        <f>'Project Cash Flows'!S189</f>
        <v>-13.572544999999991</v>
      </c>
      <c r="T397" s="26">
        <f>'Project Cash Flows'!T189</f>
        <v>-13.572544999999991</v>
      </c>
    </row>
    <row r="398" spans="2:20" x14ac:dyDescent="0.25">
      <c r="B398" s="163" t="s">
        <v>3337</v>
      </c>
    </row>
    <row r="399" spans="2:20" x14ac:dyDescent="0.25">
      <c r="B399" s="23" t="s">
        <v>3338</v>
      </c>
      <c r="C399" s="28" t="s">
        <v>493</v>
      </c>
      <c r="G399" s="29">
        <f>'Capex &amp; Depreciation'!G295</f>
        <v>0</v>
      </c>
      <c r="H399" s="29">
        <f>'Capex &amp; Depreciation'!H295</f>
        <v>0</v>
      </c>
      <c r="I399" s="29">
        <f>'Capex &amp; Depreciation'!I295</f>
        <v>0</v>
      </c>
      <c r="J399" s="29">
        <f>'Capex &amp; Depreciation'!J295</f>
        <v>101.13867499999998</v>
      </c>
      <c r="K399" s="29">
        <f>'Capex &amp; Depreciation'!K295</f>
        <v>201.87734999999992</v>
      </c>
      <c r="L399" s="29">
        <f>'Capex &amp; Depreciation'!L295</f>
        <v>188.76102499999993</v>
      </c>
      <c r="M399" s="29">
        <f>'Capex &amp; Depreciation'!M295</f>
        <v>175.64469999999994</v>
      </c>
      <c r="N399" s="29">
        <f>'Capex &amp; Depreciation'!N295</f>
        <v>162.52837499999995</v>
      </c>
      <c r="O399" s="29">
        <f>'Capex &amp; Depreciation'!O295</f>
        <v>149.41204999999997</v>
      </c>
      <c r="P399" s="29">
        <f>'Capex &amp; Depreciation'!P295</f>
        <v>136.29572499999998</v>
      </c>
      <c r="Q399" s="29">
        <f>'Capex &amp; Depreciation'!Q295</f>
        <v>123.17939999999999</v>
      </c>
      <c r="R399" s="29">
        <f>'Capex &amp; Depreciation'!R295</f>
        <v>110.063075</v>
      </c>
      <c r="S399" s="29">
        <f>'Capex &amp; Depreciation'!S295</f>
        <v>96.946750000000009</v>
      </c>
      <c r="T399" s="29">
        <f>'Capex &amp; Depreciation'!T295</f>
        <v>83.83042500000002</v>
      </c>
    </row>
    <row r="400" spans="2:20" x14ac:dyDescent="0.25">
      <c r="B400" s="23" t="s">
        <v>3339</v>
      </c>
      <c r="C400" s="28" t="s">
        <v>493</v>
      </c>
      <c r="G400" s="159">
        <v>0</v>
      </c>
      <c r="H400" s="29">
        <f>'Working Capital'!H53</f>
        <v>0</v>
      </c>
      <c r="I400" s="29">
        <f>'Working Capital'!I53</f>
        <v>0</v>
      </c>
      <c r="J400" s="29">
        <f>'Working Capital'!J53</f>
        <v>0</v>
      </c>
      <c r="K400" s="29">
        <f>'Working Capital'!K53</f>
        <v>1.08363698630137</v>
      </c>
      <c r="L400" s="29">
        <f>'Working Capital'!L53</f>
        <v>1.3913706454918033</v>
      </c>
      <c r="M400" s="29">
        <f>'Working Capital'!M53</f>
        <v>1.7244457181506851</v>
      </c>
      <c r="N400" s="29">
        <f>'Working Capital'!N53</f>
        <v>2.0722089379777402</v>
      </c>
      <c r="O400" s="29">
        <f>'Working Capital'!O53</f>
        <v>2.4392859498480823</v>
      </c>
      <c r="P400" s="29">
        <f>'Working Capital'!P53</f>
        <v>2.8187998550575433</v>
      </c>
      <c r="Q400" s="29">
        <f>'Working Capital'!Q53</f>
        <v>3.2347980802422871</v>
      </c>
      <c r="R400" s="29">
        <f>'Working Capital'!R53</f>
        <v>3.6650262249145142</v>
      </c>
      <c r="S400" s="29">
        <f>'Working Capital'!S53</f>
        <v>0</v>
      </c>
      <c r="T400" s="29">
        <f>'Working Capital'!T53</f>
        <v>0</v>
      </c>
    </row>
    <row r="401" spans="2:20" x14ac:dyDescent="0.25">
      <c r="B401" s="23" t="s">
        <v>3340</v>
      </c>
      <c r="C401" s="28" t="s">
        <v>493</v>
      </c>
      <c r="G401" s="159">
        <v>0</v>
      </c>
      <c r="H401" s="159">
        <f>-'Working Capital'!H54</f>
        <v>0</v>
      </c>
      <c r="I401" s="159">
        <f>-'Working Capital'!I54</f>
        <v>0</v>
      </c>
      <c r="J401" s="159">
        <f>-'Working Capital'!J54</f>
        <v>-3.7497534246575322E-2</v>
      </c>
      <c r="K401" s="159">
        <f>-'Working Capital'!K54</f>
        <v>-0.1040315317890383</v>
      </c>
      <c r="L401" s="159">
        <f>-'Working Capital'!L54</f>
        <v>-0.12285630119510127</v>
      </c>
      <c r="M401" s="159">
        <f>-'Working Capital'!M54</f>
        <v>-0.14345778310251128</v>
      </c>
      <c r="N401" s="159">
        <f>-'Working Capital'!N54</f>
        <v>-0.16487568050763682</v>
      </c>
      <c r="O401" s="159">
        <f>-'Working Capital'!O54</f>
        <v>-0.18749806169885311</v>
      </c>
      <c r="P401" s="159">
        <f>-'Working Capital'!P54</f>
        <v>-0.21080093628748145</v>
      </c>
      <c r="Q401" s="159">
        <f>-'Working Capital'!Q54</f>
        <v>-0.23657261052870235</v>
      </c>
      <c r="R401" s="159">
        <f>-'Working Capital'!R54</f>
        <v>-0.26313840074336314</v>
      </c>
      <c r="S401" s="159">
        <f>-'Working Capital'!S54</f>
        <v>-3.7497534246575322E-2</v>
      </c>
      <c r="T401" s="159">
        <f>-'Working Capital'!T54</f>
        <v>-3.7395081967213098E-2</v>
      </c>
    </row>
    <row r="402" spans="2:20" x14ac:dyDescent="0.25">
      <c r="B402" s="21" t="s">
        <v>3341</v>
      </c>
      <c r="C402" s="28" t="s">
        <v>493</v>
      </c>
      <c r="G402" s="26">
        <f>'Capex &amp; Depreciation'!G295</f>
        <v>0</v>
      </c>
      <c r="H402" s="160">
        <f>'Capex &amp; Depreciation'!H295+'Working Capital'!H55</f>
        <v>0</v>
      </c>
      <c r="I402" s="160">
        <f>'Capex &amp; Depreciation'!I295+'Working Capital'!I55</f>
        <v>0</v>
      </c>
      <c r="J402" s="160">
        <f>'Capex &amp; Depreciation'!J295+'Working Capital'!J55</f>
        <v>101.10117746575341</v>
      </c>
      <c r="K402" s="160">
        <f>'Capex &amp; Depreciation'!K295+'Working Capital'!K55</f>
        <v>202.85695545451225</v>
      </c>
      <c r="L402" s="160">
        <f>'Capex &amp; Depreciation'!L295+'Working Capital'!L55</f>
        <v>190.02953934429664</v>
      </c>
      <c r="M402" s="160">
        <f>'Capex &amp; Depreciation'!M295+'Working Capital'!M55</f>
        <v>177.22568793504811</v>
      </c>
      <c r="N402" s="160">
        <f>'Capex &amp; Depreciation'!N295+'Working Capital'!N55</f>
        <v>164.43570825747005</v>
      </c>
      <c r="O402" s="160">
        <f>'Capex &amp; Depreciation'!O295+'Working Capital'!O55</f>
        <v>151.6638378881492</v>
      </c>
      <c r="P402" s="160">
        <f>'Capex &amp; Depreciation'!P295+'Working Capital'!P55</f>
        <v>138.90372391877003</v>
      </c>
      <c r="Q402" s="160">
        <f>'Capex &amp; Depreciation'!Q295+'Working Capital'!Q55</f>
        <v>126.17762546971358</v>
      </c>
      <c r="R402" s="160">
        <f>'Capex &amp; Depreciation'!R295+'Working Capital'!R55</f>
        <v>113.46496282417115</v>
      </c>
      <c r="S402" s="160">
        <f>'Capex &amp; Depreciation'!S295+'Working Capital'!S55</f>
        <v>96.90925246575344</v>
      </c>
      <c r="T402" s="160">
        <f>'Capex &amp; Depreciation'!T295+'Working Capital'!T55</f>
        <v>83.793029918032801</v>
      </c>
    </row>
    <row r="403" spans="2:20" x14ac:dyDescent="0.25">
      <c r="B403" s="163" t="s">
        <v>3342</v>
      </c>
    </row>
    <row r="404" spans="2:20" x14ac:dyDescent="0.25">
      <c r="B404" s="23" t="s">
        <v>3221</v>
      </c>
      <c r="C404" s="28" t="s">
        <v>493</v>
      </c>
      <c r="H404" s="29">
        <f>'Project Cash Flows'!H185</f>
        <v>0</v>
      </c>
      <c r="I404" s="29">
        <f>'Project Cash Flows'!I185</f>
        <v>0</v>
      </c>
      <c r="J404" s="29">
        <f>'Project Cash Flows'!J185</f>
        <v>-0.45621999999999979</v>
      </c>
      <c r="K404" s="29">
        <f>'Project Cash Flows'!K185</f>
        <v>7.5237830299000343</v>
      </c>
      <c r="L404" s="29">
        <f>'Project Cash Flows'!L185</f>
        <v>9.8176343754197646</v>
      </c>
      <c r="M404" s="29">
        <f>'Project Cash Flows'!M185</f>
        <v>12.241767797252779</v>
      </c>
      <c r="N404" s="29">
        <f>'Project Cash Flows'!N185</f>
        <v>14.801929495198753</v>
      </c>
      <c r="O404" s="29">
        <f>'Project Cash Flows'!O185</f>
        <v>17.504092953653952</v>
      </c>
      <c r="P404" s="29">
        <f>'Project Cash Flows'!P185</f>
        <v>20.35446739842741</v>
      </c>
      <c r="Q404" s="29">
        <f>'Project Cash Flows'!Q185</f>
        <v>23.359506556088224</v>
      </c>
      <c r="R404" s="29">
        <f>'Project Cash Flows'!R185</f>
        <v>26.525917726373475</v>
      </c>
      <c r="S404" s="29">
        <f>'Project Cash Flows'!S185</f>
        <v>-0.45621999999999979</v>
      </c>
      <c r="T404" s="29">
        <f>'Project Cash Flows'!T185</f>
        <v>-0.45621999999999979</v>
      </c>
    </row>
    <row r="405" spans="2:20" x14ac:dyDescent="0.25">
      <c r="B405" s="23" t="s">
        <v>3343</v>
      </c>
      <c r="C405" s="28" t="s">
        <v>493</v>
      </c>
      <c r="H405" s="29">
        <f>'Project Cash Flows'!H190</f>
        <v>0</v>
      </c>
      <c r="I405" s="29">
        <f>'Project Cash Flows'!I190</f>
        <v>0</v>
      </c>
      <c r="J405" s="29">
        <f>'Project Cash Flows'!J190</f>
        <v>0</v>
      </c>
      <c r="K405" s="29">
        <f>'Project Cash Flows'!K190</f>
        <v>0</v>
      </c>
      <c r="L405" s="29">
        <f>'Project Cash Flows'!L190</f>
        <v>0</v>
      </c>
      <c r="M405" s="29">
        <f>'Project Cash Flows'!M190</f>
        <v>0</v>
      </c>
      <c r="N405" s="29">
        <f>'Project Cash Flows'!N190</f>
        <v>-0.37083298894372757</v>
      </c>
      <c r="O405" s="29">
        <f>'Project Cash Flows'!O190</f>
        <v>-0.9653089498038715</v>
      </c>
      <c r="P405" s="29">
        <f>'Project Cash Flows'!P190</f>
        <v>-1.5923913276540322</v>
      </c>
      <c r="Q405" s="29">
        <f>'Project Cash Flows'!Q190</f>
        <v>-2.2534999423394111</v>
      </c>
      <c r="R405" s="29">
        <f>'Project Cash Flows'!R190</f>
        <v>-2.9501103998021665</v>
      </c>
      <c r="S405" s="29">
        <f>'Project Cash Flows'!S190</f>
        <v>0</v>
      </c>
      <c r="T405" s="29">
        <f>'Project Cash Flows'!T190</f>
        <v>0</v>
      </c>
    </row>
    <row r="406" spans="2:20" x14ac:dyDescent="0.25">
      <c r="B406" s="23" t="s">
        <v>3227</v>
      </c>
      <c r="C406" s="28" t="s">
        <v>493</v>
      </c>
      <c r="H406" s="29">
        <f>'Project Cash Flows'!H191</f>
        <v>0</v>
      </c>
      <c r="I406" s="29">
        <f>'Project Cash Flows'!I191</f>
        <v>0</v>
      </c>
      <c r="J406" s="29">
        <f>'Project Cash Flows'!J191</f>
        <v>-114.25499999999997</v>
      </c>
      <c r="K406" s="29">
        <f>'Project Cash Flows'!K191</f>
        <v>-113.85499999999993</v>
      </c>
      <c r="L406" s="29">
        <f>'Project Cash Flows'!L191</f>
        <v>0</v>
      </c>
      <c r="M406" s="29">
        <f>'Project Cash Flows'!M191</f>
        <v>0</v>
      </c>
      <c r="N406" s="29">
        <f>'Project Cash Flows'!N191</f>
        <v>0</v>
      </c>
      <c r="O406" s="29">
        <f>'Project Cash Flows'!O191</f>
        <v>0</v>
      </c>
      <c r="P406" s="29">
        <f>'Project Cash Flows'!P191</f>
        <v>0</v>
      </c>
      <c r="Q406" s="29">
        <f>'Project Cash Flows'!Q191</f>
        <v>0</v>
      </c>
      <c r="R406" s="29">
        <f>'Project Cash Flows'!R191</f>
        <v>0</v>
      </c>
      <c r="S406" s="29">
        <f>'Project Cash Flows'!S191</f>
        <v>0</v>
      </c>
      <c r="T406" s="29">
        <f>'Project Cash Flows'!T191</f>
        <v>0</v>
      </c>
    </row>
    <row r="407" spans="2:20" x14ac:dyDescent="0.25">
      <c r="B407" s="23" t="s">
        <v>3228</v>
      </c>
      <c r="C407" s="28" t="s">
        <v>493</v>
      </c>
      <c r="H407" s="29">
        <f>'Project Cash Flows'!H192</f>
        <v>0</v>
      </c>
      <c r="I407" s="29">
        <f>'Project Cash Flows'!I192</f>
        <v>0</v>
      </c>
      <c r="J407" s="29">
        <f>'Project Cash Flows'!J192</f>
        <v>3.7497534246575322E-2</v>
      </c>
      <c r="K407" s="29">
        <f>'Project Cash Flows'!K192</f>
        <v>-1.0171029887589069</v>
      </c>
      <c r="L407" s="29">
        <f>'Project Cash Flows'!L192</f>
        <v>-0.28890888978437035</v>
      </c>
      <c r="M407" s="29">
        <f>'Project Cash Flows'!M192</f>
        <v>-0.31247359075147196</v>
      </c>
      <c r="N407" s="29">
        <f>'Project Cash Flows'!N192</f>
        <v>-0.32634532242192948</v>
      </c>
      <c r="O407" s="29">
        <f>'Project Cash Flows'!O192</f>
        <v>-0.34445463067912563</v>
      </c>
      <c r="P407" s="29">
        <f>'Project Cash Flows'!P192</f>
        <v>-0.35621103062083259</v>
      </c>
      <c r="Q407" s="29">
        <f>'Project Cash Flows'!Q192</f>
        <v>-0.39022655094352299</v>
      </c>
      <c r="R407" s="29">
        <f>'Project Cash Flows'!R192</f>
        <v>-0.4036623544575666</v>
      </c>
      <c r="S407" s="29">
        <f>'Project Cash Flows'!S192</f>
        <v>3.4393853584177267</v>
      </c>
      <c r="T407" s="29">
        <f>'Project Cash Flows'!T192</f>
        <v>-1.0245227936222373E-4</v>
      </c>
    </row>
    <row r="408" spans="2:20" x14ac:dyDescent="0.25">
      <c r="B408" s="21" t="s">
        <v>3344</v>
      </c>
      <c r="C408" s="28" t="s">
        <v>493</v>
      </c>
      <c r="H408" s="26">
        <f>'Project Cash Flows'!H193</f>
        <v>0</v>
      </c>
      <c r="I408" s="26">
        <f>'Project Cash Flows'!I193</f>
        <v>0</v>
      </c>
      <c r="J408" s="26">
        <f>'Project Cash Flows'!J193</f>
        <v>-114.6737224657534</v>
      </c>
      <c r="K408" s="26">
        <f>'Project Cash Flows'!K193</f>
        <v>-107.34831995885881</v>
      </c>
      <c r="L408" s="26">
        <f>'Project Cash Flows'!L193</f>
        <v>9.5287254856353947</v>
      </c>
      <c r="M408" s="26">
        <f>'Project Cash Flows'!M193</f>
        <v>11.929294206501307</v>
      </c>
      <c r="N408" s="26">
        <f>'Project Cash Flows'!N193</f>
        <v>14.104751183833097</v>
      </c>
      <c r="O408" s="26">
        <f>'Project Cash Flows'!O193</f>
        <v>16.194329373170952</v>
      </c>
      <c r="P408" s="26">
        <f>'Project Cash Flows'!P193</f>
        <v>18.405865040152545</v>
      </c>
      <c r="Q408" s="26">
        <f>'Project Cash Flows'!Q193</f>
        <v>20.71578006280529</v>
      </c>
      <c r="R408" s="26">
        <f>'Project Cash Flows'!R193</f>
        <v>23.172144972113742</v>
      </c>
      <c r="S408" s="26">
        <f>'Project Cash Flows'!S193</f>
        <v>2.9831653584177271</v>
      </c>
      <c r="T408" s="26">
        <f>'Project Cash Flows'!T193</f>
        <v>-0.45632245227936202</v>
      </c>
    </row>
    <row r="409" spans="2:20" x14ac:dyDescent="0.25">
      <c r="B409" s="23" t="s">
        <v>3345</v>
      </c>
      <c r="C409" s="28" t="s">
        <v>493</v>
      </c>
      <c r="G409" s="29">
        <f>'Project Cash Flows'!G196</f>
        <v>0</v>
      </c>
      <c r="H409" s="29">
        <f>'Project Cash Flows'!H196</f>
        <v>0</v>
      </c>
      <c r="I409" s="29">
        <f>'Project Cash Flows'!I196</f>
        <v>0</v>
      </c>
      <c r="J409" s="29">
        <f>'Project Cash Flows'!J196</f>
        <v>-114.6737224657534</v>
      </c>
      <c r="K409" s="29">
        <f>'Project Cash Flows'!K196</f>
        <v>-222.02204242461221</v>
      </c>
      <c r="L409" s="29">
        <f>'Project Cash Flows'!L196</f>
        <v>-212.49331693897682</v>
      </c>
      <c r="M409" s="29">
        <f>'Project Cash Flows'!M196</f>
        <v>-200.56402273247551</v>
      </c>
      <c r="N409" s="29">
        <f>'Project Cash Flows'!N196</f>
        <v>-186.45927154864242</v>
      </c>
      <c r="O409" s="29">
        <f>'Project Cash Flows'!O196</f>
        <v>-170.26494217547148</v>
      </c>
      <c r="P409" s="29">
        <f>'Project Cash Flows'!P196</f>
        <v>-151.85907713531893</v>
      </c>
      <c r="Q409" s="29">
        <f>'Project Cash Flows'!Q196</f>
        <v>-131.14329707251363</v>
      </c>
      <c r="R409" s="29">
        <f>'Project Cash Flows'!R196</f>
        <v>-107.97115210039989</v>
      </c>
      <c r="S409" s="29">
        <f>'Project Cash Flows'!S196</f>
        <v>-104.98798674198217</v>
      </c>
      <c r="T409" s="29">
        <f>'Project Cash Flows'!T196</f>
        <v>-105.44430919426154</v>
      </c>
    </row>
    <row r="410" spans="2:20" x14ac:dyDescent="0.25">
      <c r="B410" s="163" t="s">
        <v>3346</v>
      </c>
    </row>
    <row r="411" spans="2:20" x14ac:dyDescent="0.25">
      <c r="B411" s="23" t="s">
        <v>3363</v>
      </c>
      <c r="C411" s="28" t="s">
        <v>806</v>
      </c>
      <c r="G411" s="34">
        <f>'Capex &amp; Depreciation'!G14</f>
        <v>0</v>
      </c>
      <c r="H411" s="34">
        <f>'Capex &amp; Depreciation'!H14</f>
        <v>0</v>
      </c>
      <c r="I411" s="34">
        <f>'Capex &amp; Depreciation'!I14</f>
        <v>0</v>
      </c>
      <c r="J411" s="34">
        <f>'Capex &amp; Depreciation'!J14</f>
        <v>7.0245926836766044</v>
      </c>
      <c r="K411" s="34">
        <f>'Capex &amp; Depreciation'!K14</f>
        <v>6.9999999999999956</v>
      </c>
      <c r="L411" s="34">
        <f>'Capex &amp; Depreciation'!L14</f>
        <v>0</v>
      </c>
      <c r="M411" s="34">
        <f>'Capex &amp; Depreciation'!M14</f>
        <v>0</v>
      </c>
      <c r="N411" s="34">
        <f>'Capex &amp; Depreciation'!N14</f>
        <v>0</v>
      </c>
      <c r="O411" s="34">
        <f>'Capex &amp; Depreciation'!O14</f>
        <v>0</v>
      </c>
      <c r="P411" s="34">
        <f>'Capex &amp; Depreciation'!P14</f>
        <v>0</v>
      </c>
      <c r="Q411" s="34">
        <f>'Capex &amp; Depreciation'!Q14</f>
        <v>0</v>
      </c>
      <c r="R411" s="34">
        <f>'Capex &amp; Depreciation'!R14</f>
        <v>0</v>
      </c>
      <c r="S411" s="34">
        <f>'Capex &amp; Depreciation'!S14</f>
        <v>0</v>
      </c>
      <c r="T411" s="34">
        <f>'Capex &amp; Depreciation'!T14</f>
        <v>0</v>
      </c>
    </row>
    <row r="412" spans="2:20" x14ac:dyDescent="0.25">
      <c r="B412" s="23" t="s">
        <v>3364</v>
      </c>
      <c r="C412" s="28" t="s">
        <v>493</v>
      </c>
      <c r="G412" s="29">
        <f>'Capex &amp; Depreciation'!G62</f>
        <v>0</v>
      </c>
      <c r="H412" s="29">
        <f>'Capex &amp; Depreciation'!H62</f>
        <v>0</v>
      </c>
      <c r="I412" s="29">
        <f>'Capex &amp; Depreciation'!I62</f>
        <v>0</v>
      </c>
      <c r="J412" s="29">
        <f>'Capex &amp; Depreciation'!J62</f>
        <v>114.25499999999997</v>
      </c>
      <c r="K412" s="29">
        <f>'Capex &amp; Depreciation'!K62</f>
        <v>113.85499999999993</v>
      </c>
      <c r="L412" s="29">
        <f>'Capex &amp; Depreciation'!L62</f>
        <v>0</v>
      </c>
      <c r="M412" s="29">
        <f>'Capex &amp; Depreciation'!M62</f>
        <v>0</v>
      </c>
      <c r="N412" s="29">
        <f>'Capex &amp; Depreciation'!N62</f>
        <v>0</v>
      </c>
      <c r="O412" s="29">
        <f>'Capex &amp; Depreciation'!O62</f>
        <v>0</v>
      </c>
      <c r="P412" s="29">
        <f>'Capex &amp; Depreciation'!P62</f>
        <v>0</v>
      </c>
      <c r="Q412" s="29">
        <f>'Capex &amp; Depreciation'!Q62</f>
        <v>0</v>
      </c>
      <c r="R412" s="29">
        <f>'Capex &amp; Depreciation'!R62</f>
        <v>0</v>
      </c>
      <c r="S412" s="29">
        <f>'Capex &amp; Depreciation'!S62</f>
        <v>0</v>
      </c>
      <c r="T412" s="29">
        <f>'Capex &amp; Depreciation'!T62</f>
        <v>0</v>
      </c>
    </row>
    <row r="413" spans="2:20" ht="26.25" customHeight="1" x14ac:dyDescent="0.25">
      <c r="B413" s="64" t="s">
        <v>3365</v>
      </c>
      <c r="C413" s="28" t="s">
        <v>493</v>
      </c>
      <c r="H413" s="29">
        <f>'Funding Requirement'!H121</f>
        <v>0</v>
      </c>
      <c r="I413" s="29">
        <f>'Funding Requirement'!I121</f>
        <v>0</v>
      </c>
      <c r="J413" s="29">
        <f>'Funding Requirement'!J121</f>
        <v>114.6737224657534</v>
      </c>
      <c r="K413" s="29">
        <f>'Funding Requirement'!K121</f>
        <v>107.34831995885881</v>
      </c>
      <c r="L413" s="29">
        <f>'Funding Requirement'!L121</f>
        <v>0</v>
      </c>
      <c r="M413" s="29">
        <f>'Funding Requirement'!M121</f>
        <v>0</v>
      </c>
      <c r="N413" s="29">
        <f>'Funding Requirement'!N121</f>
        <v>0</v>
      </c>
      <c r="O413" s="29">
        <f>'Funding Requirement'!O121</f>
        <v>0</v>
      </c>
      <c r="P413" s="29">
        <f>'Funding Requirement'!P121</f>
        <v>0</v>
      </c>
      <c r="Q413" s="29">
        <f>'Funding Requirement'!Q121</f>
        <v>0</v>
      </c>
      <c r="R413" s="29">
        <f>'Funding Requirement'!R121</f>
        <v>0</v>
      </c>
      <c r="S413" s="29">
        <f>'Funding Requirement'!S121</f>
        <v>0</v>
      </c>
      <c r="T413" s="29">
        <f>'Funding Requirement'!T121</f>
        <v>0.45632245227936202</v>
      </c>
    </row>
    <row r="414" spans="2:20" x14ac:dyDescent="0.25">
      <c r="B414" s="163" t="s">
        <v>3348</v>
      </c>
    </row>
    <row r="415" spans="2:20" x14ac:dyDescent="0.25">
      <c r="B415" s="44" t="s">
        <v>3349</v>
      </c>
      <c r="D415" s="204">
        <f>'Project Cash Flows'!$E$17</f>
        <v>-34.068728740804488</v>
      </c>
      <c r="H415" s="44" t="s">
        <v>3176</v>
      </c>
      <c r="K415" s="205" t="str">
        <f>'Project Cash Flows'!$H$17</f>
        <v>Not meaningful</v>
      </c>
      <c r="N415" s="44" t="s">
        <v>3350</v>
      </c>
      <c r="Q415" s="205">
        <f>'Project Cash Flows'!$I$17</f>
        <v>8.2212656736373908E-3</v>
      </c>
    </row>
    <row r="416" spans="2:20" x14ac:dyDescent="0.25">
      <c r="B416" s="44" t="s">
        <v>3180</v>
      </c>
      <c r="D416" s="205" t="str">
        <f>'Project Cash Flows'!$L$17</f>
        <v>as project IRR</v>
      </c>
      <c r="H416" s="44" t="s">
        <v>3351</v>
      </c>
      <c r="K416" s="206" t="str">
        <f>'Project Cash Flows'!$J$17</f>
        <v>&gt; FY2036</v>
      </c>
      <c r="N416" s="44" t="s">
        <v>3179</v>
      </c>
      <c r="Q416" s="204">
        <f>'Project Cash Flows'!$K$17</f>
        <v>222.02204242461221</v>
      </c>
    </row>
    <row r="418" spans="2:20" x14ac:dyDescent="0.25">
      <c r="B418" s="58" t="s">
        <v>3381</v>
      </c>
      <c r="C418" s="19"/>
      <c r="D418" s="19"/>
      <c r="E418" s="19"/>
      <c r="F418" s="19"/>
      <c r="G418" s="19"/>
      <c r="H418" s="19"/>
      <c r="I418" s="19"/>
      <c r="J418" s="19"/>
      <c r="K418" s="19"/>
      <c r="L418" s="19"/>
      <c r="M418" s="19"/>
      <c r="N418" s="19"/>
      <c r="O418" s="19"/>
      <c r="P418" s="19"/>
      <c r="Q418" s="19"/>
      <c r="R418" s="19"/>
      <c r="S418" s="19"/>
      <c r="T418" s="19"/>
    </row>
    <row r="419" spans="2:20" x14ac:dyDescent="0.25">
      <c r="B419" s="70" t="s">
        <v>1690</v>
      </c>
      <c r="D419" s="130" t="str">
        <f>Inputs!$I$71</f>
        <v>Included - both cases</v>
      </c>
      <c r="M419" s="202" t="s">
        <v>3323</v>
      </c>
      <c r="N419" s="203">
        <f>Inputs!$H$71</f>
        <v>1</v>
      </c>
    </row>
    <row r="420" spans="2:20" x14ac:dyDescent="0.25">
      <c r="B420" s="163" t="s">
        <v>3324</v>
      </c>
    </row>
    <row r="421" spans="2:20" x14ac:dyDescent="0.25">
      <c r="B421" s="23" t="s">
        <v>3382</v>
      </c>
      <c r="C421" s="28" t="s">
        <v>630</v>
      </c>
      <c r="H421" s="48">
        <f>'Revenue Calculation'!H135</f>
        <v>0</v>
      </c>
      <c r="I421" s="48">
        <f>'Revenue Calculation'!I135</f>
        <v>0</v>
      </c>
      <c r="J421" s="48">
        <f>'Revenue Calculation'!J135</f>
        <v>0</v>
      </c>
      <c r="K421" s="48">
        <f>'Revenue Calculation'!K135</f>
        <v>3706183.3471676521</v>
      </c>
      <c r="L421" s="48">
        <f>'Revenue Calculation'!L135</f>
        <v>3826368.847582682</v>
      </c>
      <c r="M421" s="48">
        <f>'Revenue Calculation'!M135</f>
        <v>3950159.9130101623</v>
      </c>
      <c r="N421" s="48">
        <f>'Revenue Calculation'!N135</f>
        <v>4077664.7104004677</v>
      </c>
      <c r="O421" s="48">
        <f>'Revenue Calculation'!O135</f>
        <v>4208994.6517124819</v>
      </c>
      <c r="P421" s="48">
        <f>'Revenue Calculation'!P135</f>
        <v>4344264.4912638562</v>
      </c>
      <c r="Q421" s="48">
        <f>'Revenue Calculation'!Q135</f>
        <v>4483592.4260017723</v>
      </c>
      <c r="R421" s="48">
        <f>'Revenue Calculation'!R135</f>
        <v>4627100.1987818247</v>
      </c>
      <c r="S421" s="48">
        <f>'Revenue Calculation'!S135</f>
        <v>4774913.2047452796</v>
      </c>
      <c r="T421" s="48">
        <f>'Revenue Calculation'!T135</f>
        <v>4927160.6008876376</v>
      </c>
    </row>
    <row r="422" spans="2:20" x14ac:dyDescent="0.25">
      <c r="B422" s="23" t="s">
        <v>3383</v>
      </c>
      <c r="C422" s="28" t="s">
        <v>647</v>
      </c>
      <c r="H422" s="48">
        <f>Inputs!H290</f>
        <v>20000</v>
      </c>
      <c r="I422" s="48">
        <f>Inputs!I290</f>
        <v>20000</v>
      </c>
      <c r="J422" s="48">
        <f>Inputs!J290</f>
        <v>20000</v>
      </c>
      <c r="K422" s="48">
        <f>Inputs!K290</f>
        <v>20000</v>
      </c>
      <c r="L422" s="48">
        <f>Inputs!L290</f>
        <v>20000</v>
      </c>
      <c r="M422" s="48">
        <f>Inputs!M290</f>
        <v>20000</v>
      </c>
      <c r="N422" s="48">
        <f>Inputs!N290</f>
        <v>20000</v>
      </c>
      <c r="O422" s="48">
        <f>Inputs!O290</f>
        <v>20000</v>
      </c>
      <c r="P422" s="48">
        <f>Inputs!P290</f>
        <v>20000</v>
      </c>
      <c r="Q422" s="48">
        <f>Inputs!Q290</f>
        <v>20000</v>
      </c>
      <c r="R422" s="48">
        <f>Inputs!R290</f>
        <v>20000</v>
      </c>
      <c r="S422" s="48">
        <f>Inputs!S290</f>
        <v>20000</v>
      </c>
      <c r="T422" s="48">
        <f>Inputs!T290</f>
        <v>20000</v>
      </c>
    </row>
    <row r="423" spans="2:20" x14ac:dyDescent="0.25">
      <c r="B423" s="163" t="s">
        <v>3328</v>
      </c>
    </row>
    <row r="424" spans="2:20" x14ac:dyDescent="0.25">
      <c r="B424" s="21" t="s">
        <v>3329</v>
      </c>
      <c r="C424" s="28" t="s">
        <v>493</v>
      </c>
      <c r="H424" s="26">
        <f>'Revenue Calculation'!H137</f>
        <v>0</v>
      </c>
      <c r="I424" s="26">
        <f>'Revenue Calculation'!I137</f>
        <v>0</v>
      </c>
      <c r="J424" s="26">
        <f>'Revenue Calculation'!J137</f>
        <v>0</v>
      </c>
      <c r="K424" s="26">
        <f>'Revenue Calculation'!K137</f>
        <v>0.7412366694335305</v>
      </c>
      <c r="L424" s="26">
        <f>'Revenue Calculation'!L137</f>
        <v>0.76527376951653636</v>
      </c>
      <c r="M424" s="26">
        <f>'Revenue Calculation'!M137</f>
        <v>0.79003198260203256</v>
      </c>
      <c r="N424" s="26">
        <f>'Revenue Calculation'!N137</f>
        <v>0.81553294208009364</v>
      </c>
      <c r="O424" s="26">
        <f>'Revenue Calculation'!O137</f>
        <v>0.84179893034249653</v>
      </c>
      <c r="P424" s="26">
        <f>'Revenue Calculation'!P137</f>
        <v>0.86885289825277123</v>
      </c>
      <c r="Q424" s="26">
        <f>'Revenue Calculation'!Q137</f>
        <v>0.89671848520035446</v>
      </c>
      <c r="R424" s="26">
        <f>'Revenue Calculation'!R137</f>
        <v>0.92542003975636511</v>
      </c>
      <c r="S424" s="26">
        <f>'Revenue Calculation'!S137</f>
        <v>0.95498264094905594</v>
      </c>
      <c r="T424" s="26">
        <f>'Revenue Calculation'!T137</f>
        <v>0.98543212017752757</v>
      </c>
    </row>
    <row r="425" spans="2:20" x14ac:dyDescent="0.25">
      <c r="B425" s="23" t="s">
        <v>3330</v>
      </c>
      <c r="C425" s="28" t="s">
        <v>493</v>
      </c>
      <c r="H425" s="159">
        <f>-'Cost Calculation'!H163</f>
        <v>0</v>
      </c>
      <c r="I425" s="159">
        <f>-'Cost Calculation'!I163</f>
        <v>0</v>
      </c>
      <c r="J425" s="159">
        <f>-'Cost Calculation'!J163</f>
        <v>0</v>
      </c>
      <c r="K425" s="159">
        <f>-'Cost Calculation'!K163</f>
        <v>0</v>
      </c>
      <c r="L425" s="159">
        <f>-'Cost Calculation'!L163</f>
        <v>0</v>
      </c>
      <c r="M425" s="159">
        <f>-'Cost Calculation'!M163</f>
        <v>0</v>
      </c>
      <c r="N425" s="159">
        <f>-'Cost Calculation'!N163</f>
        <v>0</v>
      </c>
      <c r="O425" s="159">
        <f>-'Cost Calculation'!O163</f>
        <v>0</v>
      </c>
      <c r="P425" s="159">
        <f>-'Cost Calculation'!P163</f>
        <v>0</v>
      </c>
      <c r="Q425" s="159">
        <f>-'Cost Calculation'!Q163</f>
        <v>0</v>
      </c>
      <c r="R425" s="159">
        <f>-'Cost Calculation'!R163</f>
        <v>0</v>
      </c>
      <c r="S425" s="159">
        <f>-'Cost Calculation'!S163</f>
        <v>0</v>
      </c>
      <c r="T425" s="159">
        <f>-'Cost Calculation'!T163</f>
        <v>0</v>
      </c>
    </row>
    <row r="426" spans="2:20" x14ac:dyDescent="0.25">
      <c r="B426" s="23" t="s">
        <v>3331</v>
      </c>
      <c r="C426" s="28" t="s">
        <v>493</v>
      </c>
      <c r="H426" s="159">
        <f>-'Cost Calculation'!H164</f>
        <v>0</v>
      </c>
      <c r="I426" s="159">
        <f>-'Cost Calculation'!I164</f>
        <v>0</v>
      </c>
      <c r="J426" s="159">
        <f>-'Cost Calculation'!J164</f>
        <v>0</v>
      </c>
      <c r="K426" s="159">
        <f>-'Cost Calculation'!K164</f>
        <v>-0.14824733388670611</v>
      </c>
      <c r="L426" s="159">
        <f>-'Cost Calculation'!L164</f>
        <v>-0.15305475390330728</v>
      </c>
      <c r="M426" s="159">
        <f>-'Cost Calculation'!M164</f>
        <v>-0.15800639652040652</v>
      </c>
      <c r="N426" s="159">
        <f>-'Cost Calculation'!N164</f>
        <v>-0.16310658841601874</v>
      </c>
      <c r="O426" s="159">
        <f>-'Cost Calculation'!O164</f>
        <v>-0.16835978606849933</v>
      </c>
      <c r="P426" s="159">
        <f>-'Cost Calculation'!P164</f>
        <v>-0.17377057965055426</v>
      </c>
      <c r="Q426" s="159">
        <f>-'Cost Calculation'!Q164</f>
        <v>-0.17934369704007092</v>
      </c>
      <c r="R426" s="159">
        <f>-'Cost Calculation'!R164</f>
        <v>-0.18508400795127303</v>
      </c>
      <c r="S426" s="159">
        <f>-'Cost Calculation'!S164</f>
        <v>-0.19099652818981119</v>
      </c>
      <c r="T426" s="159">
        <f>-'Cost Calculation'!T164</f>
        <v>-0.19708642403550553</v>
      </c>
    </row>
    <row r="427" spans="2:20" x14ac:dyDescent="0.25">
      <c r="B427" s="21" t="s">
        <v>3221</v>
      </c>
      <c r="C427" s="28" t="s">
        <v>493</v>
      </c>
      <c r="H427" s="26">
        <f>'Cost Calculation'!H165</f>
        <v>0</v>
      </c>
      <c r="I427" s="26">
        <f>'Cost Calculation'!I165</f>
        <v>0</v>
      </c>
      <c r="J427" s="26">
        <f>'Cost Calculation'!J165</f>
        <v>0</v>
      </c>
      <c r="K427" s="26">
        <f>'Cost Calculation'!K165</f>
        <v>0.59298933554682443</v>
      </c>
      <c r="L427" s="26">
        <f>'Cost Calculation'!L165</f>
        <v>0.61221901561322911</v>
      </c>
      <c r="M427" s="26">
        <f>'Cost Calculation'!M165</f>
        <v>0.63202558608162607</v>
      </c>
      <c r="N427" s="26">
        <f>'Cost Calculation'!N165</f>
        <v>0.65242635366407487</v>
      </c>
      <c r="O427" s="26">
        <f>'Cost Calculation'!O165</f>
        <v>0.6734391442739972</v>
      </c>
      <c r="P427" s="26">
        <f>'Cost Calculation'!P165</f>
        <v>0.69508231860221703</v>
      </c>
      <c r="Q427" s="26">
        <f>'Cost Calculation'!Q165</f>
        <v>0.71737478816028355</v>
      </c>
      <c r="R427" s="26">
        <f>'Cost Calculation'!R165</f>
        <v>0.74033603180509211</v>
      </c>
      <c r="S427" s="26">
        <f>'Cost Calculation'!S165</f>
        <v>0.76398611275924477</v>
      </c>
      <c r="T427" s="26">
        <f>'Cost Calculation'!T165</f>
        <v>0.7883456961420221</v>
      </c>
    </row>
    <row r="428" spans="2:20" x14ac:dyDescent="0.25">
      <c r="B428" s="23" t="s">
        <v>3332</v>
      </c>
      <c r="C428" s="28" t="s">
        <v>493</v>
      </c>
      <c r="H428" s="159">
        <f>-'Capex &amp; Depreciation'!H242</f>
        <v>0</v>
      </c>
      <c r="I428" s="159">
        <f>-'Capex &amp; Depreciation'!I242</f>
        <v>0</v>
      </c>
      <c r="J428" s="159">
        <f>-'Capex &amp; Depreciation'!J242</f>
        <v>0</v>
      </c>
      <c r="K428" s="159">
        <f>-'Capex &amp; Depreciation'!K242</f>
        <v>-0.13012000000000001</v>
      </c>
      <c r="L428" s="159">
        <f>-'Capex &amp; Depreciation'!L242</f>
        <v>-0.13012000000000001</v>
      </c>
      <c r="M428" s="159">
        <f>-'Capex &amp; Depreciation'!M242</f>
        <v>-0.13012000000000001</v>
      </c>
      <c r="N428" s="159">
        <f>-'Capex &amp; Depreciation'!N242</f>
        <v>-0.13012000000000001</v>
      </c>
      <c r="O428" s="159">
        <f>-'Capex &amp; Depreciation'!O242</f>
        <v>-0.13012000000000001</v>
      </c>
      <c r="P428" s="159">
        <f>-'Capex &amp; Depreciation'!P242</f>
        <v>-0.13012000000000001</v>
      </c>
      <c r="Q428" s="159">
        <f>-'Capex &amp; Depreciation'!Q242</f>
        <v>-0.13012000000000001</v>
      </c>
      <c r="R428" s="159">
        <f>-'Capex &amp; Depreciation'!R242</f>
        <v>-0.13012000000000001</v>
      </c>
      <c r="S428" s="159">
        <f>-'Capex &amp; Depreciation'!S242</f>
        <v>-0.13012000000000001</v>
      </c>
      <c r="T428" s="159">
        <f>-'Capex &amp; Depreciation'!T242</f>
        <v>-0.13012000000000001</v>
      </c>
    </row>
    <row r="429" spans="2:20" x14ac:dyDescent="0.25">
      <c r="B429" s="21" t="s">
        <v>3333</v>
      </c>
      <c r="C429" s="28" t="s">
        <v>493</v>
      </c>
      <c r="H429" s="26">
        <f>'Project Cash Flows'!H199</f>
        <v>0</v>
      </c>
      <c r="I429" s="26">
        <f>'Project Cash Flows'!I199</f>
        <v>0</v>
      </c>
      <c r="J429" s="26">
        <f>'Project Cash Flows'!J199</f>
        <v>0</v>
      </c>
      <c r="K429" s="26">
        <f>'Project Cash Flows'!K199</f>
        <v>0.46286933554682441</v>
      </c>
      <c r="L429" s="26">
        <f>'Project Cash Flows'!L199</f>
        <v>0.4820990156132291</v>
      </c>
      <c r="M429" s="26">
        <f>'Project Cash Flows'!M199</f>
        <v>0.50190558608162605</v>
      </c>
      <c r="N429" s="26">
        <f>'Project Cash Flows'!N199</f>
        <v>0.52230635366407485</v>
      </c>
      <c r="O429" s="26">
        <f>'Project Cash Flows'!O199</f>
        <v>0.54331914427399719</v>
      </c>
      <c r="P429" s="26">
        <f>'Project Cash Flows'!P199</f>
        <v>0.56496231860221702</v>
      </c>
      <c r="Q429" s="26">
        <f>'Project Cash Flows'!Q199</f>
        <v>0.58725478816028354</v>
      </c>
      <c r="R429" s="26">
        <f>'Project Cash Flows'!R199</f>
        <v>0.6102160318050921</v>
      </c>
      <c r="S429" s="26">
        <f>'Project Cash Flows'!S199</f>
        <v>0.63386611275924476</v>
      </c>
      <c r="T429" s="26">
        <f>'Project Cash Flows'!T199</f>
        <v>0.65822569614202209</v>
      </c>
    </row>
    <row r="430" spans="2:20" x14ac:dyDescent="0.25">
      <c r="B430" s="23" t="s">
        <v>3334</v>
      </c>
      <c r="C430" s="28" t="s">
        <v>493</v>
      </c>
      <c r="H430" s="159">
        <f>-'Project Cash Flows'!H200</f>
        <v>0</v>
      </c>
      <c r="I430" s="159">
        <f>-'Project Cash Flows'!I200</f>
        <v>0</v>
      </c>
      <c r="J430" s="159">
        <f>-'Project Cash Flows'!J200</f>
        <v>0</v>
      </c>
      <c r="K430" s="159">
        <f>-'Project Cash Flows'!K200</f>
        <v>0</v>
      </c>
      <c r="L430" s="159">
        <f>-'Project Cash Flows'!L200</f>
        <v>0</v>
      </c>
      <c r="M430" s="159">
        <f>-'Project Cash Flows'!M200</f>
        <v>0</v>
      </c>
      <c r="N430" s="159">
        <f>-'Project Cash Flows'!N200</f>
        <v>0</v>
      </c>
      <c r="O430" s="159">
        <f>-'Project Cash Flows'!O200</f>
        <v>0</v>
      </c>
      <c r="P430" s="159">
        <f>-'Project Cash Flows'!P200</f>
        <v>0</v>
      </c>
      <c r="Q430" s="159">
        <f>-'Project Cash Flows'!Q200</f>
        <v>0</v>
      </c>
      <c r="R430" s="159">
        <f>-'Project Cash Flows'!R200</f>
        <v>0</v>
      </c>
      <c r="S430" s="159">
        <f>-'Project Cash Flows'!S200</f>
        <v>0</v>
      </c>
      <c r="T430" s="159">
        <f>-'Project Cash Flows'!T200</f>
        <v>0</v>
      </c>
    </row>
    <row r="431" spans="2:20" x14ac:dyDescent="0.25">
      <c r="B431" s="23" t="s">
        <v>3335</v>
      </c>
      <c r="C431" s="28" t="s">
        <v>493</v>
      </c>
      <c r="H431" s="159">
        <f>-'Project Cash Flows'!H201</f>
        <v>0</v>
      </c>
      <c r="I431" s="159">
        <f>-'Project Cash Flows'!I201</f>
        <v>0</v>
      </c>
      <c r="J431" s="159">
        <f>-'Project Cash Flows'!J201</f>
        <v>0</v>
      </c>
      <c r="K431" s="159">
        <f>-'Project Cash Flows'!K201</f>
        <v>-0.10183125382030137</v>
      </c>
      <c r="L431" s="159">
        <f>-'Project Cash Flows'!L201</f>
        <v>-0.10606178343491041</v>
      </c>
      <c r="M431" s="159">
        <f>-'Project Cash Flows'!M201</f>
        <v>-0.11041922893795773</v>
      </c>
      <c r="N431" s="159">
        <f>-'Project Cash Flows'!N201</f>
        <v>-0.11490739780609646</v>
      </c>
      <c r="O431" s="159">
        <f>-'Project Cash Flows'!O201</f>
        <v>-0.11953021174027938</v>
      </c>
      <c r="P431" s="159">
        <f>-'Project Cash Flows'!P201</f>
        <v>-0.12429171009248774</v>
      </c>
      <c r="Q431" s="159">
        <f>-'Project Cash Flows'!Q201</f>
        <v>-0.12919605339526238</v>
      </c>
      <c r="R431" s="159">
        <f>-'Project Cash Flows'!R201</f>
        <v>-0.13424752699712025</v>
      </c>
      <c r="S431" s="159">
        <f>-'Project Cash Flows'!S201</f>
        <v>-0.13945054480703384</v>
      </c>
      <c r="T431" s="159">
        <f>-'Project Cash Flows'!T201</f>
        <v>-0.14480965315124486</v>
      </c>
    </row>
    <row r="432" spans="2:20" x14ac:dyDescent="0.25">
      <c r="B432" s="21" t="s">
        <v>3336</v>
      </c>
      <c r="C432" s="28" t="s">
        <v>493</v>
      </c>
      <c r="H432" s="26">
        <f>'Project Cash Flows'!H202</f>
        <v>0</v>
      </c>
      <c r="I432" s="26">
        <f>'Project Cash Flows'!I202</f>
        <v>0</v>
      </c>
      <c r="J432" s="26">
        <f>'Project Cash Flows'!J202</f>
        <v>0</v>
      </c>
      <c r="K432" s="26">
        <f>'Project Cash Flows'!K202</f>
        <v>0.36103808172652307</v>
      </c>
      <c r="L432" s="26">
        <f>'Project Cash Flows'!L202</f>
        <v>0.37603723217831869</v>
      </c>
      <c r="M432" s="26">
        <f>'Project Cash Flows'!M202</f>
        <v>0.39148635714366831</v>
      </c>
      <c r="N432" s="26">
        <f>'Project Cash Flows'!N202</f>
        <v>0.40739895585797836</v>
      </c>
      <c r="O432" s="26">
        <f>'Project Cash Flows'!O202</f>
        <v>0.4237889325337178</v>
      </c>
      <c r="P432" s="26">
        <f>'Project Cash Flows'!P202</f>
        <v>0.44067060850972928</v>
      </c>
      <c r="Q432" s="26">
        <f>'Project Cash Flows'!Q202</f>
        <v>0.45805873476502112</v>
      </c>
      <c r="R432" s="26">
        <f>'Project Cash Flows'!R202</f>
        <v>0.47596850480797182</v>
      </c>
      <c r="S432" s="26">
        <f>'Project Cash Flows'!S202</f>
        <v>0.49441556795221092</v>
      </c>
      <c r="T432" s="26">
        <f>'Project Cash Flows'!T202</f>
        <v>0.51341604299077725</v>
      </c>
    </row>
    <row r="433" spans="2:20" x14ac:dyDescent="0.25">
      <c r="B433" s="163" t="s">
        <v>3337</v>
      </c>
    </row>
    <row r="434" spans="2:20" x14ac:dyDescent="0.25">
      <c r="B434" s="23" t="s">
        <v>3338</v>
      </c>
      <c r="C434" s="28" t="s">
        <v>493</v>
      </c>
      <c r="G434" s="29">
        <f>'Capex &amp; Depreciation'!G296</f>
        <v>0</v>
      </c>
      <c r="H434" s="29">
        <f>'Capex &amp; Depreciation'!H296</f>
        <v>0</v>
      </c>
      <c r="I434" s="29">
        <f>'Capex &amp; Depreciation'!I296</f>
        <v>0</v>
      </c>
      <c r="J434" s="29">
        <f>'Capex &amp; Depreciation'!J296</f>
        <v>0</v>
      </c>
      <c r="K434" s="29">
        <f>'Capex &amp; Depreciation'!K296</f>
        <v>-0.13012000000000001</v>
      </c>
      <c r="L434" s="29">
        <f>'Capex &amp; Depreciation'!L296</f>
        <v>-0.26024000000000003</v>
      </c>
      <c r="M434" s="29">
        <f>'Capex &amp; Depreciation'!M296</f>
        <v>-0.39036000000000004</v>
      </c>
      <c r="N434" s="29">
        <f>'Capex &amp; Depreciation'!N296</f>
        <v>-0.52048000000000005</v>
      </c>
      <c r="O434" s="29">
        <f>'Capex &amp; Depreciation'!O296</f>
        <v>-0.65060000000000007</v>
      </c>
      <c r="P434" s="29">
        <f>'Capex &amp; Depreciation'!P296</f>
        <v>-0.78072000000000008</v>
      </c>
      <c r="Q434" s="29">
        <f>'Capex &amp; Depreciation'!Q296</f>
        <v>-0.91084000000000009</v>
      </c>
      <c r="R434" s="29">
        <f>'Capex &amp; Depreciation'!R296</f>
        <v>-1.0409600000000001</v>
      </c>
      <c r="S434" s="29">
        <f>'Capex &amp; Depreciation'!S296</f>
        <v>-1.1710800000000001</v>
      </c>
      <c r="T434" s="29">
        <f>'Capex &amp; Depreciation'!T296</f>
        <v>-1.3012000000000001</v>
      </c>
    </row>
    <row r="435" spans="2:20" x14ac:dyDescent="0.25">
      <c r="B435" s="23" t="s">
        <v>3339</v>
      </c>
      <c r="C435" s="28" t="s">
        <v>493</v>
      </c>
      <c r="G435" s="159">
        <v>0</v>
      </c>
      <c r="H435" s="29">
        <f>'Working Capital'!H57</f>
        <v>0</v>
      </c>
      <c r="I435" s="29">
        <f>'Working Capital'!I57</f>
        <v>0</v>
      </c>
      <c r="J435" s="29">
        <f>'Working Capital'!J57</f>
        <v>0</v>
      </c>
      <c r="K435" s="29">
        <f>'Working Capital'!K57</f>
        <v>9.1385342806873618E-2</v>
      </c>
      <c r="L435" s="29">
        <f>'Working Capital'!L57</f>
        <v>9.4091037235639732E-2</v>
      </c>
      <c r="M435" s="29">
        <f>'Working Capital'!M57</f>
        <v>9.7401203334497158E-2</v>
      </c>
      <c r="N435" s="29">
        <f>'Working Capital'!N57</f>
        <v>0.10054515724275126</v>
      </c>
      <c r="O435" s="29">
        <f>'Working Capital'!O57</f>
        <v>0.103783429768253</v>
      </c>
      <c r="P435" s="29">
        <f>'Working Capital'!P57</f>
        <v>0.10682617601468498</v>
      </c>
      <c r="Q435" s="29">
        <f>'Working Capital'!Q57</f>
        <v>0.11055433379182451</v>
      </c>
      <c r="R435" s="29">
        <f>'Working Capital'!R57</f>
        <v>0.11409288161379844</v>
      </c>
      <c r="S435" s="29">
        <f>'Working Capital'!S57</f>
        <v>0.11773758587043155</v>
      </c>
      <c r="T435" s="29">
        <f>'Working Capital'!T57</f>
        <v>0.12115968690707307</v>
      </c>
    </row>
    <row r="436" spans="2:20" x14ac:dyDescent="0.25">
      <c r="B436" s="23" t="s">
        <v>3340</v>
      </c>
      <c r="C436" s="28" t="s">
        <v>493</v>
      </c>
      <c r="G436" s="159">
        <v>0</v>
      </c>
      <c r="H436" s="159">
        <f>-'Working Capital'!H58</f>
        <v>0</v>
      </c>
      <c r="I436" s="159">
        <f>-'Working Capital'!I58</f>
        <v>0</v>
      </c>
      <c r="J436" s="159">
        <f>-'Working Capital'!J58</f>
        <v>0</v>
      </c>
      <c r="K436" s="159">
        <f>-'Working Capital'!K58</f>
        <v>0</v>
      </c>
      <c r="L436" s="159">
        <f>-'Working Capital'!L58</f>
        <v>0</v>
      </c>
      <c r="M436" s="159">
        <f>-'Working Capital'!M58</f>
        <v>0</v>
      </c>
      <c r="N436" s="159">
        <f>-'Working Capital'!N58</f>
        <v>0</v>
      </c>
      <c r="O436" s="159">
        <f>-'Working Capital'!O58</f>
        <v>0</v>
      </c>
      <c r="P436" s="159">
        <f>-'Working Capital'!P58</f>
        <v>0</v>
      </c>
      <c r="Q436" s="159">
        <f>-'Working Capital'!Q58</f>
        <v>0</v>
      </c>
      <c r="R436" s="159">
        <f>-'Working Capital'!R58</f>
        <v>0</v>
      </c>
      <c r="S436" s="159">
        <f>-'Working Capital'!S58</f>
        <v>0</v>
      </c>
      <c r="T436" s="159">
        <f>-'Working Capital'!T58</f>
        <v>0</v>
      </c>
    </row>
    <row r="437" spans="2:20" x14ac:dyDescent="0.25">
      <c r="B437" s="21" t="s">
        <v>3341</v>
      </c>
      <c r="C437" s="28" t="s">
        <v>493</v>
      </c>
      <c r="G437" s="26">
        <f>'Capex &amp; Depreciation'!G296</f>
        <v>0</v>
      </c>
      <c r="H437" s="160">
        <f>'Capex &amp; Depreciation'!H296+'Working Capital'!H59</f>
        <v>0</v>
      </c>
      <c r="I437" s="160">
        <f>'Capex &amp; Depreciation'!I296+'Working Capital'!I59</f>
        <v>0</v>
      </c>
      <c r="J437" s="160">
        <f>'Capex &amp; Depreciation'!J296+'Working Capital'!J59</f>
        <v>0</v>
      </c>
      <c r="K437" s="160">
        <f>'Capex &amp; Depreciation'!K296+'Working Capital'!K59</f>
        <v>-3.8734657193126396E-2</v>
      </c>
      <c r="L437" s="160">
        <f>'Capex &amp; Depreciation'!L296+'Working Capital'!L59</f>
        <v>-0.16614896276436031</v>
      </c>
      <c r="M437" s="160">
        <f>'Capex &amp; Depreciation'!M296+'Working Capital'!M59</f>
        <v>-0.2929587966655029</v>
      </c>
      <c r="N437" s="160">
        <f>'Capex &amp; Depreciation'!N296+'Working Capital'!N59</f>
        <v>-0.41993484275724879</v>
      </c>
      <c r="O437" s="160">
        <f>'Capex &amp; Depreciation'!O296+'Working Capital'!O59</f>
        <v>-0.54681657023174712</v>
      </c>
      <c r="P437" s="160">
        <f>'Capex &amp; Depreciation'!P296+'Working Capital'!P59</f>
        <v>-0.67389382398531505</v>
      </c>
      <c r="Q437" s="160">
        <f>'Capex &amp; Depreciation'!Q296+'Working Capital'!Q59</f>
        <v>-0.80028566620817554</v>
      </c>
      <c r="R437" s="160">
        <f>'Capex &amp; Depreciation'!R296+'Working Capital'!R59</f>
        <v>-0.92686711838620162</v>
      </c>
      <c r="S437" s="160">
        <f>'Capex &amp; Depreciation'!S296+'Working Capital'!S59</f>
        <v>-1.0533424141295686</v>
      </c>
      <c r="T437" s="160">
        <f>'Capex &amp; Depreciation'!T296+'Working Capital'!T59</f>
        <v>-1.1800403130929271</v>
      </c>
    </row>
    <row r="438" spans="2:20" x14ac:dyDescent="0.25">
      <c r="B438" s="163" t="s">
        <v>3342</v>
      </c>
    </row>
    <row r="439" spans="2:20" x14ac:dyDescent="0.25">
      <c r="B439" s="23" t="s">
        <v>3221</v>
      </c>
      <c r="C439" s="28" t="s">
        <v>493</v>
      </c>
      <c r="H439" s="29">
        <f>'Project Cash Flows'!H198</f>
        <v>0</v>
      </c>
      <c r="I439" s="29">
        <f>'Project Cash Flows'!I198</f>
        <v>0</v>
      </c>
      <c r="J439" s="29">
        <f>'Project Cash Flows'!J198</f>
        <v>0</v>
      </c>
      <c r="K439" s="29">
        <f>'Project Cash Flows'!K198</f>
        <v>0.59298933554682443</v>
      </c>
      <c r="L439" s="29">
        <f>'Project Cash Flows'!L198</f>
        <v>0.61221901561322911</v>
      </c>
      <c r="M439" s="29">
        <f>'Project Cash Flows'!M198</f>
        <v>0.63202558608162607</v>
      </c>
      <c r="N439" s="29">
        <f>'Project Cash Flows'!N198</f>
        <v>0.65242635366407487</v>
      </c>
      <c r="O439" s="29">
        <f>'Project Cash Flows'!O198</f>
        <v>0.6734391442739972</v>
      </c>
      <c r="P439" s="29">
        <f>'Project Cash Flows'!P198</f>
        <v>0.69508231860221703</v>
      </c>
      <c r="Q439" s="29">
        <f>'Project Cash Flows'!Q198</f>
        <v>0.71737478816028355</v>
      </c>
      <c r="R439" s="29">
        <f>'Project Cash Flows'!R198</f>
        <v>0.74033603180509211</v>
      </c>
      <c r="S439" s="29">
        <f>'Project Cash Flows'!S198</f>
        <v>0.76398611275924477</v>
      </c>
      <c r="T439" s="29">
        <f>'Project Cash Flows'!T198</f>
        <v>0.7883456961420221</v>
      </c>
    </row>
    <row r="440" spans="2:20" x14ac:dyDescent="0.25">
      <c r="B440" s="23" t="s">
        <v>3343</v>
      </c>
      <c r="C440" s="28" t="s">
        <v>493</v>
      </c>
      <c r="H440" s="29">
        <f>'Project Cash Flows'!H203</f>
        <v>0</v>
      </c>
      <c r="I440" s="29">
        <f>'Project Cash Flows'!I203</f>
        <v>0</v>
      </c>
      <c r="J440" s="29">
        <f>'Project Cash Flows'!J203</f>
        <v>0</v>
      </c>
      <c r="K440" s="29">
        <f>'Project Cash Flows'!K203</f>
        <v>-0.10183125382030137</v>
      </c>
      <c r="L440" s="29">
        <f>'Project Cash Flows'!L203</f>
        <v>-0.10606178343491041</v>
      </c>
      <c r="M440" s="29">
        <f>'Project Cash Flows'!M203</f>
        <v>-0.11041922893795773</v>
      </c>
      <c r="N440" s="29">
        <f>'Project Cash Flows'!N203</f>
        <v>-0.11490739780609646</v>
      </c>
      <c r="O440" s="29">
        <f>'Project Cash Flows'!O203</f>
        <v>-0.11953021174027938</v>
      </c>
      <c r="P440" s="29">
        <f>'Project Cash Flows'!P203</f>
        <v>-0.12429171009248774</v>
      </c>
      <c r="Q440" s="29">
        <f>'Project Cash Flows'!Q203</f>
        <v>-0.12919605339526238</v>
      </c>
      <c r="R440" s="29">
        <f>'Project Cash Flows'!R203</f>
        <v>-0.13424752699712025</v>
      </c>
      <c r="S440" s="29">
        <f>'Project Cash Flows'!S203</f>
        <v>-0.13945054480703384</v>
      </c>
      <c r="T440" s="29">
        <f>'Project Cash Flows'!T203</f>
        <v>-0.14480965315124486</v>
      </c>
    </row>
    <row r="441" spans="2:20" x14ac:dyDescent="0.25">
      <c r="B441" s="23" t="s">
        <v>3227</v>
      </c>
      <c r="C441" s="28" t="s">
        <v>493</v>
      </c>
      <c r="H441" s="29">
        <f>'Project Cash Flows'!H204</f>
        <v>0</v>
      </c>
      <c r="I441" s="29">
        <f>'Project Cash Flows'!I204</f>
        <v>0</v>
      </c>
      <c r="J441" s="29">
        <f>'Project Cash Flows'!J204</f>
        <v>0</v>
      </c>
      <c r="K441" s="29">
        <f>'Project Cash Flows'!K204</f>
        <v>0</v>
      </c>
      <c r="L441" s="29">
        <f>'Project Cash Flows'!L204</f>
        <v>0</v>
      </c>
      <c r="M441" s="29">
        <f>'Project Cash Flows'!M204</f>
        <v>0</v>
      </c>
      <c r="N441" s="29">
        <f>'Project Cash Flows'!N204</f>
        <v>0</v>
      </c>
      <c r="O441" s="29">
        <f>'Project Cash Flows'!O204</f>
        <v>0</v>
      </c>
      <c r="P441" s="29">
        <f>'Project Cash Flows'!P204</f>
        <v>0</v>
      </c>
      <c r="Q441" s="29">
        <f>'Project Cash Flows'!Q204</f>
        <v>0</v>
      </c>
      <c r="R441" s="29">
        <f>'Project Cash Flows'!R204</f>
        <v>0</v>
      </c>
      <c r="S441" s="29">
        <f>'Project Cash Flows'!S204</f>
        <v>0</v>
      </c>
      <c r="T441" s="29">
        <f>'Project Cash Flows'!T204</f>
        <v>0</v>
      </c>
    </row>
    <row r="442" spans="2:20" x14ac:dyDescent="0.25">
      <c r="B442" s="23" t="s">
        <v>3228</v>
      </c>
      <c r="C442" s="28" t="s">
        <v>493</v>
      </c>
      <c r="H442" s="29">
        <f>'Project Cash Flows'!H205</f>
        <v>0</v>
      </c>
      <c r="I442" s="29">
        <f>'Project Cash Flows'!I205</f>
        <v>0</v>
      </c>
      <c r="J442" s="29">
        <f>'Project Cash Flows'!J205</f>
        <v>0</v>
      </c>
      <c r="K442" s="29">
        <f>'Project Cash Flows'!K205</f>
        <v>-9.1385342806873618E-2</v>
      </c>
      <c r="L442" s="29">
        <f>'Project Cash Flows'!L205</f>
        <v>-2.7056944287661144E-3</v>
      </c>
      <c r="M442" s="29">
        <f>'Project Cash Flows'!M205</f>
        <v>-3.3101660988574255E-3</v>
      </c>
      <c r="N442" s="29">
        <f>'Project Cash Flows'!N205</f>
        <v>-3.1439539082541018E-3</v>
      </c>
      <c r="O442" s="29">
        <f>'Project Cash Flows'!O205</f>
        <v>-3.2382725255017397E-3</v>
      </c>
      <c r="P442" s="29">
        <f>'Project Cash Flows'!P205</f>
        <v>-3.0427462464319849E-3</v>
      </c>
      <c r="Q442" s="29">
        <f>'Project Cash Flows'!Q205</f>
        <v>-3.7281577771395291E-3</v>
      </c>
      <c r="R442" s="29">
        <f>'Project Cash Flows'!R205</f>
        <v>-3.5385478219739225E-3</v>
      </c>
      <c r="S442" s="29">
        <f>'Project Cash Flows'!S205</f>
        <v>-3.6447042566331161E-3</v>
      </c>
      <c r="T442" s="29">
        <f>'Project Cash Flows'!T205</f>
        <v>-3.42210103664152E-3</v>
      </c>
    </row>
    <row r="443" spans="2:20" x14ac:dyDescent="0.25">
      <c r="B443" s="21" t="s">
        <v>3344</v>
      </c>
      <c r="C443" s="28" t="s">
        <v>493</v>
      </c>
      <c r="H443" s="26">
        <f>'Project Cash Flows'!H206</f>
        <v>0</v>
      </c>
      <c r="I443" s="26">
        <f>'Project Cash Flows'!I206</f>
        <v>0</v>
      </c>
      <c r="J443" s="26">
        <f>'Project Cash Flows'!J206</f>
        <v>0</v>
      </c>
      <c r="K443" s="26">
        <f>'Project Cash Flows'!K206</f>
        <v>0.39977273891964948</v>
      </c>
      <c r="L443" s="26">
        <f>'Project Cash Flows'!L206</f>
        <v>0.50345153774955265</v>
      </c>
      <c r="M443" s="26">
        <f>'Project Cash Flows'!M206</f>
        <v>0.51829619104481095</v>
      </c>
      <c r="N443" s="26">
        <f>'Project Cash Flows'!N206</f>
        <v>0.53437500194972432</v>
      </c>
      <c r="O443" s="26">
        <f>'Project Cash Flows'!O206</f>
        <v>0.55067066000821607</v>
      </c>
      <c r="P443" s="26">
        <f>'Project Cash Flows'!P206</f>
        <v>0.56774786226329732</v>
      </c>
      <c r="Q443" s="26">
        <f>'Project Cash Flows'!Q206</f>
        <v>0.58445057698788161</v>
      </c>
      <c r="R443" s="26">
        <f>'Project Cash Flows'!R206</f>
        <v>0.60254995698599789</v>
      </c>
      <c r="S443" s="26">
        <f>'Project Cash Flows'!S206</f>
        <v>0.62089086369557778</v>
      </c>
      <c r="T443" s="26">
        <f>'Project Cash Flows'!T206</f>
        <v>0.64011394195413573</v>
      </c>
    </row>
    <row r="444" spans="2:20" x14ac:dyDescent="0.25">
      <c r="B444" s="23" t="s">
        <v>3345</v>
      </c>
      <c r="C444" s="28" t="s">
        <v>493</v>
      </c>
      <c r="G444" s="29">
        <f>'Project Cash Flows'!G209</f>
        <v>0</v>
      </c>
      <c r="H444" s="29">
        <f>'Project Cash Flows'!H209</f>
        <v>0</v>
      </c>
      <c r="I444" s="29">
        <f>'Project Cash Flows'!I209</f>
        <v>0</v>
      </c>
      <c r="J444" s="29">
        <f>'Project Cash Flows'!J209</f>
        <v>0</v>
      </c>
      <c r="K444" s="29">
        <f>'Project Cash Flows'!K209</f>
        <v>0.39977273891964948</v>
      </c>
      <c r="L444" s="29">
        <f>'Project Cash Flows'!L209</f>
        <v>0.90322427666920213</v>
      </c>
      <c r="M444" s="29">
        <f>'Project Cash Flows'!M209</f>
        <v>1.421520467714013</v>
      </c>
      <c r="N444" s="29">
        <f>'Project Cash Flows'!N209</f>
        <v>1.9558954696637372</v>
      </c>
      <c r="O444" s="29">
        <f>'Project Cash Flows'!O209</f>
        <v>2.5065661296719535</v>
      </c>
      <c r="P444" s="29">
        <f>'Project Cash Flows'!P209</f>
        <v>3.0743139919352509</v>
      </c>
      <c r="Q444" s="29">
        <f>'Project Cash Flows'!Q209</f>
        <v>3.6587645689231323</v>
      </c>
      <c r="R444" s="29">
        <f>'Project Cash Flows'!R209</f>
        <v>4.2613145259091301</v>
      </c>
      <c r="S444" s="29">
        <f>'Project Cash Flows'!S209</f>
        <v>4.8822053896047075</v>
      </c>
      <c r="T444" s="29">
        <f>'Project Cash Flows'!T209</f>
        <v>5.522319331558843</v>
      </c>
    </row>
    <row r="445" spans="2:20" x14ac:dyDescent="0.25">
      <c r="B445" s="163" t="s">
        <v>3346</v>
      </c>
    </row>
    <row r="446" spans="2:20" x14ac:dyDescent="0.25">
      <c r="B446" s="23" t="s">
        <v>3347</v>
      </c>
      <c r="C446" s="28" t="s">
        <v>493</v>
      </c>
      <c r="H446" s="29">
        <f>'Capex &amp; Depreciation'!H269</f>
        <v>0</v>
      </c>
      <c r="I446" s="29">
        <f>'Capex &amp; Depreciation'!I269</f>
        <v>0</v>
      </c>
      <c r="J446" s="29">
        <f>'Capex &amp; Depreciation'!J269</f>
        <v>0</v>
      </c>
      <c r="K446" s="29">
        <f>'Capex &amp; Depreciation'!K269</f>
        <v>0</v>
      </c>
      <c r="L446" s="29">
        <f>'Capex &amp; Depreciation'!L269</f>
        <v>0</v>
      </c>
      <c r="M446" s="29">
        <f>'Capex &amp; Depreciation'!M269</f>
        <v>0</v>
      </c>
      <c r="N446" s="29">
        <f>'Capex &amp; Depreciation'!N269</f>
        <v>0</v>
      </c>
      <c r="O446" s="29">
        <f>'Capex &amp; Depreciation'!O269</f>
        <v>0</v>
      </c>
      <c r="P446" s="29">
        <f>'Capex &amp; Depreciation'!P269</f>
        <v>0</v>
      </c>
      <c r="Q446" s="29">
        <f>'Capex &amp; Depreciation'!Q269</f>
        <v>0</v>
      </c>
      <c r="R446" s="29">
        <f>'Capex &amp; Depreciation'!R269</f>
        <v>0</v>
      </c>
      <c r="S446" s="29">
        <f>'Capex &amp; Depreciation'!S269</f>
        <v>0</v>
      </c>
      <c r="T446" s="29">
        <f>'Capex &amp; Depreciation'!T269</f>
        <v>0</v>
      </c>
    </row>
    <row r="447" spans="2:20" x14ac:dyDescent="0.25">
      <c r="B447" s="163" t="s">
        <v>3348</v>
      </c>
    </row>
    <row r="448" spans="2:20" x14ac:dyDescent="0.25">
      <c r="B448" s="44" t="s">
        <v>3349</v>
      </c>
      <c r="D448" s="204">
        <f>'Project Cash Flows'!$E$18</f>
        <v>5.3365172347108505</v>
      </c>
      <c r="H448" s="44" t="s">
        <v>3176</v>
      </c>
      <c r="K448" s="205" t="str">
        <f>'Project Cash Flows'!$H$18</f>
        <v>Not meaningful</v>
      </c>
      <c r="N448" s="44" t="s">
        <v>3350</v>
      </c>
      <c r="Q448" s="205" t="str">
        <f>'Project Cash Flows'!$I$18</f>
        <v>Not meaningful</v>
      </c>
    </row>
    <row r="449" spans="2:20" x14ac:dyDescent="0.25">
      <c r="B449" s="44" t="s">
        <v>3180</v>
      </c>
      <c r="D449" s="205" t="str">
        <f>'Project Cash Flows'!$L$18</f>
        <v>n/a</v>
      </c>
      <c r="H449" s="44" t="s">
        <v>3351</v>
      </c>
      <c r="K449" s="206" t="str">
        <f>'Project Cash Flows'!$J$18</f>
        <v>Not meaningful</v>
      </c>
      <c r="N449" s="44" t="s">
        <v>3179</v>
      </c>
      <c r="Q449" s="204" t="str">
        <f>'Project Cash Flows'!$K$18</f>
        <v>Not meaningful</v>
      </c>
    </row>
    <row r="451" spans="2:20" x14ac:dyDescent="0.25">
      <c r="B451" s="58" t="s">
        <v>3384</v>
      </c>
      <c r="C451" s="19"/>
      <c r="D451" s="19"/>
      <c r="E451" s="19"/>
      <c r="F451" s="19"/>
      <c r="G451" s="19"/>
      <c r="H451" s="19"/>
      <c r="I451" s="19"/>
      <c r="J451" s="19"/>
      <c r="K451" s="19"/>
      <c r="L451" s="19"/>
      <c r="M451" s="19"/>
      <c r="N451" s="19"/>
      <c r="O451" s="19"/>
      <c r="P451" s="19"/>
      <c r="Q451" s="19"/>
      <c r="R451" s="19"/>
      <c r="S451" s="19"/>
      <c r="T451" s="19"/>
    </row>
    <row r="452" spans="2:20" x14ac:dyDescent="0.25">
      <c r="B452" s="70" t="s">
        <v>1690</v>
      </c>
      <c r="D452" s="130" t="str">
        <f>Inputs!$I$72</f>
        <v>Included - both cases</v>
      </c>
      <c r="M452" s="202" t="s">
        <v>3323</v>
      </c>
      <c r="N452" s="203">
        <f>Inputs!$H$72</f>
        <v>1</v>
      </c>
    </row>
    <row r="453" spans="2:20" x14ac:dyDescent="0.25">
      <c r="B453" s="163" t="s">
        <v>3324</v>
      </c>
    </row>
    <row r="454" spans="2:20" x14ac:dyDescent="0.25">
      <c r="B454" s="23" t="s">
        <v>3382</v>
      </c>
      <c r="C454" s="28" t="s">
        <v>630</v>
      </c>
      <c r="H454" s="48">
        <f>'Revenue Calculation'!H138</f>
        <v>0</v>
      </c>
      <c r="I454" s="48">
        <f>'Revenue Calculation'!I138</f>
        <v>0</v>
      </c>
      <c r="J454" s="48">
        <f>'Revenue Calculation'!J138</f>
        <v>0</v>
      </c>
      <c r="K454" s="48">
        <f>'Revenue Calculation'!K138</f>
        <v>1857635.9</v>
      </c>
      <c r="L454" s="48">
        <f>'Revenue Calculation'!L138</f>
        <v>1913364.9770000002</v>
      </c>
      <c r="M454" s="48">
        <f>'Revenue Calculation'!M138</f>
        <v>1970765.92631</v>
      </c>
      <c r="N454" s="48">
        <f>'Revenue Calculation'!N138</f>
        <v>2029888.9040993003</v>
      </c>
      <c r="O454" s="48">
        <f>'Revenue Calculation'!O138</f>
        <v>2090785.5712222795</v>
      </c>
      <c r="P454" s="48">
        <f>'Revenue Calculation'!P138</f>
        <v>2153509.1383589478</v>
      </c>
      <c r="Q454" s="48">
        <f>'Revenue Calculation'!Q138</f>
        <v>2218114.4125097161</v>
      </c>
      <c r="R454" s="48">
        <f>'Revenue Calculation'!R138</f>
        <v>2284657.8448850079</v>
      </c>
      <c r="S454" s="48">
        <f>'Revenue Calculation'!S138</f>
        <v>2353197.5802315581</v>
      </c>
      <c r="T454" s="48">
        <f>'Revenue Calculation'!T138</f>
        <v>2423793.5076385047</v>
      </c>
    </row>
    <row r="455" spans="2:20" x14ac:dyDescent="0.25">
      <c r="B455" s="23" t="s">
        <v>3383</v>
      </c>
      <c r="C455" s="28" t="s">
        <v>647</v>
      </c>
      <c r="H455" s="48">
        <f>Inputs!H291</f>
        <v>84000</v>
      </c>
      <c r="I455" s="48">
        <f>Inputs!I291</f>
        <v>84000</v>
      </c>
      <c r="J455" s="48">
        <f>Inputs!J291</f>
        <v>84000</v>
      </c>
      <c r="K455" s="48">
        <f>Inputs!K291</f>
        <v>84000</v>
      </c>
      <c r="L455" s="48">
        <f>Inputs!L291</f>
        <v>84000</v>
      </c>
      <c r="M455" s="48">
        <f>Inputs!M291</f>
        <v>84000</v>
      </c>
      <c r="N455" s="48">
        <f>Inputs!N291</f>
        <v>84000</v>
      </c>
      <c r="O455" s="48">
        <f>Inputs!O291</f>
        <v>84000</v>
      </c>
      <c r="P455" s="48">
        <f>Inputs!P291</f>
        <v>84000</v>
      </c>
      <c r="Q455" s="48">
        <f>Inputs!Q291</f>
        <v>84000</v>
      </c>
      <c r="R455" s="48">
        <f>Inputs!R291</f>
        <v>84000</v>
      </c>
      <c r="S455" s="48">
        <f>Inputs!S291</f>
        <v>84000</v>
      </c>
      <c r="T455" s="48">
        <f>Inputs!T291</f>
        <v>84000</v>
      </c>
    </row>
    <row r="456" spans="2:20" x14ac:dyDescent="0.25">
      <c r="B456" s="163" t="s">
        <v>3328</v>
      </c>
    </row>
    <row r="457" spans="2:20" x14ac:dyDescent="0.25">
      <c r="B457" s="21" t="s">
        <v>3329</v>
      </c>
      <c r="C457" s="28" t="s">
        <v>493</v>
      </c>
      <c r="H457" s="26">
        <f>'Revenue Calculation'!H140</f>
        <v>0</v>
      </c>
      <c r="I457" s="26">
        <f>'Revenue Calculation'!I140</f>
        <v>0</v>
      </c>
      <c r="J457" s="26">
        <f>'Revenue Calculation'!J140</f>
        <v>0</v>
      </c>
      <c r="K457" s="26">
        <f>'Revenue Calculation'!K140</f>
        <v>1.560414156</v>
      </c>
      <c r="L457" s="26">
        <f>'Revenue Calculation'!L140</f>
        <v>1.6072265806800003</v>
      </c>
      <c r="M457" s="26">
        <f>'Revenue Calculation'!M140</f>
        <v>1.6554433781004003</v>
      </c>
      <c r="N457" s="26">
        <f>'Revenue Calculation'!N140</f>
        <v>1.7051066794434122</v>
      </c>
      <c r="O457" s="26">
        <f>'Revenue Calculation'!O140</f>
        <v>1.7562598798267148</v>
      </c>
      <c r="P457" s="26">
        <f>'Revenue Calculation'!P140</f>
        <v>1.8089476762215162</v>
      </c>
      <c r="Q457" s="26">
        <f>'Revenue Calculation'!Q140</f>
        <v>1.8632161065081616</v>
      </c>
      <c r="R457" s="26">
        <f>'Revenue Calculation'!R140</f>
        <v>1.9191125897034065</v>
      </c>
      <c r="S457" s="26">
        <f>'Revenue Calculation'!S140</f>
        <v>1.9766859673945087</v>
      </c>
      <c r="T457" s="26">
        <f>'Revenue Calculation'!T140</f>
        <v>2.035986546416344</v>
      </c>
    </row>
    <row r="458" spans="2:20" x14ac:dyDescent="0.25">
      <c r="B458" s="23" t="s">
        <v>3330</v>
      </c>
      <c r="C458" s="28" t="s">
        <v>493</v>
      </c>
      <c r="H458" s="159">
        <f>-'Cost Calculation'!H166</f>
        <v>0</v>
      </c>
      <c r="I458" s="159">
        <f>-'Cost Calculation'!I166</f>
        <v>0</v>
      </c>
      <c r="J458" s="159">
        <f>-'Cost Calculation'!J166</f>
        <v>0</v>
      </c>
      <c r="K458" s="159">
        <f>-'Cost Calculation'!K166</f>
        <v>0</v>
      </c>
      <c r="L458" s="159">
        <f>-'Cost Calculation'!L166</f>
        <v>0</v>
      </c>
      <c r="M458" s="159">
        <f>-'Cost Calculation'!M166</f>
        <v>0</v>
      </c>
      <c r="N458" s="159">
        <f>-'Cost Calculation'!N166</f>
        <v>0</v>
      </c>
      <c r="O458" s="159">
        <f>-'Cost Calculation'!O166</f>
        <v>0</v>
      </c>
      <c r="P458" s="159">
        <f>-'Cost Calculation'!P166</f>
        <v>0</v>
      </c>
      <c r="Q458" s="159">
        <f>-'Cost Calculation'!Q166</f>
        <v>0</v>
      </c>
      <c r="R458" s="159">
        <f>-'Cost Calculation'!R166</f>
        <v>0</v>
      </c>
      <c r="S458" s="159">
        <f>-'Cost Calculation'!S166</f>
        <v>0</v>
      </c>
      <c r="T458" s="159">
        <f>-'Cost Calculation'!T166</f>
        <v>0</v>
      </c>
    </row>
    <row r="459" spans="2:20" x14ac:dyDescent="0.25">
      <c r="B459" s="23" t="s">
        <v>3331</v>
      </c>
      <c r="C459" s="28" t="s">
        <v>493</v>
      </c>
      <c r="H459" s="159">
        <f>-'Cost Calculation'!H167</f>
        <v>0</v>
      </c>
      <c r="I459" s="159">
        <f>-'Cost Calculation'!I167</f>
        <v>0</v>
      </c>
      <c r="J459" s="159">
        <f>-'Cost Calculation'!J167</f>
        <v>0</v>
      </c>
      <c r="K459" s="159">
        <f>-'Cost Calculation'!K167</f>
        <v>-0.31208283120000002</v>
      </c>
      <c r="L459" s="159">
        <f>-'Cost Calculation'!L167</f>
        <v>-0.32144531613600008</v>
      </c>
      <c r="M459" s="159">
        <f>-'Cost Calculation'!M167</f>
        <v>-0.3310886756200801</v>
      </c>
      <c r="N459" s="159">
        <f>-'Cost Calculation'!N167</f>
        <v>-0.34102133588868244</v>
      </c>
      <c r="O459" s="159">
        <f>-'Cost Calculation'!O167</f>
        <v>-0.35125197596534297</v>
      </c>
      <c r="P459" s="159">
        <f>-'Cost Calculation'!P167</f>
        <v>-0.36178953524430324</v>
      </c>
      <c r="Q459" s="159">
        <f>-'Cost Calculation'!Q167</f>
        <v>-0.37264322130163235</v>
      </c>
      <c r="R459" s="159">
        <f>-'Cost Calculation'!R167</f>
        <v>-0.38382251794068134</v>
      </c>
      <c r="S459" s="159">
        <f>-'Cost Calculation'!S167</f>
        <v>-0.39533719347890178</v>
      </c>
      <c r="T459" s="159">
        <f>-'Cost Calculation'!T167</f>
        <v>-0.4071973092832688</v>
      </c>
    </row>
    <row r="460" spans="2:20" x14ac:dyDescent="0.25">
      <c r="B460" s="21" t="s">
        <v>3221</v>
      </c>
      <c r="C460" s="28" t="s">
        <v>493</v>
      </c>
      <c r="H460" s="26">
        <f>'Cost Calculation'!H168</f>
        <v>0</v>
      </c>
      <c r="I460" s="26">
        <f>'Cost Calculation'!I168</f>
        <v>0</v>
      </c>
      <c r="J460" s="26">
        <f>'Cost Calculation'!J168</f>
        <v>0</v>
      </c>
      <c r="K460" s="26">
        <f>'Cost Calculation'!K168</f>
        <v>1.2483313248000001</v>
      </c>
      <c r="L460" s="26">
        <f>'Cost Calculation'!L168</f>
        <v>1.2857812645440003</v>
      </c>
      <c r="M460" s="26">
        <f>'Cost Calculation'!M168</f>
        <v>1.3243547024803202</v>
      </c>
      <c r="N460" s="26">
        <f>'Cost Calculation'!N168</f>
        <v>1.3640853435547298</v>
      </c>
      <c r="O460" s="26">
        <f>'Cost Calculation'!O168</f>
        <v>1.4050079038613719</v>
      </c>
      <c r="P460" s="26">
        <f>'Cost Calculation'!P168</f>
        <v>1.447158140977213</v>
      </c>
      <c r="Q460" s="26">
        <f>'Cost Calculation'!Q168</f>
        <v>1.4905728852065292</v>
      </c>
      <c r="R460" s="26">
        <f>'Cost Calculation'!R168</f>
        <v>1.5352900717627251</v>
      </c>
      <c r="S460" s="26">
        <f>'Cost Calculation'!S168</f>
        <v>1.5813487739156069</v>
      </c>
      <c r="T460" s="26">
        <f>'Cost Calculation'!T168</f>
        <v>1.6287892371330752</v>
      </c>
    </row>
    <row r="461" spans="2:20" x14ac:dyDescent="0.25">
      <c r="B461" s="23" t="s">
        <v>3332</v>
      </c>
      <c r="C461" s="28" t="s">
        <v>493</v>
      </c>
      <c r="H461" s="159">
        <f>-'Capex &amp; Depreciation'!H243</f>
        <v>0</v>
      </c>
      <c r="I461" s="159">
        <f>-'Capex &amp; Depreciation'!I243</f>
        <v>0</v>
      </c>
      <c r="J461" s="159">
        <f>-'Capex &amp; Depreciation'!J243</f>
        <v>0</v>
      </c>
      <c r="K461" s="159">
        <f>-'Capex &amp; Depreciation'!K243</f>
        <v>-0.13012000000000001</v>
      </c>
      <c r="L461" s="159">
        <f>-'Capex &amp; Depreciation'!L243</f>
        <v>-0.13012000000000001</v>
      </c>
      <c r="M461" s="159">
        <f>-'Capex &amp; Depreciation'!M243</f>
        <v>-0.13012000000000001</v>
      </c>
      <c r="N461" s="159">
        <f>-'Capex &amp; Depreciation'!N243</f>
        <v>-0.13012000000000001</v>
      </c>
      <c r="O461" s="159">
        <f>-'Capex &amp; Depreciation'!O243</f>
        <v>-0.13012000000000001</v>
      </c>
      <c r="P461" s="159">
        <f>-'Capex &amp; Depreciation'!P243</f>
        <v>-0.13012000000000001</v>
      </c>
      <c r="Q461" s="159">
        <f>-'Capex &amp; Depreciation'!Q243</f>
        <v>-0.13012000000000001</v>
      </c>
      <c r="R461" s="159">
        <f>-'Capex &amp; Depreciation'!R243</f>
        <v>-0.13012000000000001</v>
      </c>
      <c r="S461" s="159">
        <f>-'Capex &amp; Depreciation'!S243</f>
        <v>-0.13012000000000001</v>
      </c>
      <c r="T461" s="159">
        <f>-'Capex &amp; Depreciation'!T243</f>
        <v>-0.13012000000000001</v>
      </c>
    </row>
    <row r="462" spans="2:20" x14ac:dyDescent="0.25">
      <c r="B462" s="21" t="s">
        <v>3333</v>
      </c>
      <c r="C462" s="28" t="s">
        <v>493</v>
      </c>
      <c r="H462" s="26">
        <f>'Project Cash Flows'!H212</f>
        <v>0</v>
      </c>
      <c r="I462" s="26">
        <f>'Project Cash Flows'!I212</f>
        <v>0</v>
      </c>
      <c r="J462" s="26">
        <f>'Project Cash Flows'!J212</f>
        <v>0</v>
      </c>
      <c r="K462" s="26">
        <f>'Project Cash Flows'!K212</f>
        <v>1.1182113248000001</v>
      </c>
      <c r="L462" s="26">
        <f>'Project Cash Flows'!L212</f>
        <v>1.1556612645440003</v>
      </c>
      <c r="M462" s="26">
        <f>'Project Cash Flows'!M212</f>
        <v>1.1942347024803202</v>
      </c>
      <c r="N462" s="26">
        <f>'Project Cash Flows'!N212</f>
        <v>1.2339653435547298</v>
      </c>
      <c r="O462" s="26">
        <f>'Project Cash Flows'!O212</f>
        <v>1.2748879038613719</v>
      </c>
      <c r="P462" s="26">
        <f>'Project Cash Flows'!P212</f>
        <v>1.3170381409772129</v>
      </c>
      <c r="Q462" s="26">
        <f>'Project Cash Flows'!Q212</f>
        <v>1.3604528852065292</v>
      </c>
      <c r="R462" s="26">
        <f>'Project Cash Flows'!R212</f>
        <v>1.4051700717627251</v>
      </c>
      <c r="S462" s="26">
        <f>'Project Cash Flows'!S212</f>
        <v>1.4512287739156069</v>
      </c>
      <c r="T462" s="26">
        <f>'Project Cash Flows'!T212</f>
        <v>1.4986692371330752</v>
      </c>
    </row>
    <row r="463" spans="2:20" x14ac:dyDescent="0.25">
      <c r="B463" s="23" t="s">
        <v>3334</v>
      </c>
      <c r="C463" s="28" t="s">
        <v>493</v>
      </c>
      <c r="H463" s="159">
        <f>-'Project Cash Flows'!H213</f>
        <v>0</v>
      </c>
      <c r="I463" s="159">
        <f>-'Project Cash Flows'!I213</f>
        <v>0</v>
      </c>
      <c r="J463" s="159">
        <f>-'Project Cash Flows'!J213</f>
        <v>0</v>
      </c>
      <c r="K463" s="159">
        <f>-'Project Cash Flows'!K213</f>
        <v>0</v>
      </c>
      <c r="L463" s="159">
        <f>-'Project Cash Flows'!L213</f>
        <v>0</v>
      </c>
      <c r="M463" s="159">
        <f>-'Project Cash Flows'!M213</f>
        <v>0</v>
      </c>
      <c r="N463" s="159">
        <f>-'Project Cash Flows'!N213</f>
        <v>0</v>
      </c>
      <c r="O463" s="159">
        <f>-'Project Cash Flows'!O213</f>
        <v>0</v>
      </c>
      <c r="P463" s="159">
        <f>-'Project Cash Flows'!P213</f>
        <v>0</v>
      </c>
      <c r="Q463" s="159">
        <f>-'Project Cash Flows'!Q213</f>
        <v>0</v>
      </c>
      <c r="R463" s="159">
        <f>-'Project Cash Flows'!R213</f>
        <v>0</v>
      </c>
      <c r="S463" s="159">
        <f>-'Project Cash Flows'!S213</f>
        <v>0</v>
      </c>
      <c r="T463" s="159">
        <f>-'Project Cash Flows'!T213</f>
        <v>0</v>
      </c>
    </row>
    <row r="464" spans="2:20" x14ac:dyDescent="0.25">
      <c r="B464" s="23" t="s">
        <v>3335</v>
      </c>
      <c r="C464" s="28" t="s">
        <v>493</v>
      </c>
      <c r="H464" s="159">
        <f>-'Project Cash Flows'!H214</f>
        <v>0</v>
      </c>
      <c r="I464" s="159">
        <f>-'Project Cash Flows'!I214</f>
        <v>0</v>
      </c>
      <c r="J464" s="159">
        <f>-'Project Cash Flows'!J214</f>
        <v>0</v>
      </c>
      <c r="K464" s="159">
        <f>-'Project Cash Flows'!K214</f>
        <v>-0.24600649145600001</v>
      </c>
      <c r="L464" s="159">
        <f>-'Project Cash Flows'!L214</f>
        <v>-0.25424547819968008</v>
      </c>
      <c r="M464" s="159">
        <f>-'Project Cash Flows'!M214</f>
        <v>-0.26273163454567044</v>
      </c>
      <c r="N464" s="159">
        <f>-'Project Cash Flows'!N214</f>
        <v>-0.27147237558204057</v>
      </c>
      <c r="O464" s="159">
        <f>-'Project Cash Flows'!O214</f>
        <v>-0.28047533884950182</v>
      </c>
      <c r="P464" s="159">
        <f>-'Project Cash Flows'!P214</f>
        <v>-0.28974839101498684</v>
      </c>
      <c r="Q464" s="159">
        <f>-'Project Cash Flows'!Q214</f>
        <v>-0.29929963474543642</v>
      </c>
      <c r="R464" s="159">
        <f>-'Project Cash Flows'!R214</f>
        <v>-0.30913741578779952</v>
      </c>
      <c r="S464" s="159">
        <f>-'Project Cash Flows'!S214</f>
        <v>-0.31927033026143353</v>
      </c>
      <c r="T464" s="159">
        <f>-'Project Cash Flows'!T214</f>
        <v>-0.32970723216927655</v>
      </c>
    </row>
    <row r="465" spans="2:20" x14ac:dyDescent="0.25">
      <c r="B465" s="21" t="s">
        <v>3336</v>
      </c>
      <c r="C465" s="28" t="s">
        <v>493</v>
      </c>
      <c r="H465" s="26">
        <f>'Project Cash Flows'!H215</f>
        <v>0</v>
      </c>
      <c r="I465" s="26">
        <f>'Project Cash Flows'!I215</f>
        <v>0</v>
      </c>
      <c r="J465" s="26">
        <f>'Project Cash Flows'!J215</f>
        <v>0</v>
      </c>
      <c r="K465" s="26">
        <f>'Project Cash Flows'!K215</f>
        <v>0.87220483334400001</v>
      </c>
      <c r="L465" s="26">
        <f>'Project Cash Flows'!L215</f>
        <v>0.90141578634432018</v>
      </c>
      <c r="M465" s="26">
        <f>'Project Cash Flows'!M215</f>
        <v>0.93150306793464965</v>
      </c>
      <c r="N465" s="26">
        <f>'Project Cash Flows'!N215</f>
        <v>0.96249296797268924</v>
      </c>
      <c r="O465" s="26">
        <f>'Project Cash Flows'!O215</f>
        <v>0.99441256501187003</v>
      </c>
      <c r="P465" s="26">
        <f>'Project Cash Flows'!P215</f>
        <v>1.0272897499622262</v>
      </c>
      <c r="Q465" s="26">
        <f>'Project Cash Flows'!Q215</f>
        <v>1.0611532504610928</v>
      </c>
      <c r="R465" s="26">
        <f>'Project Cash Flows'!R215</f>
        <v>1.0960326559749256</v>
      </c>
      <c r="S465" s="26">
        <f>'Project Cash Flows'!S215</f>
        <v>1.1319584436541734</v>
      </c>
      <c r="T465" s="26">
        <f>'Project Cash Flows'!T215</f>
        <v>1.1689620049637988</v>
      </c>
    </row>
    <row r="466" spans="2:20" x14ac:dyDescent="0.25">
      <c r="B466" s="163" t="s">
        <v>3337</v>
      </c>
    </row>
    <row r="467" spans="2:20" x14ac:dyDescent="0.25">
      <c r="B467" s="23" t="s">
        <v>3338</v>
      </c>
      <c r="C467" s="28" t="s">
        <v>493</v>
      </c>
      <c r="G467" s="29">
        <f>'Capex &amp; Depreciation'!G297</f>
        <v>0</v>
      </c>
      <c r="H467" s="29">
        <f>'Capex &amp; Depreciation'!H297</f>
        <v>0</v>
      </c>
      <c r="I467" s="29">
        <f>'Capex &amp; Depreciation'!I297</f>
        <v>0</v>
      </c>
      <c r="J467" s="29">
        <f>'Capex &amp; Depreciation'!J297</f>
        <v>0</v>
      </c>
      <c r="K467" s="29">
        <f>'Capex &amp; Depreciation'!K297</f>
        <v>-0.13012000000000001</v>
      </c>
      <c r="L467" s="29">
        <f>'Capex &amp; Depreciation'!L297</f>
        <v>-0.26024000000000003</v>
      </c>
      <c r="M467" s="29">
        <f>'Capex &amp; Depreciation'!M297</f>
        <v>-0.39036000000000004</v>
      </c>
      <c r="N467" s="29">
        <f>'Capex &amp; Depreciation'!N297</f>
        <v>-0.52048000000000005</v>
      </c>
      <c r="O467" s="29">
        <f>'Capex &amp; Depreciation'!O297</f>
        <v>-0.65060000000000007</v>
      </c>
      <c r="P467" s="29">
        <f>'Capex &amp; Depreciation'!P297</f>
        <v>-0.78072000000000008</v>
      </c>
      <c r="Q467" s="29">
        <f>'Capex &amp; Depreciation'!Q297</f>
        <v>-0.91084000000000009</v>
      </c>
      <c r="R467" s="29">
        <f>'Capex &amp; Depreciation'!R297</f>
        <v>-1.0409600000000001</v>
      </c>
      <c r="S467" s="29">
        <f>'Capex &amp; Depreciation'!S297</f>
        <v>-1.1710800000000001</v>
      </c>
      <c r="T467" s="29">
        <f>'Capex &amp; Depreciation'!T297</f>
        <v>-1.3012000000000001</v>
      </c>
    </row>
    <row r="468" spans="2:20" x14ac:dyDescent="0.25">
      <c r="B468" s="23" t="s">
        <v>3339</v>
      </c>
      <c r="C468" s="28" t="s">
        <v>493</v>
      </c>
      <c r="G468" s="159">
        <v>0</v>
      </c>
      <c r="H468" s="29">
        <f>'Working Capital'!H61</f>
        <v>0</v>
      </c>
      <c r="I468" s="29">
        <f>'Working Capital'!I61</f>
        <v>0</v>
      </c>
      <c r="J468" s="29">
        <f>'Working Capital'!J61</f>
        <v>0</v>
      </c>
      <c r="K468" s="29">
        <f>'Working Capital'!K61</f>
        <v>0.19237982745205481</v>
      </c>
      <c r="L468" s="29">
        <f>'Working Capital'!L61</f>
        <v>0.19760982549344266</v>
      </c>
      <c r="M468" s="29">
        <f>'Working Capital'!M61</f>
        <v>0.20409575894388499</v>
      </c>
      <c r="N468" s="29">
        <f>'Working Capital'!N61</f>
        <v>0.21021863171220148</v>
      </c>
      <c r="O468" s="29">
        <f>'Working Capital'!O61</f>
        <v>0.2165251906635676</v>
      </c>
      <c r="P468" s="29">
        <f>'Working Capital'!P61</f>
        <v>0.22241159953543232</v>
      </c>
      <c r="Q468" s="29">
        <f>'Working Capital'!Q61</f>
        <v>0.22971157477497881</v>
      </c>
      <c r="R468" s="29">
        <f>'Working Capital'!R61</f>
        <v>0.23660292201822819</v>
      </c>
      <c r="S468" s="29">
        <f>'Working Capital'!S61</f>
        <v>0.24370100967877506</v>
      </c>
      <c r="T468" s="29">
        <f>'Working Capital'!T61</f>
        <v>0.25032621472332095</v>
      </c>
    </row>
    <row r="469" spans="2:20" x14ac:dyDescent="0.25">
      <c r="B469" s="23" t="s">
        <v>3340</v>
      </c>
      <c r="C469" s="28" t="s">
        <v>493</v>
      </c>
      <c r="G469" s="159">
        <v>0</v>
      </c>
      <c r="H469" s="159">
        <f>-'Working Capital'!H62</f>
        <v>0</v>
      </c>
      <c r="I469" s="159">
        <f>-'Working Capital'!I62</f>
        <v>0</v>
      </c>
      <c r="J469" s="159">
        <f>-'Working Capital'!J62</f>
        <v>0</v>
      </c>
      <c r="K469" s="159">
        <f>-'Working Capital'!K62</f>
        <v>0</v>
      </c>
      <c r="L469" s="159">
        <f>-'Working Capital'!L62</f>
        <v>0</v>
      </c>
      <c r="M469" s="159">
        <f>-'Working Capital'!M62</f>
        <v>0</v>
      </c>
      <c r="N469" s="159">
        <f>-'Working Capital'!N62</f>
        <v>0</v>
      </c>
      <c r="O469" s="159">
        <f>-'Working Capital'!O62</f>
        <v>0</v>
      </c>
      <c r="P469" s="159">
        <f>-'Working Capital'!P62</f>
        <v>0</v>
      </c>
      <c r="Q469" s="159">
        <f>-'Working Capital'!Q62</f>
        <v>0</v>
      </c>
      <c r="R469" s="159">
        <f>-'Working Capital'!R62</f>
        <v>0</v>
      </c>
      <c r="S469" s="159">
        <f>-'Working Capital'!S62</f>
        <v>0</v>
      </c>
      <c r="T469" s="159">
        <f>-'Working Capital'!T62</f>
        <v>0</v>
      </c>
    </row>
    <row r="470" spans="2:20" x14ac:dyDescent="0.25">
      <c r="B470" s="21" t="s">
        <v>3341</v>
      </c>
      <c r="C470" s="28" t="s">
        <v>493</v>
      </c>
      <c r="G470" s="26">
        <f>'Capex &amp; Depreciation'!G297</f>
        <v>0</v>
      </c>
      <c r="H470" s="160">
        <f>'Capex &amp; Depreciation'!H297+'Working Capital'!H63</f>
        <v>0</v>
      </c>
      <c r="I470" s="160">
        <f>'Capex &amp; Depreciation'!I297+'Working Capital'!I63</f>
        <v>0</v>
      </c>
      <c r="J470" s="160">
        <f>'Capex &amp; Depreciation'!J297+'Working Capital'!J63</f>
        <v>0</v>
      </c>
      <c r="K470" s="160">
        <f>'Capex &amp; Depreciation'!K297+'Working Capital'!K63</f>
        <v>6.22598274520548E-2</v>
      </c>
      <c r="L470" s="160">
        <f>'Capex &amp; Depreciation'!L297+'Working Capital'!L63</f>
        <v>-6.2630174506557362E-2</v>
      </c>
      <c r="M470" s="160">
        <f>'Capex &amp; Depreciation'!M297+'Working Capital'!M63</f>
        <v>-0.18626424105611505</v>
      </c>
      <c r="N470" s="160">
        <f>'Capex &amp; Depreciation'!N297+'Working Capital'!N63</f>
        <v>-0.3102613682877986</v>
      </c>
      <c r="O470" s="160">
        <f>'Capex &amp; Depreciation'!O297+'Working Capital'!O63</f>
        <v>-0.4340748093364325</v>
      </c>
      <c r="P470" s="160">
        <f>'Capex &amp; Depreciation'!P297+'Working Capital'!P63</f>
        <v>-0.55830840046456776</v>
      </c>
      <c r="Q470" s="160">
        <f>'Capex &amp; Depreciation'!Q297+'Working Capital'!Q63</f>
        <v>-0.68112842522502126</v>
      </c>
      <c r="R470" s="160">
        <f>'Capex &amp; Depreciation'!R297+'Working Capital'!R63</f>
        <v>-0.80435707798177192</v>
      </c>
      <c r="S470" s="160">
        <f>'Capex &amp; Depreciation'!S297+'Working Capital'!S63</f>
        <v>-0.92737899032122506</v>
      </c>
      <c r="T470" s="160">
        <f>'Capex &amp; Depreciation'!T297+'Working Capital'!T63</f>
        <v>-1.0508737852766792</v>
      </c>
    </row>
    <row r="471" spans="2:20" x14ac:dyDescent="0.25">
      <c r="B471" s="163" t="s">
        <v>3342</v>
      </c>
    </row>
    <row r="472" spans="2:20" x14ac:dyDescent="0.25">
      <c r="B472" s="23" t="s">
        <v>3221</v>
      </c>
      <c r="C472" s="28" t="s">
        <v>493</v>
      </c>
      <c r="H472" s="29">
        <f>'Project Cash Flows'!H211</f>
        <v>0</v>
      </c>
      <c r="I472" s="29">
        <f>'Project Cash Flows'!I211</f>
        <v>0</v>
      </c>
      <c r="J472" s="29">
        <f>'Project Cash Flows'!J211</f>
        <v>0</v>
      </c>
      <c r="K472" s="29">
        <f>'Project Cash Flows'!K211</f>
        <v>1.2483313248000001</v>
      </c>
      <c r="L472" s="29">
        <f>'Project Cash Flows'!L211</f>
        <v>1.2857812645440003</v>
      </c>
      <c r="M472" s="29">
        <f>'Project Cash Flows'!M211</f>
        <v>1.3243547024803202</v>
      </c>
      <c r="N472" s="29">
        <f>'Project Cash Flows'!N211</f>
        <v>1.3640853435547298</v>
      </c>
      <c r="O472" s="29">
        <f>'Project Cash Flows'!O211</f>
        <v>1.4050079038613719</v>
      </c>
      <c r="P472" s="29">
        <f>'Project Cash Flows'!P211</f>
        <v>1.447158140977213</v>
      </c>
      <c r="Q472" s="29">
        <f>'Project Cash Flows'!Q211</f>
        <v>1.4905728852065292</v>
      </c>
      <c r="R472" s="29">
        <f>'Project Cash Flows'!R211</f>
        <v>1.5352900717627251</v>
      </c>
      <c r="S472" s="29">
        <f>'Project Cash Flows'!S211</f>
        <v>1.5813487739156069</v>
      </c>
      <c r="T472" s="29">
        <f>'Project Cash Flows'!T211</f>
        <v>1.6287892371330752</v>
      </c>
    </row>
    <row r="473" spans="2:20" x14ac:dyDescent="0.25">
      <c r="B473" s="23" t="s">
        <v>3343</v>
      </c>
      <c r="C473" s="28" t="s">
        <v>493</v>
      </c>
      <c r="H473" s="29">
        <f>'Project Cash Flows'!H216</f>
        <v>0</v>
      </c>
      <c r="I473" s="29">
        <f>'Project Cash Flows'!I216</f>
        <v>0</v>
      </c>
      <c r="J473" s="29">
        <f>'Project Cash Flows'!J216</f>
        <v>0</v>
      </c>
      <c r="K473" s="29">
        <f>'Project Cash Flows'!K216</f>
        <v>-0.24600649145600001</v>
      </c>
      <c r="L473" s="29">
        <f>'Project Cash Flows'!L216</f>
        <v>-0.25424547819968008</v>
      </c>
      <c r="M473" s="29">
        <f>'Project Cash Flows'!M216</f>
        <v>-0.26273163454567044</v>
      </c>
      <c r="N473" s="29">
        <f>'Project Cash Flows'!N216</f>
        <v>-0.27147237558204057</v>
      </c>
      <c r="O473" s="29">
        <f>'Project Cash Flows'!O216</f>
        <v>-0.28047533884950182</v>
      </c>
      <c r="P473" s="29">
        <f>'Project Cash Flows'!P216</f>
        <v>-0.28974839101498684</v>
      </c>
      <c r="Q473" s="29">
        <f>'Project Cash Flows'!Q216</f>
        <v>-0.29929963474543642</v>
      </c>
      <c r="R473" s="29">
        <f>'Project Cash Flows'!R216</f>
        <v>-0.30913741578779952</v>
      </c>
      <c r="S473" s="29">
        <f>'Project Cash Flows'!S216</f>
        <v>-0.31927033026143353</v>
      </c>
      <c r="T473" s="29">
        <f>'Project Cash Flows'!T216</f>
        <v>-0.32970723216927655</v>
      </c>
    </row>
    <row r="474" spans="2:20" x14ac:dyDescent="0.25">
      <c r="B474" s="23" t="s">
        <v>3227</v>
      </c>
      <c r="C474" s="28" t="s">
        <v>493</v>
      </c>
      <c r="H474" s="29">
        <f>'Project Cash Flows'!H217</f>
        <v>0</v>
      </c>
      <c r="I474" s="29">
        <f>'Project Cash Flows'!I217</f>
        <v>0</v>
      </c>
      <c r="J474" s="29">
        <f>'Project Cash Flows'!J217</f>
        <v>0</v>
      </c>
      <c r="K474" s="29">
        <f>'Project Cash Flows'!K217</f>
        <v>0</v>
      </c>
      <c r="L474" s="29">
        <f>'Project Cash Flows'!L217</f>
        <v>0</v>
      </c>
      <c r="M474" s="29">
        <f>'Project Cash Flows'!M217</f>
        <v>0</v>
      </c>
      <c r="N474" s="29">
        <f>'Project Cash Flows'!N217</f>
        <v>0</v>
      </c>
      <c r="O474" s="29">
        <f>'Project Cash Flows'!O217</f>
        <v>0</v>
      </c>
      <c r="P474" s="29">
        <f>'Project Cash Flows'!P217</f>
        <v>0</v>
      </c>
      <c r="Q474" s="29">
        <f>'Project Cash Flows'!Q217</f>
        <v>0</v>
      </c>
      <c r="R474" s="29">
        <f>'Project Cash Flows'!R217</f>
        <v>0</v>
      </c>
      <c r="S474" s="29">
        <f>'Project Cash Flows'!S217</f>
        <v>0</v>
      </c>
      <c r="T474" s="29">
        <f>'Project Cash Flows'!T217</f>
        <v>0</v>
      </c>
    </row>
    <row r="475" spans="2:20" x14ac:dyDescent="0.25">
      <c r="B475" s="23" t="s">
        <v>3228</v>
      </c>
      <c r="C475" s="28" t="s">
        <v>493</v>
      </c>
      <c r="H475" s="29">
        <f>'Project Cash Flows'!H218</f>
        <v>0</v>
      </c>
      <c r="I475" s="29">
        <f>'Project Cash Flows'!I218</f>
        <v>0</v>
      </c>
      <c r="J475" s="29">
        <f>'Project Cash Flows'!J218</f>
        <v>0</v>
      </c>
      <c r="K475" s="29">
        <f>'Project Cash Flows'!K218</f>
        <v>-0.19237982745205481</v>
      </c>
      <c r="L475" s="29">
        <f>'Project Cash Flows'!L218</f>
        <v>-5.2299980413878511E-3</v>
      </c>
      <c r="M475" s="29">
        <f>'Project Cash Flows'!M218</f>
        <v>-6.4859334504423216E-3</v>
      </c>
      <c r="N475" s="29">
        <f>'Project Cash Flows'!N218</f>
        <v>-6.1228727683164952E-3</v>
      </c>
      <c r="O475" s="29">
        <f>'Project Cash Flows'!O218</f>
        <v>-6.3065589513661147E-3</v>
      </c>
      <c r="P475" s="29">
        <f>'Project Cash Flows'!P218</f>
        <v>-5.8864088718647289E-3</v>
      </c>
      <c r="Q475" s="29">
        <f>'Project Cash Flows'!Q218</f>
        <v>-7.2999752395464801E-3</v>
      </c>
      <c r="R475" s="29">
        <f>'Project Cash Flows'!R218</f>
        <v>-6.891347243249385E-3</v>
      </c>
      <c r="S475" s="29">
        <f>'Project Cash Flows'!S218</f>
        <v>-7.0980876605468701E-3</v>
      </c>
      <c r="T475" s="29">
        <f>'Project Cash Flows'!T218</f>
        <v>-6.6252050445458899E-3</v>
      </c>
    </row>
    <row r="476" spans="2:20" x14ac:dyDescent="0.25">
      <c r="B476" s="21" t="s">
        <v>3344</v>
      </c>
      <c r="C476" s="28" t="s">
        <v>493</v>
      </c>
      <c r="H476" s="26">
        <f>'Project Cash Flows'!H219</f>
        <v>0</v>
      </c>
      <c r="I476" s="26">
        <f>'Project Cash Flows'!I219</f>
        <v>0</v>
      </c>
      <c r="J476" s="26">
        <f>'Project Cash Flows'!J219</f>
        <v>0</v>
      </c>
      <c r="K476" s="26">
        <f>'Project Cash Flows'!K219</f>
        <v>0.80994500589194518</v>
      </c>
      <c r="L476" s="26">
        <f>'Project Cash Flows'!L219</f>
        <v>1.0263057883029323</v>
      </c>
      <c r="M476" s="26">
        <f>'Project Cash Flows'!M219</f>
        <v>1.0551371344842073</v>
      </c>
      <c r="N476" s="26">
        <f>'Project Cash Flows'!N219</f>
        <v>1.0864900952043728</v>
      </c>
      <c r="O476" s="26">
        <f>'Project Cash Flows'!O219</f>
        <v>1.118226006060504</v>
      </c>
      <c r="P476" s="26">
        <f>'Project Cash Flows'!P219</f>
        <v>1.1515233410903614</v>
      </c>
      <c r="Q476" s="26">
        <f>'Project Cash Flows'!Q219</f>
        <v>1.1839732752215464</v>
      </c>
      <c r="R476" s="26">
        <f>'Project Cash Flows'!R219</f>
        <v>1.2192613087316762</v>
      </c>
      <c r="S476" s="26">
        <f>'Project Cash Flows'!S219</f>
        <v>1.2549803559936266</v>
      </c>
      <c r="T476" s="26">
        <f>'Project Cash Flows'!T219</f>
        <v>1.2924567999192527</v>
      </c>
    </row>
    <row r="477" spans="2:20" x14ac:dyDescent="0.25">
      <c r="B477" s="23" t="s">
        <v>3345</v>
      </c>
      <c r="C477" s="28" t="s">
        <v>493</v>
      </c>
      <c r="G477" s="29">
        <f>'Project Cash Flows'!G222</f>
        <v>0</v>
      </c>
      <c r="H477" s="29">
        <f>'Project Cash Flows'!H222</f>
        <v>0</v>
      </c>
      <c r="I477" s="29">
        <f>'Project Cash Flows'!I222</f>
        <v>0</v>
      </c>
      <c r="J477" s="29">
        <f>'Project Cash Flows'!J222</f>
        <v>0</v>
      </c>
      <c r="K477" s="29">
        <f>'Project Cash Flows'!K222</f>
        <v>0.80994500589194518</v>
      </c>
      <c r="L477" s="29">
        <f>'Project Cash Flows'!L222</f>
        <v>1.8362507941948776</v>
      </c>
      <c r="M477" s="29">
        <f>'Project Cash Flows'!M222</f>
        <v>2.8913879286790847</v>
      </c>
      <c r="N477" s="29">
        <f>'Project Cash Flows'!N222</f>
        <v>3.9778780238834575</v>
      </c>
      <c r="O477" s="29">
        <f>'Project Cash Flows'!O222</f>
        <v>5.0961040299439615</v>
      </c>
      <c r="P477" s="29">
        <f>'Project Cash Flows'!P222</f>
        <v>6.2476273710343229</v>
      </c>
      <c r="Q477" s="29">
        <f>'Project Cash Flows'!Q222</f>
        <v>7.4316006462558697</v>
      </c>
      <c r="R477" s="29">
        <f>'Project Cash Flows'!R222</f>
        <v>8.6508619549875458</v>
      </c>
      <c r="S477" s="29">
        <f>'Project Cash Flows'!S222</f>
        <v>9.9058423109811731</v>
      </c>
      <c r="T477" s="29">
        <f>'Project Cash Flows'!T222</f>
        <v>11.198299110900425</v>
      </c>
    </row>
    <row r="478" spans="2:20" x14ac:dyDescent="0.25">
      <c r="B478" s="163" t="s">
        <v>3346</v>
      </c>
    </row>
    <row r="479" spans="2:20" x14ac:dyDescent="0.25">
      <c r="B479" s="23" t="s">
        <v>3347</v>
      </c>
      <c r="C479" s="28" t="s">
        <v>493</v>
      </c>
      <c r="H479" s="29">
        <f>'Capex &amp; Depreciation'!H270</f>
        <v>0</v>
      </c>
      <c r="I479" s="29">
        <f>'Capex &amp; Depreciation'!I270</f>
        <v>0</v>
      </c>
      <c r="J479" s="29">
        <f>'Capex &amp; Depreciation'!J270</f>
        <v>0</v>
      </c>
      <c r="K479" s="29">
        <f>'Capex &amp; Depreciation'!K270</f>
        <v>0</v>
      </c>
      <c r="L479" s="29">
        <f>'Capex &amp; Depreciation'!L270</f>
        <v>0</v>
      </c>
      <c r="M479" s="29">
        <f>'Capex &amp; Depreciation'!M270</f>
        <v>0</v>
      </c>
      <c r="N479" s="29">
        <f>'Capex &amp; Depreciation'!N270</f>
        <v>0</v>
      </c>
      <c r="O479" s="29">
        <f>'Capex &amp; Depreciation'!O270</f>
        <v>0</v>
      </c>
      <c r="P479" s="29">
        <f>'Capex &amp; Depreciation'!P270</f>
        <v>0</v>
      </c>
      <c r="Q479" s="29">
        <f>'Capex &amp; Depreciation'!Q270</f>
        <v>0</v>
      </c>
      <c r="R479" s="29">
        <f>'Capex &amp; Depreciation'!R270</f>
        <v>0</v>
      </c>
      <c r="S479" s="29">
        <f>'Capex &amp; Depreciation'!S270</f>
        <v>0</v>
      </c>
      <c r="T479" s="29">
        <f>'Capex &amp; Depreciation'!T270</f>
        <v>0</v>
      </c>
    </row>
    <row r="480" spans="2:20" x14ac:dyDescent="0.25">
      <c r="B480" s="163" t="s">
        <v>3348</v>
      </c>
    </row>
    <row r="481" spans="2:20" x14ac:dyDescent="0.25">
      <c r="B481" s="44" t="s">
        <v>3349</v>
      </c>
      <c r="D481" s="204">
        <f>'Project Cash Flows'!$E$19</f>
        <v>10.914604072390402</v>
      </c>
      <c r="H481" s="44" t="s">
        <v>3176</v>
      </c>
      <c r="K481" s="205" t="str">
        <f>'Project Cash Flows'!$H$19</f>
        <v>Not meaningful</v>
      </c>
      <c r="N481" s="44" t="s">
        <v>3350</v>
      </c>
      <c r="Q481" s="205" t="str">
        <f>'Project Cash Flows'!$I$19</f>
        <v>Not meaningful</v>
      </c>
    </row>
    <row r="482" spans="2:20" x14ac:dyDescent="0.25">
      <c r="B482" s="44" t="s">
        <v>3180</v>
      </c>
      <c r="D482" s="205" t="str">
        <f>'Project Cash Flows'!$L$19</f>
        <v>n/a</v>
      </c>
      <c r="H482" s="44" t="s">
        <v>3351</v>
      </c>
      <c r="K482" s="206" t="str">
        <f>'Project Cash Flows'!$J$19</f>
        <v>Not meaningful</v>
      </c>
      <c r="N482" s="44" t="s">
        <v>3179</v>
      </c>
      <c r="Q482" s="204" t="str">
        <f>'Project Cash Flows'!$K$19</f>
        <v>Not meaningful</v>
      </c>
    </row>
    <row r="484" spans="2:20" x14ac:dyDescent="0.25">
      <c r="B484" s="58" t="s">
        <v>3385</v>
      </c>
      <c r="C484" s="19"/>
      <c r="D484" s="19"/>
      <c r="E484" s="19"/>
      <c r="F484" s="19"/>
      <c r="G484" s="19"/>
      <c r="H484" s="19"/>
      <c r="I484" s="19"/>
      <c r="J484" s="19"/>
      <c r="K484" s="19"/>
      <c r="L484" s="19"/>
      <c r="M484" s="19"/>
      <c r="N484" s="19"/>
      <c r="O484" s="19"/>
      <c r="P484" s="19"/>
      <c r="Q484" s="19"/>
      <c r="R484" s="19"/>
      <c r="S484" s="19"/>
      <c r="T484" s="19"/>
    </row>
    <row r="485" spans="2:20" x14ac:dyDescent="0.25">
      <c r="B485" s="70" t="s">
        <v>1690</v>
      </c>
      <c r="D485" s="130" t="str">
        <f>Inputs!$I$73</f>
        <v>Included - both cases</v>
      </c>
      <c r="M485" s="202" t="s">
        <v>3323</v>
      </c>
      <c r="N485" s="203">
        <f>Inputs!$H$73</f>
        <v>1</v>
      </c>
    </row>
    <row r="486" spans="2:20" x14ac:dyDescent="0.25">
      <c r="B486" s="163" t="s">
        <v>3324</v>
      </c>
    </row>
    <row r="487" spans="2:20" x14ac:dyDescent="0.25">
      <c r="B487" s="23" t="s">
        <v>3382</v>
      </c>
      <c r="C487" s="28" t="s">
        <v>630</v>
      </c>
      <c r="H487" s="48">
        <f>'Revenue Calculation'!H141</f>
        <v>0</v>
      </c>
      <c r="I487" s="48">
        <f>'Revenue Calculation'!I141</f>
        <v>0</v>
      </c>
      <c r="J487" s="48">
        <f>'Revenue Calculation'!J141</f>
        <v>0</v>
      </c>
      <c r="K487" s="48">
        <f>'Revenue Calculation'!K141</f>
        <v>0</v>
      </c>
      <c r="L487" s="48">
        <f>'Revenue Calculation'!L141</f>
        <v>1600000</v>
      </c>
      <c r="M487" s="48">
        <f>'Revenue Calculation'!M141</f>
        <v>1760000.0000000002</v>
      </c>
      <c r="N487" s="48">
        <f>'Revenue Calculation'!N141</f>
        <v>1936000.0000000002</v>
      </c>
      <c r="O487" s="48">
        <f>'Revenue Calculation'!O141</f>
        <v>2129600.0000000005</v>
      </c>
      <c r="P487" s="48">
        <f>'Revenue Calculation'!P141</f>
        <v>2257376.0000000009</v>
      </c>
      <c r="Q487" s="48">
        <f>'Revenue Calculation'!Q141</f>
        <v>2392818.560000001</v>
      </c>
      <c r="R487" s="48">
        <f>'Revenue Calculation'!R141</f>
        <v>2536387.6736000013</v>
      </c>
      <c r="S487" s="48">
        <f>'Revenue Calculation'!S141</f>
        <v>2688570.9340160014</v>
      </c>
      <c r="T487" s="48">
        <f>'Revenue Calculation'!T141</f>
        <v>2849885.190056962</v>
      </c>
    </row>
    <row r="488" spans="2:20" x14ac:dyDescent="0.25">
      <c r="B488" s="23" t="s">
        <v>3383</v>
      </c>
      <c r="C488" s="28" t="s">
        <v>647</v>
      </c>
      <c r="H488" s="48">
        <f>Inputs!H292</f>
        <v>29000</v>
      </c>
      <c r="I488" s="48">
        <f>Inputs!I292</f>
        <v>29000</v>
      </c>
      <c r="J488" s="48">
        <f>Inputs!J292</f>
        <v>29000</v>
      </c>
      <c r="K488" s="48">
        <f>Inputs!K292</f>
        <v>29000</v>
      </c>
      <c r="L488" s="48">
        <f>Inputs!L292</f>
        <v>29000</v>
      </c>
      <c r="M488" s="48">
        <f>Inputs!M292</f>
        <v>29000</v>
      </c>
      <c r="N488" s="48">
        <f>Inputs!N292</f>
        <v>29000</v>
      </c>
      <c r="O488" s="48">
        <f>Inputs!O292</f>
        <v>29000</v>
      </c>
      <c r="P488" s="48">
        <f>Inputs!P292</f>
        <v>29000</v>
      </c>
      <c r="Q488" s="48">
        <f>Inputs!Q292</f>
        <v>29000</v>
      </c>
      <c r="R488" s="48">
        <f>Inputs!R292</f>
        <v>29000</v>
      </c>
      <c r="S488" s="48">
        <f>Inputs!S292</f>
        <v>29000</v>
      </c>
      <c r="T488" s="48">
        <f>Inputs!T292</f>
        <v>29000</v>
      </c>
    </row>
    <row r="489" spans="2:20" x14ac:dyDescent="0.25">
      <c r="B489" s="163" t="s">
        <v>3328</v>
      </c>
    </row>
    <row r="490" spans="2:20" x14ac:dyDescent="0.25">
      <c r="B490" s="21" t="s">
        <v>3329</v>
      </c>
      <c r="C490" s="28" t="s">
        <v>493</v>
      </c>
      <c r="H490" s="26">
        <f>'Revenue Calculation'!H143</f>
        <v>0</v>
      </c>
      <c r="I490" s="26">
        <f>'Revenue Calculation'!I143</f>
        <v>0</v>
      </c>
      <c r="J490" s="26">
        <f>'Revenue Calculation'!J143</f>
        <v>0</v>
      </c>
      <c r="K490" s="26">
        <f>'Revenue Calculation'!K143</f>
        <v>0</v>
      </c>
      <c r="L490" s="26">
        <f>'Revenue Calculation'!L143</f>
        <v>0.46400000000000002</v>
      </c>
      <c r="M490" s="26">
        <f>'Revenue Calculation'!M143</f>
        <v>0.51040000000000008</v>
      </c>
      <c r="N490" s="26">
        <f>'Revenue Calculation'!N143</f>
        <v>0.56144000000000016</v>
      </c>
      <c r="O490" s="26">
        <f>'Revenue Calculation'!O143</f>
        <v>0.61758400000000013</v>
      </c>
      <c r="P490" s="26">
        <f>'Revenue Calculation'!P143</f>
        <v>0.65463904000000028</v>
      </c>
      <c r="Q490" s="26">
        <f>'Revenue Calculation'!Q143</f>
        <v>0.69391738240000034</v>
      </c>
      <c r="R490" s="26">
        <f>'Revenue Calculation'!R143</f>
        <v>0.73555242534400034</v>
      </c>
      <c r="S490" s="26">
        <f>'Revenue Calculation'!S143</f>
        <v>0.77968557086464041</v>
      </c>
      <c r="T490" s="26">
        <f>'Revenue Calculation'!T143</f>
        <v>0.82646670511651898</v>
      </c>
    </row>
    <row r="491" spans="2:20" x14ac:dyDescent="0.25">
      <c r="B491" s="23" t="s">
        <v>3330</v>
      </c>
      <c r="C491" s="28" t="s">
        <v>493</v>
      </c>
      <c r="H491" s="159">
        <f>-'Cost Calculation'!H169</f>
        <v>0</v>
      </c>
      <c r="I491" s="159">
        <f>-'Cost Calculation'!I169</f>
        <v>0</v>
      </c>
      <c r="J491" s="159">
        <f>-'Cost Calculation'!J169</f>
        <v>0</v>
      </c>
      <c r="K491" s="159">
        <f>-'Cost Calculation'!K169</f>
        <v>0</v>
      </c>
      <c r="L491" s="159">
        <f>-'Cost Calculation'!L169</f>
        <v>0</v>
      </c>
      <c r="M491" s="159">
        <f>-'Cost Calculation'!M169</f>
        <v>0</v>
      </c>
      <c r="N491" s="159">
        <f>-'Cost Calculation'!N169</f>
        <v>0</v>
      </c>
      <c r="O491" s="159">
        <f>-'Cost Calculation'!O169</f>
        <v>0</v>
      </c>
      <c r="P491" s="159">
        <f>-'Cost Calculation'!P169</f>
        <v>0</v>
      </c>
      <c r="Q491" s="159">
        <f>-'Cost Calculation'!Q169</f>
        <v>0</v>
      </c>
      <c r="R491" s="159">
        <f>-'Cost Calculation'!R169</f>
        <v>0</v>
      </c>
      <c r="S491" s="159">
        <f>-'Cost Calculation'!S169</f>
        <v>0</v>
      </c>
      <c r="T491" s="159">
        <f>-'Cost Calculation'!T169</f>
        <v>0</v>
      </c>
    </row>
    <row r="492" spans="2:20" x14ac:dyDescent="0.25">
      <c r="B492" s="23" t="s">
        <v>3331</v>
      </c>
      <c r="C492" s="28" t="s">
        <v>493</v>
      </c>
      <c r="H492" s="159">
        <f>-'Cost Calculation'!H170</f>
        <v>0</v>
      </c>
      <c r="I492" s="159">
        <f>-'Cost Calculation'!I170</f>
        <v>0</v>
      </c>
      <c r="J492" s="159">
        <f>-'Cost Calculation'!J170</f>
        <v>0</v>
      </c>
      <c r="K492" s="159">
        <f>-'Cost Calculation'!K170</f>
        <v>0</v>
      </c>
      <c r="L492" s="159">
        <f>-'Cost Calculation'!L170</f>
        <v>-9.2800000000000007E-2</v>
      </c>
      <c r="M492" s="159">
        <f>-'Cost Calculation'!M170</f>
        <v>-0.10208000000000002</v>
      </c>
      <c r="N492" s="159">
        <f>-'Cost Calculation'!N170</f>
        <v>-0.11228800000000004</v>
      </c>
      <c r="O492" s="159">
        <f>-'Cost Calculation'!O170</f>
        <v>-0.12351680000000004</v>
      </c>
      <c r="P492" s="159">
        <f>-'Cost Calculation'!P170</f>
        <v>-0.13092780800000006</v>
      </c>
      <c r="Q492" s="159">
        <f>-'Cost Calculation'!Q170</f>
        <v>-0.13878347648000008</v>
      </c>
      <c r="R492" s="159">
        <f>-'Cost Calculation'!R170</f>
        <v>-0.14711048506880006</v>
      </c>
      <c r="S492" s="159">
        <f>-'Cost Calculation'!S170</f>
        <v>-0.1559371141729281</v>
      </c>
      <c r="T492" s="159">
        <f>-'Cost Calculation'!T170</f>
        <v>-0.16529334102330381</v>
      </c>
    </row>
    <row r="493" spans="2:20" x14ac:dyDescent="0.25">
      <c r="B493" s="21" t="s">
        <v>3221</v>
      </c>
      <c r="C493" s="28" t="s">
        <v>493</v>
      </c>
      <c r="H493" s="26">
        <f>'Cost Calculation'!H171</f>
        <v>0</v>
      </c>
      <c r="I493" s="26">
        <f>'Cost Calculation'!I171</f>
        <v>0</v>
      </c>
      <c r="J493" s="26">
        <f>'Cost Calculation'!J171</f>
        <v>0</v>
      </c>
      <c r="K493" s="26">
        <f>'Cost Calculation'!K171</f>
        <v>0</v>
      </c>
      <c r="L493" s="26">
        <f>'Cost Calculation'!L171</f>
        <v>0.37120000000000003</v>
      </c>
      <c r="M493" s="26">
        <f>'Cost Calculation'!M171</f>
        <v>0.40832000000000007</v>
      </c>
      <c r="N493" s="26">
        <f>'Cost Calculation'!N171</f>
        <v>0.44915200000000011</v>
      </c>
      <c r="O493" s="26">
        <f>'Cost Calculation'!O171</f>
        <v>0.4940672000000001</v>
      </c>
      <c r="P493" s="26">
        <f>'Cost Calculation'!P171</f>
        <v>0.52371123200000025</v>
      </c>
      <c r="Q493" s="26">
        <f>'Cost Calculation'!Q171</f>
        <v>0.55513390592000023</v>
      </c>
      <c r="R493" s="26">
        <f>'Cost Calculation'!R171</f>
        <v>0.58844194027520025</v>
      </c>
      <c r="S493" s="26">
        <f>'Cost Calculation'!S171</f>
        <v>0.62374845669171231</v>
      </c>
      <c r="T493" s="26">
        <f>'Cost Calculation'!T171</f>
        <v>0.66117336409321514</v>
      </c>
    </row>
    <row r="494" spans="2:20" x14ac:dyDescent="0.25">
      <c r="B494" s="23" t="s">
        <v>3332</v>
      </c>
      <c r="C494" s="28" t="s">
        <v>493</v>
      </c>
      <c r="H494" s="159">
        <f>-'Capex &amp; Depreciation'!H244</f>
        <v>0</v>
      </c>
      <c r="I494" s="159">
        <f>-'Capex &amp; Depreciation'!I244</f>
        <v>0</v>
      </c>
      <c r="J494" s="159">
        <f>-'Capex &amp; Depreciation'!J244</f>
        <v>0</v>
      </c>
      <c r="K494" s="159">
        <f>-'Capex &amp; Depreciation'!K244</f>
        <v>0</v>
      </c>
      <c r="L494" s="159">
        <f>-'Capex &amp; Depreciation'!L244</f>
        <v>-9.7589999999999996E-2</v>
      </c>
      <c r="M494" s="159">
        <f>-'Capex &amp; Depreciation'!M244</f>
        <v>-9.7589999999999996E-2</v>
      </c>
      <c r="N494" s="159">
        <f>-'Capex &amp; Depreciation'!N244</f>
        <v>-9.7589999999999996E-2</v>
      </c>
      <c r="O494" s="159">
        <f>-'Capex &amp; Depreciation'!O244</f>
        <v>-9.7589999999999996E-2</v>
      </c>
      <c r="P494" s="159">
        <f>-'Capex &amp; Depreciation'!P244</f>
        <v>-9.7589999999999996E-2</v>
      </c>
      <c r="Q494" s="159">
        <f>-'Capex &amp; Depreciation'!Q244</f>
        <v>-9.7589999999999996E-2</v>
      </c>
      <c r="R494" s="159">
        <f>-'Capex &amp; Depreciation'!R244</f>
        <v>-9.7589999999999996E-2</v>
      </c>
      <c r="S494" s="159">
        <f>-'Capex &amp; Depreciation'!S244</f>
        <v>-9.7589999999999996E-2</v>
      </c>
      <c r="T494" s="159">
        <f>-'Capex &amp; Depreciation'!T244</f>
        <v>-9.7589999999999996E-2</v>
      </c>
    </row>
    <row r="495" spans="2:20" x14ac:dyDescent="0.25">
      <c r="B495" s="21" t="s">
        <v>3333</v>
      </c>
      <c r="C495" s="28" t="s">
        <v>493</v>
      </c>
      <c r="H495" s="26">
        <f>'Project Cash Flows'!H225</f>
        <v>0</v>
      </c>
      <c r="I495" s="26">
        <f>'Project Cash Flows'!I225</f>
        <v>0</v>
      </c>
      <c r="J495" s="26">
        <f>'Project Cash Flows'!J225</f>
        <v>0</v>
      </c>
      <c r="K495" s="26">
        <f>'Project Cash Flows'!K225</f>
        <v>0</v>
      </c>
      <c r="L495" s="26">
        <f>'Project Cash Flows'!L225</f>
        <v>0.27361000000000002</v>
      </c>
      <c r="M495" s="26">
        <f>'Project Cash Flows'!M225</f>
        <v>0.31073000000000006</v>
      </c>
      <c r="N495" s="26">
        <f>'Project Cash Flows'!N225</f>
        <v>0.3515620000000001</v>
      </c>
      <c r="O495" s="26">
        <f>'Project Cash Flows'!O225</f>
        <v>0.39647720000000009</v>
      </c>
      <c r="P495" s="26">
        <f>'Project Cash Flows'!P225</f>
        <v>0.42612123200000024</v>
      </c>
      <c r="Q495" s="26">
        <f>'Project Cash Flows'!Q225</f>
        <v>0.45754390592000022</v>
      </c>
      <c r="R495" s="26">
        <f>'Project Cash Flows'!R225</f>
        <v>0.49085194027520024</v>
      </c>
      <c r="S495" s="26">
        <f>'Project Cash Flows'!S225</f>
        <v>0.52615845669171235</v>
      </c>
      <c r="T495" s="26">
        <f>'Project Cash Flows'!T225</f>
        <v>0.56358336409321519</v>
      </c>
    </row>
    <row r="496" spans="2:20" x14ac:dyDescent="0.25">
      <c r="B496" s="23" t="s">
        <v>3334</v>
      </c>
      <c r="C496" s="28" t="s">
        <v>493</v>
      </c>
      <c r="H496" s="159">
        <f>-'Project Cash Flows'!H226</f>
        <v>0</v>
      </c>
      <c r="I496" s="159">
        <f>-'Project Cash Flows'!I226</f>
        <v>0</v>
      </c>
      <c r="J496" s="159">
        <f>-'Project Cash Flows'!J226</f>
        <v>0</v>
      </c>
      <c r="K496" s="159">
        <f>-'Project Cash Flows'!K226</f>
        <v>0</v>
      </c>
      <c r="L496" s="159">
        <f>-'Project Cash Flows'!L226</f>
        <v>0</v>
      </c>
      <c r="M496" s="159">
        <f>-'Project Cash Flows'!M226</f>
        <v>0</v>
      </c>
      <c r="N496" s="159">
        <f>-'Project Cash Flows'!N226</f>
        <v>0</v>
      </c>
      <c r="O496" s="159">
        <f>-'Project Cash Flows'!O226</f>
        <v>0</v>
      </c>
      <c r="P496" s="159">
        <f>-'Project Cash Flows'!P226</f>
        <v>0</v>
      </c>
      <c r="Q496" s="159">
        <f>-'Project Cash Flows'!Q226</f>
        <v>0</v>
      </c>
      <c r="R496" s="159">
        <f>-'Project Cash Flows'!R226</f>
        <v>0</v>
      </c>
      <c r="S496" s="159">
        <f>-'Project Cash Flows'!S226</f>
        <v>0</v>
      </c>
      <c r="T496" s="159">
        <f>-'Project Cash Flows'!T226</f>
        <v>0</v>
      </c>
    </row>
    <row r="497" spans="2:20" x14ac:dyDescent="0.25">
      <c r="B497" s="23" t="s">
        <v>3335</v>
      </c>
      <c r="C497" s="28" t="s">
        <v>493</v>
      </c>
      <c r="H497" s="159">
        <f>-'Project Cash Flows'!H227</f>
        <v>0</v>
      </c>
      <c r="I497" s="159">
        <f>-'Project Cash Flows'!I227</f>
        <v>0</v>
      </c>
      <c r="J497" s="159">
        <f>-'Project Cash Flows'!J227</f>
        <v>0</v>
      </c>
      <c r="K497" s="159">
        <f>-'Project Cash Flows'!K227</f>
        <v>0</v>
      </c>
      <c r="L497" s="159">
        <f>-'Project Cash Flows'!L227</f>
        <v>-6.0194200000000003E-2</v>
      </c>
      <c r="M497" s="159">
        <f>-'Project Cash Flows'!M227</f>
        <v>-6.8360600000000007E-2</v>
      </c>
      <c r="N497" s="159">
        <f>-'Project Cash Flows'!N227</f>
        <v>-7.7343640000000019E-2</v>
      </c>
      <c r="O497" s="159">
        <f>-'Project Cash Flows'!O227</f>
        <v>-8.7224984000000019E-2</v>
      </c>
      <c r="P497" s="159">
        <f>-'Project Cash Flows'!P227</f>
        <v>-9.3746671040000049E-2</v>
      </c>
      <c r="Q497" s="159">
        <f>-'Project Cash Flows'!Q227</f>
        <v>-0.10065965930240005</v>
      </c>
      <c r="R497" s="159">
        <f>-'Project Cash Flows'!R227</f>
        <v>-0.10798742686054405</v>
      </c>
      <c r="S497" s="159">
        <f>-'Project Cash Flows'!S227</f>
        <v>-0.11575486047217672</v>
      </c>
      <c r="T497" s="159">
        <f>-'Project Cash Flows'!T227</f>
        <v>-0.12398834010050734</v>
      </c>
    </row>
    <row r="498" spans="2:20" x14ac:dyDescent="0.25">
      <c r="B498" s="21" t="s">
        <v>3336</v>
      </c>
      <c r="C498" s="28" t="s">
        <v>493</v>
      </c>
      <c r="H498" s="26">
        <f>'Project Cash Flows'!H228</f>
        <v>0</v>
      </c>
      <c r="I498" s="26">
        <f>'Project Cash Flows'!I228</f>
        <v>0</v>
      </c>
      <c r="J498" s="26">
        <f>'Project Cash Flows'!J228</f>
        <v>0</v>
      </c>
      <c r="K498" s="26">
        <f>'Project Cash Flows'!K228</f>
        <v>0</v>
      </c>
      <c r="L498" s="26">
        <f>'Project Cash Flows'!L228</f>
        <v>0.21341580000000002</v>
      </c>
      <c r="M498" s="26">
        <f>'Project Cash Flows'!M228</f>
        <v>0.24236940000000007</v>
      </c>
      <c r="N498" s="26">
        <f>'Project Cash Flows'!N228</f>
        <v>0.27421836000000011</v>
      </c>
      <c r="O498" s="26">
        <f>'Project Cash Flows'!O228</f>
        <v>0.30925221600000008</v>
      </c>
      <c r="P498" s="26">
        <f>'Project Cash Flows'!P228</f>
        <v>0.33237456096000018</v>
      </c>
      <c r="Q498" s="26">
        <f>'Project Cash Flows'!Q228</f>
        <v>0.35688424661760015</v>
      </c>
      <c r="R498" s="26">
        <f>'Project Cash Flows'!R228</f>
        <v>0.38286451341465622</v>
      </c>
      <c r="S498" s="26">
        <f>'Project Cash Flows'!S228</f>
        <v>0.41040359621953565</v>
      </c>
      <c r="T498" s="26">
        <f>'Project Cash Flows'!T228</f>
        <v>0.43959502399270783</v>
      </c>
    </row>
    <row r="499" spans="2:20" x14ac:dyDescent="0.25">
      <c r="B499" s="163" t="s">
        <v>3337</v>
      </c>
    </row>
    <row r="500" spans="2:20" x14ac:dyDescent="0.25">
      <c r="B500" s="23" t="s">
        <v>3338</v>
      </c>
      <c r="C500" s="28" t="s">
        <v>493</v>
      </c>
      <c r="G500" s="29">
        <f>'Capex &amp; Depreciation'!G298</f>
        <v>0</v>
      </c>
      <c r="H500" s="29">
        <f>'Capex &amp; Depreciation'!H298</f>
        <v>0</v>
      </c>
      <c r="I500" s="29">
        <f>'Capex &amp; Depreciation'!I298</f>
        <v>0</v>
      </c>
      <c r="J500" s="29">
        <f>'Capex &amp; Depreciation'!J298</f>
        <v>0</v>
      </c>
      <c r="K500" s="29">
        <f>'Capex &amp; Depreciation'!K298</f>
        <v>0</v>
      </c>
      <c r="L500" s="29">
        <f>'Capex &amp; Depreciation'!L298</f>
        <v>-9.7589999999999996E-2</v>
      </c>
      <c r="M500" s="29">
        <f>'Capex &amp; Depreciation'!M298</f>
        <v>-0.19517999999999999</v>
      </c>
      <c r="N500" s="29">
        <f>'Capex &amp; Depreciation'!N298</f>
        <v>-0.29276999999999997</v>
      </c>
      <c r="O500" s="29">
        <f>'Capex &amp; Depreciation'!O298</f>
        <v>-0.39035999999999998</v>
      </c>
      <c r="P500" s="29">
        <f>'Capex &amp; Depreciation'!P298</f>
        <v>-0.48794999999999999</v>
      </c>
      <c r="Q500" s="29">
        <f>'Capex &amp; Depreciation'!Q298</f>
        <v>-0.58553999999999995</v>
      </c>
      <c r="R500" s="29">
        <f>'Capex &amp; Depreciation'!R298</f>
        <v>-0.6831299999999999</v>
      </c>
      <c r="S500" s="29">
        <f>'Capex &amp; Depreciation'!S298</f>
        <v>-0.78071999999999986</v>
      </c>
      <c r="T500" s="29">
        <f>'Capex &amp; Depreciation'!T298</f>
        <v>-0.87830999999999981</v>
      </c>
    </row>
    <row r="501" spans="2:20" x14ac:dyDescent="0.25">
      <c r="B501" s="23" t="s">
        <v>3339</v>
      </c>
      <c r="C501" s="28" t="s">
        <v>493</v>
      </c>
      <c r="G501" s="159">
        <v>0</v>
      </c>
      <c r="H501" s="29">
        <f>'Working Capital'!H65</f>
        <v>0</v>
      </c>
      <c r="I501" s="29">
        <f>'Working Capital'!I65</f>
        <v>0</v>
      </c>
      <c r="J501" s="29">
        <f>'Working Capital'!J65</f>
        <v>0</v>
      </c>
      <c r="K501" s="29">
        <f>'Working Capital'!K65</f>
        <v>0</v>
      </c>
      <c r="L501" s="29">
        <f>'Working Capital'!L65</f>
        <v>5.7049180327868862E-2</v>
      </c>
      <c r="M501" s="29">
        <f>'Working Capital'!M65</f>
        <v>6.292602739726029E-2</v>
      </c>
      <c r="N501" s="29">
        <f>'Working Capital'!N65</f>
        <v>6.9218630136986328E-2</v>
      </c>
      <c r="O501" s="29">
        <f>'Working Capital'!O65</f>
        <v>7.6140493150684954E-2</v>
      </c>
      <c r="P501" s="29">
        <f>'Working Capital'!P65</f>
        <v>8.0488406557377087E-2</v>
      </c>
      <c r="Q501" s="29">
        <f>'Working Capital'!Q65</f>
        <v>8.5551458104109634E-2</v>
      </c>
      <c r="R501" s="29">
        <f>'Working Capital'!R65</f>
        <v>9.06845455903562E-2</v>
      </c>
      <c r="S501" s="29">
        <f>'Working Capital'!S65</f>
        <v>9.6125618325777595E-2</v>
      </c>
      <c r="T501" s="29">
        <f>'Working Capital'!T65</f>
        <v>0.10161475882580152</v>
      </c>
    </row>
    <row r="502" spans="2:20" x14ac:dyDescent="0.25">
      <c r="B502" s="23" t="s">
        <v>3340</v>
      </c>
      <c r="C502" s="28" t="s">
        <v>493</v>
      </c>
      <c r="G502" s="159">
        <v>0</v>
      </c>
      <c r="H502" s="159">
        <f>-'Working Capital'!H66</f>
        <v>0</v>
      </c>
      <c r="I502" s="159">
        <f>-'Working Capital'!I66</f>
        <v>0</v>
      </c>
      <c r="J502" s="159">
        <f>-'Working Capital'!J66</f>
        <v>0</v>
      </c>
      <c r="K502" s="159">
        <f>-'Working Capital'!K66</f>
        <v>0</v>
      </c>
      <c r="L502" s="159">
        <f>-'Working Capital'!L66</f>
        <v>0</v>
      </c>
      <c r="M502" s="159">
        <f>-'Working Capital'!M66</f>
        <v>0</v>
      </c>
      <c r="N502" s="159">
        <f>-'Working Capital'!N66</f>
        <v>0</v>
      </c>
      <c r="O502" s="159">
        <f>-'Working Capital'!O66</f>
        <v>0</v>
      </c>
      <c r="P502" s="159">
        <f>-'Working Capital'!P66</f>
        <v>0</v>
      </c>
      <c r="Q502" s="159">
        <f>-'Working Capital'!Q66</f>
        <v>0</v>
      </c>
      <c r="R502" s="159">
        <f>-'Working Capital'!R66</f>
        <v>0</v>
      </c>
      <c r="S502" s="159">
        <f>-'Working Capital'!S66</f>
        <v>0</v>
      </c>
      <c r="T502" s="159">
        <f>-'Working Capital'!T66</f>
        <v>0</v>
      </c>
    </row>
    <row r="503" spans="2:20" x14ac:dyDescent="0.25">
      <c r="B503" s="21" t="s">
        <v>3341</v>
      </c>
      <c r="C503" s="28" t="s">
        <v>493</v>
      </c>
      <c r="G503" s="26">
        <f>'Capex &amp; Depreciation'!G298</f>
        <v>0</v>
      </c>
      <c r="H503" s="160">
        <f>'Capex &amp; Depreciation'!H298+'Working Capital'!H67</f>
        <v>0</v>
      </c>
      <c r="I503" s="160">
        <f>'Capex &amp; Depreciation'!I298+'Working Capital'!I67</f>
        <v>0</v>
      </c>
      <c r="J503" s="160">
        <f>'Capex &amp; Depreciation'!J298+'Working Capital'!J67</f>
        <v>0</v>
      </c>
      <c r="K503" s="160">
        <f>'Capex &amp; Depreciation'!K298+'Working Capital'!K67</f>
        <v>0</v>
      </c>
      <c r="L503" s="160">
        <f>'Capex &amp; Depreciation'!L298+'Working Capital'!L67</f>
        <v>-4.0540819672131134E-2</v>
      </c>
      <c r="M503" s="160">
        <f>'Capex &amp; Depreciation'!M298+'Working Capital'!M67</f>
        <v>-0.13225397260273969</v>
      </c>
      <c r="N503" s="160">
        <f>'Capex &amp; Depreciation'!N298+'Working Capital'!N67</f>
        <v>-0.22355136986301366</v>
      </c>
      <c r="O503" s="160">
        <f>'Capex &amp; Depreciation'!O298+'Working Capital'!O67</f>
        <v>-0.31421950684931504</v>
      </c>
      <c r="P503" s="160">
        <f>'Capex &amp; Depreciation'!P298+'Working Capital'!P67</f>
        <v>-0.40746159344262289</v>
      </c>
      <c r="Q503" s="160">
        <f>'Capex &amp; Depreciation'!Q298+'Working Capital'!Q67</f>
        <v>-0.49998854189589031</v>
      </c>
      <c r="R503" s="160">
        <f>'Capex &amp; Depreciation'!R298+'Working Capital'!R67</f>
        <v>-0.59244545440964369</v>
      </c>
      <c r="S503" s="160">
        <f>'Capex &amp; Depreciation'!S298+'Working Capital'!S67</f>
        <v>-0.68459438167422226</v>
      </c>
      <c r="T503" s="160">
        <f>'Capex &amp; Depreciation'!T298+'Working Capital'!T67</f>
        <v>-0.7766952411741983</v>
      </c>
    </row>
    <row r="504" spans="2:20" x14ac:dyDescent="0.25">
      <c r="B504" s="163" t="s">
        <v>3342</v>
      </c>
    </row>
    <row r="505" spans="2:20" x14ac:dyDescent="0.25">
      <c r="B505" s="23" t="s">
        <v>3221</v>
      </c>
      <c r="C505" s="28" t="s">
        <v>493</v>
      </c>
      <c r="H505" s="29">
        <f>'Project Cash Flows'!H224</f>
        <v>0</v>
      </c>
      <c r="I505" s="29">
        <f>'Project Cash Flows'!I224</f>
        <v>0</v>
      </c>
      <c r="J505" s="29">
        <f>'Project Cash Flows'!J224</f>
        <v>0</v>
      </c>
      <c r="K505" s="29">
        <f>'Project Cash Flows'!K224</f>
        <v>0</v>
      </c>
      <c r="L505" s="29">
        <f>'Project Cash Flows'!L224</f>
        <v>0.37120000000000003</v>
      </c>
      <c r="M505" s="29">
        <f>'Project Cash Flows'!M224</f>
        <v>0.40832000000000007</v>
      </c>
      <c r="N505" s="29">
        <f>'Project Cash Flows'!N224</f>
        <v>0.44915200000000011</v>
      </c>
      <c r="O505" s="29">
        <f>'Project Cash Flows'!O224</f>
        <v>0.4940672000000001</v>
      </c>
      <c r="P505" s="29">
        <f>'Project Cash Flows'!P224</f>
        <v>0.52371123200000025</v>
      </c>
      <c r="Q505" s="29">
        <f>'Project Cash Flows'!Q224</f>
        <v>0.55513390592000023</v>
      </c>
      <c r="R505" s="29">
        <f>'Project Cash Flows'!R224</f>
        <v>0.58844194027520025</v>
      </c>
      <c r="S505" s="29">
        <f>'Project Cash Flows'!S224</f>
        <v>0.62374845669171231</v>
      </c>
      <c r="T505" s="29">
        <f>'Project Cash Flows'!T224</f>
        <v>0.66117336409321514</v>
      </c>
    </row>
    <row r="506" spans="2:20" x14ac:dyDescent="0.25">
      <c r="B506" s="23" t="s">
        <v>3343</v>
      </c>
      <c r="C506" s="28" t="s">
        <v>493</v>
      </c>
      <c r="H506" s="29">
        <f>'Project Cash Flows'!H229</f>
        <v>0</v>
      </c>
      <c r="I506" s="29">
        <f>'Project Cash Flows'!I229</f>
        <v>0</v>
      </c>
      <c r="J506" s="29">
        <f>'Project Cash Flows'!J229</f>
        <v>0</v>
      </c>
      <c r="K506" s="29">
        <f>'Project Cash Flows'!K229</f>
        <v>0</v>
      </c>
      <c r="L506" s="29">
        <f>'Project Cash Flows'!L229</f>
        <v>-6.0194200000000003E-2</v>
      </c>
      <c r="M506" s="29">
        <f>'Project Cash Flows'!M229</f>
        <v>-6.8360600000000007E-2</v>
      </c>
      <c r="N506" s="29">
        <f>'Project Cash Flows'!N229</f>
        <v>-7.7343640000000019E-2</v>
      </c>
      <c r="O506" s="29">
        <f>'Project Cash Flows'!O229</f>
        <v>-8.7224984000000019E-2</v>
      </c>
      <c r="P506" s="29">
        <f>'Project Cash Flows'!P229</f>
        <v>-9.3746671040000049E-2</v>
      </c>
      <c r="Q506" s="29">
        <f>'Project Cash Flows'!Q229</f>
        <v>-0.10065965930240005</v>
      </c>
      <c r="R506" s="29">
        <f>'Project Cash Flows'!R229</f>
        <v>-0.10798742686054405</v>
      </c>
      <c r="S506" s="29">
        <f>'Project Cash Flows'!S229</f>
        <v>-0.11575486047217672</v>
      </c>
      <c r="T506" s="29">
        <f>'Project Cash Flows'!T229</f>
        <v>-0.12398834010050734</v>
      </c>
    </row>
    <row r="507" spans="2:20" x14ac:dyDescent="0.25">
      <c r="B507" s="23" t="s">
        <v>3227</v>
      </c>
      <c r="C507" s="28" t="s">
        <v>493</v>
      </c>
      <c r="H507" s="29">
        <f>'Project Cash Flows'!H230</f>
        <v>0</v>
      </c>
      <c r="I507" s="29">
        <f>'Project Cash Flows'!I230</f>
        <v>0</v>
      </c>
      <c r="J507" s="29">
        <f>'Project Cash Flows'!J230</f>
        <v>0</v>
      </c>
      <c r="K507" s="29">
        <f>'Project Cash Flows'!K230</f>
        <v>0</v>
      </c>
      <c r="L507" s="29">
        <f>'Project Cash Flows'!L230</f>
        <v>0</v>
      </c>
      <c r="M507" s="29">
        <f>'Project Cash Flows'!M230</f>
        <v>0</v>
      </c>
      <c r="N507" s="29">
        <f>'Project Cash Flows'!N230</f>
        <v>0</v>
      </c>
      <c r="O507" s="29">
        <f>'Project Cash Flows'!O230</f>
        <v>0</v>
      </c>
      <c r="P507" s="29">
        <f>'Project Cash Flows'!P230</f>
        <v>0</v>
      </c>
      <c r="Q507" s="29">
        <f>'Project Cash Flows'!Q230</f>
        <v>0</v>
      </c>
      <c r="R507" s="29">
        <f>'Project Cash Flows'!R230</f>
        <v>0</v>
      </c>
      <c r="S507" s="29">
        <f>'Project Cash Flows'!S230</f>
        <v>0</v>
      </c>
      <c r="T507" s="29">
        <f>'Project Cash Flows'!T230</f>
        <v>0</v>
      </c>
    </row>
    <row r="508" spans="2:20" x14ac:dyDescent="0.25">
      <c r="B508" s="23" t="s">
        <v>3228</v>
      </c>
      <c r="C508" s="28" t="s">
        <v>493</v>
      </c>
      <c r="H508" s="29">
        <f>'Project Cash Flows'!H231</f>
        <v>0</v>
      </c>
      <c r="I508" s="29">
        <f>'Project Cash Flows'!I231</f>
        <v>0</v>
      </c>
      <c r="J508" s="29">
        <f>'Project Cash Flows'!J231</f>
        <v>0</v>
      </c>
      <c r="K508" s="29">
        <f>'Project Cash Flows'!K231</f>
        <v>0</v>
      </c>
      <c r="L508" s="29">
        <f>'Project Cash Flows'!L231</f>
        <v>-5.7049180327868862E-2</v>
      </c>
      <c r="M508" s="29">
        <f>'Project Cash Flows'!M231</f>
        <v>-5.8768470693914276E-3</v>
      </c>
      <c r="N508" s="29">
        <f>'Project Cash Flows'!N231</f>
        <v>-6.2926027397260387E-3</v>
      </c>
      <c r="O508" s="29">
        <f>'Project Cash Flows'!O231</f>
        <v>-6.9218630136986259E-3</v>
      </c>
      <c r="P508" s="29">
        <f>'Project Cash Flows'!P231</f>
        <v>-4.3479134066921332E-3</v>
      </c>
      <c r="Q508" s="29">
        <f>'Project Cash Flows'!Q231</f>
        <v>-5.0630515467325471E-3</v>
      </c>
      <c r="R508" s="29">
        <f>'Project Cash Flows'!R231</f>
        <v>-5.1330874862465653E-3</v>
      </c>
      <c r="S508" s="29">
        <f>'Project Cash Flows'!S231</f>
        <v>-5.4410727354213956E-3</v>
      </c>
      <c r="T508" s="29">
        <f>'Project Cash Flows'!T231</f>
        <v>-5.4891405000239285E-3</v>
      </c>
    </row>
    <row r="509" spans="2:20" x14ac:dyDescent="0.25">
      <c r="B509" s="21" t="s">
        <v>3344</v>
      </c>
      <c r="C509" s="28" t="s">
        <v>493</v>
      </c>
      <c r="H509" s="26">
        <f>'Project Cash Flows'!H232</f>
        <v>0</v>
      </c>
      <c r="I509" s="26">
        <f>'Project Cash Flows'!I232</f>
        <v>0</v>
      </c>
      <c r="J509" s="26">
        <f>'Project Cash Flows'!J232</f>
        <v>0</v>
      </c>
      <c r="K509" s="26">
        <f>'Project Cash Flows'!K232</f>
        <v>0</v>
      </c>
      <c r="L509" s="26">
        <f>'Project Cash Flows'!L232</f>
        <v>0.25395661967213112</v>
      </c>
      <c r="M509" s="26">
        <f>'Project Cash Flows'!M232</f>
        <v>0.33408255293060862</v>
      </c>
      <c r="N509" s="26">
        <f>'Project Cash Flows'!N232</f>
        <v>0.36551575726027402</v>
      </c>
      <c r="O509" s="26">
        <f>'Project Cash Flows'!O232</f>
        <v>0.39992035298630146</v>
      </c>
      <c r="P509" s="26">
        <f>'Project Cash Flows'!P232</f>
        <v>0.42561664755330808</v>
      </c>
      <c r="Q509" s="26">
        <f>'Project Cash Flows'!Q232</f>
        <v>0.44941119507086763</v>
      </c>
      <c r="R509" s="26">
        <f>'Project Cash Flows'!R232</f>
        <v>0.47532142592840959</v>
      </c>
      <c r="S509" s="26">
        <f>'Project Cash Flows'!S232</f>
        <v>0.50255252348411417</v>
      </c>
      <c r="T509" s="26">
        <f>'Project Cash Flows'!T232</f>
        <v>0.53169588349268393</v>
      </c>
    </row>
    <row r="510" spans="2:20" x14ac:dyDescent="0.25">
      <c r="B510" s="23" t="s">
        <v>3345</v>
      </c>
      <c r="C510" s="28" t="s">
        <v>493</v>
      </c>
      <c r="G510" s="29">
        <f>'Project Cash Flows'!G235</f>
        <v>0</v>
      </c>
      <c r="H510" s="29">
        <f>'Project Cash Flows'!H235</f>
        <v>0</v>
      </c>
      <c r="I510" s="29">
        <f>'Project Cash Flows'!I235</f>
        <v>0</v>
      </c>
      <c r="J510" s="29">
        <f>'Project Cash Flows'!J235</f>
        <v>0</v>
      </c>
      <c r="K510" s="29">
        <f>'Project Cash Flows'!K235</f>
        <v>0</v>
      </c>
      <c r="L510" s="29">
        <f>'Project Cash Flows'!L235</f>
        <v>0.25395661967213112</v>
      </c>
      <c r="M510" s="29">
        <f>'Project Cash Flows'!M235</f>
        <v>0.58803917260273975</v>
      </c>
      <c r="N510" s="29">
        <f>'Project Cash Flows'!N235</f>
        <v>0.95355492986301371</v>
      </c>
      <c r="O510" s="29">
        <f>'Project Cash Flows'!O235</f>
        <v>1.3534752828493151</v>
      </c>
      <c r="P510" s="29">
        <f>'Project Cash Flows'!P235</f>
        <v>1.7790919304026231</v>
      </c>
      <c r="Q510" s="29">
        <f>'Project Cash Flows'!Q235</f>
        <v>2.2285031254734906</v>
      </c>
      <c r="R510" s="29">
        <f>'Project Cash Flows'!R235</f>
        <v>2.7038245514019001</v>
      </c>
      <c r="S510" s="29">
        <f>'Project Cash Flows'!S235</f>
        <v>3.2063770748860145</v>
      </c>
      <c r="T510" s="29">
        <f>'Project Cash Flows'!T235</f>
        <v>3.7380729583786985</v>
      </c>
    </row>
    <row r="511" spans="2:20" x14ac:dyDescent="0.25">
      <c r="B511" s="163" t="s">
        <v>3346</v>
      </c>
    </row>
    <row r="512" spans="2:20" x14ac:dyDescent="0.25">
      <c r="B512" s="23" t="s">
        <v>3347</v>
      </c>
      <c r="C512" s="28" t="s">
        <v>493</v>
      </c>
      <c r="H512" s="29">
        <f>'Capex &amp; Depreciation'!H271</f>
        <v>0</v>
      </c>
      <c r="I512" s="29">
        <f>'Capex &amp; Depreciation'!I271</f>
        <v>0</v>
      </c>
      <c r="J512" s="29">
        <f>'Capex &amp; Depreciation'!J271</f>
        <v>0</v>
      </c>
      <c r="K512" s="29">
        <f>'Capex &amp; Depreciation'!K271</f>
        <v>0</v>
      </c>
      <c r="L512" s="29">
        <f>'Capex &amp; Depreciation'!L271</f>
        <v>0</v>
      </c>
      <c r="M512" s="29">
        <f>'Capex &amp; Depreciation'!M271</f>
        <v>0</v>
      </c>
      <c r="N512" s="29">
        <f>'Capex &amp; Depreciation'!N271</f>
        <v>0</v>
      </c>
      <c r="O512" s="29">
        <f>'Capex &amp; Depreciation'!O271</f>
        <v>0</v>
      </c>
      <c r="P512" s="29">
        <f>'Capex &amp; Depreciation'!P271</f>
        <v>0</v>
      </c>
      <c r="Q512" s="29">
        <f>'Capex &amp; Depreciation'!Q271</f>
        <v>0</v>
      </c>
      <c r="R512" s="29">
        <f>'Capex &amp; Depreciation'!R271</f>
        <v>0</v>
      </c>
      <c r="S512" s="29">
        <f>'Capex &amp; Depreciation'!S271</f>
        <v>0</v>
      </c>
      <c r="T512" s="29">
        <f>'Capex &amp; Depreciation'!T271</f>
        <v>0</v>
      </c>
    </row>
    <row r="513" spans="2:20" x14ac:dyDescent="0.25">
      <c r="B513" s="163" t="s">
        <v>3348</v>
      </c>
    </row>
    <row r="514" spans="2:20" x14ac:dyDescent="0.25">
      <c r="B514" s="44" t="s">
        <v>3349</v>
      </c>
      <c r="D514" s="204">
        <f>'Project Cash Flows'!$E$20</f>
        <v>3.8165408515806636</v>
      </c>
      <c r="H514" s="44" t="s">
        <v>3176</v>
      </c>
      <c r="K514" s="205" t="str">
        <f>'Project Cash Flows'!$H$20</f>
        <v>Not meaningful</v>
      </c>
      <c r="N514" s="44" t="s">
        <v>3350</v>
      </c>
      <c r="Q514" s="205" t="str">
        <f>'Project Cash Flows'!$I$20</f>
        <v>Not meaningful</v>
      </c>
    </row>
    <row r="515" spans="2:20" x14ac:dyDescent="0.25">
      <c r="B515" s="44" t="s">
        <v>3180</v>
      </c>
      <c r="D515" s="205" t="str">
        <f>'Project Cash Flows'!$L$20</f>
        <v>n/a</v>
      </c>
      <c r="H515" s="44" t="s">
        <v>3351</v>
      </c>
      <c r="K515" s="206" t="str">
        <f>'Project Cash Flows'!$J$20</f>
        <v>Not meaningful</v>
      </c>
      <c r="N515" s="44" t="s">
        <v>3179</v>
      </c>
      <c r="Q515" s="204" t="str">
        <f>'Project Cash Flows'!$K$20</f>
        <v>Not meaningful</v>
      </c>
    </row>
    <row r="517" spans="2:20" x14ac:dyDescent="0.25">
      <c r="B517" s="58" t="s">
        <v>3386</v>
      </c>
      <c r="C517" s="19"/>
      <c r="D517" s="19"/>
      <c r="E517" s="19"/>
      <c r="F517" s="19"/>
      <c r="G517" s="19"/>
      <c r="H517" s="19"/>
      <c r="I517" s="19"/>
      <c r="J517" s="19"/>
      <c r="K517" s="19"/>
      <c r="L517" s="19"/>
      <c r="M517" s="19"/>
      <c r="N517" s="19"/>
      <c r="O517" s="19"/>
      <c r="P517" s="19"/>
      <c r="Q517" s="19"/>
      <c r="R517" s="19"/>
      <c r="S517" s="19"/>
      <c r="T517" s="19"/>
    </row>
    <row r="518" spans="2:20" x14ac:dyDescent="0.25">
      <c r="B518" s="70" t="s">
        <v>1690</v>
      </c>
      <c r="D518" s="130" t="str">
        <f>Inputs!$I$74</f>
        <v>Included - both cases</v>
      </c>
      <c r="M518" s="202" t="s">
        <v>3323</v>
      </c>
      <c r="N518" s="203">
        <f>Inputs!$H$74</f>
        <v>1</v>
      </c>
    </row>
    <row r="519" spans="2:20" x14ac:dyDescent="0.25">
      <c r="B519" s="163" t="s">
        <v>3324</v>
      </c>
    </row>
    <row r="520" spans="2:20" x14ac:dyDescent="0.25">
      <c r="B520" s="23" t="s">
        <v>3382</v>
      </c>
      <c r="C520" s="28" t="s">
        <v>630</v>
      </c>
      <c r="H520" s="48">
        <f>'Revenue Calculation'!H144</f>
        <v>0</v>
      </c>
      <c r="I520" s="48">
        <f>'Revenue Calculation'!I144</f>
        <v>0</v>
      </c>
      <c r="J520" s="48">
        <f>'Revenue Calculation'!J144</f>
        <v>0</v>
      </c>
      <c r="K520" s="48">
        <f>'Revenue Calculation'!K144</f>
        <v>819545.25</v>
      </c>
      <c r="L520" s="48">
        <f>'Revenue Calculation'!L144</f>
        <v>844131.60750000016</v>
      </c>
      <c r="M520" s="48">
        <f>'Revenue Calculation'!M144</f>
        <v>869455.5557250001</v>
      </c>
      <c r="N520" s="48">
        <f>'Revenue Calculation'!N144</f>
        <v>895539.22239675012</v>
      </c>
      <c r="O520" s="48">
        <f>'Revenue Calculation'!O144</f>
        <v>922405.39906865265</v>
      </c>
      <c r="P520" s="48">
        <f>'Revenue Calculation'!P144</f>
        <v>950077.56104071229</v>
      </c>
      <c r="Q520" s="48">
        <f>'Revenue Calculation'!Q144</f>
        <v>978579.88787193364</v>
      </c>
      <c r="R520" s="48">
        <f>'Revenue Calculation'!R144</f>
        <v>1007937.2845080916</v>
      </c>
      <c r="S520" s="48">
        <f>'Revenue Calculation'!S144</f>
        <v>1038175.4030433345</v>
      </c>
      <c r="T520" s="48">
        <f>'Revenue Calculation'!T144</f>
        <v>1069320.6651346346</v>
      </c>
    </row>
    <row r="521" spans="2:20" x14ac:dyDescent="0.25">
      <c r="B521" s="23" t="s">
        <v>3383</v>
      </c>
      <c r="C521" s="28" t="s">
        <v>647</v>
      </c>
      <c r="H521" s="48">
        <f>Inputs!H293</f>
        <v>55000</v>
      </c>
      <c r="I521" s="48">
        <f>Inputs!I293</f>
        <v>55000</v>
      </c>
      <c r="J521" s="48">
        <f>Inputs!J293</f>
        <v>55000</v>
      </c>
      <c r="K521" s="48">
        <f>Inputs!K293</f>
        <v>55000</v>
      </c>
      <c r="L521" s="48">
        <f>Inputs!L293</f>
        <v>55000</v>
      </c>
      <c r="M521" s="48">
        <f>Inputs!M293</f>
        <v>55000</v>
      </c>
      <c r="N521" s="48">
        <f>Inputs!N293</f>
        <v>55000</v>
      </c>
      <c r="O521" s="48">
        <f>Inputs!O293</f>
        <v>55000</v>
      </c>
      <c r="P521" s="48">
        <f>Inputs!P293</f>
        <v>55000</v>
      </c>
      <c r="Q521" s="48">
        <f>Inputs!Q293</f>
        <v>55000</v>
      </c>
      <c r="R521" s="48">
        <f>Inputs!R293</f>
        <v>55000</v>
      </c>
      <c r="S521" s="48">
        <f>Inputs!S293</f>
        <v>55000</v>
      </c>
      <c r="T521" s="48">
        <f>Inputs!T293</f>
        <v>55000</v>
      </c>
    </row>
    <row r="522" spans="2:20" x14ac:dyDescent="0.25">
      <c r="B522" s="163" t="s">
        <v>3328</v>
      </c>
    </row>
    <row r="523" spans="2:20" x14ac:dyDescent="0.25">
      <c r="B523" s="21" t="s">
        <v>3329</v>
      </c>
      <c r="C523" s="28" t="s">
        <v>493</v>
      </c>
      <c r="H523" s="26">
        <f>'Revenue Calculation'!H146</f>
        <v>0</v>
      </c>
      <c r="I523" s="26">
        <f>'Revenue Calculation'!I146</f>
        <v>0</v>
      </c>
      <c r="J523" s="26">
        <f>'Revenue Calculation'!J146</f>
        <v>0</v>
      </c>
      <c r="K523" s="26">
        <f>'Revenue Calculation'!K146</f>
        <v>0.45074988749999995</v>
      </c>
      <c r="L523" s="26">
        <f>'Revenue Calculation'!L146</f>
        <v>0.4642723841250001</v>
      </c>
      <c r="M523" s="26">
        <f>'Revenue Calculation'!M146</f>
        <v>0.47820055564875008</v>
      </c>
      <c r="N523" s="26">
        <f>'Revenue Calculation'!N146</f>
        <v>0.49254657231821258</v>
      </c>
      <c r="O523" s="26">
        <f>'Revenue Calculation'!O146</f>
        <v>0.50732296948775901</v>
      </c>
      <c r="P523" s="26">
        <f>'Revenue Calculation'!P146</f>
        <v>0.52254265857239179</v>
      </c>
      <c r="Q523" s="26">
        <f>'Revenue Calculation'!Q146</f>
        <v>0.53821893832956347</v>
      </c>
      <c r="R523" s="26">
        <f>'Revenue Calculation'!R146</f>
        <v>0.55436550647945038</v>
      </c>
      <c r="S523" s="26">
        <f>'Revenue Calculation'!S146</f>
        <v>0.57099647167383394</v>
      </c>
      <c r="T523" s="26">
        <f>'Revenue Calculation'!T146</f>
        <v>0.58812636582404909</v>
      </c>
    </row>
    <row r="524" spans="2:20" x14ac:dyDescent="0.25">
      <c r="B524" s="23" t="s">
        <v>3330</v>
      </c>
      <c r="C524" s="28" t="s">
        <v>493</v>
      </c>
      <c r="H524" s="159">
        <f>-'Cost Calculation'!H172</f>
        <v>0</v>
      </c>
      <c r="I524" s="159">
        <f>-'Cost Calculation'!I172</f>
        <v>0</v>
      </c>
      <c r="J524" s="159">
        <f>-'Cost Calculation'!J172</f>
        <v>0</v>
      </c>
      <c r="K524" s="159">
        <f>-'Cost Calculation'!K172</f>
        <v>0</v>
      </c>
      <c r="L524" s="159">
        <f>-'Cost Calculation'!L172</f>
        <v>0</v>
      </c>
      <c r="M524" s="159">
        <f>-'Cost Calculation'!M172</f>
        <v>0</v>
      </c>
      <c r="N524" s="159">
        <f>-'Cost Calculation'!N172</f>
        <v>0</v>
      </c>
      <c r="O524" s="159">
        <f>-'Cost Calculation'!O172</f>
        <v>0</v>
      </c>
      <c r="P524" s="159">
        <f>-'Cost Calculation'!P172</f>
        <v>0</v>
      </c>
      <c r="Q524" s="159">
        <f>-'Cost Calculation'!Q172</f>
        <v>0</v>
      </c>
      <c r="R524" s="159">
        <f>-'Cost Calculation'!R172</f>
        <v>0</v>
      </c>
      <c r="S524" s="159">
        <f>-'Cost Calculation'!S172</f>
        <v>0</v>
      </c>
      <c r="T524" s="159">
        <f>-'Cost Calculation'!T172</f>
        <v>0</v>
      </c>
    </row>
    <row r="525" spans="2:20" x14ac:dyDescent="0.25">
      <c r="B525" s="23" t="s">
        <v>3331</v>
      </c>
      <c r="C525" s="28" t="s">
        <v>493</v>
      </c>
      <c r="H525" s="159">
        <f>-'Cost Calculation'!H173</f>
        <v>0</v>
      </c>
      <c r="I525" s="159">
        <f>-'Cost Calculation'!I173</f>
        <v>0</v>
      </c>
      <c r="J525" s="159">
        <f>-'Cost Calculation'!J173</f>
        <v>0</v>
      </c>
      <c r="K525" s="159">
        <f>-'Cost Calculation'!K173</f>
        <v>-9.0149977499999992E-2</v>
      </c>
      <c r="L525" s="159">
        <f>-'Cost Calculation'!L173</f>
        <v>-9.2854476825000032E-2</v>
      </c>
      <c r="M525" s="159">
        <f>-'Cost Calculation'!M173</f>
        <v>-9.5640111129750016E-2</v>
      </c>
      <c r="N525" s="159">
        <f>-'Cost Calculation'!N173</f>
        <v>-9.8509314463642528E-2</v>
      </c>
      <c r="O525" s="159">
        <f>-'Cost Calculation'!O173</f>
        <v>-0.1014645938975518</v>
      </c>
      <c r="P525" s="159">
        <f>-'Cost Calculation'!P173</f>
        <v>-0.10450853171447837</v>
      </c>
      <c r="Q525" s="159">
        <f>-'Cost Calculation'!Q173</f>
        <v>-0.1076437876659127</v>
      </c>
      <c r="R525" s="159">
        <f>-'Cost Calculation'!R173</f>
        <v>-0.11087310129589008</v>
      </c>
      <c r="S525" s="159">
        <f>-'Cost Calculation'!S173</f>
        <v>-0.11419929433476679</v>
      </c>
      <c r="T525" s="159">
        <f>-'Cost Calculation'!T173</f>
        <v>-0.11762527316480982</v>
      </c>
    </row>
    <row r="526" spans="2:20" x14ac:dyDescent="0.25">
      <c r="B526" s="21" t="s">
        <v>3221</v>
      </c>
      <c r="C526" s="28" t="s">
        <v>493</v>
      </c>
      <c r="H526" s="26">
        <f>'Cost Calculation'!H174</f>
        <v>0</v>
      </c>
      <c r="I526" s="26">
        <f>'Cost Calculation'!I174</f>
        <v>0</v>
      </c>
      <c r="J526" s="26">
        <f>'Cost Calculation'!J174</f>
        <v>0</v>
      </c>
      <c r="K526" s="26">
        <f>'Cost Calculation'!K174</f>
        <v>0.36059990999999997</v>
      </c>
      <c r="L526" s="26">
        <f>'Cost Calculation'!L174</f>
        <v>0.37141790730000007</v>
      </c>
      <c r="M526" s="26">
        <f>'Cost Calculation'!M174</f>
        <v>0.38256044451900006</v>
      </c>
      <c r="N526" s="26">
        <f>'Cost Calculation'!N174</f>
        <v>0.39403725785457006</v>
      </c>
      <c r="O526" s="26">
        <f>'Cost Calculation'!O174</f>
        <v>0.40585837559020721</v>
      </c>
      <c r="P526" s="26">
        <f>'Cost Calculation'!P174</f>
        <v>0.41803412685791341</v>
      </c>
      <c r="Q526" s="26">
        <f>'Cost Calculation'!Q174</f>
        <v>0.43057515066365076</v>
      </c>
      <c r="R526" s="26">
        <f>'Cost Calculation'!R174</f>
        <v>0.44349240518356031</v>
      </c>
      <c r="S526" s="26">
        <f>'Cost Calculation'!S174</f>
        <v>0.45679717733906716</v>
      </c>
      <c r="T526" s="26">
        <f>'Cost Calculation'!T174</f>
        <v>0.47050109265923928</v>
      </c>
    </row>
    <row r="527" spans="2:20" x14ac:dyDescent="0.25">
      <c r="B527" s="23" t="s">
        <v>3332</v>
      </c>
      <c r="C527" s="28" t="s">
        <v>493</v>
      </c>
      <c r="H527" s="159">
        <f>-'Capex &amp; Depreciation'!H245</f>
        <v>0</v>
      </c>
      <c r="I527" s="159">
        <f>-'Capex &amp; Depreciation'!I245</f>
        <v>0</v>
      </c>
      <c r="J527" s="159">
        <f>-'Capex &amp; Depreciation'!J245</f>
        <v>0</v>
      </c>
      <c r="K527" s="159">
        <f>-'Capex &amp; Depreciation'!K245</f>
        <v>-0.13012000000000001</v>
      </c>
      <c r="L527" s="159">
        <f>-'Capex &amp; Depreciation'!L245</f>
        <v>-0.13012000000000001</v>
      </c>
      <c r="M527" s="159">
        <f>-'Capex &amp; Depreciation'!M245</f>
        <v>-0.13012000000000001</v>
      </c>
      <c r="N527" s="159">
        <f>-'Capex &amp; Depreciation'!N245</f>
        <v>-0.13012000000000001</v>
      </c>
      <c r="O527" s="159">
        <f>-'Capex &amp; Depreciation'!O245</f>
        <v>-0.13012000000000001</v>
      </c>
      <c r="P527" s="159">
        <f>-'Capex &amp; Depreciation'!P245</f>
        <v>-0.13012000000000001</v>
      </c>
      <c r="Q527" s="159">
        <f>-'Capex &amp; Depreciation'!Q245</f>
        <v>-0.13012000000000001</v>
      </c>
      <c r="R527" s="159">
        <f>-'Capex &amp; Depreciation'!R245</f>
        <v>-0.13012000000000001</v>
      </c>
      <c r="S527" s="159">
        <f>-'Capex &amp; Depreciation'!S245</f>
        <v>-0.13012000000000001</v>
      </c>
      <c r="T527" s="159">
        <f>-'Capex &amp; Depreciation'!T245</f>
        <v>-0.13012000000000001</v>
      </c>
    </row>
    <row r="528" spans="2:20" x14ac:dyDescent="0.25">
      <c r="B528" s="21" t="s">
        <v>3333</v>
      </c>
      <c r="C528" s="28" t="s">
        <v>493</v>
      </c>
      <c r="H528" s="26">
        <f>'Project Cash Flows'!H238</f>
        <v>0</v>
      </c>
      <c r="I528" s="26">
        <f>'Project Cash Flows'!I238</f>
        <v>0</v>
      </c>
      <c r="J528" s="26">
        <f>'Project Cash Flows'!J238</f>
        <v>0</v>
      </c>
      <c r="K528" s="26">
        <f>'Project Cash Flows'!K238</f>
        <v>0.23047990999999995</v>
      </c>
      <c r="L528" s="26">
        <f>'Project Cash Flows'!L238</f>
        <v>0.24129790730000006</v>
      </c>
      <c r="M528" s="26">
        <f>'Project Cash Flows'!M238</f>
        <v>0.25244044451900005</v>
      </c>
      <c r="N528" s="26">
        <f>'Project Cash Flows'!N238</f>
        <v>0.26391725785457004</v>
      </c>
      <c r="O528" s="26">
        <f>'Project Cash Flows'!O238</f>
        <v>0.2757383755902072</v>
      </c>
      <c r="P528" s="26">
        <f>'Project Cash Flows'!P238</f>
        <v>0.2879141268579134</v>
      </c>
      <c r="Q528" s="26">
        <f>'Project Cash Flows'!Q238</f>
        <v>0.30045515066365075</v>
      </c>
      <c r="R528" s="26">
        <f>'Project Cash Flows'!R238</f>
        <v>0.3133724051835603</v>
      </c>
      <c r="S528" s="26">
        <f>'Project Cash Flows'!S238</f>
        <v>0.32667717733906715</v>
      </c>
      <c r="T528" s="26">
        <f>'Project Cash Flows'!T238</f>
        <v>0.34038109265923927</v>
      </c>
    </row>
    <row r="529" spans="2:20" x14ac:dyDescent="0.25">
      <c r="B529" s="23" t="s">
        <v>3334</v>
      </c>
      <c r="C529" s="28" t="s">
        <v>493</v>
      </c>
      <c r="H529" s="159">
        <f>-'Project Cash Flows'!H239</f>
        <v>0</v>
      </c>
      <c r="I529" s="159">
        <f>-'Project Cash Flows'!I239</f>
        <v>0</v>
      </c>
      <c r="J529" s="159">
        <f>-'Project Cash Flows'!J239</f>
        <v>0</v>
      </c>
      <c r="K529" s="159">
        <f>-'Project Cash Flows'!K239</f>
        <v>0</v>
      </c>
      <c r="L529" s="159">
        <f>-'Project Cash Flows'!L239</f>
        <v>0</v>
      </c>
      <c r="M529" s="159">
        <f>-'Project Cash Flows'!M239</f>
        <v>0</v>
      </c>
      <c r="N529" s="159">
        <f>-'Project Cash Flows'!N239</f>
        <v>0</v>
      </c>
      <c r="O529" s="159">
        <f>-'Project Cash Flows'!O239</f>
        <v>0</v>
      </c>
      <c r="P529" s="159">
        <f>-'Project Cash Flows'!P239</f>
        <v>0</v>
      </c>
      <c r="Q529" s="159">
        <f>-'Project Cash Flows'!Q239</f>
        <v>0</v>
      </c>
      <c r="R529" s="159">
        <f>-'Project Cash Flows'!R239</f>
        <v>0</v>
      </c>
      <c r="S529" s="159">
        <f>-'Project Cash Flows'!S239</f>
        <v>0</v>
      </c>
      <c r="T529" s="159">
        <f>-'Project Cash Flows'!T239</f>
        <v>0</v>
      </c>
    </row>
    <row r="530" spans="2:20" x14ac:dyDescent="0.25">
      <c r="B530" s="23" t="s">
        <v>3335</v>
      </c>
      <c r="C530" s="28" t="s">
        <v>493</v>
      </c>
      <c r="H530" s="159">
        <f>-'Project Cash Flows'!H240</f>
        <v>0</v>
      </c>
      <c r="I530" s="159">
        <f>-'Project Cash Flows'!I240</f>
        <v>0</v>
      </c>
      <c r="J530" s="159">
        <f>-'Project Cash Flows'!J240</f>
        <v>0</v>
      </c>
      <c r="K530" s="159">
        <f>-'Project Cash Flows'!K240</f>
        <v>-5.0705580199999989E-2</v>
      </c>
      <c r="L530" s="159">
        <f>-'Project Cash Flows'!L240</f>
        <v>-5.3085539606000015E-2</v>
      </c>
      <c r="M530" s="159">
        <f>-'Project Cash Flows'!M240</f>
        <v>-5.5536897794180008E-2</v>
      </c>
      <c r="N530" s="159">
        <f>-'Project Cash Flows'!N240</f>
        <v>-5.8061796728005412E-2</v>
      </c>
      <c r="O530" s="159">
        <f>-'Project Cash Flows'!O240</f>
        <v>-6.0662442629845582E-2</v>
      </c>
      <c r="P530" s="159">
        <f>-'Project Cash Flows'!P240</f>
        <v>-6.3341107908740951E-2</v>
      </c>
      <c r="Q530" s="159">
        <f>-'Project Cash Flows'!Q240</f>
        <v>-6.6100133146003159E-2</v>
      </c>
      <c r="R530" s="159">
        <f>-'Project Cash Flows'!R240</f>
        <v>-6.894192914038326E-2</v>
      </c>
      <c r="S530" s="159">
        <f>-'Project Cash Flows'!S240</f>
        <v>-7.1868979014594769E-2</v>
      </c>
      <c r="T530" s="159">
        <f>-'Project Cash Flows'!T240</f>
        <v>-7.4883840385032638E-2</v>
      </c>
    </row>
    <row r="531" spans="2:20" x14ac:dyDescent="0.25">
      <c r="B531" s="21" t="s">
        <v>3336</v>
      </c>
      <c r="C531" s="28" t="s">
        <v>493</v>
      </c>
      <c r="H531" s="26">
        <f>'Project Cash Flows'!H241</f>
        <v>0</v>
      </c>
      <c r="I531" s="26">
        <f>'Project Cash Flows'!I241</f>
        <v>0</v>
      </c>
      <c r="J531" s="26">
        <f>'Project Cash Flows'!J241</f>
        <v>0</v>
      </c>
      <c r="K531" s="26">
        <f>'Project Cash Flows'!K241</f>
        <v>0.17977432979999997</v>
      </c>
      <c r="L531" s="26">
        <f>'Project Cash Flows'!L241</f>
        <v>0.18821236769400004</v>
      </c>
      <c r="M531" s="26">
        <f>'Project Cash Flows'!M241</f>
        <v>0.19690354672482005</v>
      </c>
      <c r="N531" s="26">
        <f>'Project Cash Flows'!N241</f>
        <v>0.20585546112656464</v>
      </c>
      <c r="O531" s="26">
        <f>'Project Cash Flows'!O241</f>
        <v>0.21507593296036162</v>
      </c>
      <c r="P531" s="26">
        <f>'Project Cash Flows'!P241</f>
        <v>0.22457301894917245</v>
      </c>
      <c r="Q531" s="26">
        <f>'Project Cash Flows'!Q241</f>
        <v>0.23435501751764759</v>
      </c>
      <c r="R531" s="26">
        <f>'Project Cash Flows'!R241</f>
        <v>0.24443047604317703</v>
      </c>
      <c r="S531" s="26">
        <f>'Project Cash Flows'!S241</f>
        <v>0.25480819832447238</v>
      </c>
      <c r="T531" s="26">
        <f>'Project Cash Flows'!T241</f>
        <v>0.26549725227420662</v>
      </c>
    </row>
    <row r="532" spans="2:20" x14ac:dyDescent="0.25">
      <c r="B532" s="163" t="s">
        <v>3337</v>
      </c>
    </row>
    <row r="533" spans="2:20" x14ac:dyDescent="0.25">
      <c r="B533" s="23" t="s">
        <v>3338</v>
      </c>
      <c r="C533" s="28" t="s">
        <v>493</v>
      </c>
      <c r="G533" s="29">
        <f>'Capex &amp; Depreciation'!G299</f>
        <v>0</v>
      </c>
      <c r="H533" s="29">
        <f>'Capex &amp; Depreciation'!H299</f>
        <v>0</v>
      </c>
      <c r="I533" s="29">
        <f>'Capex &amp; Depreciation'!I299</f>
        <v>0</v>
      </c>
      <c r="J533" s="29">
        <f>'Capex &amp; Depreciation'!J299</f>
        <v>0</v>
      </c>
      <c r="K533" s="29">
        <f>'Capex &amp; Depreciation'!K299</f>
        <v>-0.13012000000000001</v>
      </c>
      <c r="L533" s="29">
        <f>'Capex &amp; Depreciation'!L299</f>
        <v>-0.26024000000000003</v>
      </c>
      <c r="M533" s="29">
        <f>'Capex &amp; Depreciation'!M299</f>
        <v>-0.39036000000000004</v>
      </c>
      <c r="N533" s="29">
        <f>'Capex &amp; Depreciation'!N299</f>
        <v>-0.52048000000000005</v>
      </c>
      <c r="O533" s="29">
        <f>'Capex &amp; Depreciation'!O299</f>
        <v>-0.65060000000000007</v>
      </c>
      <c r="P533" s="29">
        <f>'Capex &amp; Depreciation'!P299</f>
        <v>-0.78072000000000008</v>
      </c>
      <c r="Q533" s="29">
        <f>'Capex &amp; Depreciation'!Q299</f>
        <v>-0.91084000000000009</v>
      </c>
      <c r="R533" s="29">
        <f>'Capex &amp; Depreciation'!R299</f>
        <v>-1.0409600000000001</v>
      </c>
      <c r="S533" s="29">
        <f>'Capex &amp; Depreciation'!S299</f>
        <v>-1.1710800000000001</v>
      </c>
      <c r="T533" s="29">
        <f>'Capex &amp; Depreciation'!T299</f>
        <v>-1.3012000000000001</v>
      </c>
    </row>
    <row r="534" spans="2:20" x14ac:dyDescent="0.25">
      <c r="B534" s="23" t="s">
        <v>3339</v>
      </c>
      <c r="C534" s="28" t="s">
        <v>493</v>
      </c>
      <c r="G534" s="159">
        <v>0</v>
      </c>
      <c r="H534" s="29">
        <f>'Working Capital'!H69</f>
        <v>0</v>
      </c>
      <c r="I534" s="29">
        <f>'Working Capital'!I69</f>
        <v>0</v>
      </c>
      <c r="J534" s="29">
        <f>'Working Capital'!J69</f>
        <v>0</v>
      </c>
      <c r="K534" s="29">
        <f>'Working Capital'!K69</f>
        <v>5.5571903938356156E-2</v>
      </c>
      <c r="L534" s="29">
        <f>'Working Capital'!L69</f>
        <v>5.708267017930329E-2</v>
      </c>
      <c r="M534" s="29">
        <f>'Working Capital'!M69</f>
        <v>5.8956232888202065E-2</v>
      </c>
      <c r="N534" s="29">
        <f>'Working Capital'!N69</f>
        <v>6.0724919874848127E-2</v>
      </c>
      <c r="O534" s="29">
        <f>'Working Capital'!O69</f>
        <v>6.2546667471093581E-2</v>
      </c>
      <c r="P534" s="29">
        <f>'Working Capital'!P69</f>
        <v>6.4247048185130134E-2</v>
      </c>
      <c r="Q534" s="29">
        <f>'Working Capital'!Q69</f>
        <v>6.6355759520083157E-2</v>
      </c>
      <c r="R534" s="29">
        <f>'Working Capital'!R69</f>
        <v>6.8346432305685656E-2</v>
      </c>
      <c r="S534" s="29">
        <f>'Working Capital'!S69</f>
        <v>7.0396825274856245E-2</v>
      </c>
      <c r="T534" s="29">
        <f>'Working Capital'!T69</f>
        <v>7.2310618748858496E-2</v>
      </c>
    </row>
    <row r="535" spans="2:20" x14ac:dyDescent="0.25">
      <c r="B535" s="23" t="s">
        <v>3340</v>
      </c>
      <c r="C535" s="28" t="s">
        <v>493</v>
      </c>
      <c r="G535" s="159">
        <v>0</v>
      </c>
      <c r="H535" s="159">
        <f>-'Working Capital'!H70</f>
        <v>0</v>
      </c>
      <c r="I535" s="159">
        <f>-'Working Capital'!I70</f>
        <v>0</v>
      </c>
      <c r="J535" s="159">
        <f>-'Working Capital'!J70</f>
        <v>0</v>
      </c>
      <c r="K535" s="159">
        <f>-'Working Capital'!K70</f>
        <v>0</v>
      </c>
      <c r="L535" s="159">
        <f>-'Working Capital'!L70</f>
        <v>0</v>
      </c>
      <c r="M535" s="159">
        <f>-'Working Capital'!M70</f>
        <v>0</v>
      </c>
      <c r="N535" s="159">
        <f>-'Working Capital'!N70</f>
        <v>0</v>
      </c>
      <c r="O535" s="159">
        <f>-'Working Capital'!O70</f>
        <v>0</v>
      </c>
      <c r="P535" s="159">
        <f>-'Working Capital'!P70</f>
        <v>0</v>
      </c>
      <c r="Q535" s="159">
        <f>-'Working Capital'!Q70</f>
        <v>0</v>
      </c>
      <c r="R535" s="159">
        <f>-'Working Capital'!R70</f>
        <v>0</v>
      </c>
      <c r="S535" s="159">
        <f>-'Working Capital'!S70</f>
        <v>0</v>
      </c>
      <c r="T535" s="159">
        <f>-'Working Capital'!T70</f>
        <v>0</v>
      </c>
    </row>
    <row r="536" spans="2:20" x14ac:dyDescent="0.25">
      <c r="B536" s="21" t="s">
        <v>3341</v>
      </c>
      <c r="C536" s="28" t="s">
        <v>493</v>
      </c>
      <c r="G536" s="26">
        <f>'Capex &amp; Depreciation'!G299</f>
        <v>0</v>
      </c>
      <c r="H536" s="160">
        <f>'Capex &amp; Depreciation'!H299+'Working Capital'!H71</f>
        <v>0</v>
      </c>
      <c r="I536" s="160">
        <f>'Capex &amp; Depreciation'!I299+'Working Capital'!I71</f>
        <v>0</v>
      </c>
      <c r="J536" s="160">
        <f>'Capex &amp; Depreciation'!J299+'Working Capital'!J71</f>
        <v>0</v>
      </c>
      <c r="K536" s="160">
        <f>'Capex &amp; Depreciation'!K299+'Working Capital'!K71</f>
        <v>-7.4548096061643865E-2</v>
      </c>
      <c r="L536" s="160">
        <f>'Capex &amp; Depreciation'!L299+'Working Capital'!L71</f>
        <v>-0.20315732982069673</v>
      </c>
      <c r="M536" s="160">
        <f>'Capex &amp; Depreciation'!M299+'Working Capital'!M71</f>
        <v>-0.33140376711179798</v>
      </c>
      <c r="N536" s="160">
        <f>'Capex &amp; Depreciation'!N299+'Working Capital'!N71</f>
        <v>-0.45975508012515193</v>
      </c>
      <c r="O536" s="160">
        <f>'Capex &amp; Depreciation'!O299+'Working Capital'!O71</f>
        <v>-0.58805333252890646</v>
      </c>
      <c r="P536" s="160">
        <f>'Capex &amp; Depreciation'!P299+'Working Capital'!P71</f>
        <v>-0.71647295181486992</v>
      </c>
      <c r="Q536" s="160">
        <f>'Capex &amp; Depreciation'!Q299+'Working Capital'!Q71</f>
        <v>-0.84448424047991688</v>
      </c>
      <c r="R536" s="160">
        <f>'Capex &amp; Depreciation'!R299+'Working Capital'!R71</f>
        <v>-0.9726135676943144</v>
      </c>
      <c r="S536" s="160">
        <f>'Capex &amp; Depreciation'!S299+'Working Capital'!S71</f>
        <v>-1.1006831747251438</v>
      </c>
      <c r="T536" s="160">
        <f>'Capex &amp; Depreciation'!T299+'Working Capital'!T71</f>
        <v>-1.2288893812511417</v>
      </c>
    </row>
    <row r="537" spans="2:20" x14ac:dyDescent="0.25">
      <c r="B537" s="163" t="s">
        <v>3342</v>
      </c>
    </row>
    <row r="538" spans="2:20" x14ac:dyDescent="0.25">
      <c r="B538" s="23" t="s">
        <v>3221</v>
      </c>
      <c r="C538" s="28" t="s">
        <v>493</v>
      </c>
      <c r="H538" s="29">
        <f>'Project Cash Flows'!H237</f>
        <v>0</v>
      </c>
      <c r="I538" s="29">
        <f>'Project Cash Flows'!I237</f>
        <v>0</v>
      </c>
      <c r="J538" s="29">
        <f>'Project Cash Flows'!J237</f>
        <v>0</v>
      </c>
      <c r="K538" s="29">
        <f>'Project Cash Flows'!K237</f>
        <v>0.36059990999999997</v>
      </c>
      <c r="L538" s="29">
        <f>'Project Cash Flows'!L237</f>
        <v>0.37141790730000007</v>
      </c>
      <c r="M538" s="29">
        <f>'Project Cash Flows'!M237</f>
        <v>0.38256044451900006</v>
      </c>
      <c r="N538" s="29">
        <f>'Project Cash Flows'!N237</f>
        <v>0.39403725785457006</v>
      </c>
      <c r="O538" s="29">
        <f>'Project Cash Flows'!O237</f>
        <v>0.40585837559020721</v>
      </c>
      <c r="P538" s="29">
        <f>'Project Cash Flows'!P237</f>
        <v>0.41803412685791341</v>
      </c>
      <c r="Q538" s="29">
        <f>'Project Cash Flows'!Q237</f>
        <v>0.43057515066365076</v>
      </c>
      <c r="R538" s="29">
        <f>'Project Cash Flows'!R237</f>
        <v>0.44349240518356031</v>
      </c>
      <c r="S538" s="29">
        <f>'Project Cash Flows'!S237</f>
        <v>0.45679717733906716</v>
      </c>
      <c r="T538" s="29">
        <f>'Project Cash Flows'!T237</f>
        <v>0.47050109265923928</v>
      </c>
    </row>
    <row r="539" spans="2:20" x14ac:dyDescent="0.25">
      <c r="B539" s="23" t="s">
        <v>3343</v>
      </c>
      <c r="C539" s="28" t="s">
        <v>493</v>
      </c>
      <c r="H539" s="29">
        <f>'Project Cash Flows'!H242</f>
        <v>0</v>
      </c>
      <c r="I539" s="29">
        <f>'Project Cash Flows'!I242</f>
        <v>0</v>
      </c>
      <c r="J539" s="29">
        <f>'Project Cash Flows'!J242</f>
        <v>0</v>
      </c>
      <c r="K539" s="29">
        <f>'Project Cash Flows'!K242</f>
        <v>-5.0705580199999989E-2</v>
      </c>
      <c r="L539" s="29">
        <f>'Project Cash Flows'!L242</f>
        <v>-5.3085539606000015E-2</v>
      </c>
      <c r="M539" s="29">
        <f>'Project Cash Flows'!M242</f>
        <v>-5.5536897794180008E-2</v>
      </c>
      <c r="N539" s="29">
        <f>'Project Cash Flows'!N242</f>
        <v>-5.8061796728005412E-2</v>
      </c>
      <c r="O539" s="29">
        <f>'Project Cash Flows'!O242</f>
        <v>-6.0662442629845582E-2</v>
      </c>
      <c r="P539" s="29">
        <f>'Project Cash Flows'!P242</f>
        <v>-6.3341107908740951E-2</v>
      </c>
      <c r="Q539" s="29">
        <f>'Project Cash Flows'!Q242</f>
        <v>-6.6100133146003159E-2</v>
      </c>
      <c r="R539" s="29">
        <f>'Project Cash Flows'!R242</f>
        <v>-6.894192914038326E-2</v>
      </c>
      <c r="S539" s="29">
        <f>'Project Cash Flows'!S242</f>
        <v>-7.1868979014594769E-2</v>
      </c>
      <c r="T539" s="29">
        <f>'Project Cash Flows'!T242</f>
        <v>-7.4883840385032638E-2</v>
      </c>
    </row>
    <row r="540" spans="2:20" x14ac:dyDescent="0.25">
      <c r="B540" s="23" t="s">
        <v>3227</v>
      </c>
      <c r="C540" s="28" t="s">
        <v>493</v>
      </c>
      <c r="H540" s="29">
        <f>'Project Cash Flows'!H243</f>
        <v>0</v>
      </c>
      <c r="I540" s="29">
        <f>'Project Cash Flows'!I243</f>
        <v>0</v>
      </c>
      <c r="J540" s="29">
        <f>'Project Cash Flows'!J243</f>
        <v>0</v>
      </c>
      <c r="K540" s="29">
        <f>'Project Cash Flows'!K243</f>
        <v>0</v>
      </c>
      <c r="L540" s="29">
        <f>'Project Cash Flows'!L243</f>
        <v>0</v>
      </c>
      <c r="M540" s="29">
        <f>'Project Cash Flows'!M243</f>
        <v>0</v>
      </c>
      <c r="N540" s="29">
        <f>'Project Cash Flows'!N243</f>
        <v>0</v>
      </c>
      <c r="O540" s="29">
        <f>'Project Cash Flows'!O243</f>
        <v>0</v>
      </c>
      <c r="P540" s="29">
        <f>'Project Cash Flows'!P243</f>
        <v>0</v>
      </c>
      <c r="Q540" s="29">
        <f>'Project Cash Flows'!Q243</f>
        <v>0</v>
      </c>
      <c r="R540" s="29">
        <f>'Project Cash Flows'!R243</f>
        <v>0</v>
      </c>
      <c r="S540" s="29">
        <f>'Project Cash Flows'!S243</f>
        <v>0</v>
      </c>
      <c r="T540" s="29">
        <f>'Project Cash Flows'!T243</f>
        <v>0</v>
      </c>
    </row>
    <row r="541" spans="2:20" x14ac:dyDescent="0.25">
      <c r="B541" s="23" t="s">
        <v>3228</v>
      </c>
      <c r="C541" s="28" t="s">
        <v>493</v>
      </c>
      <c r="H541" s="29">
        <f>'Project Cash Flows'!H244</f>
        <v>0</v>
      </c>
      <c r="I541" s="29">
        <f>'Project Cash Flows'!I244</f>
        <v>0</v>
      </c>
      <c r="J541" s="29">
        <f>'Project Cash Flows'!J244</f>
        <v>0</v>
      </c>
      <c r="K541" s="29">
        <f>'Project Cash Flows'!K244</f>
        <v>-5.5571903938356156E-2</v>
      </c>
      <c r="L541" s="29">
        <f>'Project Cash Flows'!L244</f>
        <v>-1.510766240947134E-3</v>
      </c>
      <c r="M541" s="29">
        <f>'Project Cash Flows'!M244</f>
        <v>-1.8735627088987752E-3</v>
      </c>
      <c r="N541" s="29">
        <f>'Project Cash Flows'!N244</f>
        <v>-1.7686869866460619E-3</v>
      </c>
      <c r="O541" s="29">
        <f>'Project Cash Flows'!O244</f>
        <v>-1.8217475962454543E-3</v>
      </c>
      <c r="P541" s="29">
        <f>'Project Cash Flows'!P244</f>
        <v>-1.7003807140365534E-3</v>
      </c>
      <c r="Q541" s="29">
        <f>'Project Cash Flows'!Q244</f>
        <v>-2.1087113349530229E-3</v>
      </c>
      <c r="R541" s="29">
        <f>'Project Cash Flows'!R244</f>
        <v>-1.9906727856024986E-3</v>
      </c>
      <c r="S541" s="29">
        <f>'Project Cash Flows'!S244</f>
        <v>-2.0503929691705891E-3</v>
      </c>
      <c r="T541" s="29">
        <f>'Project Cash Flows'!T244</f>
        <v>-1.9137934740022511E-3</v>
      </c>
    </row>
    <row r="542" spans="2:20" x14ac:dyDescent="0.25">
      <c r="B542" s="21" t="s">
        <v>3344</v>
      </c>
      <c r="C542" s="28" t="s">
        <v>493</v>
      </c>
      <c r="H542" s="26">
        <f>'Project Cash Flows'!H245</f>
        <v>0</v>
      </c>
      <c r="I542" s="26">
        <f>'Project Cash Flows'!I245</f>
        <v>0</v>
      </c>
      <c r="J542" s="26">
        <f>'Project Cash Flows'!J245</f>
        <v>0</v>
      </c>
      <c r="K542" s="26">
        <f>'Project Cash Flows'!K245</f>
        <v>0.25432242586164383</v>
      </c>
      <c r="L542" s="26">
        <f>'Project Cash Flows'!L245</f>
        <v>0.31682160145305294</v>
      </c>
      <c r="M542" s="26">
        <f>'Project Cash Flows'!M245</f>
        <v>0.32514998401592127</v>
      </c>
      <c r="N542" s="26">
        <f>'Project Cash Flows'!N245</f>
        <v>0.33420677413991856</v>
      </c>
      <c r="O542" s="26">
        <f>'Project Cash Flows'!O245</f>
        <v>0.34337418536411612</v>
      </c>
      <c r="P542" s="26">
        <f>'Project Cash Flows'!P245</f>
        <v>0.35299263823513594</v>
      </c>
      <c r="Q542" s="26">
        <f>'Project Cash Flows'!Q245</f>
        <v>0.36236630618269461</v>
      </c>
      <c r="R542" s="26">
        <f>'Project Cash Flows'!R245</f>
        <v>0.37255980325757454</v>
      </c>
      <c r="S542" s="26">
        <f>'Project Cash Flows'!S245</f>
        <v>0.3828778053553018</v>
      </c>
      <c r="T542" s="26">
        <f>'Project Cash Flows'!T245</f>
        <v>0.39370345880020441</v>
      </c>
    </row>
    <row r="543" spans="2:20" x14ac:dyDescent="0.25">
      <c r="B543" s="23" t="s">
        <v>3345</v>
      </c>
      <c r="C543" s="28" t="s">
        <v>493</v>
      </c>
      <c r="G543" s="29">
        <f>'Project Cash Flows'!G248</f>
        <v>0</v>
      </c>
      <c r="H543" s="29">
        <f>'Project Cash Flows'!H248</f>
        <v>0</v>
      </c>
      <c r="I543" s="29">
        <f>'Project Cash Flows'!I248</f>
        <v>0</v>
      </c>
      <c r="J543" s="29">
        <f>'Project Cash Flows'!J248</f>
        <v>0</v>
      </c>
      <c r="K543" s="29">
        <f>'Project Cash Flows'!K248</f>
        <v>0.25432242586164383</v>
      </c>
      <c r="L543" s="29">
        <f>'Project Cash Flows'!L248</f>
        <v>0.57114402731469682</v>
      </c>
      <c r="M543" s="29">
        <f>'Project Cash Flows'!M248</f>
        <v>0.89629401133061815</v>
      </c>
      <c r="N543" s="29">
        <f>'Project Cash Flows'!N248</f>
        <v>1.2305007854705368</v>
      </c>
      <c r="O543" s="29">
        <f>'Project Cash Flows'!O248</f>
        <v>1.5738749708346529</v>
      </c>
      <c r="P543" s="29">
        <f>'Project Cash Flows'!P248</f>
        <v>1.9268676090697889</v>
      </c>
      <c r="Q543" s="29">
        <f>'Project Cash Flows'!Q248</f>
        <v>2.2892339152524834</v>
      </c>
      <c r="R543" s="29">
        <f>'Project Cash Flows'!R248</f>
        <v>2.661793718510058</v>
      </c>
      <c r="S543" s="29">
        <f>'Project Cash Flows'!S248</f>
        <v>3.0446715238653597</v>
      </c>
      <c r="T543" s="29">
        <f>'Project Cash Flows'!T248</f>
        <v>3.4383749826655641</v>
      </c>
    </row>
    <row r="544" spans="2:20" x14ac:dyDescent="0.25">
      <c r="B544" s="163" t="s">
        <v>3346</v>
      </c>
    </row>
    <row r="545" spans="2:20" x14ac:dyDescent="0.25">
      <c r="B545" s="23" t="s">
        <v>3347</v>
      </c>
      <c r="C545" s="28" t="s">
        <v>493</v>
      </c>
      <c r="H545" s="29">
        <f>'Capex &amp; Depreciation'!H272</f>
        <v>0</v>
      </c>
      <c r="I545" s="29">
        <f>'Capex &amp; Depreciation'!I272</f>
        <v>0</v>
      </c>
      <c r="J545" s="29">
        <f>'Capex &amp; Depreciation'!J272</f>
        <v>0</v>
      </c>
      <c r="K545" s="29">
        <f>'Capex &amp; Depreciation'!K272</f>
        <v>0</v>
      </c>
      <c r="L545" s="29">
        <f>'Capex &amp; Depreciation'!L272</f>
        <v>0</v>
      </c>
      <c r="M545" s="29">
        <f>'Capex &amp; Depreciation'!M272</f>
        <v>0</v>
      </c>
      <c r="N545" s="29">
        <f>'Capex &amp; Depreciation'!N272</f>
        <v>0</v>
      </c>
      <c r="O545" s="29">
        <f>'Capex &amp; Depreciation'!O272</f>
        <v>0</v>
      </c>
      <c r="P545" s="29">
        <f>'Capex &amp; Depreciation'!P272</f>
        <v>0</v>
      </c>
      <c r="Q545" s="29">
        <f>'Capex &amp; Depreciation'!Q272</f>
        <v>0</v>
      </c>
      <c r="R545" s="29">
        <f>'Capex &amp; Depreciation'!R272</f>
        <v>0</v>
      </c>
      <c r="S545" s="29">
        <f>'Capex &amp; Depreciation'!S272</f>
        <v>0</v>
      </c>
      <c r="T545" s="29">
        <f>'Capex &amp; Depreciation'!T272</f>
        <v>0</v>
      </c>
    </row>
    <row r="546" spans="2:20" x14ac:dyDescent="0.25">
      <c r="B546" s="163" t="s">
        <v>3348</v>
      </c>
    </row>
    <row r="547" spans="2:20" x14ac:dyDescent="0.25">
      <c r="B547" s="44" t="s">
        <v>3349</v>
      </c>
      <c r="D547" s="204">
        <f>'Project Cash Flows'!$E$21</f>
        <v>3.2685071443575842</v>
      </c>
      <c r="H547" s="44" t="s">
        <v>3176</v>
      </c>
      <c r="K547" s="205" t="str">
        <f>'Project Cash Flows'!$H$21</f>
        <v>Not meaningful</v>
      </c>
      <c r="N547" s="44" t="s">
        <v>3350</v>
      </c>
      <c r="Q547" s="205" t="str">
        <f>'Project Cash Flows'!$I$21</f>
        <v>Not meaningful</v>
      </c>
    </row>
    <row r="548" spans="2:20" x14ac:dyDescent="0.25">
      <c r="B548" s="44" t="s">
        <v>3180</v>
      </c>
      <c r="D548" s="205" t="str">
        <f>'Project Cash Flows'!$L$21</f>
        <v>n/a</v>
      </c>
      <c r="H548" s="44" t="s">
        <v>3351</v>
      </c>
      <c r="K548" s="206" t="str">
        <f>'Project Cash Flows'!$J$21</f>
        <v>Not meaningful</v>
      </c>
      <c r="N548" s="44" t="s">
        <v>3179</v>
      </c>
      <c r="Q548" s="204" t="str">
        <f>'Project Cash Flows'!$K$21</f>
        <v>Not meaningful</v>
      </c>
    </row>
    <row r="550" spans="2:20" x14ac:dyDescent="0.25">
      <c r="B550" s="58" t="s">
        <v>3387</v>
      </c>
      <c r="C550" s="19"/>
      <c r="D550" s="19"/>
      <c r="E550" s="19"/>
      <c r="F550" s="19"/>
      <c r="G550" s="19"/>
      <c r="H550" s="19"/>
      <c r="I550" s="19"/>
      <c r="J550" s="19"/>
      <c r="K550" s="19"/>
      <c r="L550" s="19"/>
      <c r="M550" s="19"/>
      <c r="N550" s="19"/>
      <c r="O550" s="19"/>
      <c r="P550" s="19"/>
      <c r="Q550" s="19"/>
      <c r="R550" s="19"/>
      <c r="S550" s="19"/>
      <c r="T550" s="19"/>
    </row>
    <row r="551" spans="2:20" x14ac:dyDescent="0.25">
      <c r="B551" s="70" t="s">
        <v>1690</v>
      </c>
      <c r="D551" s="130" t="str">
        <f>Inputs!$I$75</f>
        <v>Included - With BUMN case only</v>
      </c>
      <c r="M551" s="202" t="s">
        <v>3323</v>
      </c>
      <c r="N551" s="203">
        <f>Inputs!$H$75</f>
        <v>1</v>
      </c>
    </row>
    <row r="552" spans="2:20" x14ac:dyDescent="0.25">
      <c r="B552" s="163" t="s">
        <v>3324</v>
      </c>
    </row>
    <row r="553" spans="2:20" x14ac:dyDescent="0.25">
      <c r="B553" s="23" t="s">
        <v>3388</v>
      </c>
      <c r="C553" s="28" t="s">
        <v>630</v>
      </c>
      <c r="H553" s="48">
        <f>'BUMN Synergy Calculation'!H30</f>
        <v>0</v>
      </c>
      <c r="I553" s="48">
        <f>'BUMN Synergy Calculation'!I30</f>
        <v>0</v>
      </c>
      <c r="J553" s="48">
        <f>'BUMN Synergy Calculation'!J30</f>
        <v>3889498.3953083996</v>
      </c>
      <c r="K553" s="48">
        <f>'BUMN Synergy Calculation'!K30</f>
        <v>4006183.3471676521</v>
      </c>
      <c r="L553" s="48">
        <f>'BUMN Synergy Calculation'!L30</f>
        <v>4126368.847582682</v>
      </c>
      <c r="M553" s="48">
        <f>'BUMN Synergy Calculation'!M30</f>
        <v>4250159.9130101623</v>
      </c>
      <c r="N553" s="48">
        <f>'BUMN Synergy Calculation'!N30</f>
        <v>4377664.7104004677</v>
      </c>
      <c r="O553" s="48">
        <f>'BUMN Synergy Calculation'!O30</f>
        <v>4508994.6517124819</v>
      </c>
      <c r="P553" s="48">
        <f>'BUMN Synergy Calculation'!P30</f>
        <v>4644264.4912638562</v>
      </c>
      <c r="Q553" s="48">
        <f>'BUMN Synergy Calculation'!Q30</f>
        <v>4783592.4260017723</v>
      </c>
      <c r="R553" s="48">
        <f>'BUMN Synergy Calculation'!R30</f>
        <v>4927100.1987818247</v>
      </c>
      <c r="S553" s="48">
        <f>'BUMN Synergy Calculation'!S30</f>
        <v>5074913.2047452796</v>
      </c>
      <c r="T553" s="48">
        <f>'BUMN Synergy Calculation'!T30</f>
        <v>5227160.6008876376</v>
      </c>
    </row>
    <row r="554" spans="2:20" x14ac:dyDescent="0.25">
      <c r="B554" s="23" t="s">
        <v>3389</v>
      </c>
      <c r="C554" s="28" t="s">
        <v>647</v>
      </c>
      <c r="H554" s="48">
        <f>'BUMN Synergy Calculation'!H14</f>
        <v>17219.465423859547</v>
      </c>
      <c r="I554" s="48">
        <f>'BUMN Synergy Calculation'!I14</f>
        <v>17219.465423859547</v>
      </c>
      <c r="J554" s="48">
        <f>'BUMN Synergy Calculation'!J14</f>
        <v>17219.465423859547</v>
      </c>
      <c r="K554" s="48">
        <f>'BUMN Synergy Calculation'!K14</f>
        <v>17219.465423859547</v>
      </c>
      <c r="L554" s="48">
        <f>'BUMN Synergy Calculation'!L14</f>
        <v>17219.465423859547</v>
      </c>
      <c r="M554" s="48">
        <f>'BUMN Synergy Calculation'!M14</f>
        <v>17219.465423859547</v>
      </c>
      <c r="N554" s="48">
        <f>'BUMN Synergy Calculation'!N14</f>
        <v>17219.465423859547</v>
      </c>
      <c r="O554" s="48">
        <f>'BUMN Synergy Calculation'!O14</f>
        <v>17219.465423859547</v>
      </c>
      <c r="P554" s="48">
        <f>'BUMN Synergy Calculation'!P14</f>
        <v>17219.465423859547</v>
      </c>
      <c r="Q554" s="48">
        <f>'BUMN Synergy Calculation'!Q14</f>
        <v>17219.465423859547</v>
      </c>
      <c r="R554" s="48">
        <f>'BUMN Synergy Calculation'!R14</f>
        <v>17219.465423859547</v>
      </c>
      <c r="S554" s="48">
        <f>'BUMN Synergy Calculation'!S14</f>
        <v>17219.465423859547</v>
      </c>
      <c r="T554" s="48">
        <f>'BUMN Synergy Calculation'!T14</f>
        <v>17219.465423859547</v>
      </c>
    </row>
    <row r="555" spans="2:20" x14ac:dyDescent="0.25">
      <c r="B555" s="23" t="s">
        <v>3390</v>
      </c>
      <c r="C555" s="28" t="s">
        <v>647</v>
      </c>
      <c r="H555" s="48">
        <f>'BUMN Synergy Calculation'!H25</f>
        <v>13240.548627849945</v>
      </c>
      <c r="I555" s="48">
        <f>'BUMN Synergy Calculation'!I25</f>
        <v>13240.548627849945</v>
      </c>
      <c r="J555" s="48">
        <f>'BUMN Synergy Calculation'!J25</f>
        <v>13240.548627849945</v>
      </c>
      <c r="K555" s="48">
        <f>'BUMN Synergy Calculation'!K25</f>
        <v>13240.548627849945</v>
      </c>
      <c r="L555" s="48">
        <f>'BUMN Synergy Calculation'!L25</f>
        <v>13240.548627849945</v>
      </c>
      <c r="M555" s="48">
        <f>'BUMN Synergy Calculation'!M25</f>
        <v>13240.548627849945</v>
      </c>
      <c r="N555" s="48">
        <f>'BUMN Synergy Calculation'!N25</f>
        <v>13240.548627849945</v>
      </c>
      <c r="O555" s="48">
        <f>'BUMN Synergy Calculation'!O25</f>
        <v>13240.548627849945</v>
      </c>
      <c r="P555" s="48">
        <f>'BUMN Synergy Calculation'!P25</f>
        <v>13240.548627849945</v>
      </c>
      <c r="Q555" s="48">
        <f>'BUMN Synergy Calculation'!Q25</f>
        <v>13240.548627849945</v>
      </c>
      <c r="R555" s="48">
        <f>'BUMN Synergy Calculation'!R25</f>
        <v>13240.548627849945</v>
      </c>
      <c r="S555" s="48">
        <f>'BUMN Synergy Calculation'!S25</f>
        <v>13240.548627849945</v>
      </c>
      <c r="T555" s="48">
        <f>'BUMN Synergy Calculation'!T25</f>
        <v>13240.548627849945</v>
      </c>
    </row>
    <row r="556" spans="2:20" x14ac:dyDescent="0.25">
      <c r="B556" s="163" t="s">
        <v>3328</v>
      </c>
    </row>
    <row r="557" spans="2:20" x14ac:dyDescent="0.25">
      <c r="B557" s="21" t="s">
        <v>3329</v>
      </c>
      <c r="C557" s="28" t="s">
        <v>493</v>
      </c>
      <c r="H557" s="26">
        <f>'BUMN Synergy Calculation'!H34</f>
        <v>0</v>
      </c>
      <c r="I557" s="26">
        <f>'BUMN Synergy Calculation'!I34</f>
        <v>0</v>
      </c>
      <c r="J557" s="26">
        <f>'BUMN Synergy Calculation'!J34</f>
        <v>58.263931502782945</v>
      </c>
      <c r="K557" s="26">
        <f>'BUMN Synergy Calculation'!K34</f>
        <v>60.011849447866439</v>
      </c>
      <c r="L557" s="26">
        <f>'BUMN Synergy Calculation'!L34</f>
        <v>61.812204931302446</v>
      </c>
      <c r="M557" s="26">
        <f>'BUMN Synergy Calculation'!M34</f>
        <v>63.666571079241514</v>
      </c>
      <c r="N557" s="26">
        <f>'BUMN Synergy Calculation'!N34</f>
        <v>65.576568211618763</v>
      </c>
      <c r="O557" s="26">
        <f>'BUMN Synergy Calculation'!O34</f>
        <v>67.543865257967326</v>
      </c>
      <c r="P557" s="26">
        <f>'BUMN Synergy Calculation'!P34</f>
        <v>69.570181215706327</v>
      </c>
      <c r="Q557" s="26">
        <f>'BUMN Synergy Calculation'!Q34</f>
        <v>71.657286652177532</v>
      </c>
      <c r="R557" s="26">
        <f>'BUMN Synergy Calculation'!R34</f>
        <v>73.807005251742865</v>
      </c>
      <c r="S557" s="26">
        <f>'BUMN Synergy Calculation'!S34</f>
        <v>76.021215409295152</v>
      </c>
      <c r="T557" s="26">
        <f>'BUMN Synergy Calculation'!T34</f>
        <v>78.301851871574002</v>
      </c>
    </row>
    <row r="558" spans="2:20" x14ac:dyDescent="0.25">
      <c r="B558" s="23" t="s">
        <v>3330</v>
      </c>
      <c r="C558" s="28" t="s">
        <v>493</v>
      </c>
      <c r="H558" s="159">
        <f>-'BUMN Synergy Calculation'!H35</f>
        <v>0</v>
      </c>
      <c r="I558" s="159">
        <f>-'BUMN Synergy Calculation'!I35</f>
        <v>0</v>
      </c>
      <c r="J558" s="159">
        <f>-'BUMN Synergy Calculation'!J35</f>
        <v>0</v>
      </c>
      <c r="K558" s="159">
        <f>-'BUMN Synergy Calculation'!K35</f>
        <v>0</v>
      </c>
      <c r="L558" s="159">
        <f>-'BUMN Synergy Calculation'!L35</f>
        <v>0</v>
      </c>
      <c r="M558" s="159">
        <f>-'BUMN Synergy Calculation'!M35</f>
        <v>0</v>
      </c>
      <c r="N558" s="159">
        <f>-'BUMN Synergy Calculation'!N35</f>
        <v>0</v>
      </c>
      <c r="O558" s="159">
        <f>-'BUMN Synergy Calculation'!O35</f>
        <v>0</v>
      </c>
      <c r="P558" s="159">
        <f>-'BUMN Synergy Calculation'!P35</f>
        <v>0</v>
      </c>
      <c r="Q558" s="159">
        <f>-'BUMN Synergy Calculation'!Q35</f>
        <v>0</v>
      </c>
      <c r="R558" s="159">
        <f>-'BUMN Synergy Calculation'!R35</f>
        <v>0</v>
      </c>
      <c r="S558" s="159">
        <f>-'BUMN Synergy Calculation'!S35</f>
        <v>0</v>
      </c>
      <c r="T558" s="159">
        <f>-'BUMN Synergy Calculation'!T35</f>
        <v>0</v>
      </c>
    </row>
    <row r="559" spans="2:20" x14ac:dyDescent="0.25">
      <c r="B559" s="23" t="s">
        <v>3331</v>
      </c>
      <c r="C559" s="28" t="s">
        <v>493</v>
      </c>
      <c r="H559" s="159">
        <f>-'BUMN Synergy Calculation'!H36</f>
        <v>0</v>
      </c>
      <c r="I559" s="159">
        <f>-'BUMN Synergy Calculation'!I36</f>
        <v>0</v>
      </c>
      <c r="J559" s="159">
        <f>-'BUMN Synergy Calculation'!J36</f>
        <v>-29.714605066419303</v>
      </c>
      <c r="K559" s="159">
        <f>-'BUMN Synergy Calculation'!K36</f>
        <v>-30.606043218411884</v>
      </c>
      <c r="L559" s="159">
        <f>-'BUMN Synergy Calculation'!L36</f>
        <v>-31.524224514964249</v>
      </c>
      <c r="M559" s="159">
        <f>-'BUMN Synergy Calculation'!M36</f>
        <v>-32.469951250413175</v>
      </c>
      <c r="N559" s="159">
        <f>-'BUMN Synergy Calculation'!N36</f>
        <v>-33.444049787925572</v>
      </c>
      <c r="O559" s="159">
        <f>-'BUMN Synergy Calculation'!O36</f>
        <v>-34.447371281563335</v>
      </c>
      <c r="P559" s="159">
        <f>-'BUMN Synergy Calculation'!P36</f>
        <v>-35.480792420010225</v>
      </c>
      <c r="Q559" s="159">
        <f>-'BUMN Synergy Calculation'!Q36</f>
        <v>-36.545216192610539</v>
      </c>
      <c r="R559" s="159">
        <f>-'BUMN Synergy Calculation'!R36</f>
        <v>-37.641572678388862</v>
      </c>
      <c r="S559" s="159">
        <f>-'BUMN Synergy Calculation'!S36</f>
        <v>-38.770819858740531</v>
      </c>
      <c r="T559" s="159">
        <f>-'BUMN Synergy Calculation'!T36</f>
        <v>-39.933944454502743</v>
      </c>
    </row>
    <row r="560" spans="2:20" x14ac:dyDescent="0.25">
      <c r="B560" s="21" t="s">
        <v>3221</v>
      </c>
      <c r="C560" s="28" t="s">
        <v>493</v>
      </c>
      <c r="H560" s="26">
        <f>'BUMN Synergy Calculation'!H37</f>
        <v>0</v>
      </c>
      <c r="I560" s="26">
        <f>'BUMN Synergy Calculation'!I37</f>
        <v>0</v>
      </c>
      <c r="J560" s="26">
        <f>'BUMN Synergy Calculation'!J37</f>
        <v>28.549326436363643</v>
      </c>
      <c r="K560" s="26">
        <f>'BUMN Synergy Calculation'!K37</f>
        <v>29.405806229454555</v>
      </c>
      <c r="L560" s="26">
        <f>'BUMN Synergy Calculation'!L37</f>
        <v>30.287980416338197</v>
      </c>
      <c r="M560" s="26">
        <f>'BUMN Synergy Calculation'!M37</f>
        <v>31.196619828828339</v>
      </c>
      <c r="N560" s="26">
        <f>'BUMN Synergy Calculation'!N37</f>
        <v>32.132518423693192</v>
      </c>
      <c r="O560" s="26">
        <f>'BUMN Synergy Calculation'!O37</f>
        <v>33.096493976403991</v>
      </c>
      <c r="P560" s="26">
        <f>'BUMN Synergy Calculation'!P37</f>
        <v>34.089388795696102</v>
      </c>
      <c r="Q560" s="26">
        <f>'BUMN Synergy Calculation'!Q37</f>
        <v>35.112070459566993</v>
      </c>
      <c r="R560" s="26">
        <f>'BUMN Synergy Calculation'!R37</f>
        <v>36.165432573354003</v>
      </c>
      <c r="S560" s="26">
        <f>'BUMN Synergy Calculation'!S37</f>
        <v>37.250395550554622</v>
      </c>
      <c r="T560" s="26">
        <f>'BUMN Synergy Calculation'!T37</f>
        <v>38.367907417071258</v>
      </c>
    </row>
    <row r="561" spans="2:20" x14ac:dyDescent="0.25">
      <c r="B561" s="23" t="s">
        <v>3332</v>
      </c>
      <c r="C561" s="28" t="s">
        <v>493</v>
      </c>
      <c r="H561" s="159">
        <f>-'Capex &amp; Depreciation'!H246</f>
        <v>0</v>
      </c>
      <c r="I561" s="159">
        <f>-'Capex &amp; Depreciation'!I246</f>
        <v>0</v>
      </c>
      <c r="J561" s="159">
        <f>-'Capex &amp; Depreciation'!J246</f>
        <v>0</v>
      </c>
      <c r="K561" s="159">
        <f>-'Capex &amp; Depreciation'!K246</f>
        <v>0</v>
      </c>
      <c r="L561" s="159">
        <f>-'Capex &amp; Depreciation'!L246</f>
        <v>0</v>
      </c>
      <c r="M561" s="159">
        <f>-'Capex &amp; Depreciation'!M246</f>
        <v>0</v>
      </c>
      <c r="N561" s="159">
        <f>-'Capex &amp; Depreciation'!N246</f>
        <v>0</v>
      </c>
      <c r="O561" s="159">
        <f>-'Capex &amp; Depreciation'!O246</f>
        <v>0</v>
      </c>
      <c r="P561" s="159">
        <f>-'Capex &amp; Depreciation'!P246</f>
        <v>0</v>
      </c>
      <c r="Q561" s="159">
        <f>-'Capex &amp; Depreciation'!Q246</f>
        <v>0</v>
      </c>
      <c r="R561" s="159">
        <f>-'Capex &amp; Depreciation'!R246</f>
        <v>0</v>
      </c>
      <c r="S561" s="159">
        <f>-'Capex &amp; Depreciation'!S246</f>
        <v>0</v>
      </c>
      <c r="T561" s="159">
        <f>-'Capex &amp; Depreciation'!T246</f>
        <v>0</v>
      </c>
    </row>
    <row r="562" spans="2:20" x14ac:dyDescent="0.25">
      <c r="B562" s="21" t="s">
        <v>3333</v>
      </c>
      <c r="C562" s="28" t="s">
        <v>493</v>
      </c>
      <c r="H562" s="26">
        <f>'Project Cash Flows'!H251</f>
        <v>0</v>
      </c>
      <c r="I562" s="26">
        <f>'Project Cash Flows'!I251</f>
        <v>0</v>
      </c>
      <c r="J562" s="26">
        <f>'Project Cash Flows'!J251</f>
        <v>28.549326436363643</v>
      </c>
      <c r="K562" s="26">
        <f>'Project Cash Flows'!K251</f>
        <v>29.405806229454555</v>
      </c>
      <c r="L562" s="26">
        <f>'Project Cash Flows'!L251</f>
        <v>30.287980416338197</v>
      </c>
      <c r="M562" s="26">
        <f>'Project Cash Flows'!M251</f>
        <v>31.196619828828339</v>
      </c>
      <c r="N562" s="26">
        <f>'Project Cash Flows'!N251</f>
        <v>32.132518423693192</v>
      </c>
      <c r="O562" s="26">
        <f>'Project Cash Flows'!O251</f>
        <v>33.096493976403991</v>
      </c>
      <c r="P562" s="26">
        <f>'Project Cash Flows'!P251</f>
        <v>34.089388795696102</v>
      </c>
      <c r="Q562" s="26">
        <f>'Project Cash Flows'!Q251</f>
        <v>35.112070459566993</v>
      </c>
      <c r="R562" s="26">
        <f>'Project Cash Flows'!R251</f>
        <v>36.165432573354003</v>
      </c>
      <c r="S562" s="26">
        <f>'Project Cash Flows'!S251</f>
        <v>37.250395550554622</v>
      </c>
      <c r="T562" s="26">
        <f>'Project Cash Flows'!T251</f>
        <v>38.367907417071258</v>
      </c>
    </row>
    <row r="563" spans="2:20" x14ac:dyDescent="0.25">
      <c r="B563" s="23" t="s">
        <v>3334</v>
      </c>
      <c r="C563" s="28" t="s">
        <v>493</v>
      </c>
      <c r="H563" s="159">
        <f>-'Project Cash Flows'!H252</f>
        <v>0</v>
      </c>
      <c r="I563" s="159">
        <f>-'Project Cash Flows'!I252</f>
        <v>0</v>
      </c>
      <c r="J563" s="159">
        <f>-'Project Cash Flows'!J252</f>
        <v>0</v>
      </c>
      <c r="K563" s="159">
        <f>-'Project Cash Flows'!K252</f>
        <v>0</v>
      </c>
      <c r="L563" s="159">
        <f>-'Project Cash Flows'!L252</f>
        <v>0</v>
      </c>
      <c r="M563" s="159">
        <f>-'Project Cash Flows'!M252</f>
        <v>0</v>
      </c>
      <c r="N563" s="159">
        <f>-'Project Cash Flows'!N252</f>
        <v>0</v>
      </c>
      <c r="O563" s="159">
        <f>-'Project Cash Flows'!O252</f>
        <v>0</v>
      </c>
      <c r="P563" s="159">
        <f>-'Project Cash Flows'!P252</f>
        <v>0</v>
      </c>
      <c r="Q563" s="159">
        <f>-'Project Cash Flows'!Q252</f>
        <v>0</v>
      </c>
      <c r="R563" s="159">
        <f>-'Project Cash Flows'!R252</f>
        <v>0</v>
      </c>
      <c r="S563" s="159">
        <f>-'Project Cash Flows'!S252</f>
        <v>0</v>
      </c>
      <c r="T563" s="159">
        <f>-'Project Cash Flows'!T252</f>
        <v>0</v>
      </c>
    </row>
    <row r="564" spans="2:20" x14ac:dyDescent="0.25">
      <c r="B564" s="23" t="s">
        <v>3335</v>
      </c>
      <c r="C564" s="28" t="s">
        <v>493</v>
      </c>
      <c r="H564" s="159">
        <f>-'Project Cash Flows'!H253</f>
        <v>0</v>
      </c>
      <c r="I564" s="159">
        <f>-'Project Cash Flows'!I253</f>
        <v>0</v>
      </c>
      <c r="J564" s="159">
        <f>-'Project Cash Flows'!J253</f>
        <v>-6.2808518160000011</v>
      </c>
      <c r="K564" s="159">
        <f>-'Project Cash Flows'!K253</f>
        <v>-6.4692773704800022</v>
      </c>
      <c r="L564" s="159">
        <f>-'Project Cash Flows'!L253</f>
        <v>-6.6633556915944032</v>
      </c>
      <c r="M564" s="159">
        <f>-'Project Cash Flows'!M253</f>
        <v>-6.8632563623422351</v>
      </c>
      <c r="N564" s="159">
        <f>-'Project Cash Flows'!N253</f>
        <v>-7.0691540532125021</v>
      </c>
      <c r="O564" s="159">
        <f>-'Project Cash Flows'!O253</f>
        <v>-7.2812286748088777</v>
      </c>
      <c r="P564" s="159">
        <f>-'Project Cash Flows'!P253</f>
        <v>-7.4996655350531425</v>
      </c>
      <c r="Q564" s="159">
        <f>-'Project Cash Flows'!Q253</f>
        <v>-7.7246555011047384</v>
      </c>
      <c r="R564" s="159">
        <f>-'Project Cash Flows'!R253</f>
        <v>-7.9563951661378809</v>
      </c>
      <c r="S564" s="159">
        <f>-'Project Cash Flows'!S253</f>
        <v>-8.195087021122017</v>
      </c>
      <c r="T564" s="159">
        <f>-'Project Cash Flows'!T253</f>
        <v>-8.4409396317556773</v>
      </c>
    </row>
    <row r="565" spans="2:20" x14ac:dyDescent="0.25">
      <c r="B565" s="21" t="s">
        <v>3336</v>
      </c>
      <c r="C565" s="28" t="s">
        <v>493</v>
      </c>
      <c r="H565" s="26">
        <f>'Project Cash Flows'!H254</f>
        <v>0</v>
      </c>
      <c r="I565" s="26">
        <f>'Project Cash Flows'!I254</f>
        <v>0</v>
      </c>
      <c r="J565" s="26">
        <f>'Project Cash Flows'!J254</f>
        <v>22.268474620363641</v>
      </c>
      <c r="K565" s="26">
        <f>'Project Cash Flows'!K254</f>
        <v>22.936528858974555</v>
      </c>
      <c r="L565" s="26">
        <f>'Project Cash Flows'!L254</f>
        <v>23.624624724743793</v>
      </c>
      <c r="M565" s="26">
        <f>'Project Cash Flows'!M254</f>
        <v>24.333363466486105</v>
      </c>
      <c r="N565" s="26">
        <f>'Project Cash Flows'!N254</f>
        <v>25.063364370480691</v>
      </c>
      <c r="O565" s="26">
        <f>'Project Cash Flows'!O254</f>
        <v>25.815265301595112</v>
      </c>
      <c r="P565" s="26">
        <f>'Project Cash Flows'!P254</f>
        <v>26.589723260642959</v>
      </c>
      <c r="Q565" s="26">
        <f>'Project Cash Flows'!Q254</f>
        <v>27.387414958462255</v>
      </c>
      <c r="R565" s="26">
        <f>'Project Cash Flows'!R254</f>
        <v>28.209037407216123</v>
      </c>
      <c r="S565" s="26">
        <f>'Project Cash Flows'!S254</f>
        <v>29.055308529432605</v>
      </c>
      <c r="T565" s="26">
        <f>'Project Cash Flows'!T254</f>
        <v>29.926967785315583</v>
      </c>
    </row>
    <row r="566" spans="2:20" x14ac:dyDescent="0.25">
      <c r="B566" s="163" t="s">
        <v>3337</v>
      </c>
    </row>
    <row r="567" spans="2:20" x14ac:dyDescent="0.25">
      <c r="B567" s="23" t="s">
        <v>3338</v>
      </c>
      <c r="C567" s="28" t="s">
        <v>493</v>
      </c>
      <c r="G567" s="29">
        <f>'Capex &amp; Depreciation'!G300</f>
        <v>0</v>
      </c>
      <c r="H567" s="29">
        <f>'Capex &amp; Depreciation'!H300</f>
        <v>0</v>
      </c>
      <c r="I567" s="29">
        <f>'Capex &amp; Depreciation'!I300</f>
        <v>0</v>
      </c>
      <c r="J567" s="29">
        <f>'Capex &amp; Depreciation'!J300</f>
        <v>0</v>
      </c>
      <c r="K567" s="29">
        <f>'Capex &amp; Depreciation'!K300</f>
        <v>0</v>
      </c>
      <c r="L567" s="29">
        <f>'Capex &amp; Depreciation'!L300</f>
        <v>0</v>
      </c>
      <c r="M567" s="29">
        <f>'Capex &amp; Depreciation'!M300</f>
        <v>0</v>
      </c>
      <c r="N567" s="29">
        <f>'Capex &amp; Depreciation'!N300</f>
        <v>0</v>
      </c>
      <c r="O567" s="29">
        <f>'Capex &amp; Depreciation'!O300</f>
        <v>0</v>
      </c>
      <c r="P567" s="29">
        <f>'Capex &amp; Depreciation'!P300</f>
        <v>0</v>
      </c>
      <c r="Q567" s="29">
        <f>'Capex &amp; Depreciation'!Q300</f>
        <v>0</v>
      </c>
      <c r="R567" s="29">
        <f>'Capex &amp; Depreciation'!R300</f>
        <v>0</v>
      </c>
      <c r="S567" s="29">
        <f>'Capex &amp; Depreciation'!S300</f>
        <v>0</v>
      </c>
      <c r="T567" s="29">
        <f>'Capex &amp; Depreciation'!T300</f>
        <v>0</v>
      </c>
    </row>
    <row r="568" spans="2:20" x14ac:dyDescent="0.25">
      <c r="B568" s="23" t="s">
        <v>3339</v>
      </c>
      <c r="C568" s="28" t="s">
        <v>493</v>
      </c>
      <c r="G568" s="159">
        <v>0</v>
      </c>
      <c r="H568" s="29">
        <f>'Working Capital'!H73</f>
        <v>0</v>
      </c>
      <c r="I568" s="29">
        <f>'Working Capital'!I73</f>
        <v>0</v>
      </c>
      <c r="J568" s="29">
        <f>'Working Capital'!J73</f>
        <v>7.1832244318499523</v>
      </c>
      <c r="K568" s="29">
        <f>'Working Capital'!K73</f>
        <v>7.3987211648054521</v>
      </c>
      <c r="L568" s="29">
        <f>'Working Capital'!L73</f>
        <v>7.5998612620453825</v>
      </c>
      <c r="M568" s="29">
        <f>'Working Capital'!M73</f>
        <v>7.8493032837421044</v>
      </c>
      <c r="N568" s="29">
        <f>'Working Capital'!N73</f>
        <v>8.0847823822543674</v>
      </c>
      <c r="O568" s="29">
        <f>'Working Capital'!O73</f>
        <v>8.3273258537219981</v>
      </c>
      <c r="P568" s="29">
        <f>'Working Capital'!P73</f>
        <v>8.5537108052097945</v>
      </c>
      <c r="Q568" s="29">
        <f>'Working Capital'!Q73</f>
        <v>8.8344599982136689</v>
      </c>
      <c r="R568" s="29">
        <f>'Working Capital'!R73</f>
        <v>9.0994937981600792</v>
      </c>
      <c r="S568" s="29">
        <f>'Working Capital'!S73</f>
        <v>9.3724786121048815</v>
      </c>
      <c r="T568" s="29">
        <f>'Working Capital'!T73</f>
        <v>9.6272768694558195</v>
      </c>
    </row>
    <row r="569" spans="2:20" x14ac:dyDescent="0.25">
      <c r="B569" s="23" t="s">
        <v>3340</v>
      </c>
      <c r="C569" s="28" t="s">
        <v>493</v>
      </c>
      <c r="G569" s="159">
        <v>0</v>
      </c>
      <c r="H569" s="159">
        <f>-'Working Capital'!H74</f>
        <v>0</v>
      </c>
      <c r="I569" s="159">
        <f>-'Working Capital'!I74</f>
        <v>0</v>
      </c>
      <c r="J569" s="159">
        <f>-'Working Capital'!J74</f>
        <v>0</v>
      </c>
      <c r="K569" s="159">
        <f>-'Working Capital'!K74</f>
        <v>0</v>
      </c>
      <c r="L569" s="159">
        <f>-'Working Capital'!L74</f>
        <v>0</v>
      </c>
      <c r="M569" s="159">
        <f>-'Working Capital'!M74</f>
        <v>0</v>
      </c>
      <c r="N569" s="159">
        <f>-'Working Capital'!N74</f>
        <v>0</v>
      </c>
      <c r="O569" s="159">
        <f>-'Working Capital'!O74</f>
        <v>0</v>
      </c>
      <c r="P569" s="159">
        <f>-'Working Capital'!P74</f>
        <v>0</v>
      </c>
      <c r="Q569" s="159">
        <f>-'Working Capital'!Q74</f>
        <v>0</v>
      </c>
      <c r="R569" s="159">
        <f>-'Working Capital'!R74</f>
        <v>0</v>
      </c>
      <c r="S569" s="159">
        <f>-'Working Capital'!S74</f>
        <v>0</v>
      </c>
      <c r="T569" s="159">
        <f>-'Working Capital'!T74</f>
        <v>0</v>
      </c>
    </row>
    <row r="570" spans="2:20" x14ac:dyDescent="0.25">
      <c r="B570" s="21" t="s">
        <v>3341</v>
      </c>
      <c r="C570" s="28" t="s">
        <v>493</v>
      </c>
      <c r="G570" s="26">
        <f>'Capex &amp; Depreciation'!G300</f>
        <v>0</v>
      </c>
      <c r="H570" s="160">
        <f>'Capex &amp; Depreciation'!H300+'Working Capital'!H75</f>
        <v>0</v>
      </c>
      <c r="I570" s="160">
        <f>'Capex &amp; Depreciation'!I300+'Working Capital'!I75</f>
        <v>0</v>
      </c>
      <c r="J570" s="160">
        <f>'Capex &amp; Depreciation'!J300+'Working Capital'!J75</f>
        <v>7.1832244318499523</v>
      </c>
      <c r="K570" s="160">
        <f>'Capex &amp; Depreciation'!K300+'Working Capital'!K75</f>
        <v>7.3987211648054521</v>
      </c>
      <c r="L570" s="160">
        <f>'Capex &amp; Depreciation'!L300+'Working Capital'!L75</f>
        <v>7.5998612620453825</v>
      </c>
      <c r="M570" s="160">
        <f>'Capex &amp; Depreciation'!M300+'Working Capital'!M75</f>
        <v>7.8493032837421044</v>
      </c>
      <c r="N570" s="160">
        <f>'Capex &amp; Depreciation'!N300+'Working Capital'!N75</f>
        <v>8.0847823822543674</v>
      </c>
      <c r="O570" s="160">
        <f>'Capex &amp; Depreciation'!O300+'Working Capital'!O75</f>
        <v>8.3273258537219981</v>
      </c>
      <c r="P570" s="160">
        <f>'Capex &amp; Depreciation'!P300+'Working Capital'!P75</f>
        <v>8.5537108052097945</v>
      </c>
      <c r="Q570" s="160">
        <f>'Capex &amp; Depreciation'!Q300+'Working Capital'!Q75</f>
        <v>8.8344599982136689</v>
      </c>
      <c r="R570" s="160">
        <f>'Capex &amp; Depreciation'!R300+'Working Capital'!R75</f>
        <v>9.0994937981600792</v>
      </c>
      <c r="S570" s="160">
        <f>'Capex &amp; Depreciation'!S300+'Working Capital'!S75</f>
        <v>9.3724786121048815</v>
      </c>
      <c r="T570" s="160">
        <f>'Capex &amp; Depreciation'!T300+'Working Capital'!T75</f>
        <v>9.6272768694558195</v>
      </c>
    </row>
    <row r="571" spans="2:20" x14ac:dyDescent="0.25">
      <c r="B571" s="163" t="s">
        <v>3342</v>
      </c>
    </row>
    <row r="572" spans="2:20" x14ac:dyDescent="0.25">
      <c r="B572" s="23" t="s">
        <v>3221</v>
      </c>
      <c r="C572" s="28" t="s">
        <v>493</v>
      </c>
      <c r="H572" s="29">
        <f>'Project Cash Flows'!H250</f>
        <v>0</v>
      </c>
      <c r="I572" s="29">
        <f>'Project Cash Flows'!I250</f>
        <v>0</v>
      </c>
      <c r="J572" s="29">
        <f>'Project Cash Flows'!J250</f>
        <v>28.549326436363643</v>
      </c>
      <c r="K572" s="29">
        <f>'Project Cash Flows'!K250</f>
        <v>29.405806229454555</v>
      </c>
      <c r="L572" s="29">
        <f>'Project Cash Flows'!L250</f>
        <v>30.287980416338197</v>
      </c>
      <c r="M572" s="29">
        <f>'Project Cash Flows'!M250</f>
        <v>31.196619828828339</v>
      </c>
      <c r="N572" s="29">
        <f>'Project Cash Flows'!N250</f>
        <v>32.132518423693192</v>
      </c>
      <c r="O572" s="29">
        <f>'Project Cash Flows'!O250</f>
        <v>33.096493976403991</v>
      </c>
      <c r="P572" s="29">
        <f>'Project Cash Flows'!P250</f>
        <v>34.089388795696102</v>
      </c>
      <c r="Q572" s="29">
        <f>'Project Cash Flows'!Q250</f>
        <v>35.112070459566993</v>
      </c>
      <c r="R572" s="29">
        <f>'Project Cash Flows'!R250</f>
        <v>36.165432573354003</v>
      </c>
      <c r="S572" s="29">
        <f>'Project Cash Flows'!S250</f>
        <v>37.250395550554622</v>
      </c>
      <c r="T572" s="29">
        <f>'Project Cash Flows'!T250</f>
        <v>38.367907417071258</v>
      </c>
    </row>
    <row r="573" spans="2:20" x14ac:dyDescent="0.25">
      <c r="B573" s="23" t="s">
        <v>3343</v>
      </c>
      <c r="C573" s="28" t="s">
        <v>493</v>
      </c>
      <c r="H573" s="29">
        <f>'Project Cash Flows'!H255</f>
        <v>0</v>
      </c>
      <c r="I573" s="29">
        <f>'Project Cash Flows'!I255</f>
        <v>0</v>
      </c>
      <c r="J573" s="29">
        <f>'Project Cash Flows'!J255</f>
        <v>-6.2808518160000011</v>
      </c>
      <c r="K573" s="29">
        <f>'Project Cash Flows'!K255</f>
        <v>-6.4692773704800022</v>
      </c>
      <c r="L573" s="29">
        <f>'Project Cash Flows'!L255</f>
        <v>-6.6633556915944032</v>
      </c>
      <c r="M573" s="29">
        <f>'Project Cash Flows'!M255</f>
        <v>-6.8632563623422351</v>
      </c>
      <c r="N573" s="29">
        <f>'Project Cash Flows'!N255</f>
        <v>-7.0691540532125021</v>
      </c>
      <c r="O573" s="29">
        <f>'Project Cash Flows'!O255</f>
        <v>-7.2812286748088777</v>
      </c>
      <c r="P573" s="29">
        <f>'Project Cash Flows'!P255</f>
        <v>-7.4996655350531425</v>
      </c>
      <c r="Q573" s="29">
        <f>'Project Cash Flows'!Q255</f>
        <v>-7.7246555011047384</v>
      </c>
      <c r="R573" s="29">
        <f>'Project Cash Flows'!R255</f>
        <v>-7.9563951661378809</v>
      </c>
      <c r="S573" s="29">
        <f>'Project Cash Flows'!S255</f>
        <v>-8.195087021122017</v>
      </c>
      <c r="T573" s="29">
        <f>'Project Cash Flows'!T255</f>
        <v>-8.4409396317556773</v>
      </c>
    </row>
    <row r="574" spans="2:20" x14ac:dyDescent="0.25">
      <c r="B574" s="23" t="s">
        <v>3227</v>
      </c>
      <c r="C574" s="28" t="s">
        <v>493</v>
      </c>
      <c r="H574" s="29">
        <f>'Project Cash Flows'!H256</f>
        <v>0</v>
      </c>
      <c r="I574" s="29">
        <f>'Project Cash Flows'!I256</f>
        <v>0</v>
      </c>
      <c r="J574" s="29">
        <f>'Project Cash Flows'!J256</f>
        <v>0</v>
      </c>
      <c r="K574" s="29">
        <f>'Project Cash Flows'!K256</f>
        <v>0</v>
      </c>
      <c r="L574" s="29">
        <f>'Project Cash Flows'!L256</f>
        <v>0</v>
      </c>
      <c r="M574" s="29">
        <f>'Project Cash Flows'!M256</f>
        <v>0</v>
      </c>
      <c r="N574" s="29">
        <f>'Project Cash Flows'!N256</f>
        <v>0</v>
      </c>
      <c r="O574" s="29">
        <f>'Project Cash Flows'!O256</f>
        <v>0</v>
      </c>
      <c r="P574" s="29">
        <f>'Project Cash Flows'!P256</f>
        <v>0</v>
      </c>
      <c r="Q574" s="29">
        <f>'Project Cash Flows'!Q256</f>
        <v>0</v>
      </c>
      <c r="R574" s="29">
        <f>'Project Cash Flows'!R256</f>
        <v>0</v>
      </c>
      <c r="S574" s="29">
        <f>'Project Cash Flows'!S256</f>
        <v>0</v>
      </c>
      <c r="T574" s="29">
        <f>'Project Cash Flows'!T256</f>
        <v>0</v>
      </c>
    </row>
    <row r="575" spans="2:20" x14ac:dyDescent="0.25">
      <c r="B575" s="23" t="s">
        <v>3228</v>
      </c>
      <c r="C575" s="28" t="s">
        <v>493</v>
      </c>
      <c r="H575" s="29">
        <f>'Project Cash Flows'!H257</f>
        <v>0</v>
      </c>
      <c r="I575" s="29">
        <f>'Project Cash Flows'!I257</f>
        <v>0</v>
      </c>
      <c r="J575" s="29">
        <f>'Project Cash Flows'!J257</f>
        <v>-7.1832244318499523</v>
      </c>
      <c r="K575" s="29">
        <f>'Project Cash Flows'!K257</f>
        <v>-0.21549673295549976</v>
      </c>
      <c r="L575" s="29">
        <f>'Project Cash Flows'!L257</f>
        <v>-0.20114009723993043</v>
      </c>
      <c r="M575" s="29">
        <f>'Project Cash Flows'!M257</f>
        <v>-0.24944202169672192</v>
      </c>
      <c r="N575" s="29">
        <f>'Project Cash Flows'!N257</f>
        <v>-0.23547909851226301</v>
      </c>
      <c r="O575" s="29">
        <f>'Project Cash Flows'!O257</f>
        <v>-0.24254347146763067</v>
      </c>
      <c r="P575" s="29">
        <f>'Project Cash Flows'!P257</f>
        <v>-0.22638495148779647</v>
      </c>
      <c r="Q575" s="29">
        <f>'Project Cash Flows'!Q257</f>
        <v>-0.28074919300387435</v>
      </c>
      <c r="R575" s="29">
        <f>'Project Cash Flows'!R257</f>
        <v>-0.2650337999464103</v>
      </c>
      <c r="S575" s="29">
        <f>'Project Cash Flows'!S257</f>
        <v>-0.27298481394480234</v>
      </c>
      <c r="T575" s="29">
        <f>'Project Cash Flows'!T257</f>
        <v>-0.25479825735093797</v>
      </c>
    </row>
    <row r="576" spans="2:20" x14ac:dyDescent="0.25">
      <c r="B576" s="21" t="s">
        <v>3344</v>
      </c>
      <c r="C576" s="28" t="s">
        <v>493</v>
      </c>
      <c r="H576" s="26">
        <f>'Project Cash Flows'!H258</f>
        <v>0</v>
      </c>
      <c r="I576" s="26">
        <f>'Project Cash Flows'!I258</f>
        <v>0</v>
      </c>
      <c r="J576" s="26">
        <f>'Project Cash Flows'!J258</f>
        <v>15.085250188513688</v>
      </c>
      <c r="K576" s="26">
        <f>'Project Cash Flows'!K258</f>
        <v>22.721032126019054</v>
      </c>
      <c r="L576" s="26">
        <f>'Project Cash Flows'!L258</f>
        <v>23.423484627503861</v>
      </c>
      <c r="M576" s="26">
        <f>'Project Cash Flows'!M258</f>
        <v>24.083921444789382</v>
      </c>
      <c r="N576" s="26">
        <f>'Project Cash Flows'!N258</f>
        <v>24.827885271968427</v>
      </c>
      <c r="O576" s="26">
        <f>'Project Cash Flows'!O258</f>
        <v>25.572721830127481</v>
      </c>
      <c r="P576" s="26">
        <f>'Project Cash Flows'!P258</f>
        <v>26.363338309155161</v>
      </c>
      <c r="Q576" s="26">
        <f>'Project Cash Flows'!Q258</f>
        <v>27.106665765458381</v>
      </c>
      <c r="R576" s="26">
        <f>'Project Cash Flows'!R258</f>
        <v>27.944003607269714</v>
      </c>
      <c r="S576" s="26">
        <f>'Project Cash Flows'!S258</f>
        <v>28.782323715487802</v>
      </c>
      <c r="T576" s="26">
        <f>'Project Cash Flows'!T258</f>
        <v>29.672169527964645</v>
      </c>
    </row>
    <row r="577" spans="2:20" x14ac:dyDescent="0.25">
      <c r="B577" s="23" t="s">
        <v>3345</v>
      </c>
      <c r="C577" s="28" t="s">
        <v>493</v>
      </c>
      <c r="G577" s="29">
        <f>'Project Cash Flows'!G261</f>
        <v>0</v>
      </c>
      <c r="H577" s="29">
        <f>'Project Cash Flows'!H261</f>
        <v>0</v>
      </c>
      <c r="I577" s="29">
        <f>'Project Cash Flows'!I261</f>
        <v>0</v>
      </c>
      <c r="J577" s="29">
        <f>'Project Cash Flows'!J261</f>
        <v>15.085250188513688</v>
      </c>
      <c r="K577" s="29">
        <f>'Project Cash Flows'!K261</f>
        <v>37.806282314532744</v>
      </c>
      <c r="L577" s="29">
        <f>'Project Cash Flows'!L261</f>
        <v>61.229766942036605</v>
      </c>
      <c r="M577" s="29">
        <f>'Project Cash Flows'!M261</f>
        <v>85.313688386825987</v>
      </c>
      <c r="N577" s="29">
        <f>'Project Cash Flows'!N261</f>
        <v>110.14157365879441</v>
      </c>
      <c r="O577" s="29">
        <f>'Project Cash Flows'!O261</f>
        <v>135.71429548892189</v>
      </c>
      <c r="P577" s="29">
        <f>'Project Cash Flows'!P261</f>
        <v>162.07763379807704</v>
      </c>
      <c r="Q577" s="29">
        <f>'Project Cash Flows'!Q261</f>
        <v>189.18429956353543</v>
      </c>
      <c r="R577" s="29">
        <f>'Project Cash Flows'!R261</f>
        <v>217.12830317080514</v>
      </c>
      <c r="S577" s="29">
        <f>'Project Cash Flows'!S261</f>
        <v>245.91062688629293</v>
      </c>
      <c r="T577" s="29">
        <f>'Project Cash Flows'!T261</f>
        <v>275.58279641425759</v>
      </c>
    </row>
    <row r="578" spans="2:20" x14ac:dyDescent="0.25">
      <c r="B578" s="163" t="s">
        <v>3346</v>
      </c>
    </row>
    <row r="579" spans="2:20" x14ac:dyDescent="0.25">
      <c r="B579" s="23" t="s">
        <v>3347</v>
      </c>
      <c r="C579" s="28" t="s">
        <v>493</v>
      </c>
      <c r="H579" s="29">
        <f>'Capex &amp; Depreciation'!H273</f>
        <v>0</v>
      </c>
      <c r="I579" s="29">
        <f>'Capex &amp; Depreciation'!I273</f>
        <v>0</v>
      </c>
      <c r="J579" s="29">
        <f>'Capex &amp; Depreciation'!J273</f>
        <v>0</v>
      </c>
      <c r="K579" s="29">
        <f>'Capex &amp; Depreciation'!K273</f>
        <v>0</v>
      </c>
      <c r="L579" s="29">
        <f>'Capex &amp; Depreciation'!L273</f>
        <v>0</v>
      </c>
      <c r="M579" s="29">
        <f>'Capex &amp; Depreciation'!M273</f>
        <v>0</v>
      </c>
      <c r="N579" s="29">
        <f>'Capex &amp; Depreciation'!N273</f>
        <v>0</v>
      </c>
      <c r="O579" s="29">
        <f>'Capex &amp; Depreciation'!O273</f>
        <v>0</v>
      </c>
      <c r="P579" s="29">
        <f>'Capex &amp; Depreciation'!P273</f>
        <v>0</v>
      </c>
      <c r="Q579" s="29">
        <f>'Capex &amp; Depreciation'!Q273</f>
        <v>0</v>
      </c>
      <c r="R579" s="29">
        <f>'Capex &amp; Depreciation'!R273</f>
        <v>0</v>
      </c>
      <c r="S579" s="29">
        <f>'Capex &amp; Depreciation'!S273</f>
        <v>0</v>
      </c>
      <c r="T579" s="29">
        <f>'Capex &amp; Depreciation'!T273</f>
        <v>0</v>
      </c>
    </row>
    <row r="580" spans="2:20" x14ac:dyDescent="0.25">
      <c r="B580" s="163" t="s">
        <v>3348</v>
      </c>
    </row>
    <row r="581" spans="2:20" x14ac:dyDescent="0.25">
      <c r="B581" s="44" t="s">
        <v>3349</v>
      </c>
      <c r="D581" s="204">
        <f>'Project Cash Flows'!$E$22</f>
        <v>256.27124768223746</v>
      </c>
      <c r="H581" s="44" t="s">
        <v>3176</v>
      </c>
      <c r="K581" s="205" t="str">
        <f>'Project Cash Flows'!$H$22</f>
        <v>Not meaningful</v>
      </c>
      <c r="N581" s="44" t="s">
        <v>3350</v>
      </c>
      <c r="Q581" s="205" t="str">
        <f>'Project Cash Flows'!$I$22</f>
        <v>Not meaningful</v>
      </c>
    </row>
    <row r="582" spans="2:20" x14ac:dyDescent="0.25">
      <c r="B582" s="44" t="s">
        <v>3180</v>
      </c>
      <c r="D582" s="205" t="str">
        <f>'Project Cash Flows'!$L$22</f>
        <v>n/a</v>
      </c>
      <c r="H582" s="44" t="s">
        <v>3351</v>
      </c>
      <c r="K582" s="206" t="str">
        <f>'Project Cash Flows'!$J$22</f>
        <v>Not meaningful</v>
      </c>
      <c r="N582" s="44" t="s">
        <v>3179</v>
      </c>
      <c r="Q582" s="204" t="str">
        <f>'Project Cash Flows'!$K$22</f>
        <v>Not meaningful</v>
      </c>
    </row>
    <row r="584" spans="2:20" x14ac:dyDescent="0.25">
      <c r="B584" s="58" t="s">
        <v>3391</v>
      </c>
      <c r="C584" s="19"/>
      <c r="D584" s="19"/>
      <c r="E584" s="19"/>
      <c r="F584" s="19"/>
      <c r="G584" s="19"/>
      <c r="H584" s="19"/>
      <c r="I584" s="19"/>
      <c r="J584" s="19"/>
      <c r="K584" s="19"/>
      <c r="L584" s="19"/>
      <c r="M584" s="19"/>
      <c r="N584" s="19"/>
      <c r="O584" s="19"/>
      <c r="P584" s="19"/>
      <c r="Q584" s="19"/>
      <c r="R584" s="19"/>
      <c r="S584" s="19"/>
      <c r="T584" s="19"/>
    </row>
    <row r="585" spans="2:20" x14ac:dyDescent="0.25">
      <c r="B585" s="70" t="s">
        <v>1690</v>
      </c>
      <c r="D585" s="130" t="str">
        <f>Inputs!$I$76</f>
        <v>Included - With BUMN case only</v>
      </c>
      <c r="M585" s="202" t="s">
        <v>3323</v>
      </c>
      <c r="N585" s="203">
        <f>Inputs!$H$76</f>
        <v>1</v>
      </c>
    </row>
    <row r="586" spans="2:20" x14ac:dyDescent="0.25">
      <c r="B586" s="163" t="s">
        <v>3324</v>
      </c>
    </row>
    <row r="587" spans="2:20" x14ac:dyDescent="0.25">
      <c r="B587" s="23" t="s">
        <v>3388</v>
      </c>
      <c r="C587" s="28" t="s">
        <v>630</v>
      </c>
      <c r="H587" s="48">
        <f>'BUMN Synergy Calculation'!H55</f>
        <v>0</v>
      </c>
      <c r="I587" s="48">
        <f>'BUMN Synergy Calculation'!I55</f>
        <v>0</v>
      </c>
      <c r="J587" s="48">
        <f>'BUMN Synergy Calculation'!J55</f>
        <v>3690475.1350400001</v>
      </c>
      <c r="K587" s="48">
        <f>'BUMN Synergy Calculation'!K55</f>
        <v>3801189.3890912002</v>
      </c>
      <c r="L587" s="48">
        <f>'BUMN Synergy Calculation'!L55</f>
        <v>3915225.0707639363</v>
      </c>
      <c r="M587" s="48">
        <f>'BUMN Synergy Calculation'!M55</f>
        <v>4032681.8228868544</v>
      </c>
      <c r="N587" s="48">
        <f>'BUMN Synergy Calculation'!N55</f>
        <v>4153662.2775734598</v>
      </c>
      <c r="O587" s="48">
        <f>'BUMN Synergy Calculation'!O55</f>
        <v>4278272.1459006639</v>
      </c>
      <c r="P587" s="48">
        <f>'BUMN Synergy Calculation'!P55</f>
        <v>4406620.3102776837</v>
      </c>
      <c r="Q587" s="48">
        <f>'BUMN Synergy Calculation'!Q55</f>
        <v>4538818.9195860149</v>
      </c>
      <c r="R587" s="48">
        <f>'BUMN Synergy Calculation'!R55</f>
        <v>4674983.4871735955</v>
      </c>
      <c r="S587" s="48">
        <f>'BUMN Synergy Calculation'!S55</f>
        <v>4815232.9917888027</v>
      </c>
      <c r="T587" s="48">
        <f>'BUMN Synergy Calculation'!T55</f>
        <v>4959689.9815424671</v>
      </c>
    </row>
    <row r="588" spans="2:20" x14ac:dyDescent="0.25">
      <c r="B588" s="23" t="s">
        <v>3392</v>
      </c>
      <c r="C588" s="28" t="s">
        <v>647</v>
      </c>
      <c r="H588" s="48">
        <f>'BUMN Synergy Calculation'!H50</f>
        <v>15290.185780366777</v>
      </c>
      <c r="I588" s="48">
        <f>'BUMN Synergy Calculation'!I50</f>
        <v>15290.185780366777</v>
      </c>
      <c r="J588" s="48">
        <f>'BUMN Synergy Calculation'!J50</f>
        <v>15290.185780366777</v>
      </c>
      <c r="K588" s="48">
        <f>'BUMN Synergy Calculation'!K50</f>
        <v>15290.185780366777</v>
      </c>
      <c r="L588" s="48">
        <f>'BUMN Synergy Calculation'!L50</f>
        <v>15290.185780366777</v>
      </c>
      <c r="M588" s="48">
        <f>'BUMN Synergy Calculation'!M50</f>
        <v>15290.185780366777</v>
      </c>
      <c r="N588" s="48">
        <f>'BUMN Synergy Calculation'!N50</f>
        <v>15290.185780366777</v>
      </c>
      <c r="O588" s="48">
        <f>'BUMN Synergy Calculation'!O50</f>
        <v>15290.185780366777</v>
      </c>
      <c r="P588" s="48">
        <f>'BUMN Synergy Calculation'!P50</f>
        <v>15290.185780366777</v>
      </c>
      <c r="Q588" s="48">
        <f>'BUMN Synergy Calculation'!Q50</f>
        <v>15290.185780366777</v>
      </c>
      <c r="R588" s="48">
        <f>'BUMN Synergy Calculation'!R50</f>
        <v>15290.185780366777</v>
      </c>
      <c r="S588" s="48">
        <f>'BUMN Synergy Calculation'!S50</f>
        <v>15290.185780366777</v>
      </c>
      <c r="T588" s="48">
        <f>'BUMN Synergy Calculation'!T50</f>
        <v>15290.185780366777</v>
      </c>
    </row>
    <row r="589" spans="2:20" x14ac:dyDescent="0.25">
      <c r="B589" s="163" t="s">
        <v>3328</v>
      </c>
    </row>
    <row r="590" spans="2:20" x14ac:dyDescent="0.25">
      <c r="B590" s="21" t="s">
        <v>3329</v>
      </c>
      <c r="C590" s="28" t="s">
        <v>493</v>
      </c>
      <c r="H590" s="26">
        <f>'BUMN Synergy Calculation'!H59</f>
        <v>0</v>
      </c>
      <c r="I590" s="26">
        <f>'BUMN Synergy Calculation'!I59</f>
        <v>0</v>
      </c>
      <c r="J590" s="26">
        <f>'BUMN Synergy Calculation'!J59</f>
        <v>56.428050432585771</v>
      </c>
      <c r="K590" s="26">
        <f>'BUMN Synergy Calculation'!K59</f>
        <v>58.120891945563343</v>
      </c>
      <c r="L590" s="26">
        <f>'BUMN Synergy Calculation'!L59</f>
        <v>59.864518703930244</v>
      </c>
      <c r="M590" s="26">
        <f>'BUMN Synergy Calculation'!M59</f>
        <v>61.660454265048159</v>
      </c>
      <c r="N590" s="26">
        <f>'BUMN Synergy Calculation'!N59</f>
        <v>63.510267892999593</v>
      </c>
      <c r="O590" s="26">
        <f>'BUMN Synergy Calculation'!O59</f>
        <v>65.415575929789583</v>
      </c>
      <c r="P590" s="26">
        <f>'BUMN Synergy Calculation'!P59</f>
        <v>67.378043207683277</v>
      </c>
      <c r="Q590" s="26">
        <f>'BUMN Synergy Calculation'!Q59</f>
        <v>69.399384503913794</v>
      </c>
      <c r="R590" s="26">
        <f>'BUMN Synergy Calculation'!R59</f>
        <v>71.481366039031201</v>
      </c>
      <c r="S590" s="26">
        <f>'BUMN Synergy Calculation'!S59</f>
        <v>73.625807020202117</v>
      </c>
      <c r="T590" s="26">
        <f>'BUMN Synergy Calculation'!T59</f>
        <v>75.834581230808197</v>
      </c>
    </row>
    <row r="591" spans="2:20" x14ac:dyDescent="0.25">
      <c r="B591" s="23" t="s">
        <v>3330</v>
      </c>
      <c r="C591" s="28" t="s">
        <v>493</v>
      </c>
      <c r="H591" s="159">
        <f>-'BUMN Synergy Calculation'!H60</f>
        <v>0</v>
      </c>
      <c r="I591" s="159">
        <f>-'BUMN Synergy Calculation'!I60</f>
        <v>0</v>
      </c>
      <c r="J591" s="159">
        <f>-'BUMN Synergy Calculation'!J60</f>
        <v>0</v>
      </c>
      <c r="K591" s="159">
        <f>-'BUMN Synergy Calculation'!K60</f>
        <v>0</v>
      </c>
      <c r="L591" s="159">
        <f>-'BUMN Synergy Calculation'!L60</f>
        <v>0</v>
      </c>
      <c r="M591" s="159">
        <f>-'BUMN Synergy Calculation'!M60</f>
        <v>0</v>
      </c>
      <c r="N591" s="159">
        <f>-'BUMN Synergy Calculation'!N60</f>
        <v>0</v>
      </c>
      <c r="O591" s="159">
        <f>-'BUMN Synergy Calculation'!O60</f>
        <v>0</v>
      </c>
      <c r="P591" s="159">
        <f>-'BUMN Synergy Calculation'!P60</f>
        <v>0</v>
      </c>
      <c r="Q591" s="159">
        <f>-'BUMN Synergy Calculation'!Q60</f>
        <v>0</v>
      </c>
      <c r="R591" s="159">
        <f>-'BUMN Synergy Calculation'!R60</f>
        <v>0</v>
      </c>
      <c r="S591" s="159">
        <f>-'BUMN Synergy Calculation'!S60</f>
        <v>0</v>
      </c>
      <c r="T591" s="159">
        <f>-'BUMN Synergy Calculation'!T60</f>
        <v>0</v>
      </c>
    </row>
    <row r="592" spans="2:20" x14ac:dyDescent="0.25">
      <c r="B592" s="23" t="s">
        <v>3331</v>
      </c>
      <c r="C592" s="28" t="s">
        <v>493</v>
      </c>
      <c r="H592" s="159">
        <f>-'BUMN Synergy Calculation'!H61</f>
        <v>0</v>
      </c>
      <c r="I592" s="159">
        <f>-'BUMN Synergy Calculation'!I61</f>
        <v>0</v>
      </c>
      <c r="J592" s="159">
        <f>-'BUMN Synergy Calculation'!J61</f>
        <v>-32.163988746573892</v>
      </c>
      <c r="K592" s="159">
        <f>-'BUMN Synergy Calculation'!K61</f>
        <v>-33.128908408971107</v>
      </c>
      <c r="L592" s="159">
        <f>-'BUMN Synergy Calculation'!L61</f>
        <v>-34.12277566124024</v>
      </c>
      <c r="M592" s="159">
        <f>-'BUMN Synergy Calculation'!M61</f>
        <v>-35.146458931077454</v>
      </c>
      <c r="N592" s="159">
        <f>-'BUMN Synergy Calculation'!N61</f>
        <v>-36.200852699009772</v>
      </c>
      <c r="O592" s="159">
        <f>-'BUMN Synergy Calculation'!O61</f>
        <v>-37.286878279980066</v>
      </c>
      <c r="P592" s="159">
        <f>-'BUMN Synergy Calculation'!P61</f>
        <v>-38.405484628379469</v>
      </c>
      <c r="Q592" s="159">
        <f>-'BUMN Synergy Calculation'!Q61</f>
        <v>-39.557649167230863</v>
      </c>
      <c r="R592" s="159">
        <f>-'BUMN Synergy Calculation'!R61</f>
        <v>-40.744378642247788</v>
      </c>
      <c r="S592" s="159">
        <f>-'BUMN Synergy Calculation'!S61</f>
        <v>-41.96671000151521</v>
      </c>
      <c r="T592" s="159">
        <f>-'BUMN Synergy Calculation'!T61</f>
        <v>-43.225711301560679</v>
      </c>
    </row>
    <row r="593" spans="2:20" x14ac:dyDescent="0.25">
      <c r="B593" s="21" t="s">
        <v>3221</v>
      </c>
      <c r="C593" s="28" t="s">
        <v>493</v>
      </c>
      <c r="H593" s="26">
        <f>'BUMN Synergy Calculation'!H62</f>
        <v>0</v>
      </c>
      <c r="I593" s="26">
        <f>'BUMN Synergy Calculation'!I62</f>
        <v>0</v>
      </c>
      <c r="J593" s="26">
        <f>'BUMN Synergy Calculation'!J62</f>
        <v>24.264061686011878</v>
      </c>
      <c r="K593" s="26">
        <f>'BUMN Synergy Calculation'!K62</f>
        <v>24.991983536592237</v>
      </c>
      <c r="L593" s="26">
        <f>'BUMN Synergy Calculation'!L62</f>
        <v>25.741743042690004</v>
      </c>
      <c r="M593" s="26">
        <f>'BUMN Synergy Calculation'!M62</f>
        <v>26.513995333970705</v>
      </c>
      <c r="N593" s="26">
        <f>'BUMN Synergy Calculation'!N62</f>
        <v>27.309415193989821</v>
      </c>
      <c r="O593" s="26">
        <f>'BUMN Synergy Calculation'!O62</f>
        <v>28.128697649809517</v>
      </c>
      <c r="P593" s="26">
        <f>'BUMN Synergy Calculation'!P62</f>
        <v>28.972558579303808</v>
      </c>
      <c r="Q593" s="26">
        <f>'BUMN Synergy Calculation'!Q62</f>
        <v>29.84173533668293</v>
      </c>
      <c r="R593" s="26">
        <f>'BUMN Synergy Calculation'!R62</f>
        <v>30.736987396783412</v>
      </c>
      <c r="S593" s="26">
        <f>'BUMN Synergy Calculation'!S62</f>
        <v>31.659097018686907</v>
      </c>
      <c r="T593" s="26">
        <f>'BUMN Synergy Calculation'!T62</f>
        <v>32.608869929247518</v>
      </c>
    </row>
    <row r="594" spans="2:20" x14ac:dyDescent="0.25">
      <c r="B594" s="23" t="s">
        <v>3332</v>
      </c>
      <c r="C594" s="28" t="s">
        <v>493</v>
      </c>
      <c r="H594" s="159">
        <f>-'Capex &amp; Depreciation'!H247</f>
        <v>0</v>
      </c>
      <c r="I594" s="159">
        <f>-'Capex &amp; Depreciation'!I247</f>
        <v>0</v>
      </c>
      <c r="J594" s="159">
        <f>-'Capex &amp; Depreciation'!J247</f>
        <v>0</v>
      </c>
      <c r="K594" s="159">
        <f>-'Capex &amp; Depreciation'!K247</f>
        <v>0</v>
      </c>
      <c r="L594" s="159">
        <f>-'Capex &amp; Depreciation'!L247</f>
        <v>0</v>
      </c>
      <c r="M594" s="159">
        <f>-'Capex &amp; Depreciation'!M247</f>
        <v>0</v>
      </c>
      <c r="N594" s="159">
        <f>-'Capex &amp; Depreciation'!N247</f>
        <v>0</v>
      </c>
      <c r="O594" s="159">
        <f>-'Capex &amp; Depreciation'!O247</f>
        <v>0</v>
      </c>
      <c r="P594" s="159">
        <f>-'Capex &amp; Depreciation'!P247</f>
        <v>0</v>
      </c>
      <c r="Q594" s="159">
        <f>-'Capex &amp; Depreciation'!Q247</f>
        <v>0</v>
      </c>
      <c r="R594" s="159">
        <f>-'Capex &amp; Depreciation'!R247</f>
        <v>0</v>
      </c>
      <c r="S594" s="159">
        <f>-'Capex &amp; Depreciation'!S247</f>
        <v>0</v>
      </c>
      <c r="T594" s="159">
        <f>-'Capex &amp; Depreciation'!T247</f>
        <v>0</v>
      </c>
    </row>
    <row r="595" spans="2:20" x14ac:dyDescent="0.25">
      <c r="B595" s="21" t="s">
        <v>3333</v>
      </c>
      <c r="C595" s="28" t="s">
        <v>493</v>
      </c>
      <c r="H595" s="26">
        <f>'Project Cash Flows'!H264</f>
        <v>0</v>
      </c>
      <c r="I595" s="26">
        <f>'Project Cash Flows'!I264</f>
        <v>0</v>
      </c>
      <c r="J595" s="26">
        <f>'Project Cash Flows'!J264</f>
        <v>24.264061686011878</v>
      </c>
      <c r="K595" s="26">
        <f>'Project Cash Flows'!K264</f>
        <v>24.991983536592237</v>
      </c>
      <c r="L595" s="26">
        <f>'Project Cash Flows'!L264</f>
        <v>25.741743042690004</v>
      </c>
      <c r="M595" s="26">
        <f>'Project Cash Flows'!M264</f>
        <v>26.513995333970705</v>
      </c>
      <c r="N595" s="26">
        <f>'Project Cash Flows'!N264</f>
        <v>27.309415193989821</v>
      </c>
      <c r="O595" s="26">
        <f>'Project Cash Flows'!O264</f>
        <v>28.128697649809517</v>
      </c>
      <c r="P595" s="26">
        <f>'Project Cash Flows'!P264</f>
        <v>28.972558579303808</v>
      </c>
      <c r="Q595" s="26">
        <f>'Project Cash Flows'!Q264</f>
        <v>29.84173533668293</v>
      </c>
      <c r="R595" s="26">
        <f>'Project Cash Flows'!R264</f>
        <v>30.736987396783412</v>
      </c>
      <c r="S595" s="26">
        <f>'Project Cash Flows'!S264</f>
        <v>31.659097018686907</v>
      </c>
      <c r="T595" s="26">
        <f>'Project Cash Flows'!T264</f>
        <v>32.608869929247518</v>
      </c>
    </row>
    <row r="596" spans="2:20" x14ac:dyDescent="0.25">
      <c r="B596" s="23" t="s">
        <v>3334</v>
      </c>
      <c r="C596" s="28" t="s">
        <v>493</v>
      </c>
      <c r="H596" s="159">
        <f>-'Project Cash Flows'!H265</f>
        <v>0</v>
      </c>
      <c r="I596" s="159">
        <f>-'Project Cash Flows'!I265</f>
        <v>0</v>
      </c>
      <c r="J596" s="159">
        <f>-'Project Cash Flows'!J265</f>
        <v>0</v>
      </c>
      <c r="K596" s="159">
        <f>-'Project Cash Flows'!K265</f>
        <v>0</v>
      </c>
      <c r="L596" s="159">
        <f>-'Project Cash Flows'!L265</f>
        <v>0</v>
      </c>
      <c r="M596" s="159">
        <f>-'Project Cash Flows'!M265</f>
        <v>0</v>
      </c>
      <c r="N596" s="159">
        <f>-'Project Cash Flows'!N265</f>
        <v>0</v>
      </c>
      <c r="O596" s="159">
        <f>-'Project Cash Flows'!O265</f>
        <v>0</v>
      </c>
      <c r="P596" s="159">
        <f>-'Project Cash Flows'!P265</f>
        <v>0</v>
      </c>
      <c r="Q596" s="159">
        <f>-'Project Cash Flows'!Q265</f>
        <v>0</v>
      </c>
      <c r="R596" s="159">
        <f>-'Project Cash Flows'!R265</f>
        <v>0</v>
      </c>
      <c r="S596" s="159">
        <f>-'Project Cash Flows'!S265</f>
        <v>0</v>
      </c>
      <c r="T596" s="159">
        <f>-'Project Cash Flows'!T265</f>
        <v>0</v>
      </c>
    </row>
    <row r="597" spans="2:20" x14ac:dyDescent="0.25">
      <c r="B597" s="23" t="s">
        <v>3335</v>
      </c>
      <c r="C597" s="28" t="s">
        <v>493</v>
      </c>
      <c r="H597" s="159">
        <f>-'Project Cash Flows'!H266</f>
        <v>0</v>
      </c>
      <c r="I597" s="159">
        <f>-'Project Cash Flows'!I266</f>
        <v>0</v>
      </c>
      <c r="J597" s="159">
        <f>-'Project Cash Flows'!J266</f>
        <v>-5.3380935709226129</v>
      </c>
      <c r="K597" s="159">
        <f>-'Project Cash Flows'!K266</f>
        <v>-5.4982363780502919</v>
      </c>
      <c r="L597" s="159">
        <f>-'Project Cash Flows'!L266</f>
        <v>-5.6631834693918011</v>
      </c>
      <c r="M597" s="159">
        <f>-'Project Cash Flows'!M266</f>
        <v>-5.8330789734735555</v>
      </c>
      <c r="N597" s="159">
        <f>-'Project Cash Flows'!N266</f>
        <v>-6.008071342677761</v>
      </c>
      <c r="O597" s="159">
        <f>-'Project Cash Flows'!O266</f>
        <v>-6.1883134829580939</v>
      </c>
      <c r="P597" s="159">
        <f>-'Project Cash Flows'!P266</f>
        <v>-6.3739628874468375</v>
      </c>
      <c r="Q597" s="159">
        <f>-'Project Cash Flows'!Q266</f>
        <v>-6.5651817740702443</v>
      </c>
      <c r="R597" s="159">
        <f>-'Project Cash Flows'!R266</f>
        <v>-6.7621372272923503</v>
      </c>
      <c r="S597" s="159">
        <f>-'Project Cash Flows'!S266</f>
        <v>-6.96500134411112</v>
      </c>
      <c r="T597" s="159">
        <f>-'Project Cash Flows'!T266</f>
        <v>-7.1739513844344538</v>
      </c>
    </row>
    <row r="598" spans="2:20" x14ac:dyDescent="0.25">
      <c r="B598" s="21" t="s">
        <v>3336</v>
      </c>
      <c r="C598" s="28" t="s">
        <v>493</v>
      </c>
      <c r="H598" s="26">
        <f>'Project Cash Flows'!H267</f>
        <v>0</v>
      </c>
      <c r="I598" s="26">
        <f>'Project Cash Flows'!I267</f>
        <v>0</v>
      </c>
      <c r="J598" s="26">
        <f>'Project Cash Flows'!J267</f>
        <v>18.925968115089265</v>
      </c>
      <c r="K598" s="26">
        <f>'Project Cash Flows'!K267</f>
        <v>19.493747158541943</v>
      </c>
      <c r="L598" s="26">
        <f>'Project Cash Flows'!L267</f>
        <v>20.078559573298204</v>
      </c>
      <c r="M598" s="26">
        <f>'Project Cash Flows'!M267</f>
        <v>20.68091636049715</v>
      </c>
      <c r="N598" s="26">
        <f>'Project Cash Flows'!N267</f>
        <v>21.301343851312062</v>
      </c>
      <c r="O598" s="26">
        <f>'Project Cash Flows'!O267</f>
        <v>21.940384166851423</v>
      </c>
      <c r="P598" s="26">
        <f>'Project Cash Flows'!P267</f>
        <v>22.598595691856971</v>
      </c>
      <c r="Q598" s="26">
        <f>'Project Cash Flows'!Q267</f>
        <v>23.276553562612687</v>
      </c>
      <c r="R598" s="26">
        <f>'Project Cash Flows'!R267</f>
        <v>23.974850169491063</v>
      </c>
      <c r="S598" s="26">
        <f>'Project Cash Flows'!S267</f>
        <v>24.694095674575788</v>
      </c>
      <c r="T598" s="26">
        <f>'Project Cash Flows'!T267</f>
        <v>25.434918544813065</v>
      </c>
    </row>
    <row r="599" spans="2:20" x14ac:dyDescent="0.25">
      <c r="B599" s="163" t="s">
        <v>3337</v>
      </c>
    </row>
    <row r="600" spans="2:20" x14ac:dyDescent="0.25">
      <c r="B600" s="23" t="s">
        <v>3338</v>
      </c>
      <c r="C600" s="28" t="s">
        <v>493</v>
      </c>
      <c r="G600" s="29">
        <f>'Capex &amp; Depreciation'!G301</f>
        <v>0</v>
      </c>
      <c r="H600" s="29">
        <f>'Capex &amp; Depreciation'!H301</f>
        <v>0</v>
      </c>
      <c r="I600" s="29">
        <f>'Capex &amp; Depreciation'!I301</f>
        <v>0</v>
      </c>
      <c r="J600" s="29">
        <f>'Capex &amp; Depreciation'!J301</f>
        <v>0</v>
      </c>
      <c r="K600" s="29">
        <f>'Capex &amp; Depreciation'!K301</f>
        <v>0</v>
      </c>
      <c r="L600" s="29">
        <f>'Capex &amp; Depreciation'!L301</f>
        <v>0</v>
      </c>
      <c r="M600" s="29">
        <f>'Capex &amp; Depreciation'!M301</f>
        <v>0</v>
      </c>
      <c r="N600" s="29">
        <f>'Capex &amp; Depreciation'!N301</f>
        <v>0</v>
      </c>
      <c r="O600" s="29">
        <f>'Capex &amp; Depreciation'!O301</f>
        <v>0</v>
      </c>
      <c r="P600" s="29">
        <f>'Capex &amp; Depreciation'!P301</f>
        <v>0</v>
      </c>
      <c r="Q600" s="29">
        <f>'Capex &amp; Depreciation'!Q301</f>
        <v>0</v>
      </c>
      <c r="R600" s="29">
        <f>'Capex &amp; Depreciation'!R301</f>
        <v>0</v>
      </c>
      <c r="S600" s="29">
        <f>'Capex &amp; Depreciation'!S301</f>
        <v>0</v>
      </c>
      <c r="T600" s="29">
        <f>'Capex &amp; Depreciation'!T301</f>
        <v>0</v>
      </c>
    </row>
    <row r="601" spans="2:20" x14ac:dyDescent="0.25">
      <c r="B601" s="23" t="s">
        <v>3339</v>
      </c>
      <c r="C601" s="28" t="s">
        <v>493</v>
      </c>
      <c r="G601" s="159">
        <v>0</v>
      </c>
      <c r="H601" s="29">
        <f>'Working Capital'!H77</f>
        <v>0</v>
      </c>
      <c r="I601" s="29">
        <f>'Working Capital'!I77</f>
        <v>0</v>
      </c>
      <c r="J601" s="29">
        <f>'Working Capital'!J77</f>
        <v>6.9568829300448209</v>
      </c>
      <c r="K601" s="29">
        <f>'Working Capital'!K77</f>
        <v>7.1655894179461654</v>
      </c>
      <c r="L601" s="29">
        <f>'Working Capital'!L77</f>
        <v>7.3603916439258503</v>
      </c>
      <c r="M601" s="29">
        <f>'Working Capital'!M77</f>
        <v>7.6019738134990877</v>
      </c>
      <c r="N601" s="29">
        <f>'Working Capital'!N77</f>
        <v>7.8300330279040589</v>
      </c>
      <c r="O601" s="29">
        <f>'Working Capital'!O77</f>
        <v>8.064934018741182</v>
      </c>
      <c r="P601" s="29">
        <f>'Working Capital'!P77</f>
        <v>8.2841856402889267</v>
      </c>
      <c r="Q601" s="29">
        <f>'Working Capital'!Q77</f>
        <v>8.556088500482522</v>
      </c>
      <c r="R601" s="29">
        <f>'Working Capital'!R77</f>
        <v>8.8127711554969963</v>
      </c>
      <c r="S601" s="29">
        <f>'Working Capital'!S77</f>
        <v>9.0771542901619053</v>
      </c>
      <c r="T601" s="29">
        <f>'Working Capital'!T77</f>
        <v>9.3239239218206809</v>
      </c>
    </row>
    <row r="602" spans="2:20" x14ac:dyDescent="0.25">
      <c r="B602" s="23" t="s">
        <v>3340</v>
      </c>
      <c r="C602" s="28" t="s">
        <v>493</v>
      </c>
      <c r="G602" s="159">
        <v>0</v>
      </c>
      <c r="H602" s="159">
        <f>-'Working Capital'!H78</f>
        <v>0</v>
      </c>
      <c r="I602" s="159">
        <f>-'Working Capital'!I78</f>
        <v>0</v>
      </c>
      <c r="J602" s="159">
        <f>-'Working Capital'!J78</f>
        <v>0</v>
      </c>
      <c r="K602" s="159">
        <f>-'Working Capital'!K78</f>
        <v>0</v>
      </c>
      <c r="L602" s="159">
        <f>-'Working Capital'!L78</f>
        <v>0</v>
      </c>
      <c r="M602" s="159">
        <f>-'Working Capital'!M78</f>
        <v>0</v>
      </c>
      <c r="N602" s="159">
        <f>-'Working Capital'!N78</f>
        <v>0</v>
      </c>
      <c r="O602" s="159">
        <f>-'Working Capital'!O78</f>
        <v>0</v>
      </c>
      <c r="P602" s="159">
        <f>-'Working Capital'!P78</f>
        <v>0</v>
      </c>
      <c r="Q602" s="159">
        <f>-'Working Capital'!Q78</f>
        <v>0</v>
      </c>
      <c r="R602" s="159">
        <f>-'Working Capital'!R78</f>
        <v>0</v>
      </c>
      <c r="S602" s="159">
        <f>-'Working Capital'!S78</f>
        <v>0</v>
      </c>
      <c r="T602" s="159">
        <f>-'Working Capital'!T78</f>
        <v>0</v>
      </c>
    </row>
    <row r="603" spans="2:20" x14ac:dyDescent="0.25">
      <c r="B603" s="21" t="s">
        <v>3341</v>
      </c>
      <c r="C603" s="28" t="s">
        <v>493</v>
      </c>
      <c r="G603" s="26">
        <f>'Capex &amp; Depreciation'!G301</f>
        <v>0</v>
      </c>
      <c r="H603" s="160">
        <f>'Capex &amp; Depreciation'!H301+'Working Capital'!H79</f>
        <v>0</v>
      </c>
      <c r="I603" s="160">
        <f>'Capex &amp; Depreciation'!I301+'Working Capital'!I79</f>
        <v>0</v>
      </c>
      <c r="J603" s="160">
        <f>'Capex &amp; Depreciation'!J301+'Working Capital'!J79</f>
        <v>6.9568829300448209</v>
      </c>
      <c r="K603" s="160">
        <f>'Capex &amp; Depreciation'!K301+'Working Capital'!K79</f>
        <v>7.1655894179461654</v>
      </c>
      <c r="L603" s="160">
        <f>'Capex &amp; Depreciation'!L301+'Working Capital'!L79</f>
        <v>7.3603916439258503</v>
      </c>
      <c r="M603" s="160">
        <f>'Capex &amp; Depreciation'!M301+'Working Capital'!M79</f>
        <v>7.6019738134990877</v>
      </c>
      <c r="N603" s="160">
        <f>'Capex &amp; Depreciation'!N301+'Working Capital'!N79</f>
        <v>7.8300330279040589</v>
      </c>
      <c r="O603" s="160">
        <f>'Capex &amp; Depreciation'!O301+'Working Capital'!O79</f>
        <v>8.064934018741182</v>
      </c>
      <c r="P603" s="160">
        <f>'Capex &amp; Depreciation'!P301+'Working Capital'!P79</f>
        <v>8.2841856402889267</v>
      </c>
      <c r="Q603" s="160">
        <f>'Capex &amp; Depreciation'!Q301+'Working Capital'!Q79</f>
        <v>8.556088500482522</v>
      </c>
      <c r="R603" s="160">
        <f>'Capex &amp; Depreciation'!R301+'Working Capital'!R79</f>
        <v>8.8127711554969963</v>
      </c>
      <c r="S603" s="160">
        <f>'Capex &amp; Depreciation'!S301+'Working Capital'!S79</f>
        <v>9.0771542901619053</v>
      </c>
      <c r="T603" s="160">
        <f>'Capex &amp; Depreciation'!T301+'Working Capital'!T79</f>
        <v>9.3239239218206809</v>
      </c>
    </row>
    <row r="604" spans="2:20" x14ac:dyDescent="0.25">
      <c r="B604" s="163" t="s">
        <v>3342</v>
      </c>
    </row>
    <row r="605" spans="2:20" x14ac:dyDescent="0.25">
      <c r="B605" s="23" t="s">
        <v>3221</v>
      </c>
      <c r="C605" s="28" t="s">
        <v>493</v>
      </c>
      <c r="H605" s="29">
        <f>'Project Cash Flows'!H263</f>
        <v>0</v>
      </c>
      <c r="I605" s="29">
        <f>'Project Cash Flows'!I263</f>
        <v>0</v>
      </c>
      <c r="J605" s="29">
        <f>'Project Cash Flows'!J263</f>
        <v>24.264061686011878</v>
      </c>
      <c r="K605" s="29">
        <f>'Project Cash Flows'!K263</f>
        <v>24.991983536592237</v>
      </c>
      <c r="L605" s="29">
        <f>'Project Cash Flows'!L263</f>
        <v>25.741743042690004</v>
      </c>
      <c r="M605" s="29">
        <f>'Project Cash Flows'!M263</f>
        <v>26.513995333970705</v>
      </c>
      <c r="N605" s="29">
        <f>'Project Cash Flows'!N263</f>
        <v>27.309415193989821</v>
      </c>
      <c r="O605" s="29">
        <f>'Project Cash Flows'!O263</f>
        <v>28.128697649809517</v>
      </c>
      <c r="P605" s="29">
        <f>'Project Cash Flows'!P263</f>
        <v>28.972558579303808</v>
      </c>
      <c r="Q605" s="29">
        <f>'Project Cash Flows'!Q263</f>
        <v>29.84173533668293</v>
      </c>
      <c r="R605" s="29">
        <f>'Project Cash Flows'!R263</f>
        <v>30.736987396783412</v>
      </c>
      <c r="S605" s="29">
        <f>'Project Cash Flows'!S263</f>
        <v>31.659097018686907</v>
      </c>
      <c r="T605" s="29">
        <f>'Project Cash Flows'!T263</f>
        <v>32.608869929247518</v>
      </c>
    </row>
    <row r="606" spans="2:20" x14ac:dyDescent="0.25">
      <c r="B606" s="23" t="s">
        <v>3343</v>
      </c>
      <c r="C606" s="28" t="s">
        <v>493</v>
      </c>
      <c r="H606" s="29">
        <f>'Project Cash Flows'!H268</f>
        <v>0</v>
      </c>
      <c r="I606" s="29">
        <f>'Project Cash Flows'!I268</f>
        <v>0</v>
      </c>
      <c r="J606" s="29">
        <f>'Project Cash Flows'!J268</f>
        <v>-5.3380935709226129</v>
      </c>
      <c r="K606" s="29">
        <f>'Project Cash Flows'!K268</f>
        <v>-5.4982363780502919</v>
      </c>
      <c r="L606" s="29">
        <f>'Project Cash Flows'!L268</f>
        <v>-5.6631834693918011</v>
      </c>
      <c r="M606" s="29">
        <f>'Project Cash Flows'!M268</f>
        <v>-5.8330789734735555</v>
      </c>
      <c r="N606" s="29">
        <f>'Project Cash Flows'!N268</f>
        <v>-6.008071342677761</v>
      </c>
      <c r="O606" s="29">
        <f>'Project Cash Flows'!O268</f>
        <v>-6.1883134829580939</v>
      </c>
      <c r="P606" s="29">
        <f>'Project Cash Flows'!P268</f>
        <v>-6.3739628874468375</v>
      </c>
      <c r="Q606" s="29">
        <f>'Project Cash Flows'!Q268</f>
        <v>-6.5651817740702443</v>
      </c>
      <c r="R606" s="29">
        <f>'Project Cash Flows'!R268</f>
        <v>-6.7621372272923503</v>
      </c>
      <c r="S606" s="29">
        <f>'Project Cash Flows'!S268</f>
        <v>-6.96500134411112</v>
      </c>
      <c r="T606" s="29">
        <f>'Project Cash Flows'!T268</f>
        <v>-7.1739513844344538</v>
      </c>
    </row>
    <row r="607" spans="2:20" x14ac:dyDescent="0.25">
      <c r="B607" s="23" t="s">
        <v>3227</v>
      </c>
      <c r="C607" s="28" t="s">
        <v>493</v>
      </c>
      <c r="H607" s="29">
        <f>'Project Cash Flows'!H269</f>
        <v>0</v>
      </c>
      <c r="I607" s="29">
        <f>'Project Cash Flows'!I269</f>
        <v>0</v>
      </c>
      <c r="J607" s="29">
        <f>'Project Cash Flows'!J269</f>
        <v>0</v>
      </c>
      <c r="K607" s="29">
        <f>'Project Cash Flows'!K269</f>
        <v>0</v>
      </c>
      <c r="L607" s="29">
        <f>'Project Cash Flows'!L269</f>
        <v>0</v>
      </c>
      <c r="M607" s="29">
        <f>'Project Cash Flows'!M269</f>
        <v>0</v>
      </c>
      <c r="N607" s="29">
        <f>'Project Cash Flows'!N269</f>
        <v>0</v>
      </c>
      <c r="O607" s="29">
        <f>'Project Cash Flows'!O269</f>
        <v>0</v>
      </c>
      <c r="P607" s="29">
        <f>'Project Cash Flows'!P269</f>
        <v>0</v>
      </c>
      <c r="Q607" s="29">
        <f>'Project Cash Flows'!Q269</f>
        <v>0</v>
      </c>
      <c r="R607" s="29">
        <f>'Project Cash Flows'!R269</f>
        <v>0</v>
      </c>
      <c r="S607" s="29">
        <f>'Project Cash Flows'!S269</f>
        <v>0</v>
      </c>
      <c r="T607" s="29">
        <f>'Project Cash Flows'!T269</f>
        <v>0</v>
      </c>
    </row>
    <row r="608" spans="2:20" x14ac:dyDescent="0.25">
      <c r="B608" s="23" t="s">
        <v>3228</v>
      </c>
      <c r="C608" s="28" t="s">
        <v>493</v>
      </c>
      <c r="H608" s="29">
        <f>'Project Cash Flows'!H270</f>
        <v>0</v>
      </c>
      <c r="I608" s="29">
        <f>'Project Cash Flows'!I270</f>
        <v>0</v>
      </c>
      <c r="J608" s="29">
        <f>'Project Cash Flows'!J270</f>
        <v>-6.9568829300448209</v>
      </c>
      <c r="K608" s="29">
        <f>'Project Cash Flows'!K270</f>
        <v>-0.2087064879013445</v>
      </c>
      <c r="L608" s="29">
        <f>'Project Cash Flows'!L270</f>
        <v>-0.19480222597968488</v>
      </c>
      <c r="M608" s="29">
        <f>'Project Cash Flows'!M270</f>
        <v>-0.24158216957323742</v>
      </c>
      <c r="N608" s="29">
        <f>'Project Cash Flows'!N270</f>
        <v>-0.22805921440497112</v>
      </c>
      <c r="O608" s="29">
        <f>'Project Cash Flows'!O270</f>
        <v>-0.23490099083712312</v>
      </c>
      <c r="P608" s="29">
        <f>'Project Cash Flows'!P270</f>
        <v>-0.21925162154774469</v>
      </c>
      <c r="Q608" s="29">
        <f>'Project Cash Flows'!Q270</f>
        <v>-0.27190286019359533</v>
      </c>
      <c r="R608" s="29">
        <f>'Project Cash Flows'!R270</f>
        <v>-0.25668265501447429</v>
      </c>
      <c r="S608" s="29">
        <f>'Project Cash Flows'!S270</f>
        <v>-0.26438313466490904</v>
      </c>
      <c r="T608" s="29">
        <f>'Project Cash Flows'!T270</f>
        <v>-0.24676963165877552</v>
      </c>
    </row>
    <row r="609" spans="2:20" x14ac:dyDescent="0.25">
      <c r="B609" s="21" t="s">
        <v>3344</v>
      </c>
      <c r="C609" s="28" t="s">
        <v>493</v>
      </c>
      <c r="H609" s="26">
        <f>'Project Cash Flows'!H271</f>
        <v>0</v>
      </c>
      <c r="I609" s="26">
        <f>'Project Cash Flows'!I271</f>
        <v>0</v>
      </c>
      <c r="J609" s="26">
        <f>'Project Cash Flows'!J271</f>
        <v>11.969085185044445</v>
      </c>
      <c r="K609" s="26">
        <f>'Project Cash Flows'!K271</f>
        <v>19.285040670640598</v>
      </c>
      <c r="L609" s="26">
        <f>'Project Cash Flows'!L271</f>
        <v>19.883757347318518</v>
      </c>
      <c r="M609" s="26">
        <f>'Project Cash Flows'!M271</f>
        <v>20.439334190923912</v>
      </c>
      <c r="N609" s="26">
        <f>'Project Cash Flows'!N271</f>
        <v>21.07328463690709</v>
      </c>
      <c r="O609" s="26">
        <f>'Project Cash Flows'!O271</f>
        <v>21.705483176014301</v>
      </c>
      <c r="P609" s="26">
        <f>'Project Cash Flows'!P271</f>
        <v>22.379344070309227</v>
      </c>
      <c r="Q609" s="26">
        <f>'Project Cash Flows'!Q271</f>
        <v>23.004650702419092</v>
      </c>
      <c r="R609" s="26">
        <f>'Project Cash Flows'!R271</f>
        <v>23.71816751447659</v>
      </c>
      <c r="S609" s="26">
        <f>'Project Cash Flows'!S271</f>
        <v>24.429712539910881</v>
      </c>
      <c r="T609" s="26">
        <f>'Project Cash Flows'!T271</f>
        <v>25.18814891315429</v>
      </c>
    </row>
    <row r="610" spans="2:20" x14ac:dyDescent="0.25">
      <c r="B610" s="23" t="s">
        <v>3345</v>
      </c>
      <c r="C610" s="28" t="s">
        <v>493</v>
      </c>
      <c r="G610" s="29">
        <f>'Project Cash Flows'!G274</f>
        <v>0</v>
      </c>
      <c r="H610" s="29">
        <f>'Project Cash Flows'!H274</f>
        <v>0</v>
      </c>
      <c r="I610" s="29">
        <f>'Project Cash Flows'!I274</f>
        <v>0</v>
      </c>
      <c r="J610" s="29">
        <f>'Project Cash Flows'!J274</f>
        <v>11.969085185044445</v>
      </c>
      <c r="K610" s="29">
        <f>'Project Cash Flows'!K274</f>
        <v>31.254125855685043</v>
      </c>
      <c r="L610" s="29">
        <f>'Project Cash Flows'!L274</f>
        <v>51.137883203003561</v>
      </c>
      <c r="M610" s="29">
        <f>'Project Cash Flows'!M274</f>
        <v>71.577217393927469</v>
      </c>
      <c r="N610" s="29">
        <f>'Project Cash Flows'!N274</f>
        <v>92.650502030834559</v>
      </c>
      <c r="O610" s="29">
        <f>'Project Cash Flows'!O274</f>
        <v>114.35598520684886</v>
      </c>
      <c r="P610" s="29">
        <f>'Project Cash Flows'!P274</f>
        <v>136.73532927715809</v>
      </c>
      <c r="Q610" s="29">
        <f>'Project Cash Flows'!Q274</f>
        <v>159.73997997957719</v>
      </c>
      <c r="R610" s="29">
        <f>'Project Cash Flows'!R274</f>
        <v>183.45814749405378</v>
      </c>
      <c r="S610" s="29">
        <f>'Project Cash Flows'!S274</f>
        <v>207.88786003396467</v>
      </c>
      <c r="T610" s="29">
        <f>'Project Cash Flows'!T274</f>
        <v>233.07600894711896</v>
      </c>
    </row>
    <row r="611" spans="2:20" x14ac:dyDescent="0.25">
      <c r="B611" s="163" t="s">
        <v>3346</v>
      </c>
    </row>
    <row r="612" spans="2:20" x14ac:dyDescent="0.25">
      <c r="B612" s="23" t="s">
        <v>3347</v>
      </c>
      <c r="C612" s="28" t="s">
        <v>493</v>
      </c>
      <c r="H612" s="29">
        <f>'Capex &amp; Depreciation'!H274</f>
        <v>0</v>
      </c>
      <c r="I612" s="29">
        <f>'Capex &amp; Depreciation'!I274</f>
        <v>0</v>
      </c>
      <c r="J612" s="29">
        <f>'Capex &amp; Depreciation'!J274</f>
        <v>0</v>
      </c>
      <c r="K612" s="29">
        <f>'Capex &amp; Depreciation'!K274</f>
        <v>0</v>
      </c>
      <c r="L612" s="29">
        <f>'Capex &amp; Depreciation'!L274</f>
        <v>0</v>
      </c>
      <c r="M612" s="29">
        <f>'Capex &amp; Depreciation'!M274</f>
        <v>0</v>
      </c>
      <c r="N612" s="29">
        <f>'Capex &amp; Depreciation'!N274</f>
        <v>0</v>
      </c>
      <c r="O612" s="29">
        <f>'Capex &amp; Depreciation'!O274</f>
        <v>0</v>
      </c>
      <c r="P612" s="29">
        <f>'Capex &amp; Depreciation'!P274</f>
        <v>0</v>
      </c>
      <c r="Q612" s="29">
        <f>'Capex &amp; Depreciation'!Q274</f>
        <v>0</v>
      </c>
      <c r="R612" s="29">
        <f>'Capex &amp; Depreciation'!R274</f>
        <v>0</v>
      </c>
      <c r="S612" s="29">
        <f>'Capex &amp; Depreciation'!S274</f>
        <v>0</v>
      </c>
      <c r="T612" s="29">
        <f>'Capex &amp; Depreciation'!T274</f>
        <v>0</v>
      </c>
    </row>
    <row r="613" spans="2:20" x14ac:dyDescent="0.25">
      <c r="B613" s="163" t="s">
        <v>3348</v>
      </c>
    </row>
    <row r="614" spans="2:20" x14ac:dyDescent="0.25">
      <c r="B614" s="44" t="s">
        <v>3349</v>
      </c>
      <c r="D614" s="204">
        <f>'Project Cash Flows'!$E$23</f>
        <v>217.51833035468769</v>
      </c>
      <c r="H614" s="44" t="s">
        <v>3176</v>
      </c>
      <c r="K614" s="205" t="str">
        <f>'Project Cash Flows'!$H$23</f>
        <v>Not meaningful</v>
      </c>
      <c r="N614" s="44" t="s">
        <v>3350</v>
      </c>
      <c r="Q614" s="205" t="str">
        <f>'Project Cash Flows'!$I$23</f>
        <v>Not meaningful</v>
      </c>
    </row>
    <row r="615" spans="2:20" x14ac:dyDescent="0.25">
      <c r="B615" s="44" t="s">
        <v>3180</v>
      </c>
      <c r="D615" s="205" t="str">
        <f>'Project Cash Flows'!$L$23</f>
        <v>n/a</v>
      </c>
      <c r="H615" s="44" t="s">
        <v>3351</v>
      </c>
      <c r="K615" s="206" t="str">
        <f>'Project Cash Flows'!$J$23</f>
        <v>Not meaningful</v>
      </c>
      <c r="N615" s="44" t="s">
        <v>3179</v>
      </c>
      <c r="Q615" s="204" t="str">
        <f>'Project Cash Flows'!$K$23</f>
        <v>Not meaningful</v>
      </c>
    </row>
    <row r="617" spans="2:20" x14ac:dyDescent="0.25">
      <c r="B617" s="58" t="s">
        <v>3393</v>
      </c>
      <c r="C617" s="19"/>
      <c r="D617" s="19"/>
      <c r="E617" s="19"/>
      <c r="F617" s="19"/>
      <c r="G617" s="19"/>
      <c r="H617" s="19"/>
      <c r="I617" s="19"/>
      <c r="J617" s="19"/>
      <c r="K617" s="19"/>
      <c r="L617" s="19"/>
      <c r="M617" s="19"/>
      <c r="N617" s="19"/>
      <c r="O617" s="19"/>
      <c r="P617" s="19"/>
      <c r="Q617" s="19"/>
      <c r="R617" s="19"/>
      <c r="S617" s="19"/>
      <c r="T617" s="19"/>
    </row>
    <row r="618" spans="2:20" x14ac:dyDescent="0.25">
      <c r="B618" s="70" t="s">
        <v>1690</v>
      </c>
      <c r="D618" s="130" t="str">
        <f>Inputs!$I$77</f>
        <v>Included - With BUMN case only</v>
      </c>
      <c r="M618" s="202" t="s">
        <v>3323</v>
      </c>
      <c r="N618" s="203">
        <f>Inputs!$H$77</f>
        <v>1</v>
      </c>
    </row>
    <row r="619" spans="2:20" x14ac:dyDescent="0.25">
      <c r="B619" s="163" t="s">
        <v>3324</v>
      </c>
    </row>
    <row r="620" spans="2:20" x14ac:dyDescent="0.25">
      <c r="B620" s="23" t="s">
        <v>3388</v>
      </c>
      <c r="C620" s="28" t="s">
        <v>630</v>
      </c>
      <c r="H620" s="48">
        <f>'BUMN Synergy Calculation'!H78</f>
        <v>0</v>
      </c>
      <c r="I620" s="48">
        <f>'BUMN Synergy Calculation'!I78</f>
        <v>0</v>
      </c>
      <c r="J620" s="48">
        <f>'BUMN Synergy Calculation'!J78</f>
        <v>795675</v>
      </c>
      <c r="K620" s="48">
        <f>'BUMN Synergy Calculation'!K78</f>
        <v>1019545.25</v>
      </c>
      <c r="L620" s="48">
        <f>'BUMN Synergy Calculation'!L78</f>
        <v>1094131.6075000002</v>
      </c>
      <c r="M620" s="48">
        <f>'BUMN Synergy Calculation'!M78</f>
        <v>1169455.5557250001</v>
      </c>
      <c r="N620" s="48">
        <f>'BUMN Synergy Calculation'!N78</f>
        <v>1245539.22239675</v>
      </c>
      <c r="O620" s="48">
        <f>'BUMN Synergy Calculation'!O78</f>
        <v>1322405.3990686527</v>
      </c>
      <c r="P620" s="48">
        <f>'BUMN Synergy Calculation'!P78</f>
        <v>1400077.5610407123</v>
      </c>
      <c r="Q620" s="48">
        <f>'BUMN Synergy Calculation'!Q78</f>
        <v>1478579.8878719336</v>
      </c>
      <c r="R620" s="48">
        <f>'BUMN Synergy Calculation'!R78</f>
        <v>1557937.2845080916</v>
      </c>
      <c r="S620" s="48">
        <f>'BUMN Synergy Calculation'!S78</f>
        <v>1038175.4030433345</v>
      </c>
      <c r="T620" s="48">
        <f>'BUMN Synergy Calculation'!T78</f>
        <v>1069320.6651346346</v>
      </c>
    </row>
    <row r="621" spans="2:20" x14ac:dyDescent="0.25">
      <c r="B621" s="23" t="s">
        <v>3392</v>
      </c>
      <c r="C621" s="28" t="s">
        <v>647</v>
      </c>
      <c r="H621" s="48">
        <f>'BUMN Synergy Calculation'!H73</f>
        <v>16089.264351425598</v>
      </c>
      <c r="I621" s="48">
        <f>'BUMN Synergy Calculation'!I73</f>
        <v>16089.264351425598</v>
      </c>
      <c r="J621" s="48">
        <f>'BUMN Synergy Calculation'!J73</f>
        <v>16089.264351425598</v>
      </c>
      <c r="K621" s="48">
        <f>'BUMN Synergy Calculation'!K73</f>
        <v>16089.264351425598</v>
      </c>
      <c r="L621" s="48">
        <f>'BUMN Synergy Calculation'!L73</f>
        <v>16089.264351425598</v>
      </c>
      <c r="M621" s="48">
        <f>'BUMN Synergy Calculation'!M73</f>
        <v>16089.264351425598</v>
      </c>
      <c r="N621" s="48">
        <f>'BUMN Synergy Calculation'!N73</f>
        <v>16089.264351425598</v>
      </c>
      <c r="O621" s="48">
        <f>'BUMN Synergy Calculation'!O73</f>
        <v>16089.264351425598</v>
      </c>
      <c r="P621" s="48">
        <f>'BUMN Synergy Calculation'!P73</f>
        <v>16089.264351425598</v>
      </c>
      <c r="Q621" s="48">
        <f>'BUMN Synergy Calculation'!Q73</f>
        <v>16089.264351425598</v>
      </c>
      <c r="R621" s="48">
        <f>'BUMN Synergy Calculation'!R73</f>
        <v>16089.264351425598</v>
      </c>
      <c r="S621" s="48">
        <f>'BUMN Synergy Calculation'!S73</f>
        <v>16089.264351425598</v>
      </c>
      <c r="T621" s="48">
        <f>'BUMN Synergy Calculation'!T73</f>
        <v>16089.264351425598</v>
      </c>
    </row>
    <row r="622" spans="2:20" x14ac:dyDescent="0.25">
      <c r="B622" s="163" t="s">
        <v>3328</v>
      </c>
    </row>
    <row r="623" spans="2:20" x14ac:dyDescent="0.25">
      <c r="B623" s="21" t="s">
        <v>3329</v>
      </c>
      <c r="C623" s="28" t="s">
        <v>493</v>
      </c>
      <c r="H623" s="26">
        <f>'BUMN Synergy Calculation'!H81</f>
        <v>0</v>
      </c>
      <c r="I623" s="26">
        <f>'BUMN Synergy Calculation'!I81</f>
        <v>0</v>
      </c>
      <c r="J623" s="26">
        <f>'BUMN Synergy Calculation'!J81</f>
        <v>12.801825412820563</v>
      </c>
      <c r="K623" s="26">
        <f>'BUMN Synergy Calculation'!K81</f>
        <v>16.403733045490299</v>
      </c>
      <c r="L623" s="26">
        <f>'BUMN Synergy Calculation'!L81</f>
        <v>17.603772668317738</v>
      </c>
      <c r="M623" s="26">
        <f>'BUMN Synergy Calculation'!M81</f>
        <v>18.815679583302856</v>
      </c>
      <c r="N623" s="26">
        <f>'BUMN Synergy Calculation'!N81</f>
        <v>20.039809809210389</v>
      </c>
      <c r="O623" s="26">
        <f>'BUMN Synergy Calculation'!O81</f>
        <v>21.276530045368016</v>
      </c>
      <c r="P623" s="26">
        <f>'BUMN Synergy Calculation'!P81</f>
        <v>22.526217992083229</v>
      </c>
      <c r="Q623" s="26">
        <f>'BUMN Synergy Calculation'!Q81</f>
        <v>23.78926268067276</v>
      </c>
      <c r="R623" s="26">
        <f>'BUMN Synergy Calculation'!R81</f>
        <v>25.066064813392838</v>
      </c>
      <c r="S623" s="26">
        <f>'BUMN Synergy Calculation'!S81</f>
        <v>16.703478502712024</v>
      </c>
      <c r="T623" s="26">
        <f>'BUMN Synergy Calculation'!T81</f>
        <v>17.204582857793383</v>
      </c>
    </row>
    <row r="624" spans="2:20" x14ac:dyDescent="0.25">
      <c r="B624" s="23" t="s">
        <v>3330</v>
      </c>
      <c r="C624" s="28" t="s">
        <v>493</v>
      </c>
      <c r="H624" s="159">
        <f>-'BUMN Synergy Calculation'!H82</f>
        <v>0</v>
      </c>
      <c r="I624" s="159">
        <f>-'BUMN Synergy Calculation'!I82</f>
        <v>0</v>
      </c>
      <c r="J624" s="159">
        <f>-'BUMN Synergy Calculation'!J82</f>
        <v>0</v>
      </c>
      <c r="K624" s="159">
        <f>-'BUMN Synergy Calculation'!K82</f>
        <v>0</v>
      </c>
      <c r="L624" s="159">
        <f>-'BUMN Synergy Calculation'!L82</f>
        <v>0</v>
      </c>
      <c r="M624" s="159">
        <f>-'BUMN Synergy Calculation'!M82</f>
        <v>0</v>
      </c>
      <c r="N624" s="159">
        <f>-'BUMN Synergy Calculation'!N82</f>
        <v>0</v>
      </c>
      <c r="O624" s="159">
        <f>-'BUMN Synergy Calculation'!O82</f>
        <v>0</v>
      </c>
      <c r="P624" s="159">
        <f>-'BUMN Synergy Calculation'!P82</f>
        <v>0</v>
      </c>
      <c r="Q624" s="159">
        <f>-'BUMN Synergy Calculation'!Q82</f>
        <v>0</v>
      </c>
      <c r="R624" s="159">
        <f>-'BUMN Synergy Calculation'!R82</f>
        <v>0</v>
      </c>
      <c r="S624" s="159">
        <f>-'BUMN Synergy Calculation'!S82</f>
        <v>0</v>
      </c>
      <c r="T624" s="159">
        <f>-'BUMN Synergy Calculation'!T82</f>
        <v>0</v>
      </c>
    </row>
    <row r="625" spans="2:20" x14ac:dyDescent="0.25">
      <c r="B625" s="23" t="s">
        <v>3331</v>
      </c>
      <c r="C625" s="28" t="s">
        <v>493</v>
      </c>
      <c r="H625" s="159">
        <f>-'BUMN Synergy Calculation'!H83</f>
        <v>0</v>
      </c>
      <c r="I625" s="159">
        <f>-'BUMN Synergy Calculation'!I83</f>
        <v>0</v>
      </c>
      <c r="J625" s="159">
        <f>-'BUMN Synergy Calculation'!J83</f>
        <v>-7.2970404853077211</v>
      </c>
      <c r="K625" s="159">
        <f>-'BUMN Synergy Calculation'!K83</f>
        <v>-9.3501278359294719</v>
      </c>
      <c r="L625" s="159">
        <f>-'BUMN Synergy Calculation'!L83</f>
        <v>-10.034150420941112</v>
      </c>
      <c r="M625" s="159">
        <f>-'BUMN Synergy Calculation'!M83</f>
        <v>-10.724937362482629</v>
      </c>
      <c r="N625" s="159">
        <f>-'BUMN Synergy Calculation'!N83</f>
        <v>-11.422691591249924</v>
      </c>
      <c r="O625" s="159">
        <f>-'BUMN Synergy Calculation'!O83</f>
        <v>-12.127622125859771</v>
      </c>
      <c r="P625" s="159">
        <f>-'BUMN Synergy Calculation'!P83</f>
        <v>-12.839944255487442</v>
      </c>
      <c r="Q625" s="159">
        <f>-'BUMN Synergy Calculation'!Q83</f>
        <v>-13.559879727983475</v>
      </c>
      <c r="R625" s="159">
        <f>-'BUMN Synergy Calculation'!R83</f>
        <v>-14.28765694363392</v>
      </c>
      <c r="S625" s="159">
        <f>-'BUMN Synergy Calculation'!S83</f>
        <v>-9.5209827465458545</v>
      </c>
      <c r="T625" s="159">
        <f>-'BUMN Synergy Calculation'!T83</f>
        <v>-9.8066122289422299</v>
      </c>
    </row>
    <row r="626" spans="2:20" x14ac:dyDescent="0.25">
      <c r="B626" s="21" t="s">
        <v>3221</v>
      </c>
      <c r="C626" s="28" t="s">
        <v>493</v>
      </c>
      <c r="H626" s="26">
        <f>'BUMN Synergy Calculation'!H84</f>
        <v>0</v>
      </c>
      <c r="I626" s="26">
        <f>'BUMN Synergy Calculation'!I84</f>
        <v>0</v>
      </c>
      <c r="J626" s="26">
        <f>'BUMN Synergy Calculation'!J84</f>
        <v>5.5047849275128415</v>
      </c>
      <c r="K626" s="26">
        <f>'BUMN Synergy Calculation'!K84</f>
        <v>7.0536052095608266</v>
      </c>
      <c r="L626" s="26">
        <f>'BUMN Synergy Calculation'!L84</f>
        <v>7.5696222473766266</v>
      </c>
      <c r="M626" s="26">
        <f>'BUMN Synergy Calculation'!M84</f>
        <v>8.0907422208202266</v>
      </c>
      <c r="N626" s="26">
        <f>'BUMN Synergy Calculation'!N84</f>
        <v>8.6171182179604653</v>
      </c>
      <c r="O626" s="26">
        <f>'BUMN Synergy Calculation'!O84</f>
        <v>9.148907919508245</v>
      </c>
      <c r="P626" s="26">
        <f>'BUMN Synergy Calculation'!P84</f>
        <v>9.6862737365957869</v>
      </c>
      <c r="Q626" s="26">
        <f>'BUMN Synergy Calculation'!Q84</f>
        <v>10.229382952689285</v>
      </c>
      <c r="R626" s="26">
        <f>'BUMN Synergy Calculation'!R84</f>
        <v>10.778407869758919</v>
      </c>
      <c r="S626" s="26">
        <f>'BUMN Synergy Calculation'!S84</f>
        <v>7.1824957561661691</v>
      </c>
      <c r="T626" s="26">
        <f>'BUMN Synergy Calculation'!T84</f>
        <v>7.3979706288511533</v>
      </c>
    </row>
    <row r="627" spans="2:20" x14ac:dyDescent="0.25">
      <c r="B627" s="23" t="s">
        <v>3332</v>
      </c>
      <c r="C627" s="28" t="s">
        <v>493</v>
      </c>
      <c r="H627" s="159">
        <f>-'Capex &amp; Depreciation'!H248</f>
        <v>0</v>
      </c>
      <c r="I627" s="159">
        <f>-'Capex &amp; Depreciation'!I248</f>
        <v>0</v>
      </c>
      <c r="J627" s="159">
        <f>-'Capex &amp; Depreciation'!J248</f>
        <v>0</v>
      </c>
      <c r="K627" s="159">
        <f>-'Capex &amp; Depreciation'!K248</f>
        <v>0</v>
      </c>
      <c r="L627" s="159">
        <f>-'Capex &amp; Depreciation'!L248</f>
        <v>0</v>
      </c>
      <c r="M627" s="159">
        <f>-'Capex &amp; Depreciation'!M248</f>
        <v>0</v>
      </c>
      <c r="N627" s="159">
        <f>-'Capex &amp; Depreciation'!N248</f>
        <v>0</v>
      </c>
      <c r="O627" s="159">
        <f>-'Capex &amp; Depreciation'!O248</f>
        <v>0</v>
      </c>
      <c r="P627" s="159">
        <f>-'Capex &amp; Depreciation'!P248</f>
        <v>0</v>
      </c>
      <c r="Q627" s="159">
        <f>-'Capex &amp; Depreciation'!Q248</f>
        <v>0</v>
      </c>
      <c r="R627" s="159">
        <f>-'Capex &amp; Depreciation'!R248</f>
        <v>0</v>
      </c>
      <c r="S627" s="159">
        <f>-'Capex &amp; Depreciation'!S248</f>
        <v>0</v>
      </c>
      <c r="T627" s="159">
        <f>-'Capex &amp; Depreciation'!T248</f>
        <v>0</v>
      </c>
    </row>
    <row r="628" spans="2:20" x14ac:dyDescent="0.25">
      <c r="B628" s="21" t="s">
        <v>3333</v>
      </c>
      <c r="C628" s="28" t="s">
        <v>493</v>
      </c>
      <c r="H628" s="26">
        <f>'Project Cash Flows'!H277</f>
        <v>0</v>
      </c>
      <c r="I628" s="26">
        <f>'Project Cash Flows'!I277</f>
        <v>0</v>
      </c>
      <c r="J628" s="26">
        <f>'Project Cash Flows'!J277</f>
        <v>5.5047849275128415</v>
      </c>
      <c r="K628" s="26">
        <f>'Project Cash Flows'!K277</f>
        <v>7.0536052095608266</v>
      </c>
      <c r="L628" s="26">
        <f>'Project Cash Flows'!L277</f>
        <v>7.5696222473766266</v>
      </c>
      <c r="M628" s="26">
        <f>'Project Cash Flows'!M277</f>
        <v>8.0907422208202266</v>
      </c>
      <c r="N628" s="26">
        <f>'Project Cash Flows'!N277</f>
        <v>8.6171182179604653</v>
      </c>
      <c r="O628" s="26">
        <f>'Project Cash Flows'!O277</f>
        <v>9.148907919508245</v>
      </c>
      <c r="P628" s="26">
        <f>'Project Cash Flows'!P277</f>
        <v>9.6862737365957869</v>
      </c>
      <c r="Q628" s="26">
        <f>'Project Cash Flows'!Q277</f>
        <v>10.229382952689285</v>
      </c>
      <c r="R628" s="26">
        <f>'Project Cash Flows'!R277</f>
        <v>10.778407869758919</v>
      </c>
      <c r="S628" s="26">
        <f>'Project Cash Flows'!S277</f>
        <v>7.1824957561661691</v>
      </c>
      <c r="T628" s="26">
        <f>'Project Cash Flows'!T277</f>
        <v>7.3979706288511533</v>
      </c>
    </row>
    <row r="629" spans="2:20" x14ac:dyDescent="0.25">
      <c r="B629" s="23" t="s">
        <v>3334</v>
      </c>
      <c r="C629" s="28" t="s">
        <v>493</v>
      </c>
      <c r="H629" s="159">
        <f>-'Project Cash Flows'!H278</f>
        <v>0</v>
      </c>
      <c r="I629" s="159">
        <f>-'Project Cash Flows'!I278</f>
        <v>0</v>
      </c>
      <c r="J629" s="159">
        <f>-'Project Cash Flows'!J278</f>
        <v>0</v>
      </c>
      <c r="K629" s="159">
        <f>-'Project Cash Flows'!K278</f>
        <v>0</v>
      </c>
      <c r="L629" s="159">
        <f>-'Project Cash Flows'!L278</f>
        <v>0</v>
      </c>
      <c r="M629" s="159">
        <f>-'Project Cash Flows'!M278</f>
        <v>0</v>
      </c>
      <c r="N629" s="159">
        <f>-'Project Cash Flows'!N278</f>
        <v>0</v>
      </c>
      <c r="O629" s="159">
        <f>-'Project Cash Flows'!O278</f>
        <v>0</v>
      </c>
      <c r="P629" s="159">
        <f>-'Project Cash Flows'!P278</f>
        <v>0</v>
      </c>
      <c r="Q629" s="159">
        <f>-'Project Cash Flows'!Q278</f>
        <v>0</v>
      </c>
      <c r="R629" s="159">
        <f>-'Project Cash Flows'!R278</f>
        <v>0</v>
      </c>
      <c r="S629" s="159">
        <f>-'Project Cash Flows'!S278</f>
        <v>0</v>
      </c>
      <c r="T629" s="159">
        <f>-'Project Cash Flows'!T278</f>
        <v>0</v>
      </c>
    </row>
    <row r="630" spans="2:20" x14ac:dyDescent="0.25">
      <c r="B630" s="23" t="s">
        <v>3335</v>
      </c>
      <c r="C630" s="28" t="s">
        <v>493</v>
      </c>
      <c r="H630" s="159">
        <f>-'Project Cash Flows'!H279</f>
        <v>0</v>
      </c>
      <c r="I630" s="159">
        <f>-'Project Cash Flows'!I279</f>
        <v>0</v>
      </c>
      <c r="J630" s="159">
        <f>-'Project Cash Flows'!J279</f>
        <v>-1.2110526840528251</v>
      </c>
      <c r="K630" s="159">
        <f>-'Project Cash Flows'!K279</f>
        <v>-1.5517931461033818</v>
      </c>
      <c r="L630" s="159">
        <f>-'Project Cash Flows'!L279</f>
        <v>-1.6653168944228578</v>
      </c>
      <c r="M630" s="159">
        <f>-'Project Cash Flows'!M279</f>
        <v>-1.7799632885804499</v>
      </c>
      <c r="N630" s="159">
        <f>-'Project Cash Flows'!N279</f>
        <v>-1.8957660079513023</v>
      </c>
      <c r="O630" s="159">
        <f>-'Project Cash Flows'!O279</f>
        <v>-2.0127597422918138</v>
      </c>
      <c r="P630" s="159">
        <f>-'Project Cash Flows'!P279</f>
        <v>-2.1309802220510732</v>
      </c>
      <c r="Q630" s="159">
        <f>-'Project Cash Flows'!Q279</f>
        <v>-2.2504642495916429</v>
      </c>
      <c r="R630" s="159">
        <f>-'Project Cash Flows'!R279</f>
        <v>-2.3712497313469623</v>
      </c>
      <c r="S630" s="159">
        <f>-'Project Cash Flows'!S279</f>
        <v>-1.5801490663565572</v>
      </c>
      <c r="T630" s="159">
        <f>-'Project Cash Flows'!T279</f>
        <v>-1.6275535383472537</v>
      </c>
    </row>
    <row r="631" spans="2:20" x14ac:dyDescent="0.25">
      <c r="B631" s="21" t="s">
        <v>3336</v>
      </c>
      <c r="C631" s="28" t="s">
        <v>493</v>
      </c>
      <c r="H631" s="26">
        <f>'Project Cash Flows'!H280</f>
        <v>0</v>
      </c>
      <c r="I631" s="26">
        <f>'Project Cash Flows'!I280</f>
        <v>0</v>
      </c>
      <c r="J631" s="26">
        <f>'Project Cash Flows'!J280</f>
        <v>4.2937322434600169</v>
      </c>
      <c r="K631" s="26">
        <f>'Project Cash Flows'!K280</f>
        <v>5.5018120634574448</v>
      </c>
      <c r="L631" s="26">
        <f>'Project Cash Flows'!L280</f>
        <v>5.9043053529537683</v>
      </c>
      <c r="M631" s="26">
        <f>'Project Cash Flows'!M280</f>
        <v>6.3107789322397769</v>
      </c>
      <c r="N631" s="26">
        <f>'Project Cash Flows'!N280</f>
        <v>6.7213522100091634</v>
      </c>
      <c r="O631" s="26">
        <f>'Project Cash Flows'!O280</f>
        <v>7.1361481772164312</v>
      </c>
      <c r="P631" s="26">
        <f>'Project Cash Flows'!P280</f>
        <v>7.5552935145447133</v>
      </c>
      <c r="Q631" s="26">
        <f>'Project Cash Flows'!Q280</f>
        <v>7.9789187030976425</v>
      </c>
      <c r="R631" s="26">
        <f>'Project Cash Flows'!R280</f>
        <v>8.4071581384119565</v>
      </c>
      <c r="S631" s="26">
        <f>'Project Cash Flows'!S280</f>
        <v>5.6023466898096119</v>
      </c>
      <c r="T631" s="26">
        <f>'Project Cash Flows'!T280</f>
        <v>5.7704170905038996</v>
      </c>
    </row>
    <row r="632" spans="2:20" x14ac:dyDescent="0.25">
      <c r="B632" s="163" t="s">
        <v>3337</v>
      </c>
    </row>
    <row r="633" spans="2:20" x14ac:dyDescent="0.25">
      <c r="B633" s="23" t="s">
        <v>3338</v>
      </c>
      <c r="C633" s="28" t="s">
        <v>493</v>
      </c>
      <c r="G633" s="29">
        <f>'Capex &amp; Depreciation'!G302</f>
        <v>0</v>
      </c>
      <c r="H633" s="29">
        <f>'Capex &amp; Depreciation'!H302</f>
        <v>0</v>
      </c>
      <c r="I633" s="29">
        <f>'Capex &amp; Depreciation'!I302</f>
        <v>0</v>
      </c>
      <c r="J633" s="29">
        <f>'Capex &amp; Depreciation'!J302</f>
        <v>0</v>
      </c>
      <c r="K633" s="29">
        <f>'Capex &amp; Depreciation'!K302</f>
        <v>0</v>
      </c>
      <c r="L633" s="29">
        <f>'Capex &amp; Depreciation'!L302</f>
        <v>0</v>
      </c>
      <c r="M633" s="29">
        <f>'Capex &amp; Depreciation'!M302</f>
        <v>0</v>
      </c>
      <c r="N633" s="29">
        <f>'Capex &amp; Depreciation'!N302</f>
        <v>0</v>
      </c>
      <c r="O633" s="29">
        <f>'Capex &amp; Depreciation'!O302</f>
        <v>0</v>
      </c>
      <c r="P633" s="29">
        <f>'Capex &amp; Depreciation'!P302</f>
        <v>0</v>
      </c>
      <c r="Q633" s="29">
        <f>'Capex &amp; Depreciation'!Q302</f>
        <v>0</v>
      </c>
      <c r="R633" s="29">
        <f>'Capex &amp; Depreciation'!R302</f>
        <v>0</v>
      </c>
      <c r="S633" s="29">
        <f>'Capex &amp; Depreciation'!S302</f>
        <v>0</v>
      </c>
      <c r="T633" s="29">
        <f>'Capex &amp; Depreciation'!T302</f>
        <v>0</v>
      </c>
    </row>
    <row r="634" spans="2:20" x14ac:dyDescent="0.25">
      <c r="B634" s="23" t="s">
        <v>3339</v>
      </c>
      <c r="C634" s="28" t="s">
        <v>493</v>
      </c>
      <c r="G634" s="159">
        <v>0</v>
      </c>
      <c r="H634" s="29">
        <f>'Working Capital'!H81</f>
        <v>0</v>
      </c>
      <c r="I634" s="29">
        <f>'Working Capital'!I81</f>
        <v>0</v>
      </c>
      <c r="J634" s="29">
        <f>'Working Capital'!J81</f>
        <v>1.5783072426765077</v>
      </c>
      <c r="K634" s="29">
        <f>'Working Capital'!K81</f>
        <v>2.0223780467042833</v>
      </c>
      <c r="L634" s="29">
        <f>'Working Capital'!L81</f>
        <v>2.1643982788915253</v>
      </c>
      <c r="M634" s="29">
        <f>'Working Capital'!M81</f>
        <v>2.3197413184893931</v>
      </c>
      <c r="N634" s="29">
        <f>'Working Capital'!N81</f>
        <v>2.4706614833273082</v>
      </c>
      <c r="O634" s="29">
        <f>'Working Capital'!O81</f>
        <v>2.6231338412097553</v>
      </c>
      <c r="P634" s="29">
        <f>'Working Capital'!P81</f>
        <v>2.7696169662397412</v>
      </c>
      <c r="Q634" s="29">
        <f>'Working Capital'!Q81</f>
        <v>2.9329227962473268</v>
      </c>
      <c r="R634" s="29">
        <f>'Working Capital'!R81</f>
        <v>3.0903367578155554</v>
      </c>
      <c r="S634" s="29">
        <f>'Working Capital'!S81</f>
        <v>2.0593329660877835</v>
      </c>
      <c r="T634" s="29">
        <f>'Working Capital'!T81</f>
        <v>2.1153175644827931</v>
      </c>
    </row>
    <row r="635" spans="2:20" x14ac:dyDescent="0.25">
      <c r="B635" s="23" t="s">
        <v>3340</v>
      </c>
      <c r="C635" s="28" t="s">
        <v>493</v>
      </c>
      <c r="G635" s="159">
        <v>0</v>
      </c>
      <c r="H635" s="159">
        <f>-'Working Capital'!H82</f>
        <v>0</v>
      </c>
      <c r="I635" s="159">
        <f>-'Working Capital'!I82</f>
        <v>0</v>
      </c>
      <c r="J635" s="159">
        <f>-'Working Capital'!J82</f>
        <v>0</v>
      </c>
      <c r="K635" s="159">
        <f>-'Working Capital'!K82</f>
        <v>0</v>
      </c>
      <c r="L635" s="159">
        <f>-'Working Capital'!L82</f>
        <v>0</v>
      </c>
      <c r="M635" s="159">
        <f>-'Working Capital'!M82</f>
        <v>0</v>
      </c>
      <c r="N635" s="159">
        <f>-'Working Capital'!N82</f>
        <v>0</v>
      </c>
      <c r="O635" s="159">
        <f>-'Working Capital'!O82</f>
        <v>0</v>
      </c>
      <c r="P635" s="159">
        <f>-'Working Capital'!P82</f>
        <v>0</v>
      </c>
      <c r="Q635" s="159">
        <f>-'Working Capital'!Q82</f>
        <v>0</v>
      </c>
      <c r="R635" s="159">
        <f>-'Working Capital'!R82</f>
        <v>0</v>
      </c>
      <c r="S635" s="159">
        <f>-'Working Capital'!S82</f>
        <v>0</v>
      </c>
      <c r="T635" s="159">
        <f>-'Working Capital'!T82</f>
        <v>0</v>
      </c>
    </row>
    <row r="636" spans="2:20" x14ac:dyDescent="0.25">
      <c r="B636" s="21" t="s">
        <v>3341</v>
      </c>
      <c r="C636" s="28" t="s">
        <v>493</v>
      </c>
      <c r="G636" s="26">
        <f>'Capex &amp; Depreciation'!G302</f>
        <v>0</v>
      </c>
      <c r="H636" s="160">
        <f>'Capex &amp; Depreciation'!H302+'Working Capital'!H83</f>
        <v>0</v>
      </c>
      <c r="I636" s="160">
        <f>'Capex &amp; Depreciation'!I302+'Working Capital'!I83</f>
        <v>0</v>
      </c>
      <c r="J636" s="160">
        <f>'Capex &amp; Depreciation'!J302+'Working Capital'!J83</f>
        <v>1.5783072426765077</v>
      </c>
      <c r="K636" s="160">
        <f>'Capex &amp; Depreciation'!K302+'Working Capital'!K83</f>
        <v>2.0223780467042833</v>
      </c>
      <c r="L636" s="160">
        <f>'Capex &amp; Depreciation'!L302+'Working Capital'!L83</f>
        <v>2.1643982788915253</v>
      </c>
      <c r="M636" s="160">
        <f>'Capex &amp; Depreciation'!M302+'Working Capital'!M83</f>
        <v>2.3197413184893931</v>
      </c>
      <c r="N636" s="160">
        <f>'Capex &amp; Depreciation'!N302+'Working Capital'!N83</f>
        <v>2.4706614833273082</v>
      </c>
      <c r="O636" s="160">
        <f>'Capex &amp; Depreciation'!O302+'Working Capital'!O83</f>
        <v>2.6231338412097553</v>
      </c>
      <c r="P636" s="160">
        <f>'Capex &amp; Depreciation'!P302+'Working Capital'!P83</f>
        <v>2.7696169662397412</v>
      </c>
      <c r="Q636" s="160">
        <f>'Capex &amp; Depreciation'!Q302+'Working Capital'!Q83</f>
        <v>2.9329227962473268</v>
      </c>
      <c r="R636" s="160">
        <f>'Capex &amp; Depreciation'!R302+'Working Capital'!R83</f>
        <v>3.0903367578155554</v>
      </c>
      <c r="S636" s="160">
        <f>'Capex &amp; Depreciation'!S302+'Working Capital'!S83</f>
        <v>2.0593329660877835</v>
      </c>
      <c r="T636" s="160">
        <f>'Capex &amp; Depreciation'!T302+'Working Capital'!T83</f>
        <v>2.1153175644827931</v>
      </c>
    </row>
    <row r="637" spans="2:20" x14ac:dyDescent="0.25">
      <c r="B637" s="163" t="s">
        <v>3342</v>
      </c>
    </row>
    <row r="638" spans="2:20" x14ac:dyDescent="0.25">
      <c r="B638" s="23" t="s">
        <v>3221</v>
      </c>
      <c r="C638" s="28" t="s">
        <v>493</v>
      </c>
      <c r="H638" s="29">
        <f>'Project Cash Flows'!H276</f>
        <v>0</v>
      </c>
      <c r="I638" s="29">
        <f>'Project Cash Flows'!I276</f>
        <v>0</v>
      </c>
      <c r="J638" s="29">
        <f>'Project Cash Flows'!J276</f>
        <v>5.5047849275128415</v>
      </c>
      <c r="K638" s="29">
        <f>'Project Cash Flows'!K276</f>
        <v>7.0536052095608266</v>
      </c>
      <c r="L638" s="29">
        <f>'Project Cash Flows'!L276</f>
        <v>7.5696222473766266</v>
      </c>
      <c r="M638" s="29">
        <f>'Project Cash Flows'!M276</f>
        <v>8.0907422208202266</v>
      </c>
      <c r="N638" s="29">
        <f>'Project Cash Flows'!N276</f>
        <v>8.6171182179604653</v>
      </c>
      <c r="O638" s="29">
        <f>'Project Cash Flows'!O276</f>
        <v>9.148907919508245</v>
      </c>
      <c r="P638" s="29">
        <f>'Project Cash Flows'!P276</f>
        <v>9.6862737365957869</v>
      </c>
      <c r="Q638" s="29">
        <f>'Project Cash Flows'!Q276</f>
        <v>10.229382952689285</v>
      </c>
      <c r="R638" s="29">
        <f>'Project Cash Flows'!R276</f>
        <v>10.778407869758919</v>
      </c>
      <c r="S638" s="29">
        <f>'Project Cash Flows'!S276</f>
        <v>7.1824957561661691</v>
      </c>
      <c r="T638" s="29">
        <f>'Project Cash Flows'!T276</f>
        <v>7.3979706288511533</v>
      </c>
    </row>
    <row r="639" spans="2:20" x14ac:dyDescent="0.25">
      <c r="B639" s="23" t="s">
        <v>3343</v>
      </c>
      <c r="C639" s="28" t="s">
        <v>493</v>
      </c>
      <c r="H639" s="29">
        <f>'Project Cash Flows'!H281</f>
        <v>0</v>
      </c>
      <c r="I639" s="29">
        <f>'Project Cash Flows'!I281</f>
        <v>0</v>
      </c>
      <c r="J639" s="29">
        <f>'Project Cash Flows'!J281</f>
        <v>-1.2110526840528251</v>
      </c>
      <c r="K639" s="29">
        <f>'Project Cash Flows'!K281</f>
        <v>-1.5517931461033818</v>
      </c>
      <c r="L639" s="29">
        <f>'Project Cash Flows'!L281</f>
        <v>-1.6653168944228578</v>
      </c>
      <c r="M639" s="29">
        <f>'Project Cash Flows'!M281</f>
        <v>-1.7799632885804499</v>
      </c>
      <c r="N639" s="29">
        <f>'Project Cash Flows'!N281</f>
        <v>-1.8957660079513023</v>
      </c>
      <c r="O639" s="29">
        <f>'Project Cash Flows'!O281</f>
        <v>-2.0127597422918138</v>
      </c>
      <c r="P639" s="29">
        <f>'Project Cash Flows'!P281</f>
        <v>-2.1309802220510732</v>
      </c>
      <c r="Q639" s="29">
        <f>'Project Cash Flows'!Q281</f>
        <v>-2.2504642495916429</v>
      </c>
      <c r="R639" s="29">
        <f>'Project Cash Flows'!R281</f>
        <v>-2.3712497313469623</v>
      </c>
      <c r="S639" s="29">
        <f>'Project Cash Flows'!S281</f>
        <v>-1.5801490663565572</v>
      </c>
      <c r="T639" s="29">
        <f>'Project Cash Flows'!T281</f>
        <v>-1.6275535383472537</v>
      </c>
    </row>
    <row r="640" spans="2:20" x14ac:dyDescent="0.25">
      <c r="B640" s="23" t="s">
        <v>3227</v>
      </c>
      <c r="C640" s="28" t="s">
        <v>493</v>
      </c>
      <c r="H640" s="29">
        <f>'Project Cash Flows'!H282</f>
        <v>0</v>
      </c>
      <c r="I640" s="29">
        <f>'Project Cash Flows'!I282</f>
        <v>0</v>
      </c>
      <c r="J640" s="29">
        <f>'Project Cash Flows'!J282</f>
        <v>0</v>
      </c>
      <c r="K640" s="29">
        <f>'Project Cash Flows'!K282</f>
        <v>0</v>
      </c>
      <c r="L640" s="29">
        <f>'Project Cash Flows'!L282</f>
        <v>0</v>
      </c>
      <c r="M640" s="29">
        <f>'Project Cash Flows'!M282</f>
        <v>0</v>
      </c>
      <c r="N640" s="29">
        <f>'Project Cash Flows'!N282</f>
        <v>0</v>
      </c>
      <c r="O640" s="29">
        <f>'Project Cash Flows'!O282</f>
        <v>0</v>
      </c>
      <c r="P640" s="29">
        <f>'Project Cash Flows'!P282</f>
        <v>0</v>
      </c>
      <c r="Q640" s="29">
        <f>'Project Cash Flows'!Q282</f>
        <v>0</v>
      </c>
      <c r="R640" s="29">
        <f>'Project Cash Flows'!R282</f>
        <v>0</v>
      </c>
      <c r="S640" s="29">
        <f>'Project Cash Flows'!S282</f>
        <v>0</v>
      </c>
      <c r="T640" s="29">
        <f>'Project Cash Flows'!T282</f>
        <v>0</v>
      </c>
    </row>
    <row r="641" spans="2:20" x14ac:dyDescent="0.25">
      <c r="B641" s="23" t="s">
        <v>3228</v>
      </c>
      <c r="C641" s="28" t="s">
        <v>493</v>
      </c>
      <c r="H641" s="29">
        <f>'Project Cash Flows'!H283</f>
        <v>0</v>
      </c>
      <c r="I641" s="29">
        <f>'Project Cash Flows'!I283</f>
        <v>0</v>
      </c>
      <c r="J641" s="29">
        <f>'Project Cash Flows'!J283</f>
        <v>-1.5783072426765077</v>
      </c>
      <c r="K641" s="29">
        <f>'Project Cash Flows'!K283</f>
        <v>-0.44407080402777566</v>
      </c>
      <c r="L641" s="29">
        <f>'Project Cash Flows'!L283</f>
        <v>-0.14202023218724191</v>
      </c>
      <c r="M641" s="29">
        <f>'Project Cash Flows'!M283</f>
        <v>-0.15534303959786788</v>
      </c>
      <c r="N641" s="29">
        <f>'Project Cash Flows'!N283</f>
        <v>-0.15092016483791504</v>
      </c>
      <c r="O641" s="29">
        <f>'Project Cash Flows'!O283</f>
        <v>-0.15247235788244717</v>
      </c>
      <c r="P641" s="29">
        <f>'Project Cash Flows'!P283</f>
        <v>-0.14648312502998584</v>
      </c>
      <c r="Q641" s="29">
        <f>'Project Cash Flows'!Q283</f>
        <v>-0.16330583000758558</v>
      </c>
      <c r="R641" s="29">
        <f>'Project Cash Flows'!R283</f>
        <v>-0.15741396156822862</v>
      </c>
      <c r="S641" s="29">
        <f>'Project Cash Flows'!S283</f>
        <v>1.0310037917277719</v>
      </c>
      <c r="T641" s="29">
        <f>'Project Cash Flows'!T283</f>
        <v>-5.5984598395009577E-2</v>
      </c>
    </row>
    <row r="642" spans="2:20" x14ac:dyDescent="0.25">
      <c r="B642" s="21" t="s">
        <v>3344</v>
      </c>
      <c r="C642" s="28" t="s">
        <v>493</v>
      </c>
      <c r="H642" s="26">
        <f>'Project Cash Flows'!H284</f>
        <v>0</v>
      </c>
      <c r="I642" s="26">
        <f>'Project Cash Flows'!I284</f>
        <v>0</v>
      </c>
      <c r="J642" s="26">
        <f>'Project Cash Flows'!J284</f>
        <v>2.715425000783509</v>
      </c>
      <c r="K642" s="26">
        <f>'Project Cash Flows'!K284</f>
        <v>5.0577412594296689</v>
      </c>
      <c r="L642" s="26">
        <f>'Project Cash Flows'!L284</f>
        <v>5.762285120766526</v>
      </c>
      <c r="M642" s="26">
        <f>'Project Cash Flows'!M284</f>
        <v>6.1554358926419095</v>
      </c>
      <c r="N642" s="26">
        <f>'Project Cash Flows'!N284</f>
        <v>6.5704320451712483</v>
      </c>
      <c r="O642" s="26">
        <f>'Project Cash Flows'!O284</f>
        <v>6.9836758193339836</v>
      </c>
      <c r="P642" s="26">
        <f>'Project Cash Flows'!P284</f>
        <v>7.408810389514727</v>
      </c>
      <c r="Q642" s="26">
        <f>'Project Cash Flows'!Q284</f>
        <v>7.8156128730900569</v>
      </c>
      <c r="R642" s="26">
        <f>'Project Cash Flows'!R284</f>
        <v>8.249744176843727</v>
      </c>
      <c r="S642" s="26">
        <f>'Project Cash Flows'!S284</f>
        <v>6.6333504815373843</v>
      </c>
      <c r="T642" s="26">
        <f>'Project Cash Flows'!T284</f>
        <v>5.71443249210889</v>
      </c>
    </row>
    <row r="643" spans="2:20" x14ac:dyDescent="0.25">
      <c r="B643" s="23" t="s">
        <v>3345</v>
      </c>
      <c r="C643" s="28" t="s">
        <v>493</v>
      </c>
      <c r="G643" s="29">
        <f>'Project Cash Flows'!G287</f>
        <v>0</v>
      </c>
      <c r="H643" s="29">
        <f>'Project Cash Flows'!H287</f>
        <v>0</v>
      </c>
      <c r="I643" s="29">
        <f>'Project Cash Flows'!I287</f>
        <v>0</v>
      </c>
      <c r="J643" s="29">
        <f>'Project Cash Flows'!J287</f>
        <v>2.715425000783509</v>
      </c>
      <c r="K643" s="29">
        <f>'Project Cash Flows'!K287</f>
        <v>7.7731662602131779</v>
      </c>
      <c r="L643" s="29">
        <f>'Project Cash Flows'!L287</f>
        <v>13.535451380979705</v>
      </c>
      <c r="M643" s="29">
        <f>'Project Cash Flows'!M287</f>
        <v>19.690887273621613</v>
      </c>
      <c r="N643" s="29">
        <f>'Project Cash Flows'!N287</f>
        <v>26.261319318792861</v>
      </c>
      <c r="O643" s="29">
        <f>'Project Cash Flows'!O287</f>
        <v>33.244995138126846</v>
      </c>
      <c r="P643" s="29">
        <f>'Project Cash Flows'!P287</f>
        <v>40.653805527641573</v>
      </c>
      <c r="Q643" s="29">
        <f>'Project Cash Flows'!Q287</f>
        <v>48.469418400731627</v>
      </c>
      <c r="R643" s="29">
        <f>'Project Cash Flows'!R287</f>
        <v>56.719162577575354</v>
      </c>
      <c r="S643" s="29">
        <f>'Project Cash Flows'!S287</f>
        <v>63.352513059112738</v>
      </c>
      <c r="T643" s="29">
        <f>'Project Cash Flows'!T287</f>
        <v>69.066945551221622</v>
      </c>
    </row>
    <row r="644" spans="2:20" x14ac:dyDescent="0.25">
      <c r="B644" s="163" t="s">
        <v>3346</v>
      </c>
    </row>
    <row r="645" spans="2:20" x14ac:dyDescent="0.25">
      <c r="B645" s="23" t="s">
        <v>3347</v>
      </c>
      <c r="C645" s="28" t="s">
        <v>493</v>
      </c>
      <c r="H645" s="29">
        <f>'Capex &amp; Depreciation'!H275</f>
        <v>0</v>
      </c>
      <c r="I645" s="29">
        <f>'Capex &amp; Depreciation'!I275</f>
        <v>0</v>
      </c>
      <c r="J645" s="29">
        <f>'Capex &amp; Depreciation'!J275</f>
        <v>0</v>
      </c>
      <c r="K645" s="29">
        <f>'Capex &amp; Depreciation'!K275</f>
        <v>0</v>
      </c>
      <c r="L645" s="29">
        <f>'Capex &amp; Depreciation'!L275</f>
        <v>0</v>
      </c>
      <c r="M645" s="29">
        <f>'Capex &amp; Depreciation'!M275</f>
        <v>0</v>
      </c>
      <c r="N645" s="29">
        <f>'Capex &amp; Depreciation'!N275</f>
        <v>0</v>
      </c>
      <c r="O645" s="29">
        <f>'Capex &amp; Depreciation'!O275</f>
        <v>0</v>
      </c>
      <c r="P645" s="29">
        <f>'Capex &amp; Depreciation'!P275</f>
        <v>0</v>
      </c>
      <c r="Q645" s="29">
        <f>'Capex &amp; Depreciation'!Q275</f>
        <v>0</v>
      </c>
      <c r="R645" s="29">
        <f>'Capex &amp; Depreciation'!R275</f>
        <v>0</v>
      </c>
      <c r="S645" s="29">
        <f>'Capex &amp; Depreciation'!S275</f>
        <v>0</v>
      </c>
      <c r="T645" s="29">
        <f>'Capex &amp; Depreciation'!T275</f>
        <v>0</v>
      </c>
    </row>
    <row r="646" spans="2:20" x14ac:dyDescent="0.25">
      <c r="B646" s="163" t="s">
        <v>3348</v>
      </c>
    </row>
    <row r="647" spans="2:20" x14ac:dyDescent="0.25">
      <c r="B647" s="44" t="s">
        <v>3349</v>
      </c>
      <c r="D647" s="204">
        <f>'Project Cash Flows'!$E$24</f>
        <v>58.302820048288865</v>
      </c>
      <c r="H647" s="44" t="s">
        <v>3176</v>
      </c>
      <c r="K647" s="205" t="str">
        <f>'Project Cash Flows'!$H$24</f>
        <v>Not meaningful</v>
      </c>
      <c r="N647" s="44" t="s">
        <v>3350</v>
      </c>
      <c r="Q647" s="205" t="str">
        <f>'Project Cash Flows'!$I$24</f>
        <v>Not meaningful</v>
      </c>
    </row>
    <row r="648" spans="2:20" x14ac:dyDescent="0.25">
      <c r="B648" s="44" t="s">
        <v>3180</v>
      </c>
      <c r="D648" s="205" t="str">
        <f>'Project Cash Flows'!$L$24</f>
        <v>n/a</v>
      </c>
      <c r="H648" s="44" t="s">
        <v>3351</v>
      </c>
      <c r="K648" s="206" t="str">
        <f>'Project Cash Flows'!$J$24</f>
        <v>Not meaningful</v>
      </c>
      <c r="N648" s="44" t="s">
        <v>3179</v>
      </c>
      <c r="Q648" s="204" t="str">
        <f>'Project Cash Flows'!$K$24</f>
        <v>Not meaningful</v>
      </c>
    </row>
    <row r="650" spans="2:20" x14ac:dyDescent="0.25">
      <c r="B650" s="58" t="s">
        <v>3394</v>
      </c>
      <c r="C650" s="19"/>
      <c r="D650" s="19"/>
      <c r="E650" s="19"/>
      <c r="F650" s="19"/>
      <c r="G650" s="19"/>
      <c r="H650" s="19"/>
      <c r="I650" s="19"/>
      <c r="J650" s="19"/>
      <c r="K650" s="19"/>
      <c r="L650" s="19"/>
      <c r="M650" s="19"/>
      <c r="N650" s="19"/>
      <c r="O650" s="19"/>
      <c r="P650" s="19"/>
      <c r="Q650" s="19"/>
      <c r="R650" s="19"/>
      <c r="S650" s="19"/>
      <c r="T650" s="19"/>
    </row>
    <row r="651" spans="2:20" x14ac:dyDescent="0.25">
      <c r="B651" s="70" t="s">
        <v>1690</v>
      </c>
      <c r="D651" s="130" t="str">
        <f>Inputs!$I$78</f>
        <v>Switched OFF</v>
      </c>
      <c r="M651" s="202" t="s">
        <v>3323</v>
      </c>
      <c r="N651" s="203">
        <f>Inputs!$H$78</f>
        <v>0</v>
      </c>
    </row>
    <row r="652" spans="2:20" x14ac:dyDescent="0.25">
      <c r="B652" s="163" t="s">
        <v>3324</v>
      </c>
    </row>
    <row r="653" spans="2:20" x14ac:dyDescent="0.25">
      <c r="B653" s="23" t="s">
        <v>2003</v>
      </c>
      <c r="C653" s="28" t="s">
        <v>1968</v>
      </c>
      <c r="H653" s="48">
        <f>'Revenue Calculation'!H150</f>
        <v>0</v>
      </c>
      <c r="I653" s="48">
        <f>'Revenue Calculation'!I150</f>
        <v>0</v>
      </c>
      <c r="J653" s="48">
        <f>'Revenue Calculation'!J150</f>
        <v>0</v>
      </c>
      <c r="K653" s="48">
        <f>'Revenue Calculation'!K150</f>
        <v>0</v>
      </c>
      <c r="L653" s="48">
        <f>'Revenue Calculation'!L150</f>
        <v>0</v>
      </c>
      <c r="M653" s="48">
        <f>'Revenue Calculation'!M150</f>
        <v>0</v>
      </c>
      <c r="N653" s="48">
        <f>'Revenue Calculation'!N150</f>
        <v>0</v>
      </c>
      <c r="O653" s="48">
        <f>'Revenue Calculation'!O150</f>
        <v>0</v>
      </c>
      <c r="P653" s="48">
        <f>'Revenue Calculation'!P150</f>
        <v>0</v>
      </c>
      <c r="Q653" s="48">
        <f>'Revenue Calculation'!Q150</f>
        <v>0</v>
      </c>
      <c r="R653" s="48">
        <f>'Revenue Calculation'!R150</f>
        <v>0</v>
      </c>
      <c r="S653" s="48">
        <f>'Revenue Calculation'!S150</f>
        <v>0</v>
      </c>
      <c r="T653" s="48">
        <f>'Revenue Calculation'!T150</f>
        <v>0</v>
      </c>
    </row>
    <row r="654" spans="2:20" x14ac:dyDescent="0.25">
      <c r="B654" s="23" t="s">
        <v>2004</v>
      </c>
      <c r="C654" s="28" t="s">
        <v>1968</v>
      </c>
      <c r="H654" s="48">
        <f>'Revenue Calculation'!H151</f>
        <v>0</v>
      </c>
      <c r="I654" s="48">
        <f>'Revenue Calculation'!I151</f>
        <v>0</v>
      </c>
      <c r="J654" s="48">
        <f>'Revenue Calculation'!J151</f>
        <v>0</v>
      </c>
      <c r="K654" s="48">
        <f>'Revenue Calculation'!K151</f>
        <v>0</v>
      </c>
      <c r="L654" s="48">
        <f>'Revenue Calculation'!L151</f>
        <v>0</v>
      </c>
      <c r="M654" s="48">
        <f>'Revenue Calculation'!M151</f>
        <v>0</v>
      </c>
      <c r="N654" s="48">
        <f>'Revenue Calculation'!N151</f>
        <v>0</v>
      </c>
      <c r="O654" s="48">
        <f>'Revenue Calculation'!O151</f>
        <v>0</v>
      </c>
      <c r="P654" s="48">
        <f>'Revenue Calculation'!P151</f>
        <v>0</v>
      </c>
      <c r="Q654" s="48">
        <f>'Revenue Calculation'!Q151</f>
        <v>0</v>
      </c>
      <c r="R654" s="48">
        <f>'Revenue Calculation'!R151</f>
        <v>0</v>
      </c>
      <c r="S654" s="48">
        <f>'Revenue Calculation'!S151</f>
        <v>0</v>
      </c>
      <c r="T654" s="48">
        <f>'Revenue Calculation'!T151</f>
        <v>0</v>
      </c>
    </row>
    <row r="655" spans="2:20" x14ac:dyDescent="0.25">
      <c r="B655" s="163" t="s">
        <v>3328</v>
      </c>
    </row>
    <row r="656" spans="2:20" x14ac:dyDescent="0.25">
      <c r="B656" s="21" t="s">
        <v>3329</v>
      </c>
      <c r="C656" s="28" t="s">
        <v>493</v>
      </c>
      <c r="H656" s="26">
        <f>'Revenue Calculation'!H157</f>
        <v>0</v>
      </c>
      <c r="I656" s="26">
        <f>'Revenue Calculation'!I157</f>
        <v>0</v>
      </c>
      <c r="J656" s="26">
        <f>'Revenue Calculation'!J157</f>
        <v>0</v>
      </c>
      <c r="K656" s="26">
        <f>'Revenue Calculation'!K157</f>
        <v>0</v>
      </c>
      <c r="L656" s="26">
        <f>'Revenue Calculation'!L157</f>
        <v>0</v>
      </c>
      <c r="M656" s="26">
        <f>'Revenue Calculation'!M157</f>
        <v>0</v>
      </c>
      <c r="N656" s="26">
        <f>'Revenue Calculation'!N157</f>
        <v>0</v>
      </c>
      <c r="O656" s="26">
        <f>'Revenue Calculation'!O157</f>
        <v>0</v>
      </c>
      <c r="P656" s="26">
        <f>'Revenue Calculation'!P157</f>
        <v>0</v>
      </c>
      <c r="Q656" s="26">
        <f>'Revenue Calculation'!Q157</f>
        <v>0</v>
      </c>
      <c r="R656" s="26">
        <f>'Revenue Calculation'!R157</f>
        <v>0</v>
      </c>
      <c r="S656" s="26">
        <f>'Revenue Calculation'!S157</f>
        <v>0</v>
      </c>
      <c r="T656" s="26">
        <f>'Revenue Calculation'!T157</f>
        <v>0</v>
      </c>
    </row>
    <row r="657" spans="2:20" x14ac:dyDescent="0.25">
      <c r="B657" s="23" t="s">
        <v>3330</v>
      </c>
      <c r="C657" s="28" t="s">
        <v>493</v>
      </c>
      <c r="H657" s="159">
        <f>-'Cost Calculation'!H176</f>
        <v>0</v>
      </c>
      <c r="I657" s="159">
        <f>-'Cost Calculation'!I176</f>
        <v>0</v>
      </c>
      <c r="J657" s="159">
        <f>-'Cost Calculation'!J176</f>
        <v>0</v>
      </c>
      <c r="K657" s="159">
        <f>-'Cost Calculation'!K176</f>
        <v>0</v>
      </c>
      <c r="L657" s="159">
        <f>-'Cost Calculation'!L176</f>
        <v>0</v>
      </c>
      <c r="M657" s="159">
        <f>-'Cost Calculation'!M176</f>
        <v>0</v>
      </c>
      <c r="N657" s="159">
        <f>-'Cost Calculation'!N176</f>
        <v>0</v>
      </c>
      <c r="O657" s="159">
        <f>-'Cost Calculation'!O176</f>
        <v>0</v>
      </c>
      <c r="P657" s="159">
        <f>-'Cost Calculation'!P176</f>
        <v>0</v>
      </c>
      <c r="Q657" s="159">
        <f>-'Cost Calculation'!Q176</f>
        <v>0</v>
      </c>
      <c r="R657" s="159">
        <f>-'Cost Calculation'!R176</f>
        <v>0</v>
      </c>
      <c r="S657" s="159">
        <f>-'Cost Calculation'!S176</f>
        <v>0</v>
      </c>
      <c r="T657" s="159">
        <f>-'Cost Calculation'!T176</f>
        <v>0</v>
      </c>
    </row>
    <row r="658" spans="2:20" x14ac:dyDescent="0.25">
      <c r="B658" s="23" t="s">
        <v>3331</v>
      </c>
      <c r="C658" s="28" t="s">
        <v>493</v>
      </c>
      <c r="H658" s="159">
        <f>-'Cost Calculation'!H177</f>
        <v>0</v>
      </c>
      <c r="I658" s="159">
        <f>-'Cost Calculation'!I177</f>
        <v>0</v>
      </c>
      <c r="J658" s="159">
        <f>-'Cost Calculation'!J177</f>
        <v>0</v>
      </c>
      <c r="K658" s="159">
        <f>-'Cost Calculation'!K177</f>
        <v>0</v>
      </c>
      <c r="L658" s="159">
        <f>-'Cost Calculation'!L177</f>
        <v>0</v>
      </c>
      <c r="M658" s="159">
        <f>-'Cost Calculation'!M177</f>
        <v>0</v>
      </c>
      <c r="N658" s="159">
        <f>-'Cost Calculation'!N177</f>
        <v>0</v>
      </c>
      <c r="O658" s="159">
        <f>-'Cost Calculation'!O177</f>
        <v>0</v>
      </c>
      <c r="P658" s="159">
        <f>-'Cost Calculation'!P177</f>
        <v>0</v>
      </c>
      <c r="Q658" s="159">
        <f>-'Cost Calculation'!Q177</f>
        <v>0</v>
      </c>
      <c r="R658" s="159">
        <f>-'Cost Calculation'!R177</f>
        <v>0</v>
      </c>
      <c r="S658" s="159">
        <f>-'Cost Calculation'!S177</f>
        <v>0</v>
      </c>
      <c r="T658" s="159">
        <f>-'Cost Calculation'!T177</f>
        <v>0</v>
      </c>
    </row>
    <row r="659" spans="2:20" x14ac:dyDescent="0.25">
      <c r="B659" s="21" t="s">
        <v>3221</v>
      </c>
      <c r="C659" s="28" t="s">
        <v>493</v>
      </c>
      <c r="H659" s="26">
        <f>'Cost Calculation'!H178</f>
        <v>0</v>
      </c>
      <c r="I659" s="26">
        <f>'Cost Calculation'!I178</f>
        <v>0</v>
      </c>
      <c r="J659" s="26">
        <f>'Cost Calculation'!J178</f>
        <v>0</v>
      </c>
      <c r="K659" s="26">
        <f>'Cost Calculation'!K178</f>
        <v>0</v>
      </c>
      <c r="L659" s="26">
        <f>'Cost Calculation'!L178</f>
        <v>0</v>
      </c>
      <c r="M659" s="26">
        <f>'Cost Calculation'!M178</f>
        <v>0</v>
      </c>
      <c r="N659" s="26">
        <f>'Cost Calculation'!N178</f>
        <v>0</v>
      </c>
      <c r="O659" s="26">
        <f>'Cost Calculation'!O178</f>
        <v>0</v>
      </c>
      <c r="P659" s="26">
        <f>'Cost Calculation'!P178</f>
        <v>0</v>
      </c>
      <c r="Q659" s="26">
        <f>'Cost Calculation'!Q178</f>
        <v>0</v>
      </c>
      <c r="R659" s="26">
        <f>'Cost Calculation'!R178</f>
        <v>0</v>
      </c>
      <c r="S659" s="26">
        <f>'Cost Calculation'!S178</f>
        <v>0</v>
      </c>
      <c r="T659" s="26">
        <f>'Cost Calculation'!T178</f>
        <v>0</v>
      </c>
    </row>
    <row r="660" spans="2:20" x14ac:dyDescent="0.25">
      <c r="B660" s="23" t="s">
        <v>3332</v>
      </c>
      <c r="C660" s="28" t="s">
        <v>493</v>
      </c>
      <c r="H660" s="159">
        <f>-'Capex &amp; Depreciation'!H249</f>
        <v>0</v>
      </c>
      <c r="I660" s="159">
        <f>-'Capex &amp; Depreciation'!I249</f>
        <v>0</v>
      </c>
      <c r="J660" s="159">
        <f>-'Capex &amp; Depreciation'!J249</f>
        <v>0</v>
      </c>
      <c r="K660" s="159">
        <f>-'Capex &amp; Depreciation'!K249</f>
        <v>0</v>
      </c>
      <c r="L660" s="159">
        <f>-'Capex &amp; Depreciation'!L249</f>
        <v>0</v>
      </c>
      <c r="M660" s="159">
        <f>-'Capex &amp; Depreciation'!M249</f>
        <v>0</v>
      </c>
      <c r="N660" s="159">
        <f>-'Capex &amp; Depreciation'!N249</f>
        <v>0</v>
      </c>
      <c r="O660" s="159">
        <f>-'Capex &amp; Depreciation'!O249</f>
        <v>0</v>
      </c>
      <c r="P660" s="159">
        <f>-'Capex &amp; Depreciation'!P249</f>
        <v>0</v>
      </c>
      <c r="Q660" s="159">
        <f>-'Capex &amp; Depreciation'!Q249</f>
        <v>0</v>
      </c>
      <c r="R660" s="159">
        <f>-'Capex &amp; Depreciation'!R249</f>
        <v>0</v>
      </c>
      <c r="S660" s="159">
        <f>-'Capex &amp; Depreciation'!S249</f>
        <v>0</v>
      </c>
      <c r="T660" s="159">
        <f>-'Capex &amp; Depreciation'!T249</f>
        <v>0</v>
      </c>
    </row>
    <row r="661" spans="2:20" x14ac:dyDescent="0.25">
      <c r="B661" s="21" t="s">
        <v>3333</v>
      </c>
      <c r="C661" s="28" t="s">
        <v>493</v>
      </c>
      <c r="H661" s="26">
        <f>'Project Cash Flows'!H290</f>
        <v>0</v>
      </c>
      <c r="I661" s="26">
        <f>'Project Cash Flows'!I290</f>
        <v>0</v>
      </c>
      <c r="J661" s="26">
        <f>'Project Cash Flows'!J290</f>
        <v>0</v>
      </c>
      <c r="K661" s="26">
        <f>'Project Cash Flows'!K290</f>
        <v>0</v>
      </c>
      <c r="L661" s="26">
        <f>'Project Cash Flows'!L290</f>
        <v>0</v>
      </c>
      <c r="M661" s="26">
        <f>'Project Cash Flows'!M290</f>
        <v>0</v>
      </c>
      <c r="N661" s="26">
        <f>'Project Cash Flows'!N290</f>
        <v>0</v>
      </c>
      <c r="O661" s="26">
        <f>'Project Cash Flows'!O290</f>
        <v>0</v>
      </c>
      <c r="P661" s="26">
        <f>'Project Cash Flows'!P290</f>
        <v>0</v>
      </c>
      <c r="Q661" s="26">
        <f>'Project Cash Flows'!Q290</f>
        <v>0</v>
      </c>
      <c r="R661" s="26">
        <f>'Project Cash Flows'!R290</f>
        <v>0</v>
      </c>
      <c r="S661" s="26">
        <f>'Project Cash Flows'!S290</f>
        <v>0</v>
      </c>
      <c r="T661" s="26">
        <f>'Project Cash Flows'!T290</f>
        <v>0</v>
      </c>
    </row>
    <row r="662" spans="2:20" x14ac:dyDescent="0.25">
      <c r="B662" s="23" t="s">
        <v>3334</v>
      </c>
      <c r="C662" s="28" t="s">
        <v>493</v>
      </c>
      <c r="H662" s="159">
        <f>-'Project Cash Flows'!H291</f>
        <v>0</v>
      </c>
      <c r="I662" s="159">
        <f>-'Project Cash Flows'!I291</f>
        <v>0</v>
      </c>
      <c r="J662" s="159">
        <f>-'Project Cash Flows'!J291</f>
        <v>0</v>
      </c>
      <c r="K662" s="159">
        <f>-'Project Cash Flows'!K291</f>
        <v>0</v>
      </c>
      <c r="L662" s="159">
        <f>-'Project Cash Flows'!L291</f>
        <v>0</v>
      </c>
      <c r="M662" s="159">
        <f>-'Project Cash Flows'!M291</f>
        <v>0</v>
      </c>
      <c r="N662" s="159">
        <f>-'Project Cash Flows'!N291</f>
        <v>0</v>
      </c>
      <c r="O662" s="159">
        <f>-'Project Cash Flows'!O291</f>
        <v>0</v>
      </c>
      <c r="P662" s="159">
        <f>-'Project Cash Flows'!P291</f>
        <v>0</v>
      </c>
      <c r="Q662" s="159">
        <f>-'Project Cash Flows'!Q291</f>
        <v>0</v>
      </c>
      <c r="R662" s="159">
        <f>-'Project Cash Flows'!R291</f>
        <v>0</v>
      </c>
      <c r="S662" s="159">
        <f>-'Project Cash Flows'!S291</f>
        <v>0</v>
      </c>
      <c r="T662" s="159">
        <f>-'Project Cash Flows'!T291</f>
        <v>0</v>
      </c>
    </row>
    <row r="663" spans="2:20" x14ac:dyDescent="0.25">
      <c r="B663" s="23" t="s">
        <v>3335</v>
      </c>
      <c r="C663" s="28" t="s">
        <v>493</v>
      </c>
      <c r="H663" s="159">
        <f>-'Project Cash Flows'!H292</f>
        <v>0</v>
      </c>
      <c r="I663" s="159">
        <f>-'Project Cash Flows'!I292</f>
        <v>0</v>
      </c>
      <c r="J663" s="159">
        <f>-'Project Cash Flows'!J292</f>
        <v>0</v>
      </c>
      <c r="K663" s="159">
        <f>-'Project Cash Flows'!K292</f>
        <v>0</v>
      </c>
      <c r="L663" s="159">
        <f>-'Project Cash Flows'!L292</f>
        <v>0</v>
      </c>
      <c r="M663" s="159">
        <f>-'Project Cash Flows'!M292</f>
        <v>0</v>
      </c>
      <c r="N663" s="159">
        <f>-'Project Cash Flows'!N292</f>
        <v>0</v>
      </c>
      <c r="O663" s="159">
        <f>-'Project Cash Flows'!O292</f>
        <v>0</v>
      </c>
      <c r="P663" s="159">
        <f>-'Project Cash Flows'!P292</f>
        <v>0</v>
      </c>
      <c r="Q663" s="159">
        <f>-'Project Cash Flows'!Q292</f>
        <v>0</v>
      </c>
      <c r="R663" s="159">
        <f>-'Project Cash Flows'!R292</f>
        <v>0</v>
      </c>
      <c r="S663" s="159">
        <f>-'Project Cash Flows'!S292</f>
        <v>0</v>
      </c>
      <c r="T663" s="159">
        <f>-'Project Cash Flows'!T292</f>
        <v>0</v>
      </c>
    </row>
    <row r="664" spans="2:20" x14ac:dyDescent="0.25">
      <c r="B664" s="21" t="s">
        <v>3336</v>
      </c>
      <c r="C664" s="28" t="s">
        <v>493</v>
      </c>
      <c r="H664" s="26">
        <f>'Project Cash Flows'!H293</f>
        <v>0</v>
      </c>
      <c r="I664" s="26">
        <f>'Project Cash Flows'!I293</f>
        <v>0</v>
      </c>
      <c r="J664" s="26">
        <f>'Project Cash Flows'!J293</f>
        <v>0</v>
      </c>
      <c r="K664" s="26">
        <f>'Project Cash Flows'!K293</f>
        <v>0</v>
      </c>
      <c r="L664" s="26">
        <f>'Project Cash Flows'!L293</f>
        <v>0</v>
      </c>
      <c r="M664" s="26">
        <f>'Project Cash Flows'!M293</f>
        <v>0</v>
      </c>
      <c r="N664" s="26">
        <f>'Project Cash Flows'!N293</f>
        <v>0</v>
      </c>
      <c r="O664" s="26">
        <f>'Project Cash Flows'!O293</f>
        <v>0</v>
      </c>
      <c r="P664" s="26">
        <f>'Project Cash Flows'!P293</f>
        <v>0</v>
      </c>
      <c r="Q664" s="26">
        <f>'Project Cash Flows'!Q293</f>
        <v>0</v>
      </c>
      <c r="R664" s="26">
        <f>'Project Cash Flows'!R293</f>
        <v>0</v>
      </c>
      <c r="S664" s="26">
        <f>'Project Cash Flows'!S293</f>
        <v>0</v>
      </c>
      <c r="T664" s="26">
        <f>'Project Cash Flows'!T293</f>
        <v>0</v>
      </c>
    </row>
    <row r="665" spans="2:20" x14ac:dyDescent="0.25">
      <c r="B665" s="163" t="s">
        <v>3337</v>
      </c>
    </row>
    <row r="666" spans="2:20" x14ac:dyDescent="0.25">
      <c r="B666" s="23" t="s">
        <v>3338</v>
      </c>
      <c r="C666" s="28" t="s">
        <v>493</v>
      </c>
      <c r="G666" s="29">
        <f>'Capex &amp; Depreciation'!G303</f>
        <v>0</v>
      </c>
      <c r="H666" s="29">
        <f>'Capex &amp; Depreciation'!H303</f>
        <v>0</v>
      </c>
      <c r="I666" s="29">
        <f>'Capex &amp; Depreciation'!I303</f>
        <v>0</v>
      </c>
      <c r="J666" s="29">
        <f>'Capex &amp; Depreciation'!J303</f>
        <v>0</v>
      </c>
      <c r="K666" s="29">
        <f>'Capex &amp; Depreciation'!K303</f>
        <v>0</v>
      </c>
      <c r="L666" s="29">
        <f>'Capex &amp; Depreciation'!L303</f>
        <v>0</v>
      </c>
      <c r="M666" s="29">
        <f>'Capex &amp; Depreciation'!M303</f>
        <v>0</v>
      </c>
      <c r="N666" s="29">
        <f>'Capex &amp; Depreciation'!N303</f>
        <v>0</v>
      </c>
      <c r="O666" s="29">
        <f>'Capex &amp; Depreciation'!O303</f>
        <v>0</v>
      </c>
      <c r="P666" s="29">
        <f>'Capex &amp; Depreciation'!P303</f>
        <v>0</v>
      </c>
      <c r="Q666" s="29">
        <f>'Capex &amp; Depreciation'!Q303</f>
        <v>0</v>
      </c>
      <c r="R666" s="29">
        <f>'Capex &amp; Depreciation'!R303</f>
        <v>0</v>
      </c>
      <c r="S666" s="29">
        <f>'Capex &amp; Depreciation'!S303</f>
        <v>0</v>
      </c>
      <c r="T666" s="29">
        <f>'Capex &amp; Depreciation'!T303</f>
        <v>0</v>
      </c>
    </row>
    <row r="667" spans="2:20" x14ac:dyDescent="0.25">
      <c r="B667" s="23" t="s">
        <v>3339</v>
      </c>
      <c r="C667" s="28" t="s">
        <v>493</v>
      </c>
      <c r="G667" s="159">
        <v>0</v>
      </c>
      <c r="H667" s="29">
        <f>'Working Capital'!H85</f>
        <v>0</v>
      </c>
      <c r="I667" s="29">
        <f>'Working Capital'!I85</f>
        <v>0</v>
      </c>
      <c r="J667" s="29">
        <f>'Working Capital'!J85</f>
        <v>0</v>
      </c>
      <c r="K667" s="29">
        <f>'Working Capital'!K85</f>
        <v>0</v>
      </c>
      <c r="L667" s="29">
        <f>'Working Capital'!L85</f>
        <v>0</v>
      </c>
      <c r="M667" s="29">
        <f>'Working Capital'!M85</f>
        <v>0</v>
      </c>
      <c r="N667" s="29">
        <f>'Working Capital'!N85</f>
        <v>0</v>
      </c>
      <c r="O667" s="29">
        <f>'Working Capital'!O85</f>
        <v>0</v>
      </c>
      <c r="P667" s="29">
        <f>'Working Capital'!P85</f>
        <v>0</v>
      </c>
      <c r="Q667" s="29">
        <f>'Working Capital'!Q85</f>
        <v>0</v>
      </c>
      <c r="R667" s="29">
        <f>'Working Capital'!R85</f>
        <v>0</v>
      </c>
      <c r="S667" s="29">
        <f>'Working Capital'!S85</f>
        <v>0</v>
      </c>
      <c r="T667" s="29">
        <f>'Working Capital'!T85</f>
        <v>0</v>
      </c>
    </row>
    <row r="668" spans="2:20" x14ac:dyDescent="0.25">
      <c r="B668" s="23" t="s">
        <v>3340</v>
      </c>
      <c r="C668" s="28" t="s">
        <v>493</v>
      </c>
      <c r="G668" s="159">
        <v>0</v>
      </c>
      <c r="H668" s="159">
        <f>-'Working Capital'!H86</f>
        <v>0</v>
      </c>
      <c r="I668" s="159">
        <f>-'Working Capital'!I86</f>
        <v>0</v>
      </c>
      <c r="J668" s="159">
        <f>-'Working Capital'!J86</f>
        <v>0</v>
      </c>
      <c r="K668" s="159">
        <f>-'Working Capital'!K86</f>
        <v>0</v>
      </c>
      <c r="L668" s="159">
        <f>-'Working Capital'!L86</f>
        <v>0</v>
      </c>
      <c r="M668" s="159">
        <f>-'Working Capital'!M86</f>
        <v>0</v>
      </c>
      <c r="N668" s="159">
        <f>-'Working Capital'!N86</f>
        <v>0</v>
      </c>
      <c r="O668" s="159">
        <f>-'Working Capital'!O86</f>
        <v>0</v>
      </c>
      <c r="P668" s="159">
        <f>-'Working Capital'!P86</f>
        <v>0</v>
      </c>
      <c r="Q668" s="159">
        <f>-'Working Capital'!Q86</f>
        <v>0</v>
      </c>
      <c r="R668" s="159">
        <f>-'Working Capital'!R86</f>
        <v>0</v>
      </c>
      <c r="S668" s="159">
        <f>-'Working Capital'!S86</f>
        <v>0</v>
      </c>
      <c r="T668" s="159">
        <f>-'Working Capital'!T86</f>
        <v>0</v>
      </c>
    </row>
    <row r="669" spans="2:20" x14ac:dyDescent="0.25">
      <c r="B669" s="21" t="s">
        <v>3341</v>
      </c>
      <c r="C669" s="28" t="s">
        <v>493</v>
      </c>
      <c r="G669" s="26">
        <f>'Capex &amp; Depreciation'!G303</f>
        <v>0</v>
      </c>
      <c r="H669" s="160">
        <f>'Capex &amp; Depreciation'!H303+'Working Capital'!H87</f>
        <v>0</v>
      </c>
      <c r="I669" s="160">
        <f>'Capex &amp; Depreciation'!I303+'Working Capital'!I87</f>
        <v>0</v>
      </c>
      <c r="J669" s="160">
        <f>'Capex &amp; Depreciation'!J303+'Working Capital'!J87</f>
        <v>0</v>
      </c>
      <c r="K669" s="160">
        <f>'Capex &amp; Depreciation'!K303+'Working Capital'!K87</f>
        <v>0</v>
      </c>
      <c r="L669" s="160">
        <f>'Capex &amp; Depreciation'!L303+'Working Capital'!L87</f>
        <v>0</v>
      </c>
      <c r="M669" s="160">
        <f>'Capex &amp; Depreciation'!M303+'Working Capital'!M87</f>
        <v>0</v>
      </c>
      <c r="N669" s="160">
        <f>'Capex &amp; Depreciation'!N303+'Working Capital'!N87</f>
        <v>0</v>
      </c>
      <c r="O669" s="160">
        <f>'Capex &amp; Depreciation'!O303+'Working Capital'!O87</f>
        <v>0</v>
      </c>
      <c r="P669" s="160">
        <f>'Capex &amp; Depreciation'!P303+'Working Capital'!P87</f>
        <v>0</v>
      </c>
      <c r="Q669" s="160">
        <f>'Capex &amp; Depreciation'!Q303+'Working Capital'!Q87</f>
        <v>0</v>
      </c>
      <c r="R669" s="160">
        <f>'Capex &amp; Depreciation'!R303+'Working Capital'!R87</f>
        <v>0</v>
      </c>
      <c r="S669" s="160">
        <f>'Capex &amp; Depreciation'!S303+'Working Capital'!S87</f>
        <v>0</v>
      </c>
      <c r="T669" s="160">
        <f>'Capex &amp; Depreciation'!T303+'Working Capital'!T87</f>
        <v>0</v>
      </c>
    </row>
    <row r="670" spans="2:20" x14ac:dyDescent="0.25">
      <c r="B670" s="163" t="s">
        <v>3342</v>
      </c>
    </row>
    <row r="671" spans="2:20" x14ac:dyDescent="0.25">
      <c r="B671" s="23" t="s">
        <v>3221</v>
      </c>
      <c r="C671" s="28" t="s">
        <v>493</v>
      </c>
      <c r="H671" s="29">
        <f>'Project Cash Flows'!H289</f>
        <v>0</v>
      </c>
      <c r="I671" s="29">
        <f>'Project Cash Flows'!I289</f>
        <v>0</v>
      </c>
      <c r="J671" s="29">
        <f>'Project Cash Flows'!J289</f>
        <v>0</v>
      </c>
      <c r="K671" s="29">
        <f>'Project Cash Flows'!K289</f>
        <v>0</v>
      </c>
      <c r="L671" s="29">
        <f>'Project Cash Flows'!L289</f>
        <v>0</v>
      </c>
      <c r="M671" s="29">
        <f>'Project Cash Flows'!M289</f>
        <v>0</v>
      </c>
      <c r="N671" s="29">
        <f>'Project Cash Flows'!N289</f>
        <v>0</v>
      </c>
      <c r="O671" s="29">
        <f>'Project Cash Flows'!O289</f>
        <v>0</v>
      </c>
      <c r="P671" s="29">
        <f>'Project Cash Flows'!P289</f>
        <v>0</v>
      </c>
      <c r="Q671" s="29">
        <f>'Project Cash Flows'!Q289</f>
        <v>0</v>
      </c>
      <c r="R671" s="29">
        <f>'Project Cash Flows'!R289</f>
        <v>0</v>
      </c>
      <c r="S671" s="29">
        <f>'Project Cash Flows'!S289</f>
        <v>0</v>
      </c>
      <c r="T671" s="29">
        <f>'Project Cash Flows'!T289</f>
        <v>0</v>
      </c>
    </row>
    <row r="672" spans="2:20" x14ac:dyDescent="0.25">
      <c r="B672" s="23" t="s">
        <v>3343</v>
      </c>
      <c r="C672" s="28" t="s">
        <v>493</v>
      </c>
      <c r="H672" s="29">
        <f>'Project Cash Flows'!H294</f>
        <v>0</v>
      </c>
      <c r="I672" s="29">
        <f>'Project Cash Flows'!I294</f>
        <v>0</v>
      </c>
      <c r="J672" s="29">
        <f>'Project Cash Flows'!J294</f>
        <v>0</v>
      </c>
      <c r="K672" s="29">
        <f>'Project Cash Flows'!K294</f>
        <v>0</v>
      </c>
      <c r="L672" s="29">
        <f>'Project Cash Flows'!L294</f>
        <v>0</v>
      </c>
      <c r="M672" s="29">
        <f>'Project Cash Flows'!M294</f>
        <v>0</v>
      </c>
      <c r="N672" s="29">
        <f>'Project Cash Flows'!N294</f>
        <v>0</v>
      </c>
      <c r="O672" s="29">
        <f>'Project Cash Flows'!O294</f>
        <v>0</v>
      </c>
      <c r="P672" s="29">
        <f>'Project Cash Flows'!P294</f>
        <v>0</v>
      </c>
      <c r="Q672" s="29">
        <f>'Project Cash Flows'!Q294</f>
        <v>0</v>
      </c>
      <c r="R672" s="29">
        <f>'Project Cash Flows'!R294</f>
        <v>0</v>
      </c>
      <c r="S672" s="29">
        <f>'Project Cash Flows'!S294</f>
        <v>0</v>
      </c>
      <c r="T672" s="29">
        <f>'Project Cash Flows'!T294</f>
        <v>0</v>
      </c>
    </row>
    <row r="673" spans="2:20" x14ac:dyDescent="0.25">
      <c r="B673" s="23" t="s">
        <v>3227</v>
      </c>
      <c r="C673" s="28" t="s">
        <v>493</v>
      </c>
      <c r="H673" s="29">
        <f>'Project Cash Flows'!H295</f>
        <v>0</v>
      </c>
      <c r="I673" s="29">
        <f>'Project Cash Flows'!I295</f>
        <v>0</v>
      </c>
      <c r="J673" s="29">
        <f>'Project Cash Flows'!J295</f>
        <v>0</v>
      </c>
      <c r="K673" s="29">
        <f>'Project Cash Flows'!K295</f>
        <v>0</v>
      </c>
      <c r="L673" s="29">
        <f>'Project Cash Flows'!L295</f>
        <v>0</v>
      </c>
      <c r="M673" s="29">
        <f>'Project Cash Flows'!M295</f>
        <v>0</v>
      </c>
      <c r="N673" s="29">
        <f>'Project Cash Flows'!N295</f>
        <v>0</v>
      </c>
      <c r="O673" s="29">
        <f>'Project Cash Flows'!O295</f>
        <v>0</v>
      </c>
      <c r="P673" s="29">
        <f>'Project Cash Flows'!P295</f>
        <v>0</v>
      </c>
      <c r="Q673" s="29">
        <f>'Project Cash Flows'!Q295</f>
        <v>0</v>
      </c>
      <c r="R673" s="29">
        <f>'Project Cash Flows'!R295</f>
        <v>0</v>
      </c>
      <c r="S673" s="29">
        <f>'Project Cash Flows'!S295</f>
        <v>0</v>
      </c>
      <c r="T673" s="29">
        <f>'Project Cash Flows'!T295</f>
        <v>0</v>
      </c>
    </row>
    <row r="674" spans="2:20" x14ac:dyDescent="0.25">
      <c r="B674" s="23" t="s">
        <v>3228</v>
      </c>
      <c r="C674" s="28" t="s">
        <v>493</v>
      </c>
      <c r="H674" s="29">
        <f>'Project Cash Flows'!H296</f>
        <v>0</v>
      </c>
      <c r="I674" s="29">
        <f>'Project Cash Flows'!I296</f>
        <v>0</v>
      </c>
      <c r="J674" s="29">
        <f>'Project Cash Flows'!J296</f>
        <v>0</v>
      </c>
      <c r="K674" s="29">
        <f>'Project Cash Flows'!K296</f>
        <v>0</v>
      </c>
      <c r="L674" s="29">
        <f>'Project Cash Flows'!L296</f>
        <v>0</v>
      </c>
      <c r="M674" s="29">
        <f>'Project Cash Flows'!M296</f>
        <v>0</v>
      </c>
      <c r="N674" s="29">
        <f>'Project Cash Flows'!N296</f>
        <v>0</v>
      </c>
      <c r="O674" s="29">
        <f>'Project Cash Flows'!O296</f>
        <v>0</v>
      </c>
      <c r="P674" s="29">
        <f>'Project Cash Flows'!P296</f>
        <v>0</v>
      </c>
      <c r="Q674" s="29">
        <f>'Project Cash Flows'!Q296</f>
        <v>0</v>
      </c>
      <c r="R674" s="29">
        <f>'Project Cash Flows'!R296</f>
        <v>0</v>
      </c>
      <c r="S674" s="29">
        <f>'Project Cash Flows'!S296</f>
        <v>0</v>
      </c>
      <c r="T674" s="29">
        <f>'Project Cash Flows'!T296</f>
        <v>0</v>
      </c>
    </row>
    <row r="675" spans="2:20" x14ac:dyDescent="0.25">
      <c r="B675" s="21" t="s">
        <v>3344</v>
      </c>
      <c r="C675" s="28" t="s">
        <v>493</v>
      </c>
      <c r="H675" s="26">
        <f>'Project Cash Flows'!H297</f>
        <v>0</v>
      </c>
      <c r="I675" s="26">
        <f>'Project Cash Flows'!I297</f>
        <v>0</v>
      </c>
      <c r="J675" s="26">
        <f>'Project Cash Flows'!J297</f>
        <v>0</v>
      </c>
      <c r="K675" s="26">
        <f>'Project Cash Flows'!K297</f>
        <v>0</v>
      </c>
      <c r="L675" s="26">
        <f>'Project Cash Flows'!L297</f>
        <v>0</v>
      </c>
      <c r="M675" s="26">
        <f>'Project Cash Flows'!M297</f>
        <v>0</v>
      </c>
      <c r="N675" s="26">
        <f>'Project Cash Flows'!N297</f>
        <v>0</v>
      </c>
      <c r="O675" s="26">
        <f>'Project Cash Flows'!O297</f>
        <v>0</v>
      </c>
      <c r="P675" s="26">
        <f>'Project Cash Flows'!P297</f>
        <v>0</v>
      </c>
      <c r="Q675" s="26">
        <f>'Project Cash Flows'!Q297</f>
        <v>0</v>
      </c>
      <c r="R675" s="26">
        <f>'Project Cash Flows'!R297</f>
        <v>0</v>
      </c>
      <c r="S675" s="26">
        <f>'Project Cash Flows'!S297</f>
        <v>0</v>
      </c>
      <c r="T675" s="26">
        <f>'Project Cash Flows'!T297</f>
        <v>0</v>
      </c>
    </row>
    <row r="676" spans="2:20" x14ac:dyDescent="0.25">
      <c r="B676" s="23" t="s">
        <v>3345</v>
      </c>
      <c r="C676" s="28" t="s">
        <v>493</v>
      </c>
      <c r="G676" s="29">
        <f>'Project Cash Flows'!G300</f>
        <v>0</v>
      </c>
      <c r="H676" s="29">
        <f>'Project Cash Flows'!H300</f>
        <v>0</v>
      </c>
      <c r="I676" s="29">
        <f>'Project Cash Flows'!I300</f>
        <v>0</v>
      </c>
      <c r="J676" s="29">
        <f>'Project Cash Flows'!J300</f>
        <v>0</v>
      </c>
      <c r="K676" s="29">
        <f>'Project Cash Flows'!K300</f>
        <v>0</v>
      </c>
      <c r="L676" s="29">
        <f>'Project Cash Flows'!L300</f>
        <v>0</v>
      </c>
      <c r="M676" s="29">
        <f>'Project Cash Flows'!M300</f>
        <v>0</v>
      </c>
      <c r="N676" s="29">
        <f>'Project Cash Flows'!N300</f>
        <v>0</v>
      </c>
      <c r="O676" s="29">
        <f>'Project Cash Flows'!O300</f>
        <v>0</v>
      </c>
      <c r="P676" s="29">
        <f>'Project Cash Flows'!P300</f>
        <v>0</v>
      </c>
      <c r="Q676" s="29">
        <f>'Project Cash Flows'!Q300</f>
        <v>0</v>
      </c>
      <c r="R676" s="29">
        <f>'Project Cash Flows'!R300</f>
        <v>0</v>
      </c>
      <c r="S676" s="29">
        <f>'Project Cash Flows'!S300</f>
        <v>0</v>
      </c>
      <c r="T676" s="29">
        <f>'Project Cash Flows'!T300</f>
        <v>0</v>
      </c>
    </row>
    <row r="677" spans="2:20" x14ac:dyDescent="0.25">
      <c r="B677" s="163" t="s">
        <v>3346</v>
      </c>
    </row>
    <row r="678" spans="2:20" x14ac:dyDescent="0.25">
      <c r="B678" s="23" t="s">
        <v>3363</v>
      </c>
      <c r="C678" s="28" t="s">
        <v>806</v>
      </c>
      <c r="G678" s="34">
        <f>'Capex &amp; Depreciation'!G15</f>
        <v>0</v>
      </c>
      <c r="H678" s="34">
        <f>'Capex &amp; Depreciation'!H15</f>
        <v>0</v>
      </c>
      <c r="I678" s="34">
        <f>'Capex &amp; Depreciation'!I15</f>
        <v>0</v>
      </c>
      <c r="J678" s="34">
        <f>'Capex &amp; Depreciation'!J15</f>
        <v>0</v>
      </c>
      <c r="K678" s="34">
        <f>'Capex &amp; Depreciation'!K15</f>
        <v>0</v>
      </c>
      <c r="L678" s="34">
        <f>'Capex &amp; Depreciation'!L15</f>
        <v>0</v>
      </c>
      <c r="M678" s="34">
        <f>'Capex &amp; Depreciation'!M15</f>
        <v>0</v>
      </c>
      <c r="N678" s="34">
        <f>'Capex &amp; Depreciation'!N15</f>
        <v>0</v>
      </c>
      <c r="O678" s="34">
        <f>'Capex &amp; Depreciation'!O15</f>
        <v>0</v>
      </c>
      <c r="P678" s="34">
        <f>'Capex &amp; Depreciation'!P15</f>
        <v>0</v>
      </c>
      <c r="Q678" s="34">
        <f>'Capex &amp; Depreciation'!Q15</f>
        <v>0</v>
      </c>
      <c r="R678" s="34">
        <f>'Capex &amp; Depreciation'!R15</f>
        <v>0</v>
      </c>
      <c r="S678" s="34">
        <f>'Capex &amp; Depreciation'!S15</f>
        <v>0</v>
      </c>
      <c r="T678" s="34">
        <f>'Capex &amp; Depreciation'!T15</f>
        <v>0</v>
      </c>
    </row>
    <row r="679" spans="2:20" x14ac:dyDescent="0.25">
      <c r="B679" s="23" t="s">
        <v>3364</v>
      </c>
      <c r="C679" s="28" t="s">
        <v>493</v>
      </c>
      <c r="G679" s="29">
        <f>'Capex &amp; Depreciation'!G63</f>
        <v>0</v>
      </c>
      <c r="H679" s="29">
        <f>'Capex &amp; Depreciation'!H63</f>
        <v>0</v>
      </c>
      <c r="I679" s="29">
        <f>'Capex &amp; Depreciation'!I63</f>
        <v>0</v>
      </c>
      <c r="J679" s="29">
        <f>'Capex &amp; Depreciation'!J63</f>
        <v>0</v>
      </c>
      <c r="K679" s="29">
        <f>'Capex &amp; Depreciation'!K63</f>
        <v>0</v>
      </c>
      <c r="L679" s="29">
        <f>'Capex &amp; Depreciation'!L63</f>
        <v>0</v>
      </c>
      <c r="M679" s="29">
        <f>'Capex &amp; Depreciation'!M63</f>
        <v>0</v>
      </c>
      <c r="N679" s="29">
        <f>'Capex &amp; Depreciation'!N63</f>
        <v>0</v>
      </c>
      <c r="O679" s="29">
        <f>'Capex &amp; Depreciation'!O63</f>
        <v>0</v>
      </c>
      <c r="P679" s="29">
        <f>'Capex &amp; Depreciation'!P63</f>
        <v>0</v>
      </c>
      <c r="Q679" s="29">
        <f>'Capex &amp; Depreciation'!Q63</f>
        <v>0</v>
      </c>
      <c r="R679" s="29">
        <f>'Capex &amp; Depreciation'!R63</f>
        <v>0</v>
      </c>
      <c r="S679" s="29">
        <f>'Capex &amp; Depreciation'!S63</f>
        <v>0</v>
      </c>
      <c r="T679" s="29">
        <f>'Capex &amp; Depreciation'!T63</f>
        <v>0</v>
      </c>
    </row>
    <row r="680" spans="2:20" ht="26.25" customHeight="1" x14ac:dyDescent="0.25">
      <c r="B680" s="64" t="s">
        <v>3365</v>
      </c>
      <c r="C680" s="28" t="s">
        <v>493</v>
      </c>
      <c r="H680" s="29">
        <f>'Funding Requirement'!H122</f>
        <v>0</v>
      </c>
      <c r="I680" s="29">
        <f>'Funding Requirement'!I122</f>
        <v>0</v>
      </c>
      <c r="J680" s="29">
        <f>'Funding Requirement'!J122</f>
        <v>0</v>
      </c>
      <c r="K680" s="29">
        <f>'Funding Requirement'!K122</f>
        <v>0</v>
      </c>
      <c r="L680" s="29">
        <f>'Funding Requirement'!L122</f>
        <v>0</v>
      </c>
      <c r="M680" s="29">
        <f>'Funding Requirement'!M122</f>
        <v>0</v>
      </c>
      <c r="N680" s="29">
        <f>'Funding Requirement'!N122</f>
        <v>0</v>
      </c>
      <c r="O680" s="29">
        <f>'Funding Requirement'!O122</f>
        <v>0</v>
      </c>
      <c r="P680" s="29">
        <f>'Funding Requirement'!P122</f>
        <v>0</v>
      </c>
      <c r="Q680" s="29">
        <f>'Funding Requirement'!Q122</f>
        <v>0</v>
      </c>
      <c r="R680" s="29">
        <f>'Funding Requirement'!R122</f>
        <v>0</v>
      </c>
      <c r="S680" s="29">
        <f>'Funding Requirement'!S122</f>
        <v>0</v>
      </c>
      <c r="T680" s="29">
        <f>'Funding Requirement'!T122</f>
        <v>0</v>
      </c>
    </row>
    <row r="681" spans="2:20" x14ac:dyDescent="0.25">
      <c r="B681" s="163" t="s">
        <v>3348</v>
      </c>
    </row>
    <row r="682" spans="2:20" x14ac:dyDescent="0.25">
      <c r="B682" s="44" t="s">
        <v>3349</v>
      </c>
      <c r="D682" s="204" t="str">
        <f>'Project Cash Flows'!$E$25</f>
        <v>not included</v>
      </c>
      <c r="H682" s="44" t="s">
        <v>3176</v>
      </c>
      <c r="K682" s="205" t="str">
        <f>'Project Cash Flows'!$H$25</f>
        <v>not included</v>
      </c>
      <c r="N682" s="44" t="s">
        <v>3350</v>
      </c>
      <c r="Q682" s="205" t="str">
        <f>'Project Cash Flows'!$I$25</f>
        <v>not included</v>
      </c>
    </row>
    <row r="683" spans="2:20" x14ac:dyDescent="0.25">
      <c r="B683" s="44" t="s">
        <v>3180</v>
      </c>
      <c r="D683" s="205" t="str">
        <f>'Project Cash Flows'!$L$25</f>
        <v>as project IRR</v>
      </c>
      <c r="H683" s="44" t="s">
        <v>3351</v>
      </c>
      <c r="K683" s="206" t="str">
        <f>'Project Cash Flows'!$J$25</f>
        <v>not included</v>
      </c>
      <c r="N683" s="44" t="s">
        <v>3179</v>
      </c>
      <c r="Q683" s="204" t="str">
        <f>'Project Cash Flows'!$K$25</f>
        <v>not included</v>
      </c>
    </row>
    <row r="685" spans="2:20" x14ac:dyDescent="0.25">
      <c r="B685" s="58" t="str">
        <f>"P16  "&amp;Inputs!$E$605&amp;"   [Placeholder; entity LPG]"</f>
        <v>P16  Lampung   [Placeholder; entity LPG]</v>
      </c>
      <c r="C685" s="19"/>
      <c r="D685" s="19"/>
      <c r="E685" s="19"/>
      <c r="F685" s="19"/>
      <c r="G685" s="19"/>
      <c r="H685" s="19"/>
      <c r="I685" s="19"/>
      <c r="J685" s="19"/>
      <c r="K685" s="19"/>
      <c r="L685" s="19"/>
      <c r="M685" s="19"/>
      <c r="N685" s="19"/>
      <c r="O685" s="19"/>
      <c r="P685" s="19"/>
      <c r="Q685" s="19"/>
      <c r="R685" s="19"/>
      <c r="S685" s="19"/>
      <c r="T685" s="19"/>
    </row>
    <row r="686" spans="2:20" x14ac:dyDescent="0.25">
      <c r="B686" s="70" t="s">
        <v>1690</v>
      </c>
      <c r="D686" s="130" t="str">
        <f>Inputs!$I$79</f>
        <v>Placeholder - inputs not yet populated (OFF)</v>
      </c>
      <c r="M686" s="202" t="s">
        <v>3323</v>
      </c>
      <c r="N686" s="203">
        <f>Inputs!$H$79</f>
        <v>0</v>
      </c>
    </row>
    <row r="687" spans="2:20" x14ac:dyDescent="0.25">
      <c r="B687" s="163" t="s">
        <v>3324</v>
      </c>
    </row>
    <row r="688" spans="2:20" x14ac:dyDescent="0.25">
      <c r="B688" s="23" t="s">
        <v>3395</v>
      </c>
      <c r="C688" s="28" t="s">
        <v>630</v>
      </c>
      <c r="H688" s="48">
        <f>'Revenue Calculation'!H161</f>
        <v>0</v>
      </c>
      <c r="I688" s="48">
        <f>'Revenue Calculation'!I161</f>
        <v>0</v>
      </c>
      <c r="J688" s="48">
        <f>'Revenue Calculation'!J161</f>
        <v>0</v>
      </c>
      <c r="K688" s="48">
        <f>'Revenue Calculation'!K161</f>
        <v>0</v>
      </c>
      <c r="L688" s="48">
        <f>'Revenue Calculation'!L161</f>
        <v>0</v>
      </c>
      <c r="M688" s="48">
        <f>'Revenue Calculation'!M161</f>
        <v>0</v>
      </c>
      <c r="N688" s="48">
        <f>'Revenue Calculation'!N161</f>
        <v>0</v>
      </c>
      <c r="O688" s="48">
        <f>'Revenue Calculation'!O161</f>
        <v>0</v>
      </c>
      <c r="P688" s="48">
        <f>'Revenue Calculation'!P161</f>
        <v>0</v>
      </c>
      <c r="Q688" s="48">
        <f>'Revenue Calculation'!Q161</f>
        <v>0</v>
      </c>
      <c r="R688" s="48">
        <f>'Revenue Calculation'!R161</f>
        <v>0</v>
      </c>
      <c r="S688" s="48">
        <f>'Revenue Calculation'!S161</f>
        <v>0</v>
      </c>
      <c r="T688" s="48">
        <f>'Revenue Calculation'!T161</f>
        <v>0</v>
      </c>
    </row>
    <row r="689" spans="2:20" x14ac:dyDescent="0.25">
      <c r="B689" s="23" t="s">
        <v>3354</v>
      </c>
      <c r="C689" s="28" t="s">
        <v>647</v>
      </c>
      <c r="H689" s="48">
        <f>'Revenue Calculation'!H162</f>
        <v>0</v>
      </c>
      <c r="I689" s="48">
        <f>'Revenue Calculation'!I162</f>
        <v>0</v>
      </c>
      <c r="J689" s="48">
        <f>'Revenue Calculation'!J162</f>
        <v>0</v>
      </c>
      <c r="K689" s="48">
        <f>'Revenue Calculation'!K162</f>
        <v>0</v>
      </c>
      <c r="L689" s="48">
        <f>'Revenue Calculation'!L162</f>
        <v>0</v>
      </c>
      <c r="M689" s="48">
        <f>'Revenue Calculation'!M162</f>
        <v>0</v>
      </c>
      <c r="N689" s="48">
        <f>'Revenue Calculation'!N162</f>
        <v>0</v>
      </c>
      <c r="O689" s="48">
        <f>'Revenue Calculation'!O162</f>
        <v>0</v>
      </c>
      <c r="P689" s="48">
        <f>'Revenue Calculation'!P162</f>
        <v>0</v>
      </c>
      <c r="Q689" s="48">
        <f>'Revenue Calculation'!Q162</f>
        <v>0</v>
      </c>
      <c r="R689" s="48">
        <f>'Revenue Calculation'!R162</f>
        <v>0</v>
      </c>
      <c r="S689" s="48">
        <f>'Revenue Calculation'!S162</f>
        <v>0</v>
      </c>
      <c r="T689" s="48">
        <f>'Revenue Calculation'!T162</f>
        <v>0</v>
      </c>
    </row>
    <row r="690" spans="2:20" x14ac:dyDescent="0.25">
      <c r="B690" s="163" t="s">
        <v>3328</v>
      </c>
    </row>
    <row r="691" spans="2:20" x14ac:dyDescent="0.25">
      <c r="B691" s="21" t="s">
        <v>3329</v>
      </c>
      <c r="C691" s="28" t="s">
        <v>493</v>
      </c>
      <c r="H691" s="26">
        <f>'Revenue Calculation'!H163</f>
        <v>0</v>
      </c>
      <c r="I691" s="26">
        <f>'Revenue Calculation'!I163</f>
        <v>0</v>
      </c>
      <c r="J691" s="26">
        <f>'Revenue Calculation'!J163</f>
        <v>0</v>
      </c>
      <c r="K691" s="26">
        <f>'Revenue Calculation'!K163</f>
        <v>0</v>
      </c>
      <c r="L691" s="26">
        <f>'Revenue Calculation'!L163</f>
        <v>0</v>
      </c>
      <c r="M691" s="26">
        <f>'Revenue Calculation'!M163</f>
        <v>0</v>
      </c>
      <c r="N691" s="26">
        <f>'Revenue Calculation'!N163</f>
        <v>0</v>
      </c>
      <c r="O691" s="26">
        <f>'Revenue Calculation'!O163</f>
        <v>0</v>
      </c>
      <c r="P691" s="26">
        <f>'Revenue Calculation'!P163</f>
        <v>0</v>
      </c>
      <c r="Q691" s="26">
        <f>'Revenue Calculation'!Q163</f>
        <v>0</v>
      </c>
      <c r="R691" s="26">
        <f>'Revenue Calculation'!R163</f>
        <v>0</v>
      </c>
      <c r="S691" s="26">
        <f>'Revenue Calculation'!S163</f>
        <v>0</v>
      </c>
      <c r="T691" s="26">
        <f>'Revenue Calculation'!T163</f>
        <v>0</v>
      </c>
    </row>
    <row r="692" spans="2:20" x14ac:dyDescent="0.25">
      <c r="B692" s="23" t="s">
        <v>3330</v>
      </c>
      <c r="C692" s="28" t="s">
        <v>493</v>
      </c>
      <c r="H692" s="159">
        <f>-'Cost Calculation'!H184</f>
        <v>0</v>
      </c>
      <c r="I692" s="159">
        <f>-'Cost Calculation'!I184</f>
        <v>0</v>
      </c>
      <c r="J692" s="159">
        <f>-'Cost Calculation'!J184</f>
        <v>0</v>
      </c>
      <c r="K692" s="159">
        <f>-'Cost Calculation'!K184</f>
        <v>0</v>
      </c>
      <c r="L692" s="159">
        <f>-'Cost Calculation'!L184</f>
        <v>0</v>
      </c>
      <c r="M692" s="159">
        <f>-'Cost Calculation'!M184</f>
        <v>0</v>
      </c>
      <c r="N692" s="159">
        <f>-'Cost Calculation'!N184</f>
        <v>0</v>
      </c>
      <c r="O692" s="159">
        <f>-'Cost Calculation'!O184</f>
        <v>0</v>
      </c>
      <c r="P692" s="159">
        <f>-'Cost Calculation'!P184</f>
        <v>0</v>
      </c>
      <c r="Q692" s="159">
        <f>-'Cost Calculation'!Q184</f>
        <v>0</v>
      </c>
      <c r="R692" s="159">
        <f>-'Cost Calculation'!R184</f>
        <v>0</v>
      </c>
      <c r="S692" s="159">
        <f>-'Cost Calculation'!S184</f>
        <v>0</v>
      </c>
      <c r="T692" s="159">
        <f>-'Cost Calculation'!T184</f>
        <v>0</v>
      </c>
    </row>
    <row r="693" spans="2:20" x14ac:dyDescent="0.25">
      <c r="B693" s="23" t="s">
        <v>3331</v>
      </c>
      <c r="C693" s="28" t="s">
        <v>493</v>
      </c>
      <c r="H693" s="159">
        <f>-'Cost Calculation'!H185</f>
        <v>0</v>
      </c>
      <c r="I693" s="159">
        <f>-'Cost Calculation'!I185</f>
        <v>0</v>
      </c>
      <c r="J693" s="159">
        <f>-'Cost Calculation'!J185</f>
        <v>0</v>
      </c>
      <c r="K693" s="159">
        <f>-'Cost Calculation'!K185</f>
        <v>0</v>
      </c>
      <c r="L693" s="159">
        <f>-'Cost Calculation'!L185</f>
        <v>0</v>
      </c>
      <c r="M693" s="159">
        <f>-'Cost Calculation'!M185</f>
        <v>0</v>
      </c>
      <c r="N693" s="159">
        <f>-'Cost Calculation'!N185</f>
        <v>0</v>
      </c>
      <c r="O693" s="159">
        <f>-'Cost Calculation'!O185</f>
        <v>0</v>
      </c>
      <c r="P693" s="159">
        <f>-'Cost Calculation'!P185</f>
        <v>0</v>
      </c>
      <c r="Q693" s="159">
        <f>-'Cost Calculation'!Q185</f>
        <v>0</v>
      </c>
      <c r="R693" s="159">
        <f>-'Cost Calculation'!R185</f>
        <v>0</v>
      </c>
      <c r="S693" s="159">
        <f>-'Cost Calculation'!S185</f>
        <v>0</v>
      </c>
      <c r="T693" s="159">
        <f>-'Cost Calculation'!T185</f>
        <v>0</v>
      </c>
    </row>
    <row r="694" spans="2:20" x14ac:dyDescent="0.25">
      <c r="B694" s="21" t="s">
        <v>3221</v>
      </c>
      <c r="C694" s="28" t="s">
        <v>493</v>
      </c>
      <c r="H694" s="26">
        <f>'Cost Calculation'!H186</f>
        <v>0</v>
      </c>
      <c r="I694" s="26">
        <f>'Cost Calculation'!I186</f>
        <v>0</v>
      </c>
      <c r="J694" s="26">
        <f>'Cost Calculation'!J186</f>
        <v>0</v>
      </c>
      <c r="K694" s="26">
        <f>'Cost Calculation'!K186</f>
        <v>0</v>
      </c>
      <c r="L694" s="26">
        <f>'Cost Calculation'!L186</f>
        <v>0</v>
      </c>
      <c r="M694" s="26">
        <f>'Cost Calculation'!M186</f>
        <v>0</v>
      </c>
      <c r="N694" s="26">
        <f>'Cost Calculation'!N186</f>
        <v>0</v>
      </c>
      <c r="O694" s="26">
        <f>'Cost Calculation'!O186</f>
        <v>0</v>
      </c>
      <c r="P694" s="26">
        <f>'Cost Calculation'!P186</f>
        <v>0</v>
      </c>
      <c r="Q694" s="26">
        <f>'Cost Calculation'!Q186</f>
        <v>0</v>
      </c>
      <c r="R694" s="26">
        <f>'Cost Calculation'!R186</f>
        <v>0</v>
      </c>
      <c r="S694" s="26">
        <f>'Cost Calculation'!S186</f>
        <v>0</v>
      </c>
      <c r="T694" s="26">
        <f>'Cost Calculation'!T186</f>
        <v>0</v>
      </c>
    </row>
    <row r="695" spans="2:20" x14ac:dyDescent="0.25">
      <c r="B695" s="23" t="s">
        <v>3332</v>
      </c>
      <c r="C695" s="28" t="s">
        <v>493</v>
      </c>
      <c r="H695" s="159">
        <f>-'Capex &amp; Depreciation'!H250</f>
        <v>0</v>
      </c>
      <c r="I695" s="159">
        <f>-'Capex &amp; Depreciation'!I250</f>
        <v>0</v>
      </c>
      <c r="J695" s="159">
        <f>-'Capex &amp; Depreciation'!J250</f>
        <v>0</v>
      </c>
      <c r="K695" s="159">
        <f>-'Capex &amp; Depreciation'!K250</f>
        <v>0</v>
      </c>
      <c r="L695" s="159">
        <f>-'Capex &amp; Depreciation'!L250</f>
        <v>0</v>
      </c>
      <c r="M695" s="159">
        <f>-'Capex &amp; Depreciation'!M250</f>
        <v>0</v>
      </c>
      <c r="N695" s="159">
        <f>-'Capex &amp; Depreciation'!N250</f>
        <v>0</v>
      </c>
      <c r="O695" s="159">
        <f>-'Capex &amp; Depreciation'!O250</f>
        <v>0</v>
      </c>
      <c r="P695" s="159">
        <f>-'Capex &amp; Depreciation'!P250</f>
        <v>0</v>
      </c>
      <c r="Q695" s="159">
        <f>-'Capex &amp; Depreciation'!Q250</f>
        <v>0</v>
      </c>
      <c r="R695" s="159">
        <f>-'Capex &amp; Depreciation'!R250</f>
        <v>0</v>
      </c>
      <c r="S695" s="159">
        <f>-'Capex &amp; Depreciation'!S250</f>
        <v>0</v>
      </c>
      <c r="T695" s="159">
        <f>-'Capex &amp; Depreciation'!T250</f>
        <v>0</v>
      </c>
    </row>
    <row r="696" spans="2:20" x14ac:dyDescent="0.25">
      <c r="B696" s="21" t="s">
        <v>3333</v>
      </c>
      <c r="C696" s="28" t="s">
        <v>493</v>
      </c>
      <c r="H696" s="26">
        <f>'Project Cash Flows'!H303</f>
        <v>0</v>
      </c>
      <c r="I696" s="26">
        <f>'Project Cash Flows'!I303</f>
        <v>0</v>
      </c>
      <c r="J696" s="26">
        <f>'Project Cash Flows'!J303</f>
        <v>0</v>
      </c>
      <c r="K696" s="26">
        <f>'Project Cash Flows'!K303</f>
        <v>0</v>
      </c>
      <c r="L696" s="26">
        <f>'Project Cash Flows'!L303</f>
        <v>0</v>
      </c>
      <c r="M696" s="26">
        <f>'Project Cash Flows'!M303</f>
        <v>0</v>
      </c>
      <c r="N696" s="26">
        <f>'Project Cash Flows'!N303</f>
        <v>0</v>
      </c>
      <c r="O696" s="26">
        <f>'Project Cash Flows'!O303</f>
        <v>0</v>
      </c>
      <c r="P696" s="26">
        <f>'Project Cash Flows'!P303</f>
        <v>0</v>
      </c>
      <c r="Q696" s="26">
        <f>'Project Cash Flows'!Q303</f>
        <v>0</v>
      </c>
      <c r="R696" s="26">
        <f>'Project Cash Flows'!R303</f>
        <v>0</v>
      </c>
      <c r="S696" s="26">
        <f>'Project Cash Flows'!S303</f>
        <v>0</v>
      </c>
      <c r="T696" s="26">
        <f>'Project Cash Flows'!T303</f>
        <v>0</v>
      </c>
    </row>
    <row r="697" spans="2:20" x14ac:dyDescent="0.25">
      <c r="B697" s="23" t="s">
        <v>3334</v>
      </c>
      <c r="C697" s="28" t="s">
        <v>493</v>
      </c>
      <c r="H697" s="159">
        <f>-'Project Cash Flows'!H304</f>
        <v>0</v>
      </c>
      <c r="I697" s="159">
        <f>-'Project Cash Flows'!I304</f>
        <v>0</v>
      </c>
      <c r="J697" s="159">
        <f>-'Project Cash Flows'!J304</f>
        <v>0</v>
      </c>
      <c r="K697" s="159">
        <f>-'Project Cash Flows'!K304</f>
        <v>0</v>
      </c>
      <c r="L697" s="159">
        <f>-'Project Cash Flows'!L304</f>
        <v>0</v>
      </c>
      <c r="M697" s="159">
        <f>-'Project Cash Flows'!M304</f>
        <v>0</v>
      </c>
      <c r="N697" s="159">
        <f>-'Project Cash Flows'!N304</f>
        <v>0</v>
      </c>
      <c r="O697" s="159">
        <f>-'Project Cash Flows'!O304</f>
        <v>0</v>
      </c>
      <c r="P697" s="159">
        <f>-'Project Cash Flows'!P304</f>
        <v>0</v>
      </c>
      <c r="Q697" s="159">
        <f>-'Project Cash Flows'!Q304</f>
        <v>0</v>
      </c>
      <c r="R697" s="159">
        <f>-'Project Cash Flows'!R304</f>
        <v>0</v>
      </c>
      <c r="S697" s="159">
        <f>-'Project Cash Flows'!S304</f>
        <v>0</v>
      </c>
      <c r="T697" s="159">
        <f>-'Project Cash Flows'!T304</f>
        <v>0</v>
      </c>
    </row>
    <row r="698" spans="2:20" x14ac:dyDescent="0.25">
      <c r="B698" s="23" t="s">
        <v>3335</v>
      </c>
      <c r="C698" s="28" t="s">
        <v>493</v>
      </c>
      <c r="H698" s="159">
        <f>-'Project Cash Flows'!H305</f>
        <v>0</v>
      </c>
      <c r="I698" s="159">
        <f>-'Project Cash Flows'!I305</f>
        <v>0</v>
      </c>
      <c r="J698" s="159">
        <f>-'Project Cash Flows'!J305</f>
        <v>0</v>
      </c>
      <c r="K698" s="159">
        <f>-'Project Cash Flows'!K305</f>
        <v>0</v>
      </c>
      <c r="L698" s="159">
        <f>-'Project Cash Flows'!L305</f>
        <v>0</v>
      </c>
      <c r="M698" s="159">
        <f>-'Project Cash Flows'!M305</f>
        <v>0</v>
      </c>
      <c r="N698" s="159">
        <f>-'Project Cash Flows'!N305</f>
        <v>0</v>
      </c>
      <c r="O698" s="159">
        <f>-'Project Cash Flows'!O305</f>
        <v>0</v>
      </c>
      <c r="P698" s="159">
        <f>-'Project Cash Flows'!P305</f>
        <v>0</v>
      </c>
      <c r="Q698" s="159">
        <f>-'Project Cash Flows'!Q305</f>
        <v>0</v>
      </c>
      <c r="R698" s="159">
        <f>-'Project Cash Flows'!R305</f>
        <v>0</v>
      </c>
      <c r="S698" s="159">
        <f>-'Project Cash Flows'!S305</f>
        <v>0</v>
      </c>
      <c r="T698" s="159">
        <f>-'Project Cash Flows'!T305</f>
        <v>0</v>
      </c>
    </row>
    <row r="699" spans="2:20" x14ac:dyDescent="0.25">
      <c r="B699" s="21" t="s">
        <v>3336</v>
      </c>
      <c r="C699" s="28" t="s">
        <v>493</v>
      </c>
      <c r="H699" s="26">
        <f>'Project Cash Flows'!H306</f>
        <v>0</v>
      </c>
      <c r="I699" s="26">
        <f>'Project Cash Flows'!I306</f>
        <v>0</v>
      </c>
      <c r="J699" s="26">
        <f>'Project Cash Flows'!J306</f>
        <v>0</v>
      </c>
      <c r="K699" s="26">
        <f>'Project Cash Flows'!K306</f>
        <v>0</v>
      </c>
      <c r="L699" s="26">
        <f>'Project Cash Flows'!L306</f>
        <v>0</v>
      </c>
      <c r="M699" s="26">
        <f>'Project Cash Flows'!M306</f>
        <v>0</v>
      </c>
      <c r="N699" s="26">
        <f>'Project Cash Flows'!N306</f>
        <v>0</v>
      </c>
      <c r="O699" s="26">
        <f>'Project Cash Flows'!O306</f>
        <v>0</v>
      </c>
      <c r="P699" s="26">
        <f>'Project Cash Flows'!P306</f>
        <v>0</v>
      </c>
      <c r="Q699" s="26">
        <f>'Project Cash Flows'!Q306</f>
        <v>0</v>
      </c>
      <c r="R699" s="26">
        <f>'Project Cash Flows'!R306</f>
        <v>0</v>
      </c>
      <c r="S699" s="26">
        <f>'Project Cash Flows'!S306</f>
        <v>0</v>
      </c>
      <c r="T699" s="26">
        <f>'Project Cash Flows'!T306</f>
        <v>0</v>
      </c>
    </row>
    <row r="700" spans="2:20" x14ac:dyDescent="0.25">
      <c r="B700" s="163" t="s">
        <v>3337</v>
      </c>
    </row>
    <row r="701" spans="2:20" x14ac:dyDescent="0.25">
      <c r="B701" s="23" t="s">
        <v>3338</v>
      </c>
      <c r="C701" s="28" t="s">
        <v>493</v>
      </c>
      <c r="G701" s="29">
        <f>'Capex &amp; Depreciation'!G304</f>
        <v>0</v>
      </c>
      <c r="H701" s="29">
        <f>'Capex &amp; Depreciation'!H304</f>
        <v>0</v>
      </c>
      <c r="I701" s="29">
        <f>'Capex &amp; Depreciation'!I304</f>
        <v>0</v>
      </c>
      <c r="J701" s="29">
        <f>'Capex &amp; Depreciation'!J304</f>
        <v>0</v>
      </c>
      <c r="K701" s="29">
        <f>'Capex &amp; Depreciation'!K304</f>
        <v>0</v>
      </c>
      <c r="L701" s="29">
        <f>'Capex &amp; Depreciation'!L304</f>
        <v>0</v>
      </c>
      <c r="M701" s="29">
        <f>'Capex &amp; Depreciation'!M304</f>
        <v>0</v>
      </c>
      <c r="N701" s="29">
        <f>'Capex &amp; Depreciation'!N304</f>
        <v>0</v>
      </c>
      <c r="O701" s="29">
        <f>'Capex &amp; Depreciation'!O304</f>
        <v>0</v>
      </c>
      <c r="P701" s="29">
        <f>'Capex &amp; Depreciation'!P304</f>
        <v>0</v>
      </c>
      <c r="Q701" s="29">
        <f>'Capex &amp; Depreciation'!Q304</f>
        <v>0</v>
      </c>
      <c r="R701" s="29">
        <f>'Capex &amp; Depreciation'!R304</f>
        <v>0</v>
      </c>
      <c r="S701" s="29">
        <f>'Capex &amp; Depreciation'!S304</f>
        <v>0</v>
      </c>
      <c r="T701" s="29">
        <f>'Capex &amp; Depreciation'!T304</f>
        <v>0</v>
      </c>
    </row>
    <row r="702" spans="2:20" x14ac:dyDescent="0.25">
      <c r="B702" s="23" t="s">
        <v>3339</v>
      </c>
      <c r="C702" s="28" t="s">
        <v>493</v>
      </c>
      <c r="G702" s="159">
        <v>0</v>
      </c>
      <c r="H702" s="29">
        <f>'Working Capital'!H89</f>
        <v>0</v>
      </c>
      <c r="I702" s="29">
        <f>'Working Capital'!I89</f>
        <v>0</v>
      </c>
      <c r="J702" s="29">
        <f>'Working Capital'!J89</f>
        <v>0</v>
      </c>
      <c r="K702" s="29">
        <f>'Working Capital'!K89</f>
        <v>0</v>
      </c>
      <c r="L702" s="29">
        <f>'Working Capital'!L89</f>
        <v>0</v>
      </c>
      <c r="M702" s="29">
        <f>'Working Capital'!M89</f>
        <v>0</v>
      </c>
      <c r="N702" s="29">
        <f>'Working Capital'!N89</f>
        <v>0</v>
      </c>
      <c r="O702" s="29">
        <f>'Working Capital'!O89</f>
        <v>0</v>
      </c>
      <c r="P702" s="29">
        <f>'Working Capital'!P89</f>
        <v>0</v>
      </c>
      <c r="Q702" s="29">
        <f>'Working Capital'!Q89</f>
        <v>0</v>
      </c>
      <c r="R702" s="29">
        <f>'Working Capital'!R89</f>
        <v>0</v>
      </c>
      <c r="S702" s="29">
        <f>'Working Capital'!S89</f>
        <v>0</v>
      </c>
      <c r="T702" s="29">
        <f>'Working Capital'!T89</f>
        <v>0</v>
      </c>
    </row>
    <row r="703" spans="2:20" x14ac:dyDescent="0.25">
      <c r="B703" s="23" t="s">
        <v>3340</v>
      </c>
      <c r="C703" s="28" t="s">
        <v>493</v>
      </c>
      <c r="G703" s="159">
        <v>0</v>
      </c>
      <c r="H703" s="159">
        <f>-'Working Capital'!H90</f>
        <v>0</v>
      </c>
      <c r="I703" s="159">
        <f>-'Working Capital'!I90</f>
        <v>0</v>
      </c>
      <c r="J703" s="159">
        <f>-'Working Capital'!J90</f>
        <v>0</v>
      </c>
      <c r="K703" s="159">
        <f>-'Working Capital'!K90</f>
        <v>0</v>
      </c>
      <c r="L703" s="159">
        <f>-'Working Capital'!L90</f>
        <v>0</v>
      </c>
      <c r="M703" s="159">
        <f>-'Working Capital'!M90</f>
        <v>0</v>
      </c>
      <c r="N703" s="159">
        <f>-'Working Capital'!N90</f>
        <v>0</v>
      </c>
      <c r="O703" s="159">
        <f>-'Working Capital'!O90</f>
        <v>0</v>
      </c>
      <c r="P703" s="159">
        <f>-'Working Capital'!P90</f>
        <v>0</v>
      </c>
      <c r="Q703" s="159">
        <f>-'Working Capital'!Q90</f>
        <v>0</v>
      </c>
      <c r="R703" s="159">
        <f>-'Working Capital'!R90</f>
        <v>0</v>
      </c>
      <c r="S703" s="159">
        <f>-'Working Capital'!S90</f>
        <v>0</v>
      </c>
      <c r="T703" s="159">
        <f>-'Working Capital'!T90</f>
        <v>0</v>
      </c>
    </row>
    <row r="704" spans="2:20" x14ac:dyDescent="0.25">
      <c r="B704" s="21" t="s">
        <v>3341</v>
      </c>
      <c r="C704" s="28" t="s">
        <v>493</v>
      </c>
      <c r="G704" s="26">
        <f>'Capex &amp; Depreciation'!G304</f>
        <v>0</v>
      </c>
      <c r="H704" s="160">
        <f>'Capex &amp; Depreciation'!H304+'Working Capital'!H91</f>
        <v>0</v>
      </c>
      <c r="I704" s="160">
        <f>'Capex &amp; Depreciation'!I304+'Working Capital'!I91</f>
        <v>0</v>
      </c>
      <c r="J704" s="160">
        <f>'Capex &amp; Depreciation'!J304+'Working Capital'!J91</f>
        <v>0</v>
      </c>
      <c r="K704" s="160">
        <f>'Capex &amp; Depreciation'!K304+'Working Capital'!K91</f>
        <v>0</v>
      </c>
      <c r="L704" s="160">
        <f>'Capex &amp; Depreciation'!L304+'Working Capital'!L91</f>
        <v>0</v>
      </c>
      <c r="M704" s="160">
        <f>'Capex &amp; Depreciation'!M304+'Working Capital'!M91</f>
        <v>0</v>
      </c>
      <c r="N704" s="160">
        <f>'Capex &amp; Depreciation'!N304+'Working Capital'!N91</f>
        <v>0</v>
      </c>
      <c r="O704" s="160">
        <f>'Capex &amp; Depreciation'!O304+'Working Capital'!O91</f>
        <v>0</v>
      </c>
      <c r="P704" s="160">
        <f>'Capex &amp; Depreciation'!P304+'Working Capital'!P91</f>
        <v>0</v>
      </c>
      <c r="Q704" s="160">
        <f>'Capex &amp; Depreciation'!Q304+'Working Capital'!Q91</f>
        <v>0</v>
      </c>
      <c r="R704" s="160">
        <f>'Capex &amp; Depreciation'!R304+'Working Capital'!R91</f>
        <v>0</v>
      </c>
      <c r="S704" s="160">
        <f>'Capex &amp; Depreciation'!S304+'Working Capital'!S91</f>
        <v>0</v>
      </c>
      <c r="T704" s="160">
        <f>'Capex &amp; Depreciation'!T304+'Working Capital'!T91</f>
        <v>0</v>
      </c>
    </row>
    <row r="705" spans="2:20" x14ac:dyDescent="0.25">
      <c r="B705" s="163" t="s">
        <v>3342</v>
      </c>
    </row>
    <row r="706" spans="2:20" x14ac:dyDescent="0.25">
      <c r="B706" s="23" t="s">
        <v>3221</v>
      </c>
      <c r="C706" s="28" t="s">
        <v>493</v>
      </c>
      <c r="H706" s="29">
        <f>'Project Cash Flows'!H302</f>
        <v>0</v>
      </c>
      <c r="I706" s="29">
        <f>'Project Cash Flows'!I302</f>
        <v>0</v>
      </c>
      <c r="J706" s="29">
        <f>'Project Cash Flows'!J302</f>
        <v>0</v>
      </c>
      <c r="K706" s="29">
        <f>'Project Cash Flows'!K302</f>
        <v>0</v>
      </c>
      <c r="L706" s="29">
        <f>'Project Cash Flows'!L302</f>
        <v>0</v>
      </c>
      <c r="M706" s="29">
        <f>'Project Cash Flows'!M302</f>
        <v>0</v>
      </c>
      <c r="N706" s="29">
        <f>'Project Cash Flows'!N302</f>
        <v>0</v>
      </c>
      <c r="O706" s="29">
        <f>'Project Cash Flows'!O302</f>
        <v>0</v>
      </c>
      <c r="P706" s="29">
        <f>'Project Cash Flows'!P302</f>
        <v>0</v>
      </c>
      <c r="Q706" s="29">
        <f>'Project Cash Flows'!Q302</f>
        <v>0</v>
      </c>
      <c r="R706" s="29">
        <f>'Project Cash Flows'!R302</f>
        <v>0</v>
      </c>
      <c r="S706" s="29">
        <f>'Project Cash Flows'!S302</f>
        <v>0</v>
      </c>
      <c r="T706" s="29">
        <f>'Project Cash Flows'!T302</f>
        <v>0</v>
      </c>
    </row>
    <row r="707" spans="2:20" x14ac:dyDescent="0.25">
      <c r="B707" s="23" t="s">
        <v>3343</v>
      </c>
      <c r="C707" s="28" t="s">
        <v>493</v>
      </c>
      <c r="H707" s="29">
        <f>'Project Cash Flows'!H307</f>
        <v>0</v>
      </c>
      <c r="I707" s="29">
        <f>'Project Cash Flows'!I307</f>
        <v>0</v>
      </c>
      <c r="J707" s="29">
        <f>'Project Cash Flows'!J307</f>
        <v>0</v>
      </c>
      <c r="K707" s="29">
        <f>'Project Cash Flows'!K307</f>
        <v>0</v>
      </c>
      <c r="L707" s="29">
        <f>'Project Cash Flows'!L307</f>
        <v>0</v>
      </c>
      <c r="M707" s="29">
        <f>'Project Cash Flows'!M307</f>
        <v>0</v>
      </c>
      <c r="N707" s="29">
        <f>'Project Cash Flows'!N307</f>
        <v>0</v>
      </c>
      <c r="O707" s="29">
        <f>'Project Cash Flows'!O307</f>
        <v>0</v>
      </c>
      <c r="P707" s="29">
        <f>'Project Cash Flows'!P307</f>
        <v>0</v>
      </c>
      <c r="Q707" s="29">
        <f>'Project Cash Flows'!Q307</f>
        <v>0</v>
      </c>
      <c r="R707" s="29">
        <f>'Project Cash Flows'!R307</f>
        <v>0</v>
      </c>
      <c r="S707" s="29">
        <f>'Project Cash Flows'!S307</f>
        <v>0</v>
      </c>
      <c r="T707" s="29">
        <f>'Project Cash Flows'!T307</f>
        <v>0</v>
      </c>
    </row>
    <row r="708" spans="2:20" x14ac:dyDescent="0.25">
      <c r="B708" s="23" t="s">
        <v>3227</v>
      </c>
      <c r="C708" s="28" t="s">
        <v>493</v>
      </c>
      <c r="H708" s="29">
        <f>'Project Cash Flows'!H308</f>
        <v>0</v>
      </c>
      <c r="I708" s="29">
        <f>'Project Cash Flows'!I308</f>
        <v>0</v>
      </c>
      <c r="J708" s="29">
        <f>'Project Cash Flows'!J308</f>
        <v>0</v>
      </c>
      <c r="K708" s="29">
        <f>'Project Cash Flows'!K308</f>
        <v>0</v>
      </c>
      <c r="L708" s="29">
        <f>'Project Cash Flows'!L308</f>
        <v>0</v>
      </c>
      <c r="M708" s="29">
        <f>'Project Cash Flows'!M308</f>
        <v>0</v>
      </c>
      <c r="N708" s="29">
        <f>'Project Cash Flows'!N308</f>
        <v>0</v>
      </c>
      <c r="O708" s="29">
        <f>'Project Cash Flows'!O308</f>
        <v>0</v>
      </c>
      <c r="P708" s="29">
        <f>'Project Cash Flows'!P308</f>
        <v>0</v>
      </c>
      <c r="Q708" s="29">
        <f>'Project Cash Flows'!Q308</f>
        <v>0</v>
      </c>
      <c r="R708" s="29">
        <f>'Project Cash Flows'!R308</f>
        <v>0</v>
      </c>
      <c r="S708" s="29">
        <f>'Project Cash Flows'!S308</f>
        <v>0</v>
      </c>
      <c r="T708" s="29">
        <f>'Project Cash Flows'!T308</f>
        <v>0</v>
      </c>
    </row>
    <row r="709" spans="2:20" x14ac:dyDescent="0.25">
      <c r="B709" s="23" t="s">
        <v>3228</v>
      </c>
      <c r="C709" s="28" t="s">
        <v>493</v>
      </c>
      <c r="H709" s="29">
        <f>'Project Cash Flows'!H309</f>
        <v>0</v>
      </c>
      <c r="I709" s="29">
        <f>'Project Cash Flows'!I309</f>
        <v>0</v>
      </c>
      <c r="J709" s="29">
        <f>'Project Cash Flows'!J309</f>
        <v>0</v>
      </c>
      <c r="K709" s="29">
        <f>'Project Cash Flows'!K309</f>
        <v>0</v>
      </c>
      <c r="L709" s="29">
        <f>'Project Cash Flows'!L309</f>
        <v>0</v>
      </c>
      <c r="M709" s="29">
        <f>'Project Cash Flows'!M309</f>
        <v>0</v>
      </c>
      <c r="N709" s="29">
        <f>'Project Cash Flows'!N309</f>
        <v>0</v>
      </c>
      <c r="O709" s="29">
        <f>'Project Cash Flows'!O309</f>
        <v>0</v>
      </c>
      <c r="P709" s="29">
        <f>'Project Cash Flows'!P309</f>
        <v>0</v>
      </c>
      <c r="Q709" s="29">
        <f>'Project Cash Flows'!Q309</f>
        <v>0</v>
      </c>
      <c r="R709" s="29">
        <f>'Project Cash Flows'!R309</f>
        <v>0</v>
      </c>
      <c r="S709" s="29">
        <f>'Project Cash Flows'!S309</f>
        <v>0</v>
      </c>
      <c r="T709" s="29">
        <f>'Project Cash Flows'!T309</f>
        <v>0</v>
      </c>
    </row>
    <row r="710" spans="2:20" x14ac:dyDescent="0.25">
      <c r="B710" s="21" t="s">
        <v>3344</v>
      </c>
      <c r="C710" s="28" t="s">
        <v>493</v>
      </c>
      <c r="H710" s="26">
        <f>'Project Cash Flows'!H310</f>
        <v>0</v>
      </c>
      <c r="I710" s="26">
        <f>'Project Cash Flows'!I310</f>
        <v>0</v>
      </c>
      <c r="J710" s="26">
        <f>'Project Cash Flows'!J310</f>
        <v>0</v>
      </c>
      <c r="K710" s="26">
        <f>'Project Cash Flows'!K310</f>
        <v>0</v>
      </c>
      <c r="L710" s="26">
        <f>'Project Cash Flows'!L310</f>
        <v>0</v>
      </c>
      <c r="M710" s="26">
        <f>'Project Cash Flows'!M310</f>
        <v>0</v>
      </c>
      <c r="N710" s="26">
        <f>'Project Cash Flows'!N310</f>
        <v>0</v>
      </c>
      <c r="O710" s="26">
        <f>'Project Cash Flows'!O310</f>
        <v>0</v>
      </c>
      <c r="P710" s="26">
        <f>'Project Cash Flows'!P310</f>
        <v>0</v>
      </c>
      <c r="Q710" s="26">
        <f>'Project Cash Flows'!Q310</f>
        <v>0</v>
      </c>
      <c r="R710" s="26">
        <f>'Project Cash Flows'!R310</f>
        <v>0</v>
      </c>
      <c r="S710" s="26">
        <f>'Project Cash Flows'!S310</f>
        <v>0</v>
      </c>
      <c r="T710" s="26">
        <f>'Project Cash Flows'!T310</f>
        <v>0</v>
      </c>
    </row>
    <row r="711" spans="2:20" x14ac:dyDescent="0.25">
      <c r="B711" s="23" t="s">
        <v>3345</v>
      </c>
      <c r="C711" s="28" t="s">
        <v>493</v>
      </c>
      <c r="G711" s="29">
        <f>'Project Cash Flows'!G313</f>
        <v>0</v>
      </c>
      <c r="H711" s="29">
        <f>'Project Cash Flows'!H313</f>
        <v>0</v>
      </c>
      <c r="I711" s="29">
        <f>'Project Cash Flows'!I313</f>
        <v>0</v>
      </c>
      <c r="J711" s="29">
        <f>'Project Cash Flows'!J313</f>
        <v>0</v>
      </c>
      <c r="K711" s="29">
        <f>'Project Cash Flows'!K313</f>
        <v>0</v>
      </c>
      <c r="L711" s="29">
        <f>'Project Cash Flows'!L313</f>
        <v>0</v>
      </c>
      <c r="M711" s="29">
        <f>'Project Cash Flows'!M313</f>
        <v>0</v>
      </c>
      <c r="N711" s="29">
        <f>'Project Cash Flows'!N313</f>
        <v>0</v>
      </c>
      <c r="O711" s="29">
        <f>'Project Cash Flows'!O313</f>
        <v>0</v>
      </c>
      <c r="P711" s="29">
        <f>'Project Cash Flows'!P313</f>
        <v>0</v>
      </c>
      <c r="Q711" s="29">
        <f>'Project Cash Flows'!Q313</f>
        <v>0</v>
      </c>
      <c r="R711" s="29">
        <f>'Project Cash Flows'!R313</f>
        <v>0</v>
      </c>
      <c r="S711" s="29">
        <f>'Project Cash Flows'!S313</f>
        <v>0</v>
      </c>
      <c r="T711" s="29">
        <f>'Project Cash Flows'!T313</f>
        <v>0</v>
      </c>
    </row>
    <row r="712" spans="2:20" x14ac:dyDescent="0.25">
      <c r="B712" s="163" t="s">
        <v>3346</v>
      </c>
    </row>
    <row r="713" spans="2:20" x14ac:dyDescent="0.25">
      <c r="B713" s="23" t="s">
        <v>3363</v>
      </c>
      <c r="C713" s="28" t="s">
        <v>806</v>
      </c>
      <c r="G713" s="34">
        <f>'Capex &amp; Depreciation'!G20</f>
        <v>0</v>
      </c>
      <c r="H713" s="34">
        <f>'Capex &amp; Depreciation'!H20</f>
        <v>0</v>
      </c>
      <c r="I713" s="34">
        <f>'Capex &amp; Depreciation'!I20</f>
        <v>0</v>
      </c>
      <c r="J713" s="34">
        <f>'Capex &amp; Depreciation'!J20</f>
        <v>0</v>
      </c>
      <c r="K713" s="34">
        <f>'Capex &amp; Depreciation'!K20</f>
        <v>0</v>
      </c>
      <c r="L713" s="34">
        <f>'Capex &amp; Depreciation'!L20</f>
        <v>0</v>
      </c>
      <c r="M713" s="34">
        <f>'Capex &amp; Depreciation'!M20</f>
        <v>0</v>
      </c>
      <c r="N713" s="34">
        <f>'Capex &amp; Depreciation'!N20</f>
        <v>0</v>
      </c>
      <c r="O713" s="34">
        <f>'Capex &amp; Depreciation'!O20</f>
        <v>0</v>
      </c>
      <c r="P713" s="34">
        <f>'Capex &amp; Depreciation'!P20</f>
        <v>0</v>
      </c>
      <c r="Q713" s="34">
        <f>'Capex &amp; Depreciation'!Q20</f>
        <v>0</v>
      </c>
      <c r="R713" s="34">
        <f>'Capex &amp; Depreciation'!R20</f>
        <v>0</v>
      </c>
      <c r="S713" s="34">
        <f>'Capex &amp; Depreciation'!S20</f>
        <v>0</v>
      </c>
      <c r="T713" s="34">
        <f>'Capex &amp; Depreciation'!T20</f>
        <v>0</v>
      </c>
    </row>
    <row r="714" spans="2:20" x14ac:dyDescent="0.25">
      <c r="B714" s="23" t="s">
        <v>3364</v>
      </c>
      <c r="C714" s="28" t="s">
        <v>493</v>
      </c>
      <c r="G714" s="29">
        <f>'Capex &amp; Depreciation'!G72</f>
        <v>0</v>
      </c>
      <c r="H714" s="29">
        <f>'Capex &amp; Depreciation'!H72</f>
        <v>0</v>
      </c>
      <c r="I714" s="29">
        <f>'Capex &amp; Depreciation'!I72</f>
        <v>0</v>
      </c>
      <c r="J714" s="29">
        <f>'Capex &amp; Depreciation'!J72</f>
        <v>0</v>
      </c>
      <c r="K714" s="29">
        <f>'Capex &amp; Depreciation'!K72</f>
        <v>0</v>
      </c>
      <c r="L714" s="29">
        <f>'Capex &amp; Depreciation'!L72</f>
        <v>0</v>
      </c>
      <c r="M714" s="29">
        <f>'Capex &amp; Depreciation'!M72</f>
        <v>0</v>
      </c>
      <c r="N714" s="29">
        <f>'Capex &amp; Depreciation'!N72</f>
        <v>0</v>
      </c>
      <c r="O714" s="29">
        <f>'Capex &amp; Depreciation'!O72</f>
        <v>0</v>
      </c>
      <c r="P714" s="29">
        <f>'Capex &amp; Depreciation'!P72</f>
        <v>0</v>
      </c>
      <c r="Q714" s="29">
        <f>'Capex &amp; Depreciation'!Q72</f>
        <v>0</v>
      </c>
      <c r="R714" s="29">
        <f>'Capex &amp; Depreciation'!R72</f>
        <v>0</v>
      </c>
      <c r="S714" s="29">
        <f>'Capex &amp; Depreciation'!S72</f>
        <v>0</v>
      </c>
      <c r="T714" s="29">
        <f>'Capex &amp; Depreciation'!T72</f>
        <v>0</v>
      </c>
    </row>
    <row r="715" spans="2:20" ht="26.25" customHeight="1" x14ac:dyDescent="0.25">
      <c r="B715" s="64" t="s">
        <v>3365</v>
      </c>
      <c r="C715" s="28" t="s">
        <v>493</v>
      </c>
      <c r="H715" s="29">
        <f>'Funding Requirement'!H123</f>
        <v>0</v>
      </c>
      <c r="I715" s="29">
        <f>'Funding Requirement'!I123</f>
        <v>0</v>
      </c>
      <c r="J715" s="29">
        <f>'Funding Requirement'!J123</f>
        <v>0</v>
      </c>
      <c r="K715" s="29">
        <f>'Funding Requirement'!K123</f>
        <v>0</v>
      </c>
      <c r="L715" s="29">
        <f>'Funding Requirement'!L123</f>
        <v>0</v>
      </c>
      <c r="M715" s="29">
        <f>'Funding Requirement'!M123</f>
        <v>0</v>
      </c>
      <c r="N715" s="29">
        <f>'Funding Requirement'!N123</f>
        <v>0</v>
      </c>
      <c r="O715" s="29">
        <f>'Funding Requirement'!O123</f>
        <v>0</v>
      </c>
      <c r="P715" s="29">
        <f>'Funding Requirement'!P123</f>
        <v>0</v>
      </c>
      <c r="Q715" s="29">
        <f>'Funding Requirement'!Q123</f>
        <v>0</v>
      </c>
      <c r="R715" s="29">
        <f>'Funding Requirement'!R123</f>
        <v>0</v>
      </c>
      <c r="S715" s="29">
        <f>'Funding Requirement'!S123</f>
        <v>0</v>
      </c>
      <c r="T715" s="29">
        <f>'Funding Requirement'!T123</f>
        <v>0</v>
      </c>
    </row>
    <row r="716" spans="2:20" x14ac:dyDescent="0.25">
      <c r="B716" s="163" t="s">
        <v>3348</v>
      </c>
    </row>
    <row r="717" spans="2:20" x14ac:dyDescent="0.25">
      <c r="B717" s="44" t="s">
        <v>3349</v>
      </c>
      <c r="D717" s="204" t="str">
        <f>'Project Cash Flows'!$E$26</f>
        <v>inputs pending</v>
      </c>
      <c r="H717" s="44" t="s">
        <v>3176</v>
      </c>
      <c r="K717" s="205" t="str">
        <f>'Project Cash Flows'!$H$26</f>
        <v>inputs pending</v>
      </c>
      <c r="N717" s="44" t="s">
        <v>3350</v>
      </c>
      <c r="Q717" s="205" t="str">
        <f>'Project Cash Flows'!$I$26</f>
        <v>inputs pending</v>
      </c>
    </row>
    <row r="718" spans="2:20" x14ac:dyDescent="0.25">
      <c r="B718" s="44" t="s">
        <v>3180</v>
      </c>
      <c r="D718" s="205" t="str">
        <f>'Project Cash Flows'!$L$26</f>
        <v>as project IRR</v>
      </c>
      <c r="H718" s="44" t="s">
        <v>3351</v>
      </c>
      <c r="K718" s="206" t="str">
        <f>'Project Cash Flows'!$J$26</f>
        <v>inputs pending</v>
      </c>
      <c r="N718" s="44" t="s">
        <v>3179</v>
      </c>
      <c r="Q718" s="204" t="str">
        <f>'Project Cash Flows'!$K$26</f>
        <v>inputs pending</v>
      </c>
    </row>
    <row r="720" spans="2:20" x14ac:dyDescent="0.25">
      <c r="B720" s="58" t="str">
        <f>"P17  "&amp;Inputs!$E$639&amp;"   [Placeholder; entity PP2]"</f>
        <v>P17  Pipeline Project 2   [Placeholder; entity PP2]</v>
      </c>
      <c r="C720" s="19"/>
      <c r="D720" s="19"/>
      <c r="E720" s="19"/>
      <c r="F720" s="19"/>
      <c r="G720" s="19"/>
      <c r="H720" s="19"/>
      <c r="I720" s="19"/>
      <c r="J720" s="19"/>
      <c r="K720" s="19"/>
      <c r="L720" s="19"/>
      <c r="M720" s="19"/>
      <c r="N720" s="19"/>
      <c r="O720" s="19"/>
      <c r="P720" s="19"/>
      <c r="Q720" s="19"/>
      <c r="R720" s="19"/>
      <c r="S720" s="19"/>
      <c r="T720" s="19"/>
    </row>
    <row r="721" spans="2:20" x14ac:dyDescent="0.25">
      <c r="B721" s="70" t="s">
        <v>1690</v>
      </c>
      <c r="D721" s="130" t="str">
        <f>Inputs!$I$80</f>
        <v>Placeholder - inputs not yet populated (OFF)</v>
      </c>
      <c r="M721" s="202" t="s">
        <v>3323</v>
      </c>
      <c r="N721" s="203">
        <f>Inputs!$H$80</f>
        <v>0</v>
      </c>
    </row>
    <row r="722" spans="2:20" x14ac:dyDescent="0.25">
      <c r="B722" s="163" t="s">
        <v>3324</v>
      </c>
    </row>
    <row r="723" spans="2:20" x14ac:dyDescent="0.25">
      <c r="B723" s="23" t="s">
        <v>3395</v>
      </c>
      <c r="C723" s="28" t="s">
        <v>630</v>
      </c>
      <c r="H723" s="48">
        <f>'Revenue Calculation'!H165</f>
        <v>0</v>
      </c>
      <c r="I723" s="48">
        <f>'Revenue Calculation'!I165</f>
        <v>0</v>
      </c>
      <c r="J723" s="48">
        <f>'Revenue Calculation'!J165</f>
        <v>0</v>
      </c>
      <c r="K723" s="48">
        <f>'Revenue Calculation'!K165</f>
        <v>0</v>
      </c>
      <c r="L723" s="48">
        <f>'Revenue Calculation'!L165</f>
        <v>0</v>
      </c>
      <c r="M723" s="48">
        <f>'Revenue Calculation'!M165</f>
        <v>0</v>
      </c>
      <c r="N723" s="48">
        <f>'Revenue Calculation'!N165</f>
        <v>0</v>
      </c>
      <c r="O723" s="48">
        <f>'Revenue Calculation'!O165</f>
        <v>0</v>
      </c>
      <c r="P723" s="48">
        <f>'Revenue Calculation'!P165</f>
        <v>0</v>
      </c>
      <c r="Q723" s="48">
        <f>'Revenue Calculation'!Q165</f>
        <v>0</v>
      </c>
      <c r="R723" s="48">
        <f>'Revenue Calculation'!R165</f>
        <v>0</v>
      </c>
      <c r="S723" s="48">
        <f>'Revenue Calculation'!S165</f>
        <v>0</v>
      </c>
      <c r="T723" s="48">
        <f>'Revenue Calculation'!T165</f>
        <v>0</v>
      </c>
    </row>
    <row r="724" spans="2:20" x14ac:dyDescent="0.25">
      <c r="B724" s="23" t="s">
        <v>3354</v>
      </c>
      <c r="C724" s="28" t="s">
        <v>647</v>
      </c>
      <c r="H724" s="48">
        <f>'Revenue Calculation'!H166</f>
        <v>0</v>
      </c>
      <c r="I724" s="48">
        <f>'Revenue Calculation'!I166</f>
        <v>0</v>
      </c>
      <c r="J724" s="48">
        <f>'Revenue Calculation'!J166</f>
        <v>0</v>
      </c>
      <c r="K724" s="48">
        <f>'Revenue Calculation'!K166</f>
        <v>0</v>
      </c>
      <c r="L724" s="48">
        <f>'Revenue Calculation'!L166</f>
        <v>0</v>
      </c>
      <c r="M724" s="48">
        <f>'Revenue Calculation'!M166</f>
        <v>0</v>
      </c>
      <c r="N724" s="48">
        <f>'Revenue Calculation'!N166</f>
        <v>0</v>
      </c>
      <c r="O724" s="48">
        <f>'Revenue Calculation'!O166</f>
        <v>0</v>
      </c>
      <c r="P724" s="48">
        <f>'Revenue Calculation'!P166</f>
        <v>0</v>
      </c>
      <c r="Q724" s="48">
        <f>'Revenue Calculation'!Q166</f>
        <v>0</v>
      </c>
      <c r="R724" s="48">
        <f>'Revenue Calculation'!R166</f>
        <v>0</v>
      </c>
      <c r="S724" s="48">
        <f>'Revenue Calculation'!S166</f>
        <v>0</v>
      </c>
      <c r="T724" s="48">
        <f>'Revenue Calculation'!T166</f>
        <v>0</v>
      </c>
    </row>
    <row r="725" spans="2:20" x14ac:dyDescent="0.25">
      <c r="B725" s="163" t="s">
        <v>3328</v>
      </c>
    </row>
    <row r="726" spans="2:20" x14ac:dyDescent="0.25">
      <c r="B726" s="21" t="s">
        <v>3329</v>
      </c>
      <c r="C726" s="28" t="s">
        <v>493</v>
      </c>
      <c r="H726" s="26">
        <f>'Revenue Calculation'!H167</f>
        <v>0</v>
      </c>
      <c r="I726" s="26">
        <f>'Revenue Calculation'!I167</f>
        <v>0</v>
      </c>
      <c r="J726" s="26">
        <f>'Revenue Calculation'!J167</f>
        <v>0</v>
      </c>
      <c r="K726" s="26">
        <f>'Revenue Calculation'!K167</f>
        <v>0</v>
      </c>
      <c r="L726" s="26">
        <f>'Revenue Calculation'!L167</f>
        <v>0</v>
      </c>
      <c r="M726" s="26">
        <f>'Revenue Calculation'!M167</f>
        <v>0</v>
      </c>
      <c r="N726" s="26">
        <f>'Revenue Calculation'!N167</f>
        <v>0</v>
      </c>
      <c r="O726" s="26">
        <f>'Revenue Calculation'!O167</f>
        <v>0</v>
      </c>
      <c r="P726" s="26">
        <f>'Revenue Calculation'!P167</f>
        <v>0</v>
      </c>
      <c r="Q726" s="26">
        <f>'Revenue Calculation'!Q167</f>
        <v>0</v>
      </c>
      <c r="R726" s="26">
        <f>'Revenue Calculation'!R167</f>
        <v>0</v>
      </c>
      <c r="S726" s="26">
        <f>'Revenue Calculation'!S167</f>
        <v>0</v>
      </c>
      <c r="T726" s="26">
        <f>'Revenue Calculation'!T167</f>
        <v>0</v>
      </c>
    </row>
    <row r="727" spans="2:20" x14ac:dyDescent="0.25">
      <c r="B727" s="23" t="s">
        <v>3330</v>
      </c>
      <c r="C727" s="28" t="s">
        <v>493</v>
      </c>
      <c r="H727" s="159">
        <f>-'Cost Calculation'!H190</f>
        <v>0</v>
      </c>
      <c r="I727" s="159">
        <f>-'Cost Calculation'!I190</f>
        <v>0</v>
      </c>
      <c r="J727" s="159">
        <f>-'Cost Calculation'!J190</f>
        <v>0</v>
      </c>
      <c r="K727" s="159">
        <f>-'Cost Calculation'!K190</f>
        <v>0</v>
      </c>
      <c r="L727" s="159">
        <f>-'Cost Calculation'!L190</f>
        <v>0</v>
      </c>
      <c r="M727" s="159">
        <f>-'Cost Calculation'!M190</f>
        <v>0</v>
      </c>
      <c r="N727" s="159">
        <f>-'Cost Calculation'!N190</f>
        <v>0</v>
      </c>
      <c r="O727" s="159">
        <f>-'Cost Calculation'!O190</f>
        <v>0</v>
      </c>
      <c r="P727" s="159">
        <f>-'Cost Calculation'!P190</f>
        <v>0</v>
      </c>
      <c r="Q727" s="159">
        <f>-'Cost Calculation'!Q190</f>
        <v>0</v>
      </c>
      <c r="R727" s="159">
        <f>-'Cost Calculation'!R190</f>
        <v>0</v>
      </c>
      <c r="S727" s="159">
        <f>-'Cost Calculation'!S190</f>
        <v>0</v>
      </c>
      <c r="T727" s="159">
        <f>-'Cost Calculation'!T190</f>
        <v>0</v>
      </c>
    </row>
    <row r="728" spans="2:20" x14ac:dyDescent="0.25">
      <c r="B728" s="23" t="s">
        <v>3331</v>
      </c>
      <c r="C728" s="28" t="s">
        <v>493</v>
      </c>
      <c r="H728" s="159">
        <f>-'Cost Calculation'!H191</f>
        <v>0</v>
      </c>
      <c r="I728" s="159">
        <f>-'Cost Calculation'!I191</f>
        <v>0</v>
      </c>
      <c r="J728" s="159">
        <f>-'Cost Calculation'!J191</f>
        <v>0</v>
      </c>
      <c r="K728" s="159">
        <f>-'Cost Calculation'!K191</f>
        <v>0</v>
      </c>
      <c r="L728" s="159">
        <f>-'Cost Calculation'!L191</f>
        <v>0</v>
      </c>
      <c r="M728" s="159">
        <f>-'Cost Calculation'!M191</f>
        <v>0</v>
      </c>
      <c r="N728" s="159">
        <f>-'Cost Calculation'!N191</f>
        <v>0</v>
      </c>
      <c r="O728" s="159">
        <f>-'Cost Calculation'!O191</f>
        <v>0</v>
      </c>
      <c r="P728" s="159">
        <f>-'Cost Calculation'!P191</f>
        <v>0</v>
      </c>
      <c r="Q728" s="159">
        <f>-'Cost Calculation'!Q191</f>
        <v>0</v>
      </c>
      <c r="R728" s="159">
        <f>-'Cost Calculation'!R191</f>
        <v>0</v>
      </c>
      <c r="S728" s="159">
        <f>-'Cost Calculation'!S191</f>
        <v>0</v>
      </c>
      <c r="T728" s="159">
        <f>-'Cost Calculation'!T191</f>
        <v>0</v>
      </c>
    </row>
    <row r="729" spans="2:20" x14ac:dyDescent="0.25">
      <c r="B729" s="21" t="s">
        <v>3221</v>
      </c>
      <c r="C729" s="28" t="s">
        <v>493</v>
      </c>
      <c r="H729" s="26">
        <f>'Cost Calculation'!H192</f>
        <v>0</v>
      </c>
      <c r="I729" s="26">
        <f>'Cost Calculation'!I192</f>
        <v>0</v>
      </c>
      <c r="J729" s="26">
        <f>'Cost Calculation'!J192</f>
        <v>0</v>
      </c>
      <c r="K729" s="26">
        <f>'Cost Calculation'!K192</f>
        <v>0</v>
      </c>
      <c r="L729" s="26">
        <f>'Cost Calculation'!L192</f>
        <v>0</v>
      </c>
      <c r="M729" s="26">
        <f>'Cost Calculation'!M192</f>
        <v>0</v>
      </c>
      <c r="N729" s="26">
        <f>'Cost Calculation'!N192</f>
        <v>0</v>
      </c>
      <c r="O729" s="26">
        <f>'Cost Calculation'!O192</f>
        <v>0</v>
      </c>
      <c r="P729" s="26">
        <f>'Cost Calculation'!P192</f>
        <v>0</v>
      </c>
      <c r="Q729" s="26">
        <f>'Cost Calculation'!Q192</f>
        <v>0</v>
      </c>
      <c r="R729" s="26">
        <f>'Cost Calculation'!R192</f>
        <v>0</v>
      </c>
      <c r="S729" s="26">
        <f>'Cost Calculation'!S192</f>
        <v>0</v>
      </c>
      <c r="T729" s="26">
        <f>'Cost Calculation'!T192</f>
        <v>0</v>
      </c>
    </row>
    <row r="730" spans="2:20" x14ac:dyDescent="0.25">
      <c r="B730" s="23" t="s">
        <v>3332</v>
      </c>
      <c r="C730" s="28" t="s">
        <v>493</v>
      </c>
      <c r="H730" s="159">
        <f>-'Capex &amp; Depreciation'!H251</f>
        <v>0</v>
      </c>
      <c r="I730" s="159">
        <f>-'Capex &amp; Depreciation'!I251</f>
        <v>0</v>
      </c>
      <c r="J730" s="159">
        <f>-'Capex &amp; Depreciation'!J251</f>
        <v>0</v>
      </c>
      <c r="K730" s="159">
        <f>-'Capex &amp; Depreciation'!K251</f>
        <v>0</v>
      </c>
      <c r="L730" s="159">
        <f>-'Capex &amp; Depreciation'!L251</f>
        <v>0</v>
      </c>
      <c r="M730" s="159">
        <f>-'Capex &amp; Depreciation'!M251</f>
        <v>0</v>
      </c>
      <c r="N730" s="159">
        <f>-'Capex &amp; Depreciation'!N251</f>
        <v>0</v>
      </c>
      <c r="O730" s="159">
        <f>-'Capex &amp; Depreciation'!O251</f>
        <v>0</v>
      </c>
      <c r="P730" s="159">
        <f>-'Capex &amp; Depreciation'!P251</f>
        <v>0</v>
      </c>
      <c r="Q730" s="159">
        <f>-'Capex &amp; Depreciation'!Q251</f>
        <v>0</v>
      </c>
      <c r="R730" s="159">
        <f>-'Capex &amp; Depreciation'!R251</f>
        <v>0</v>
      </c>
      <c r="S730" s="159">
        <f>-'Capex &amp; Depreciation'!S251</f>
        <v>0</v>
      </c>
      <c r="T730" s="159">
        <f>-'Capex &amp; Depreciation'!T251</f>
        <v>0</v>
      </c>
    </row>
    <row r="731" spans="2:20" x14ac:dyDescent="0.25">
      <c r="B731" s="21" t="s">
        <v>3333</v>
      </c>
      <c r="C731" s="28" t="s">
        <v>493</v>
      </c>
      <c r="H731" s="26">
        <f>'Project Cash Flows'!H316</f>
        <v>0</v>
      </c>
      <c r="I731" s="26">
        <f>'Project Cash Flows'!I316</f>
        <v>0</v>
      </c>
      <c r="J731" s="26">
        <f>'Project Cash Flows'!J316</f>
        <v>0</v>
      </c>
      <c r="K731" s="26">
        <f>'Project Cash Flows'!K316</f>
        <v>0</v>
      </c>
      <c r="L731" s="26">
        <f>'Project Cash Flows'!L316</f>
        <v>0</v>
      </c>
      <c r="M731" s="26">
        <f>'Project Cash Flows'!M316</f>
        <v>0</v>
      </c>
      <c r="N731" s="26">
        <f>'Project Cash Flows'!N316</f>
        <v>0</v>
      </c>
      <c r="O731" s="26">
        <f>'Project Cash Flows'!O316</f>
        <v>0</v>
      </c>
      <c r="P731" s="26">
        <f>'Project Cash Flows'!P316</f>
        <v>0</v>
      </c>
      <c r="Q731" s="26">
        <f>'Project Cash Flows'!Q316</f>
        <v>0</v>
      </c>
      <c r="R731" s="26">
        <f>'Project Cash Flows'!R316</f>
        <v>0</v>
      </c>
      <c r="S731" s="26">
        <f>'Project Cash Flows'!S316</f>
        <v>0</v>
      </c>
      <c r="T731" s="26">
        <f>'Project Cash Flows'!T316</f>
        <v>0</v>
      </c>
    </row>
    <row r="732" spans="2:20" x14ac:dyDescent="0.25">
      <c r="B732" s="23" t="s">
        <v>3334</v>
      </c>
      <c r="C732" s="28" t="s">
        <v>493</v>
      </c>
      <c r="H732" s="159">
        <f>-'Project Cash Flows'!H317</f>
        <v>0</v>
      </c>
      <c r="I732" s="159">
        <f>-'Project Cash Flows'!I317</f>
        <v>0</v>
      </c>
      <c r="J732" s="159">
        <f>-'Project Cash Flows'!J317</f>
        <v>0</v>
      </c>
      <c r="K732" s="159">
        <f>-'Project Cash Flows'!K317</f>
        <v>0</v>
      </c>
      <c r="L732" s="159">
        <f>-'Project Cash Flows'!L317</f>
        <v>0</v>
      </c>
      <c r="M732" s="159">
        <f>-'Project Cash Flows'!M317</f>
        <v>0</v>
      </c>
      <c r="N732" s="159">
        <f>-'Project Cash Flows'!N317</f>
        <v>0</v>
      </c>
      <c r="O732" s="159">
        <f>-'Project Cash Flows'!O317</f>
        <v>0</v>
      </c>
      <c r="P732" s="159">
        <f>-'Project Cash Flows'!P317</f>
        <v>0</v>
      </c>
      <c r="Q732" s="159">
        <f>-'Project Cash Flows'!Q317</f>
        <v>0</v>
      </c>
      <c r="R732" s="159">
        <f>-'Project Cash Flows'!R317</f>
        <v>0</v>
      </c>
      <c r="S732" s="159">
        <f>-'Project Cash Flows'!S317</f>
        <v>0</v>
      </c>
      <c r="T732" s="159">
        <f>-'Project Cash Flows'!T317</f>
        <v>0</v>
      </c>
    </row>
    <row r="733" spans="2:20" x14ac:dyDescent="0.25">
      <c r="B733" s="23" t="s">
        <v>3335</v>
      </c>
      <c r="C733" s="28" t="s">
        <v>493</v>
      </c>
      <c r="H733" s="159">
        <f>-'Project Cash Flows'!H318</f>
        <v>0</v>
      </c>
      <c r="I733" s="159">
        <f>-'Project Cash Flows'!I318</f>
        <v>0</v>
      </c>
      <c r="J733" s="159">
        <f>-'Project Cash Flows'!J318</f>
        <v>0</v>
      </c>
      <c r="K733" s="159">
        <f>-'Project Cash Flows'!K318</f>
        <v>0</v>
      </c>
      <c r="L733" s="159">
        <f>-'Project Cash Flows'!L318</f>
        <v>0</v>
      </c>
      <c r="M733" s="159">
        <f>-'Project Cash Flows'!M318</f>
        <v>0</v>
      </c>
      <c r="N733" s="159">
        <f>-'Project Cash Flows'!N318</f>
        <v>0</v>
      </c>
      <c r="O733" s="159">
        <f>-'Project Cash Flows'!O318</f>
        <v>0</v>
      </c>
      <c r="P733" s="159">
        <f>-'Project Cash Flows'!P318</f>
        <v>0</v>
      </c>
      <c r="Q733" s="159">
        <f>-'Project Cash Flows'!Q318</f>
        <v>0</v>
      </c>
      <c r="R733" s="159">
        <f>-'Project Cash Flows'!R318</f>
        <v>0</v>
      </c>
      <c r="S733" s="159">
        <f>-'Project Cash Flows'!S318</f>
        <v>0</v>
      </c>
      <c r="T733" s="159">
        <f>-'Project Cash Flows'!T318</f>
        <v>0</v>
      </c>
    </row>
    <row r="734" spans="2:20" x14ac:dyDescent="0.25">
      <c r="B734" s="21" t="s">
        <v>3336</v>
      </c>
      <c r="C734" s="28" t="s">
        <v>493</v>
      </c>
      <c r="H734" s="26">
        <f>'Project Cash Flows'!H319</f>
        <v>0</v>
      </c>
      <c r="I734" s="26">
        <f>'Project Cash Flows'!I319</f>
        <v>0</v>
      </c>
      <c r="J734" s="26">
        <f>'Project Cash Flows'!J319</f>
        <v>0</v>
      </c>
      <c r="K734" s="26">
        <f>'Project Cash Flows'!K319</f>
        <v>0</v>
      </c>
      <c r="L734" s="26">
        <f>'Project Cash Flows'!L319</f>
        <v>0</v>
      </c>
      <c r="M734" s="26">
        <f>'Project Cash Flows'!M319</f>
        <v>0</v>
      </c>
      <c r="N734" s="26">
        <f>'Project Cash Flows'!N319</f>
        <v>0</v>
      </c>
      <c r="O734" s="26">
        <f>'Project Cash Flows'!O319</f>
        <v>0</v>
      </c>
      <c r="P734" s="26">
        <f>'Project Cash Flows'!P319</f>
        <v>0</v>
      </c>
      <c r="Q734" s="26">
        <f>'Project Cash Flows'!Q319</f>
        <v>0</v>
      </c>
      <c r="R734" s="26">
        <f>'Project Cash Flows'!R319</f>
        <v>0</v>
      </c>
      <c r="S734" s="26">
        <f>'Project Cash Flows'!S319</f>
        <v>0</v>
      </c>
      <c r="T734" s="26">
        <f>'Project Cash Flows'!T319</f>
        <v>0</v>
      </c>
    </row>
    <row r="735" spans="2:20" x14ac:dyDescent="0.25">
      <c r="B735" s="163" t="s">
        <v>3337</v>
      </c>
    </row>
    <row r="736" spans="2:20" x14ac:dyDescent="0.25">
      <c r="B736" s="23" t="s">
        <v>3338</v>
      </c>
      <c r="C736" s="28" t="s">
        <v>493</v>
      </c>
      <c r="G736" s="29">
        <f>'Capex &amp; Depreciation'!G305</f>
        <v>0</v>
      </c>
      <c r="H736" s="29">
        <f>'Capex &amp; Depreciation'!H305</f>
        <v>0</v>
      </c>
      <c r="I736" s="29">
        <f>'Capex &amp; Depreciation'!I305</f>
        <v>0</v>
      </c>
      <c r="J736" s="29">
        <f>'Capex &amp; Depreciation'!J305</f>
        <v>0</v>
      </c>
      <c r="K736" s="29">
        <f>'Capex &amp; Depreciation'!K305</f>
        <v>0</v>
      </c>
      <c r="L736" s="29">
        <f>'Capex &amp; Depreciation'!L305</f>
        <v>0</v>
      </c>
      <c r="M736" s="29">
        <f>'Capex &amp; Depreciation'!M305</f>
        <v>0</v>
      </c>
      <c r="N736" s="29">
        <f>'Capex &amp; Depreciation'!N305</f>
        <v>0</v>
      </c>
      <c r="O736" s="29">
        <f>'Capex &amp; Depreciation'!O305</f>
        <v>0</v>
      </c>
      <c r="P736" s="29">
        <f>'Capex &amp; Depreciation'!P305</f>
        <v>0</v>
      </c>
      <c r="Q736" s="29">
        <f>'Capex &amp; Depreciation'!Q305</f>
        <v>0</v>
      </c>
      <c r="R736" s="29">
        <f>'Capex &amp; Depreciation'!R305</f>
        <v>0</v>
      </c>
      <c r="S736" s="29">
        <f>'Capex &amp; Depreciation'!S305</f>
        <v>0</v>
      </c>
      <c r="T736" s="29">
        <f>'Capex &amp; Depreciation'!T305</f>
        <v>0</v>
      </c>
    </row>
    <row r="737" spans="2:20" x14ac:dyDescent="0.25">
      <c r="B737" s="23" t="s">
        <v>3339</v>
      </c>
      <c r="C737" s="28" t="s">
        <v>493</v>
      </c>
      <c r="G737" s="159">
        <v>0</v>
      </c>
      <c r="H737" s="29">
        <f>'Working Capital'!H93</f>
        <v>0</v>
      </c>
      <c r="I737" s="29">
        <f>'Working Capital'!I93</f>
        <v>0</v>
      </c>
      <c r="J737" s="29">
        <f>'Working Capital'!J93</f>
        <v>0</v>
      </c>
      <c r="K737" s="29">
        <f>'Working Capital'!K93</f>
        <v>0</v>
      </c>
      <c r="L737" s="29">
        <f>'Working Capital'!L93</f>
        <v>0</v>
      </c>
      <c r="M737" s="29">
        <f>'Working Capital'!M93</f>
        <v>0</v>
      </c>
      <c r="N737" s="29">
        <f>'Working Capital'!N93</f>
        <v>0</v>
      </c>
      <c r="O737" s="29">
        <f>'Working Capital'!O93</f>
        <v>0</v>
      </c>
      <c r="P737" s="29">
        <f>'Working Capital'!P93</f>
        <v>0</v>
      </c>
      <c r="Q737" s="29">
        <f>'Working Capital'!Q93</f>
        <v>0</v>
      </c>
      <c r="R737" s="29">
        <f>'Working Capital'!R93</f>
        <v>0</v>
      </c>
      <c r="S737" s="29">
        <f>'Working Capital'!S93</f>
        <v>0</v>
      </c>
      <c r="T737" s="29">
        <f>'Working Capital'!T93</f>
        <v>0</v>
      </c>
    </row>
    <row r="738" spans="2:20" x14ac:dyDescent="0.25">
      <c r="B738" s="23" t="s">
        <v>3340</v>
      </c>
      <c r="C738" s="28" t="s">
        <v>493</v>
      </c>
      <c r="G738" s="159">
        <v>0</v>
      </c>
      <c r="H738" s="159">
        <f>-'Working Capital'!H94</f>
        <v>0</v>
      </c>
      <c r="I738" s="159">
        <f>-'Working Capital'!I94</f>
        <v>0</v>
      </c>
      <c r="J738" s="159">
        <f>-'Working Capital'!J94</f>
        <v>0</v>
      </c>
      <c r="K738" s="159">
        <f>-'Working Capital'!K94</f>
        <v>0</v>
      </c>
      <c r="L738" s="159">
        <f>-'Working Capital'!L94</f>
        <v>0</v>
      </c>
      <c r="M738" s="159">
        <f>-'Working Capital'!M94</f>
        <v>0</v>
      </c>
      <c r="N738" s="159">
        <f>-'Working Capital'!N94</f>
        <v>0</v>
      </c>
      <c r="O738" s="159">
        <f>-'Working Capital'!O94</f>
        <v>0</v>
      </c>
      <c r="P738" s="159">
        <f>-'Working Capital'!P94</f>
        <v>0</v>
      </c>
      <c r="Q738" s="159">
        <f>-'Working Capital'!Q94</f>
        <v>0</v>
      </c>
      <c r="R738" s="159">
        <f>-'Working Capital'!R94</f>
        <v>0</v>
      </c>
      <c r="S738" s="159">
        <f>-'Working Capital'!S94</f>
        <v>0</v>
      </c>
      <c r="T738" s="159">
        <f>-'Working Capital'!T94</f>
        <v>0</v>
      </c>
    </row>
    <row r="739" spans="2:20" x14ac:dyDescent="0.25">
      <c r="B739" s="21" t="s">
        <v>3341</v>
      </c>
      <c r="C739" s="28" t="s">
        <v>493</v>
      </c>
      <c r="G739" s="26">
        <f>'Capex &amp; Depreciation'!G305</f>
        <v>0</v>
      </c>
      <c r="H739" s="160">
        <f>'Capex &amp; Depreciation'!H305+'Working Capital'!H95</f>
        <v>0</v>
      </c>
      <c r="I739" s="160">
        <f>'Capex &amp; Depreciation'!I305+'Working Capital'!I95</f>
        <v>0</v>
      </c>
      <c r="J739" s="160">
        <f>'Capex &amp; Depreciation'!J305+'Working Capital'!J95</f>
        <v>0</v>
      </c>
      <c r="K739" s="160">
        <f>'Capex &amp; Depreciation'!K305+'Working Capital'!K95</f>
        <v>0</v>
      </c>
      <c r="L739" s="160">
        <f>'Capex &amp; Depreciation'!L305+'Working Capital'!L95</f>
        <v>0</v>
      </c>
      <c r="M739" s="160">
        <f>'Capex &amp; Depreciation'!M305+'Working Capital'!M95</f>
        <v>0</v>
      </c>
      <c r="N739" s="160">
        <f>'Capex &amp; Depreciation'!N305+'Working Capital'!N95</f>
        <v>0</v>
      </c>
      <c r="O739" s="160">
        <f>'Capex &amp; Depreciation'!O305+'Working Capital'!O95</f>
        <v>0</v>
      </c>
      <c r="P739" s="160">
        <f>'Capex &amp; Depreciation'!P305+'Working Capital'!P95</f>
        <v>0</v>
      </c>
      <c r="Q739" s="160">
        <f>'Capex &amp; Depreciation'!Q305+'Working Capital'!Q95</f>
        <v>0</v>
      </c>
      <c r="R739" s="160">
        <f>'Capex &amp; Depreciation'!R305+'Working Capital'!R95</f>
        <v>0</v>
      </c>
      <c r="S739" s="160">
        <f>'Capex &amp; Depreciation'!S305+'Working Capital'!S95</f>
        <v>0</v>
      </c>
      <c r="T739" s="160">
        <f>'Capex &amp; Depreciation'!T305+'Working Capital'!T95</f>
        <v>0</v>
      </c>
    </row>
    <row r="740" spans="2:20" x14ac:dyDescent="0.25">
      <c r="B740" s="163" t="s">
        <v>3342</v>
      </c>
    </row>
    <row r="741" spans="2:20" x14ac:dyDescent="0.25">
      <c r="B741" s="23" t="s">
        <v>3221</v>
      </c>
      <c r="C741" s="28" t="s">
        <v>493</v>
      </c>
      <c r="H741" s="29">
        <f>'Project Cash Flows'!H315</f>
        <v>0</v>
      </c>
      <c r="I741" s="29">
        <f>'Project Cash Flows'!I315</f>
        <v>0</v>
      </c>
      <c r="J741" s="29">
        <f>'Project Cash Flows'!J315</f>
        <v>0</v>
      </c>
      <c r="K741" s="29">
        <f>'Project Cash Flows'!K315</f>
        <v>0</v>
      </c>
      <c r="L741" s="29">
        <f>'Project Cash Flows'!L315</f>
        <v>0</v>
      </c>
      <c r="M741" s="29">
        <f>'Project Cash Flows'!M315</f>
        <v>0</v>
      </c>
      <c r="N741" s="29">
        <f>'Project Cash Flows'!N315</f>
        <v>0</v>
      </c>
      <c r="O741" s="29">
        <f>'Project Cash Flows'!O315</f>
        <v>0</v>
      </c>
      <c r="P741" s="29">
        <f>'Project Cash Flows'!P315</f>
        <v>0</v>
      </c>
      <c r="Q741" s="29">
        <f>'Project Cash Flows'!Q315</f>
        <v>0</v>
      </c>
      <c r="R741" s="29">
        <f>'Project Cash Flows'!R315</f>
        <v>0</v>
      </c>
      <c r="S741" s="29">
        <f>'Project Cash Flows'!S315</f>
        <v>0</v>
      </c>
      <c r="T741" s="29">
        <f>'Project Cash Flows'!T315</f>
        <v>0</v>
      </c>
    </row>
    <row r="742" spans="2:20" x14ac:dyDescent="0.25">
      <c r="B742" s="23" t="s">
        <v>3343</v>
      </c>
      <c r="C742" s="28" t="s">
        <v>493</v>
      </c>
      <c r="H742" s="29">
        <f>'Project Cash Flows'!H320</f>
        <v>0</v>
      </c>
      <c r="I742" s="29">
        <f>'Project Cash Flows'!I320</f>
        <v>0</v>
      </c>
      <c r="J742" s="29">
        <f>'Project Cash Flows'!J320</f>
        <v>0</v>
      </c>
      <c r="K742" s="29">
        <f>'Project Cash Flows'!K320</f>
        <v>0</v>
      </c>
      <c r="L742" s="29">
        <f>'Project Cash Flows'!L320</f>
        <v>0</v>
      </c>
      <c r="M742" s="29">
        <f>'Project Cash Flows'!M320</f>
        <v>0</v>
      </c>
      <c r="N742" s="29">
        <f>'Project Cash Flows'!N320</f>
        <v>0</v>
      </c>
      <c r="O742" s="29">
        <f>'Project Cash Flows'!O320</f>
        <v>0</v>
      </c>
      <c r="P742" s="29">
        <f>'Project Cash Flows'!P320</f>
        <v>0</v>
      </c>
      <c r="Q742" s="29">
        <f>'Project Cash Flows'!Q320</f>
        <v>0</v>
      </c>
      <c r="R742" s="29">
        <f>'Project Cash Flows'!R320</f>
        <v>0</v>
      </c>
      <c r="S742" s="29">
        <f>'Project Cash Flows'!S320</f>
        <v>0</v>
      </c>
      <c r="T742" s="29">
        <f>'Project Cash Flows'!T320</f>
        <v>0</v>
      </c>
    </row>
    <row r="743" spans="2:20" x14ac:dyDescent="0.25">
      <c r="B743" s="23" t="s">
        <v>3227</v>
      </c>
      <c r="C743" s="28" t="s">
        <v>493</v>
      </c>
      <c r="H743" s="29">
        <f>'Project Cash Flows'!H321</f>
        <v>0</v>
      </c>
      <c r="I743" s="29">
        <f>'Project Cash Flows'!I321</f>
        <v>0</v>
      </c>
      <c r="J743" s="29">
        <f>'Project Cash Flows'!J321</f>
        <v>0</v>
      </c>
      <c r="K743" s="29">
        <f>'Project Cash Flows'!K321</f>
        <v>0</v>
      </c>
      <c r="L743" s="29">
        <f>'Project Cash Flows'!L321</f>
        <v>0</v>
      </c>
      <c r="M743" s="29">
        <f>'Project Cash Flows'!M321</f>
        <v>0</v>
      </c>
      <c r="N743" s="29">
        <f>'Project Cash Flows'!N321</f>
        <v>0</v>
      </c>
      <c r="O743" s="29">
        <f>'Project Cash Flows'!O321</f>
        <v>0</v>
      </c>
      <c r="P743" s="29">
        <f>'Project Cash Flows'!P321</f>
        <v>0</v>
      </c>
      <c r="Q743" s="29">
        <f>'Project Cash Flows'!Q321</f>
        <v>0</v>
      </c>
      <c r="R743" s="29">
        <f>'Project Cash Flows'!R321</f>
        <v>0</v>
      </c>
      <c r="S743" s="29">
        <f>'Project Cash Flows'!S321</f>
        <v>0</v>
      </c>
      <c r="T743" s="29">
        <f>'Project Cash Flows'!T321</f>
        <v>0</v>
      </c>
    </row>
    <row r="744" spans="2:20" x14ac:dyDescent="0.25">
      <c r="B744" s="23" t="s">
        <v>3228</v>
      </c>
      <c r="C744" s="28" t="s">
        <v>493</v>
      </c>
      <c r="H744" s="29">
        <f>'Project Cash Flows'!H322</f>
        <v>0</v>
      </c>
      <c r="I744" s="29">
        <f>'Project Cash Flows'!I322</f>
        <v>0</v>
      </c>
      <c r="J744" s="29">
        <f>'Project Cash Flows'!J322</f>
        <v>0</v>
      </c>
      <c r="K744" s="29">
        <f>'Project Cash Flows'!K322</f>
        <v>0</v>
      </c>
      <c r="L744" s="29">
        <f>'Project Cash Flows'!L322</f>
        <v>0</v>
      </c>
      <c r="M744" s="29">
        <f>'Project Cash Flows'!M322</f>
        <v>0</v>
      </c>
      <c r="N744" s="29">
        <f>'Project Cash Flows'!N322</f>
        <v>0</v>
      </c>
      <c r="O744" s="29">
        <f>'Project Cash Flows'!O322</f>
        <v>0</v>
      </c>
      <c r="P744" s="29">
        <f>'Project Cash Flows'!P322</f>
        <v>0</v>
      </c>
      <c r="Q744" s="29">
        <f>'Project Cash Flows'!Q322</f>
        <v>0</v>
      </c>
      <c r="R744" s="29">
        <f>'Project Cash Flows'!R322</f>
        <v>0</v>
      </c>
      <c r="S744" s="29">
        <f>'Project Cash Flows'!S322</f>
        <v>0</v>
      </c>
      <c r="T744" s="29">
        <f>'Project Cash Flows'!T322</f>
        <v>0</v>
      </c>
    </row>
    <row r="745" spans="2:20" x14ac:dyDescent="0.25">
      <c r="B745" s="21" t="s">
        <v>3344</v>
      </c>
      <c r="C745" s="28" t="s">
        <v>493</v>
      </c>
      <c r="H745" s="26">
        <f>'Project Cash Flows'!H323</f>
        <v>0</v>
      </c>
      <c r="I745" s="26">
        <f>'Project Cash Flows'!I323</f>
        <v>0</v>
      </c>
      <c r="J745" s="26">
        <f>'Project Cash Flows'!J323</f>
        <v>0</v>
      </c>
      <c r="K745" s="26">
        <f>'Project Cash Flows'!K323</f>
        <v>0</v>
      </c>
      <c r="L745" s="26">
        <f>'Project Cash Flows'!L323</f>
        <v>0</v>
      </c>
      <c r="M745" s="26">
        <f>'Project Cash Flows'!M323</f>
        <v>0</v>
      </c>
      <c r="N745" s="26">
        <f>'Project Cash Flows'!N323</f>
        <v>0</v>
      </c>
      <c r="O745" s="26">
        <f>'Project Cash Flows'!O323</f>
        <v>0</v>
      </c>
      <c r="P745" s="26">
        <f>'Project Cash Flows'!P323</f>
        <v>0</v>
      </c>
      <c r="Q745" s="26">
        <f>'Project Cash Flows'!Q323</f>
        <v>0</v>
      </c>
      <c r="R745" s="26">
        <f>'Project Cash Flows'!R323</f>
        <v>0</v>
      </c>
      <c r="S745" s="26">
        <f>'Project Cash Flows'!S323</f>
        <v>0</v>
      </c>
      <c r="T745" s="26">
        <f>'Project Cash Flows'!T323</f>
        <v>0</v>
      </c>
    </row>
    <row r="746" spans="2:20" x14ac:dyDescent="0.25">
      <c r="B746" s="23" t="s">
        <v>3345</v>
      </c>
      <c r="C746" s="28" t="s">
        <v>493</v>
      </c>
      <c r="G746" s="29">
        <f>'Project Cash Flows'!G326</f>
        <v>0</v>
      </c>
      <c r="H746" s="29">
        <f>'Project Cash Flows'!H326</f>
        <v>0</v>
      </c>
      <c r="I746" s="29">
        <f>'Project Cash Flows'!I326</f>
        <v>0</v>
      </c>
      <c r="J746" s="29">
        <f>'Project Cash Flows'!J326</f>
        <v>0</v>
      </c>
      <c r="K746" s="29">
        <f>'Project Cash Flows'!K326</f>
        <v>0</v>
      </c>
      <c r="L746" s="29">
        <f>'Project Cash Flows'!L326</f>
        <v>0</v>
      </c>
      <c r="M746" s="29">
        <f>'Project Cash Flows'!M326</f>
        <v>0</v>
      </c>
      <c r="N746" s="29">
        <f>'Project Cash Flows'!N326</f>
        <v>0</v>
      </c>
      <c r="O746" s="29">
        <f>'Project Cash Flows'!O326</f>
        <v>0</v>
      </c>
      <c r="P746" s="29">
        <f>'Project Cash Flows'!P326</f>
        <v>0</v>
      </c>
      <c r="Q746" s="29">
        <f>'Project Cash Flows'!Q326</f>
        <v>0</v>
      </c>
      <c r="R746" s="29">
        <f>'Project Cash Flows'!R326</f>
        <v>0</v>
      </c>
      <c r="S746" s="29">
        <f>'Project Cash Flows'!S326</f>
        <v>0</v>
      </c>
      <c r="T746" s="29">
        <f>'Project Cash Flows'!T326</f>
        <v>0</v>
      </c>
    </row>
    <row r="747" spans="2:20" x14ac:dyDescent="0.25">
      <c r="B747" s="163" t="s">
        <v>3346</v>
      </c>
    </row>
    <row r="748" spans="2:20" x14ac:dyDescent="0.25">
      <c r="B748" s="23" t="s">
        <v>3363</v>
      </c>
      <c r="C748" s="28" t="s">
        <v>806</v>
      </c>
      <c r="G748" s="34">
        <f>'Capex &amp; Depreciation'!G21</f>
        <v>0</v>
      </c>
      <c r="H748" s="34">
        <f>'Capex &amp; Depreciation'!H21</f>
        <v>0</v>
      </c>
      <c r="I748" s="34">
        <f>'Capex &amp; Depreciation'!I21</f>
        <v>0</v>
      </c>
      <c r="J748" s="34">
        <f>'Capex &amp; Depreciation'!J21</f>
        <v>0</v>
      </c>
      <c r="K748" s="34">
        <f>'Capex &amp; Depreciation'!K21</f>
        <v>0</v>
      </c>
      <c r="L748" s="34">
        <f>'Capex &amp; Depreciation'!L21</f>
        <v>0</v>
      </c>
      <c r="M748" s="34">
        <f>'Capex &amp; Depreciation'!M21</f>
        <v>0</v>
      </c>
      <c r="N748" s="34">
        <f>'Capex &amp; Depreciation'!N21</f>
        <v>0</v>
      </c>
      <c r="O748" s="34">
        <f>'Capex &amp; Depreciation'!O21</f>
        <v>0</v>
      </c>
      <c r="P748" s="34">
        <f>'Capex &amp; Depreciation'!P21</f>
        <v>0</v>
      </c>
      <c r="Q748" s="34">
        <f>'Capex &amp; Depreciation'!Q21</f>
        <v>0</v>
      </c>
      <c r="R748" s="34">
        <f>'Capex &amp; Depreciation'!R21</f>
        <v>0</v>
      </c>
      <c r="S748" s="34">
        <f>'Capex &amp; Depreciation'!S21</f>
        <v>0</v>
      </c>
      <c r="T748" s="34">
        <f>'Capex &amp; Depreciation'!T21</f>
        <v>0</v>
      </c>
    </row>
    <row r="749" spans="2:20" x14ac:dyDescent="0.25">
      <c r="B749" s="23" t="s">
        <v>3364</v>
      </c>
      <c r="C749" s="28" t="s">
        <v>493</v>
      </c>
      <c r="G749" s="29">
        <f>'Capex &amp; Depreciation'!G73</f>
        <v>0</v>
      </c>
      <c r="H749" s="29">
        <f>'Capex &amp; Depreciation'!H73</f>
        <v>0</v>
      </c>
      <c r="I749" s="29">
        <f>'Capex &amp; Depreciation'!I73</f>
        <v>0</v>
      </c>
      <c r="J749" s="29">
        <f>'Capex &amp; Depreciation'!J73</f>
        <v>0</v>
      </c>
      <c r="K749" s="29">
        <f>'Capex &amp; Depreciation'!K73</f>
        <v>0</v>
      </c>
      <c r="L749" s="29">
        <f>'Capex &amp; Depreciation'!L73</f>
        <v>0</v>
      </c>
      <c r="M749" s="29">
        <f>'Capex &amp; Depreciation'!M73</f>
        <v>0</v>
      </c>
      <c r="N749" s="29">
        <f>'Capex &amp; Depreciation'!N73</f>
        <v>0</v>
      </c>
      <c r="O749" s="29">
        <f>'Capex &amp; Depreciation'!O73</f>
        <v>0</v>
      </c>
      <c r="P749" s="29">
        <f>'Capex &amp; Depreciation'!P73</f>
        <v>0</v>
      </c>
      <c r="Q749" s="29">
        <f>'Capex &amp; Depreciation'!Q73</f>
        <v>0</v>
      </c>
      <c r="R749" s="29">
        <f>'Capex &amp; Depreciation'!R73</f>
        <v>0</v>
      </c>
      <c r="S749" s="29">
        <f>'Capex &amp; Depreciation'!S73</f>
        <v>0</v>
      </c>
      <c r="T749" s="29">
        <f>'Capex &amp; Depreciation'!T73</f>
        <v>0</v>
      </c>
    </row>
    <row r="750" spans="2:20" ht="26.25" customHeight="1" x14ac:dyDescent="0.25">
      <c r="B750" s="64" t="s">
        <v>3365</v>
      </c>
      <c r="C750" s="28" t="s">
        <v>493</v>
      </c>
      <c r="H750" s="29">
        <f>'Funding Requirement'!H124</f>
        <v>0</v>
      </c>
      <c r="I750" s="29">
        <f>'Funding Requirement'!I124</f>
        <v>0</v>
      </c>
      <c r="J750" s="29">
        <f>'Funding Requirement'!J124</f>
        <v>0</v>
      </c>
      <c r="K750" s="29">
        <f>'Funding Requirement'!K124</f>
        <v>0</v>
      </c>
      <c r="L750" s="29">
        <f>'Funding Requirement'!L124</f>
        <v>0</v>
      </c>
      <c r="M750" s="29">
        <f>'Funding Requirement'!M124</f>
        <v>0</v>
      </c>
      <c r="N750" s="29">
        <f>'Funding Requirement'!N124</f>
        <v>0</v>
      </c>
      <c r="O750" s="29">
        <f>'Funding Requirement'!O124</f>
        <v>0</v>
      </c>
      <c r="P750" s="29">
        <f>'Funding Requirement'!P124</f>
        <v>0</v>
      </c>
      <c r="Q750" s="29">
        <f>'Funding Requirement'!Q124</f>
        <v>0</v>
      </c>
      <c r="R750" s="29">
        <f>'Funding Requirement'!R124</f>
        <v>0</v>
      </c>
      <c r="S750" s="29">
        <f>'Funding Requirement'!S124</f>
        <v>0</v>
      </c>
      <c r="T750" s="29">
        <f>'Funding Requirement'!T124</f>
        <v>0</v>
      </c>
    </row>
    <row r="751" spans="2:20" x14ac:dyDescent="0.25">
      <c r="B751" s="163" t="s">
        <v>3348</v>
      </c>
    </row>
    <row r="752" spans="2:20" x14ac:dyDescent="0.25">
      <c r="B752" s="44" t="s">
        <v>3349</v>
      </c>
      <c r="D752" s="204" t="str">
        <f>'Project Cash Flows'!$E$27</f>
        <v>inputs pending</v>
      </c>
      <c r="H752" s="44" t="s">
        <v>3176</v>
      </c>
      <c r="K752" s="205" t="str">
        <f>'Project Cash Flows'!$H$27</f>
        <v>inputs pending</v>
      </c>
      <c r="N752" s="44" t="s">
        <v>3350</v>
      </c>
      <c r="Q752" s="205" t="str">
        <f>'Project Cash Flows'!$I$27</f>
        <v>inputs pending</v>
      </c>
    </row>
    <row r="753" spans="2:20" x14ac:dyDescent="0.25">
      <c r="B753" s="44" t="s">
        <v>3180</v>
      </c>
      <c r="D753" s="205" t="str">
        <f>'Project Cash Flows'!$L$27</f>
        <v>as project IRR</v>
      </c>
      <c r="H753" s="44" t="s">
        <v>3351</v>
      </c>
      <c r="K753" s="206" t="str">
        <f>'Project Cash Flows'!$J$27</f>
        <v>inputs pending</v>
      </c>
      <c r="N753" s="44" t="s">
        <v>3179</v>
      </c>
      <c r="Q753" s="204" t="str">
        <f>'Project Cash Flows'!$K$27</f>
        <v>inputs pending</v>
      </c>
    </row>
    <row r="755" spans="2:20" x14ac:dyDescent="0.25">
      <c r="B755" s="58" t="str">
        <f>"P18  "&amp;Inputs!$E$673&amp;"   [Placeholder; entity PP3]"</f>
        <v>P18  Pipeline Project 3   [Placeholder; entity PP3]</v>
      </c>
      <c r="C755" s="19"/>
      <c r="D755" s="19"/>
      <c r="E755" s="19"/>
      <c r="F755" s="19"/>
      <c r="G755" s="19"/>
      <c r="H755" s="19"/>
      <c r="I755" s="19"/>
      <c r="J755" s="19"/>
      <c r="K755" s="19"/>
      <c r="L755" s="19"/>
      <c r="M755" s="19"/>
      <c r="N755" s="19"/>
      <c r="O755" s="19"/>
      <c r="P755" s="19"/>
      <c r="Q755" s="19"/>
      <c r="R755" s="19"/>
      <c r="S755" s="19"/>
      <c r="T755" s="19"/>
    </row>
    <row r="756" spans="2:20" x14ac:dyDescent="0.25">
      <c r="B756" s="70" t="s">
        <v>1690</v>
      </c>
      <c r="D756" s="130" t="str">
        <f>Inputs!$I$81</f>
        <v>Placeholder - inputs not yet populated (OFF)</v>
      </c>
      <c r="M756" s="202" t="s">
        <v>3323</v>
      </c>
      <c r="N756" s="203">
        <f>Inputs!$H$81</f>
        <v>0</v>
      </c>
    </row>
    <row r="757" spans="2:20" x14ac:dyDescent="0.25">
      <c r="B757" s="163" t="s">
        <v>3324</v>
      </c>
    </row>
    <row r="758" spans="2:20" x14ac:dyDescent="0.25">
      <c r="B758" s="23" t="s">
        <v>3395</v>
      </c>
      <c r="C758" s="28" t="s">
        <v>630</v>
      </c>
      <c r="H758" s="48">
        <f>'Revenue Calculation'!H169</f>
        <v>0</v>
      </c>
      <c r="I758" s="48">
        <f>'Revenue Calculation'!I169</f>
        <v>0</v>
      </c>
      <c r="J758" s="48">
        <f>'Revenue Calculation'!J169</f>
        <v>0</v>
      </c>
      <c r="K758" s="48">
        <f>'Revenue Calculation'!K169</f>
        <v>0</v>
      </c>
      <c r="L758" s="48">
        <f>'Revenue Calculation'!L169</f>
        <v>0</v>
      </c>
      <c r="M758" s="48">
        <f>'Revenue Calculation'!M169</f>
        <v>0</v>
      </c>
      <c r="N758" s="48">
        <f>'Revenue Calculation'!N169</f>
        <v>0</v>
      </c>
      <c r="O758" s="48">
        <f>'Revenue Calculation'!O169</f>
        <v>0</v>
      </c>
      <c r="P758" s="48">
        <f>'Revenue Calculation'!P169</f>
        <v>0</v>
      </c>
      <c r="Q758" s="48">
        <f>'Revenue Calculation'!Q169</f>
        <v>0</v>
      </c>
      <c r="R758" s="48">
        <f>'Revenue Calculation'!R169</f>
        <v>0</v>
      </c>
      <c r="S758" s="48">
        <f>'Revenue Calculation'!S169</f>
        <v>0</v>
      </c>
      <c r="T758" s="48">
        <f>'Revenue Calculation'!T169</f>
        <v>0</v>
      </c>
    </row>
    <row r="759" spans="2:20" x14ac:dyDescent="0.25">
      <c r="B759" s="23" t="s">
        <v>3354</v>
      </c>
      <c r="C759" s="28" t="s">
        <v>647</v>
      </c>
      <c r="H759" s="48">
        <f>'Revenue Calculation'!H170</f>
        <v>0</v>
      </c>
      <c r="I759" s="48">
        <f>'Revenue Calculation'!I170</f>
        <v>0</v>
      </c>
      <c r="J759" s="48">
        <f>'Revenue Calculation'!J170</f>
        <v>0</v>
      </c>
      <c r="K759" s="48">
        <f>'Revenue Calculation'!K170</f>
        <v>0</v>
      </c>
      <c r="L759" s="48">
        <f>'Revenue Calculation'!L170</f>
        <v>0</v>
      </c>
      <c r="M759" s="48">
        <f>'Revenue Calculation'!M170</f>
        <v>0</v>
      </c>
      <c r="N759" s="48">
        <f>'Revenue Calculation'!N170</f>
        <v>0</v>
      </c>
      <c r="O759" s="48">
        <f>'Revenue Calculation'!O170</f>
        <v>0</v>
      </c>
      <c r="P759" s="48">
        <f>'Revenue Calculation'!P170</f>
        <v>0</v>
      </c>
      <c r="Q759" s="48">
        <f>'Revenue Calculation'!Q170</f>
        <v>0</v>
      </c>
      <c r="R759" s="48">
        <f>'Revenue Calculation'!R170</f>
        <v>0</v>
      </c>
      <c r="S759" s="48">
        <f>'Revenue Calculation'!S170</f>
        <v>0</v>
      </c>
      <c r="T759" s="48">
        <f>'Revenue Calculation'!T170</f>
        <v>0</v>
      </c>
    </row>
    <row r="760" spans="2:20" x14ac:dyDescent="0.25">
      <c r="B760" s="163" t="s">
        <v>3328</v>
      </c>
    </row>
    <row r="761" spans="2:20" x14ac:dyDescent="0.25">
      <c r="B761" s="21" t="s">
        <v>3329</v>
      </c>
      <c r="C761" s="28" t="s">
        <v>493</v>
      </c>
      <c r="H761" s="26">
        <f>'Revenue Calculation'!H171</f>
        <v>0</v>
      </c>
      <c r="I761" s="26">
        <f>'Revenue Calculation'!I171</f>
        <v>0</v>
      </c>
      <c r="J761" s="26">
        <f>'Revenue Calculation'!J171</f>
        <v>0</v>
      </c>
      <c r="K761" s="26">
        <f>'Revenue Calculation'!K171</f>
        <v>0</v>
      </c>
      <c r="L761" s="26">
        <f>'Revenue Calculation'!L171</f>
        <v>0</v>
      </c>
      <c r="M761" s="26">
        <f>'Revenue Calculation'!M171</f>
        <v>0</v>
      </c>
      <c r="N761" s="26">
        <f>'Revenue Calculation'!N171</f>
        <v>0</v>
      </c>
      <c r="O761" s="26">
        <f>'Revenue Calculation'!O171</f>
        <v>0</v>
      </c>
      <c r="P761" s="26">
        <f>'Revenue Calculation'!P171</f>
        <v>0</v>
      </c>
      <c r="Q761" s="26">
        <f>'Revenue Calculation'!Q171</f>
        <v>0</v>
      </c>
      <c r="R761" s="26">
        <f>'Revenue Calculation'!R171</f>
        <v>0</v>
      </c>
      <c r="S761" s="26">
        <f>'Revenue Calculation'!S171</f>
        <v>0</v>
      </c>
      <c r="T761" s="26">
        <f>'Revenue Calculation'!T171</f>
        <v>0</v>
      </c>
    </row>
    <row r="762" spans="2:20" x14ac:dyDescent="0.25">
      <c r="B762" s="23" t="s">
        <v>3330</v>
      </c>
      <c r="C762" s="28" t="s">
        <v>493</v>
      </c>
      <c r="H762" s="159">
        <f>-'Cost Calculation'!H196</f>
        <v>0</v>
      </c>
      <c r="I762" s="159">
        <f>-'Cost Calculation'!I196</f>
        <v>0</v>
      </c>
      <c r="J762" s="159">
        <f>-'Cost Calculation'!J196</f>
        <v>0</v>
      </c>
      <c r="K762" s="159">
        <f>-'Cost Calculation'!K196</f>
        <v>0</v>
      </c>
      <c r="L762" s="159">
        <f>-'Cost Calculation'!L196</f>
        <v>0</v>
      </c>
      <c r="M762" s="159">
        <f>-'Cost Calculation'!M196</f>
        <v>0</v>
      </c>
      <c r="N762" s="159">
        <f>-'Cost Calculation'!N196</f>
        <v>0</v>
      </c>
      <c r="O762" s="159">
        <f>-'Cost Calculation'!O196</f>
        <v>0</v>
      </c>
      <c r="P762" s="159">
        <f>-'Cost Calculation'!P196</f>
        <v>0</v>
      </c>
      <c r="Q762" s="159">
        <f>-'Cost Calculation'!Q196</f>
        <v>0</v>
      </c>
      <c r="R762" s="159">
        <f>-'Cost Calculation'!R196</f>
        <v>0</v>
      </c>
      <c r="S762" s="159">
        <f>-'Cost Calculation'!S196</f>
        <v>0</v>
      </c>
      <c r="T762" s="159">
        <f>-'Cost Calculation'!T196</f>
        <v>0</v>
      </c>
    </row>
    <row r="763" spans="2:20" x14ac:dyDescent="0.25">
      <c r="B763" s="23" t="s">
        <v>3331</v>
      </c>
      <c r="C763" s="28" t="s">
        <v>493</v>
      </c>
      <c r="H763" s="159">
        <f>-'Cost Calculation'!H197</f>
        <v>0</v>
      </c>
      <c r="I763" s="159">
        <f>-'Cost Calculation'!I197</f>
        <v>0</v>
      </c>
      <c r="J763" s="159">
        <f>-'Cost Calculation'!J197</f>
        <v>0</v>
      </c>
      <c r="K763" s="159">
        <f>-'Cost Calculation'!K197</f>
        <v>0</v>
      </c>
      <c r="L763" s="159">
        <f>-'Cost Calculation'!L197</f>
        <v>0</v>
      </c>
      <c r="M763" s="159">
        <f>-'Cost Calculation'!M197</f>
        <v>0</v>
      </c>
      <c r="N763" s="159">
        <f>-'Cost Calculation'!N197</f>
        <v>0</v>
      </c>
      <c r="O763" s="159">
        <f>-'Cost Calculation'!O197</f>
        <v>0</v>
      </c>
      <c r="P763" s="159">
        <f>-'Cost Calculation'!P197</f>
        <v>0</v>
      </c>
      <c r="Q763" s="159">
        <f>-'Cost Calculation'!Q197</f>
        <v>0</v>
      </c>
      <c r="R763" s="159">
        <f>-'Cost Calculation'!R197</f>
        <v>0</v>
      </c>
      <c r="S763" s="159">
        <f>-'Cost Calculation'!S197</f>
        <v>0</v>
      </c>
      <c r="T763" s="159">
        <f>-'Cost Calculation'!T197</f>
        <v>0</v>
      </c>
    </row>
    <row r="764" spans="2:20" x14ac:dyDescent="0.25">
      <c r="B764" s="21" t="s">
        <v>3221</v>
      </c>
      <c r="C764" s="28" t="s">
        <v>493</v>
      </c>
      <c r="H764" s="26">
        <f>'Cost Calculation'!H198</f>
        <v>0</v>
      </c>
      <c r="I764" s="26">
        <f>'Cost Calculation'!I198</f>
        <v>0</v>
      </c>
      <c r="J764" s="26">
        <f>'Cost Calculation'!J198</f>
        <v>0</v>
      </c>
      <c r="K764" s="26">
        <f>'Cost Calculation'!K198</f>
        <v>0</v>
      </c>
      <c r="L764" s="26">
        <f>'Cost Calculation'!L198</f>
        <v>0</v>
      </c>
      <c r="M764" s="26">
        <f>'Cost Calculation'!M198</f>
        <v>0</v>
      </c>
      <c r="N764" s="26">
        <f>'Cost Calculation'!N198</f>
        <v>0</v>
      </c>
      <c r="O764" s="26">
        <f>'Cost Calculation'!O198</f>
        <v>0</v>
      </c>
      <c r="P764" s="26">
        <f>'Cost Calculation'!P198</f>
        <v>0</v>
      </c>
      <c r="Q764" s="26">
        <f>'Cost Calculation'!Q198</f>
        <v>0</v>
      </c>
      <c r="R764" s="26">
        <f>'Cost Calculation'!R198</f>
        <v>0</v>
      </c>
      <c r="S764" s="26">
        <f>'Cost Calculation'!S198</f>
        <v>0</v>
      </c>
      <c r="T764" s="26">
        <f>'Cost Calculation'!T198</f>
        <v>0</v>
      </c>
    </row>
    <row r="765" spans="2:20" x14ac:dyDescent="0.25">
      <c r="B765" s="23" t="s">
        <v>3332</v>
      </c>
      <c r="C765" s="28" t="s">
        <v>493</v>
      </c>
      <c r="H765" s="159">
        <f>-'Capex &amp; Depreciation'!H252</f>
        <v>0</v>
      </c>
      <c r="I765" s="159">
        <f>-'Capex &amp; Depreciation'!I252</f>
        <v>0</v>
      </c>
      <c r="J765" s="159">
        <f>-'Capex &amp; Depreciation'!J252</f>
        <v>0</v>
      </c>
      <c r="K765" s="159">
        <f>-'Capex &amp; Depreciation'!K252</f>
        <v>0</v>
      </c>
      <c r="L765" s="159">
        <f>-'Capex &amp; Depreciation'!L252</f>
        <v>0</v>
      </c>
      <c r="M765" s="159">
        <f>-'Capex &amp; Depreciation'!M252</f>
        <v>0</v>
      </c>
      <c r="N765" s="159">
        <f>-'Capex &amp; Depreciation'!N252</f>
        <v>0</v>
      </c>
      <c r="O765" s="159">
        <f>-'Capex &amp; Depreciation'!O252</f>
        <v>0</v>
      </c>
      <c r="P765" s="159">
        <f>-'Capex &amp; Depreciation'!P252</f>
        <v>0</v>
      </c>
      <c r="Q765" s="159">
        <f>-'Capex &amp; Depreciation'!Q252</f>
        <v>0</v>
      </c>
      <c r="R765" s="159">
        <f>-'Capex &amp; Depreciation'!R252</f>
        <v>0</v>
      </c>
      <c r="S765" s="159">
        <f>-'Capex &amp; Depreciation'!S252</f>
        <v>0</v>
      </c>
      <c r="T765" s="159">
        <f>-'Capex &amp; Depreciation'!T252</f>
        <v>0</v>
      </c>
    </row>
    <row r="766" spans="2:20" x14ac:dyDescent="0.25">
      <c r="B766" s="21" t="s">
        <v>3333</v>
      </c>
      <c r="C766" s="28" t="s">
        <v>493</v>
      </c>
      <c r="H766" s="26">
        <f>'Project Cash Flows'!H329</f>
        <v>0</v>
      </c>
      <c r="I766" s="26">
        <f>'Project Cash Flows'!I329</f>
        <v>0</v>
      </c>
      <c r="J766" s="26">
        <f>'Project Cash Flows'!J329</f>
        <v>0</v>
      </c>
      <c r="K766" s="26">
        <f>'Project Cash Flows'!K329</f>
        <v>0</v>
      </c>
      <c r="L766" s="26">
        <f>'Project Cash Flows'!L329</f>
        <v>0</v>
      </c>
      <c r="M766" s="26">
        <f>'Project Cash Flows'!M329</f>
        <v>0</v>
      </c>
      <c r="N766" s="26">
        <f>'Project Cash Flows'!N329</f>
        <v>0</v>
      </c>
      <c r="O766" s="26">
        <f>'Project Cash Flows'!O329</f>
        <v>0</v>
      </c>
      <c r="P766" s="26">
        <f>'Project Cash Flows'!P329</f>
        <v>0</v>
      </c>
      <c r="Q766" s="26">
        <f>'Project Cash Flows'!Q329</f>
        <v>0</v>
      </c>
      <c r="R766" s="26">
        <f>'Project Cash Flows'!R329</f>
        <v>0</v>
      </c>
      <c r="S766" s="26">
        <f>'Project Cash Flows'!S329</f>
        <v>0</v>
      </c>
      <c r="T766" s="26">
        <f>'Project Cash Flows'!T329</f>
        <v>0</v>
      </c>
    </row>
    <row r="767" spans="2:20" x14ac:dyDescent="0.25">
      <c r="B767" s="23" t="s">
        <v>3334</v>
      </c>
      <c r="C767" s="28" t="s">
        <v>493</v>
      </c>
      <c r="H767" s="159">
        <f>-'Project Cash Flows'!H330</f>
        <v>0</v>
      </c>
      <c r="I767" s="159">
        <f>-'Project Cash Flows'!I330</f>
        <v>0</v>
      </c>
      <c r="J767" s="159">
        <f>-'Project Cash Flows'!J330</f>
        <v>0</v>
      </c>
      <c r="K767" s="159">
        <f>-'Project Cash Flows'!K330</f>
        <v>0</v>
      </c>
      <c r="L767" s="159">
        <f>-'Project Cash Flows'!L330</f>
        <v>0</v>
      </c>
      <c r="M767" s="159">
        <f>-'Project Cash Flows'!M330</f>
        <v>0</v>
      </c>
      <c r="N767" s="159">
        <f>-'Project Cash Flows'!N330</f>
        <v>0</v>
      </c>
      <c r="O767" s="159">
        <f>-'Project Cash Flows'!O330</f>
        <v>0</v>
      </c>
      <c r="P767" s="159">
        <f>-'Project Cash Flows'!P330</f>
        <v>0</v>
      </c>
      <c r="Q767" s="159">
        <f>-'Project Cash Flows'!Q330</f>
        <v>0</v>
      </c>
      <c r="R767" s="159">
        <f>-'Project Cash Flows'!R330</f>
        <v>0</v>
      </c>
      <c r="S767" s="159">
        <f>-'Project Cash Flows'!S330</f>
        <v>0</v>
      </c>
      <c r="T767" s="159">
        <f>-'Project Cash Flows'!T330</f>
        <v>0</v>
      </c>
    </row>
    <row r="768" spans="2:20" x14ac:dyDescent="0.25">
      <c r="B768" s="23" t="s">
        <v>3335</v>
      </c>
      <c r="C768" s="28" t="s">
        <v>493</v>
      </c>
      <c r="H768" s="159">
        <f>-'Project Cash Flows'!H331</f>
        <v>0</v>
      </c>
      <c r="I768" s="159">
        <f>-'Project Cash Flows'!I331</f>
        <v>0</v>
      </c>
      <c r="J768" s="159">
        <f>-'Project Cash Flows'!J331</f>
        <v>0</v>
      </c>
      <c r="K768" s="159">
        <f>-'Project Cash Flows'!K331</f>
        <v>0</v>
      </c>
      <c r="L768" s="159">
        <f>-'Project Cash Flows'!L331</f>
        <v>0</v>
      </c>
      <c r="M768" s="159">
        <f>-'Project Cash Flows'!M331</f>
        <v>0</v>
      </c>
      <c r="N768" s="159">
        <f>-'Project Cash Flows'!N331</f>
        <v>0</v>
      </c>
      <c r="O768" s="159">
        <f>-'Project Cash Flows'!O331</f>
        <v>0</v>
      </c>
      <c r="P768" s="159">
        <f>-'Project Cash Flows'!P331</f>
        <v>0</v>
      </c>
      <c r="Q768" s="159">
        <f>-'Project Cash Flows'!Q331</f>
        <v>0</v>
      </c>
      <c r="R768" s="159">
        <f>-'Project Cash Flows'!R331</f>
        <v>0</v>
      </c>
      <c r="S768" s="159">
        <f>-'Project Cash Flows'!S331</f>
        <v>0</v>
      </c>
      <c r="T768" s="159">
        <f>-'Project Cash Flows'!T331</f>
        <v>0</v>
      </c>
    </row>
    <row r="769" spans="2:20" x14ac:dyDescent="0.25">
      <c r="B769" s="21" t="s">
        <v>3336</v>
      </c>
      <c r="C769" s="28" t="s">
        <v>493</v>
      </c>
      <c r="H769" s="26">
        <f>'Project Cash Flows'!H332</f>
        <v>0</v>
      </c>
      <c r="I769" s="26">
        <f>'Project Cash Flows'!I332</f>
        <v>0</v>
      </c>
      <c r="J769" s="26">
        <f>'Project Cash Flows'!J332</f>
        <v>0</v>
      </c>
      <c r="K769" s="26">
        <f>'Project Cash Flows'!K332</f>
        <v>0</v>
      </c>
      <c r="L769" s="26">
        <f>'Project Cash Flows'!L332</f>
        <v>0</v>
      </c>
      <c r="M769" s="26">
        <f>'Project Cash Flows'!M332</f>
        <v>0</v>
      </c>
      <c r="N769" s="26">
        <f>'Project Cash Flows'!N332</f>
        <v>0</v>
      </c>
      <c r="O769" s="26">
        <f>'Project Cash Flows'!O332</f>
        <v>0</v>
      </c>
      <c r="P769" s="26">
        <f>'Project Cash Flows'!P332</f>
        <v>0</v>
      </c>
      <c r="Q769" s="26">
        <f>'Project Cash Flows'!Q332</f>
        <v>0</v>
      </c>
      <c r="R769" s="26">
        <f>'Project Cash Flows'!R332</f>
        <v>0</v>
      </c>
      <c r="S769" s="26">
        <f>'Project Cash Flows'!S332</f>
        <v>0</v>
      </c>
      <c r="T769" s="26">
        <f>'Project Cash Flows'!T332</f>
        <v>0</v>
      </c>
    </row>
    <row r="770" spans="2:20" x14ac:dyDescent="0.25">
      <c r="B770" s="163" t="s">
        <v>3337</v>
      </c>
    </row>
    <row r="771" spans="2:20" x14ac:dyDescent="0.25">
      <c r="B771" s="23" t="s">
        <v>3338</v>
      </c>
      <c r="C771" s="28" t="s">
        <v>493</v>
      </c>
      <c r="G771" s="29">
        <f>'Capex &amp; Depreciation'!G306</f>
        <v>0</v>
      </c>
      <c r="H771" s="29">
        <f>'Capex &amp; Depreciation'!H306</f>
        <v>0</v>
      </c>
      <c r="I771" s="29">
        <f>'Capex &amp; Depreciation'!I306</f>
        <v>0</v>
      </c>
      <c r="J771" s="29">
        <f>'Capex &amp; Depreciation'!J306</f>
        <v>0</v>
      </c>
      <c r="K771" s="29">
        <f>'Capex &amp; Depreciation'!K306</f>
        <v>0</v>
      </c>
      <c r="L771" s="29">
        <f>'Capex &amp; Depreciation'!L306</f>
        <v>0</v>
      </c>
      <c r="M771" s="29">
        <f>'Capex &amp; Depreciation'!M306</f>
        <v>0</v>
      </c>
      <c r="N771" s="29">
        <f>'Capex &amp; Depreciation'!N306</f>
        <v>0</v>
      </c>
      <c r="O771" s="29">
        <f>'Capex &amp; Depreciation'!O306</f>
        <v>0</v>
      </c>
      <c r="P771" s="29">
        <f>'Capex &amp; Depreciation'!P306</f>
        <v>0</v>
      </c>
      <c r="Q771" s="29">
        <f>'Capex &amp; Depreciation'!Q306</f>
        <v>0</v>
      </c>
      <c r="R771" s="29">
        <f>'Capex &amp; Depreciation'!R306</f>
        <v>0</v>
      </c>
      <c r="S771" s="29">
        <f>'Capex &amp; Depreciation'!S306</f>
        <v>0</v>
      </c>
      <c r="T771" s="29">
        <f>'Capex &amp; Depreciation'!T306</f>
        <v>0</v>
      </c>
    </row>
    <row r="772" spans="2:20" x14ac:dyDescent="0.25">
      <c r="B772" s="23" t="s">
        <v>3339</v>
      </c>
      <c r="C772" s="28" t="s">
        <v>493</v>
      </c>
      <c r="G772" s="159">
        <v>0</v>
      </c>
      <c r="H772" s="29">
        <f>'Working Capital'!H97</f>
        <v>0</v>
      </c>
      <c r="I772" s="29">
        <f>'Working Capital'!I97</f>
        <v>0</v>
      </c>
      <c r="J772" s="29">
        <f>'Working Capital'!J97</f>
        <v>0</v>
      </c>
      <c r="K772" s="29">
        <f>'Working Capital'!K97</f>
        <v>0</v>
      </c>
      <c r="L772" s="29">
        <f>'Working Capital'!L97</f>
        <v>0</v>
      </c>
      <c r="M772" s="29">
        <f>'Working Capital'!M97</f>
        <v>0</v>
      </c>
      <c r="N772" s="29">
        <f>'Working Capital'!N97</f>
        <v>0</v>
      </c>
      <c r="O772" s="29">
        <f>'Working Capital'!O97</f>
        <v>0</v>
      </c>
      <c r="P772" s="29">
        <f>'Working Capital'!P97</f>
        <v>0</v>
      </c>
      <c r="Q772" s="29">
        <f>'Working Capital'!Q97</f>
        <v>0</v>
      </c>
      <c r="R772" s="29">
        <f>'Working Capital'!R97</f>
        <v>0</v>
      </c>
      <c r="S772" s="29">
        <f>'Working Capital'!S97</f>
        <v>0</v>
      </c>
      <c r="T772" s="29">
        <f>'Working Capital'!T97</f>
        <v>0</v>
      </c>
    </row>
    <row r="773" spans="2:20" x14ac:dyDescent="0.25">
      <c r="B773" s="23" t="s">
        <v>3340</v>
      </c>
      <c r="C773" s="28" t="s">
        <v>493</v>
      </c>
      <c r="G773" s="159">
        <v>0</v>
      </c>
      <c r="H773" s="159">
        <f>-'Working Capital'!H98</f>
        <v>0</v>
      </c>
      <c r="I773" s="159">
        <f>-'Working Capital'!I98</f>
        <v>0</v>
      </c>
      <c r="J773" s="159">
        <f>-'Working Capital'!J98</f>
        <v>0</v>
      </c>
      <c r="K773" s="159">
        <f>-'Working Capital'!K98</f>
        <v>0</v>
      </c>
      <c r="L773" s="159">
        <f>-'Working Capital'!L98</f>
        <v>0</v>
      </c>
      <c r="M773" s="159">
        <f>-'Working Capital'!M98</f>
        <v>0</v>
      </c>
      <c r="N773" s="159">
        <f>-'Working Capital'!N98</f>
        <v>0</v>
      </c>
      <c r="O773" s="159">
        <f>-'Working Capital'!O98</f>
        <v>0</v>
      </c>
      <c r="P773" s="159">
        <f>-'Working Capital'!P98</f>
        <v>0</v>
      </c>
      <c r="Q773" s="159">
        <f>-'Working Capital'!Q98</f>
        <v>0</v>
      </c>
      <c r="R773" s="159">
        <f>-'Working Capital'!R98</f>
        <v>0</v>
      </c>
      <c r="S773" s="159">
        <f>-'Working Capital'!S98</f>
        <v>0</v>
      </c>
      <c r="T773" s="159">
        <f>-'Working Capital'!T98</f>
        <v>0</v>
      </c>
    </row>
    <row r="774" spans="2:20" x14ac:dyDescent="0.25">
      <c r="B774" s="21" t="s">
        <v>3341</v>
      </c>
      <c r="C774" s="28" t="s">
        <v>493</v>
      </c>
      <c r="G774" s="26">
        <f>'Capex &amp; Depreciation'!G306</f>
        <v>0</v>
      </c>
      <c r="H774" s="160">
        <f>'Capex &amp; Depreciation'!H306+'Working Capital'!H99</f>
        <v>0</v>
      </c>
      <c r="I774" s="160">
        <f>'Capex &amp; Depreciation'!I306+'Working Capital'!I99</f>
        <v>0</v>
      </c>
      <c r="J774" s="160">
        <f>'Capex &amp; Depreciation'!J306+'Working Capital'!J99</f>
        <v>0</v>
      </c>
      <c r="K774" s="160">
        <f>'Capex &amp; Depreciation'!K306+'Working Capital'!K99</f>
        <v>0</v>
      </c>
      <c r="L774" s="160">
        <f>'Capex &amp; Depreciation'!L306+'Working Capital'!L99</f>
        <v>0</v>
      </c>
      <c r="M774" s="160">
        <f>'Capex &amp; Depreciation'!M306+'Working Capital'!M99</f>
        <v>0</v>
      </c>
      <c r="N774" s="160">
        <f>'Capex &amp; Depreciation'!N306+'Working Capital'!N99</f>
        <v>0</v>
      </c>
      <c r="O774" s="160">
        <f>'Capex &amp; Depreciation'!O306+'Working Capital'!O99</f>
        <v>0</v>
      </c>
      <c r="P774" s="160">
        <f>'Capex &amp; Depreciation'!P306+'Working Capital'!P99</f>
        <v>0</v>
      </c>
      <c r="Q774" s="160">
        <f>'Capex &amp; Depreciation'!Q306+'Working Capital'!Q99</f>
        <v>0</v>
      </c>
      <c r="R774" s="160">
        <f>'Capex &amp; Depreciation'!R306+'Working Capital'!R99</f>
        <v>0</v>
      </c>
      <c r="S774" s="160">
        <f>'Capex &amp; Depreciation'!S306+'Working Capital'!S99</f>
        <v>0</v>
      </c>
      <c r="T774" s="160">
        <f>'Capex &amp; Depreciation'!T306+'Working Capital'!T99</f>
        <v>0</v>
      </c>
    </row>
    <row r="775" spans="2:20" x14ac:dyDescent="0.25">
      <c r="B775" s="163" t="s">
        <v>3342</v>
      </c>
    </row>
    <row r="776" spans="2:20" x14ac:dyDescent="0.25">
      <c r="B776" s="23" t="s">
        <v>3221</v>
      </c>
      <c r="C776" s="28" t="s">
        <v>493</v>
      </c>
      <c r="H776" s="29">
        <f>'Project Cash Flows'!H328</f>
        <v>0</v>
      </c>
      <c r="I776" s="29">
        <f>'Project Cash Flows'!I328</f>
        <v>0</v>
      </c>
      <c r="J776" s="29">
        <f>'Project Cash Flows'!J328</f>
        <v>0</v>
      </c>
      <c r="K776" s="29">
        <f>'Project Cash Flows'!K328</f>
        <v>0</v>
      </c>
      <c r="L776" s="29">
        <f>'Project Cash Flows'!L328</f>
        <v>0</v>
      </c>
      <c r="M776" s="29">
        <f>'Project Cash Flows'!M328</f>
        <v>0</v>
      </c>
      <c r="N776" s="29">
        <f>'Project Cash Flows'!N328</f>
        <v>0</v>
      </c>
      <c r="O776" s="29">
        <f>'Project Cash Flows'!O328</f>
        <v>0</v>
      </c>
      <c r="P776" s="29">
        <f>'Project Cash Flows'!P328</f>
        <v>0</v>
      </c>
      <c r="Q776" s="29">
        <f>'Project Cash Flows'!Q328</f>
        <v>0</v>
      </c>
      <c r="R776" s="29">
        <f>'Project Cash Flows'!R328</f>
        <v>0</v>
      </c>
      <c r="S776" s="29">
        <f>'Project Cash Flows'!S328</f>
        <v>0</v>
      </c>
      <c r="T776" s="29">
        <f>'Project Cash Flows'!T328</f>
        <v>0</v>
      </c>
    </row>
    <row r="777" spans="2:20" x14ac:dyDescent="0.25">
      <c r="B777" s="23" t="s">
        <v>3343</v>
      </c>
      <c r="C777" s="28" t="s">
        <v>493</v>
      </c>
      <c r="H777" s="29">
        <f>'Project Cash Flows'!H333</f>
        <v>0</v>
      </c>
      <c r="I777" s="29">
        <f>'Project Cash Flows'!I333</f>
        <v>0</v>
      </c>
      <c r="J777" s="29">
        <f>'Project Cash Flows'!J333</f>
        <v>0</v>
      </c>
      <c r="K777" s="29">
        <f>'Project Cash Flows'!K333</f>
        <v>0</v>
      </c>
      <c r="L777" s="29">
        <f>'Project Cash Flows'!L333</f>
        <v>0</v>
      </c>
      <c r="M777" s="29">
        <f>'Project Cash Flows'!M333</f>
        <v>0</v>
      </c>
      <c r="N777" s="29">
        <f>'Project Cash Flows'!N333</f>
        <v>0</v>
      </c>
      <c r="O777" s="29">
        <f>'Project Cash Flows'!O333</f>
        <v>0</v>
      </c>
      <c r="P777" s="29">
        <f>'Project Cash Flows'!P333</f>
        <v>0</v>
      </c>
      <c r="Q777" s="29">
        <f>'Project Cash Flows'!Q333</f>
        <v>0</v>
      </c>
      <c r="R777" s="29">
        <f>'Project Cash Flows'!R333</f>
        <v>0</v>
      </c>
      <c r="S777" s="29">
        <f>'Project Cash Flows'!S333</f>
        <v>0</v>
      </c>
      <c r="T777" s="29">
        <f>'Project Cash Flows'!T333</f>
        <v>0</v>
      </c>
    </row>
    <row r="778" spans="2:20" x14ac:dyDescent="0.25">
      <c r="B778" s="23" t="s">
        <v>3227</v>
      </c>
      <c r="C778" s="28" t="s">
        <v>493</v>
      </c>
      <c r="H778" s="29">
        <f>'Project Cash Flows'!H334</f>
        <v>0</v>
      </c>
      <c r="I778" s="29">
        <f>'Project Cash Flows'!I334</f>
        <v>0</v>
      </c>
      <c r="J778" s="29">
        <f>'Project Cash Flows'!J334</f>
        <v>0</v>
      </c>
      <c r="K778" s="29">
        <f>'Project Cash Flows'!K334</f>
        <v>0</v>
      </c>
      <c r="L778" s="29">
        <f>'Project Cash Flows'!L334</f>
        <v>0</v>
      </c>
      <c r="M778" s="29">
        <f>'Project Cash Flows'!M334</f>
        <v>0</v>
      </c>
      <c r="N778" s="29">
        <f>'Project Cash Flows'!N334</f>
        <v>0</v>
      </c>
      <c r="O778" s="29">
        <f>'Project Cash Flows'!O334</f>
        <v>0</v>
      </c>
      <c r="P778" s="29">
        <f>'Project Cash Flows'!P334</f>
        <v>0</v>
      </c>
      <c r="Q778" s="29">
        <f>'Project Cash Flows'!Q334</f>
        <v>0</v>
      </c>
      <c r="R778" s="29">
        <f>'Project Cash Flows'!R334</f>
        <v>0</v>
      </c>
      <c r="S778" s="29">
        <f>'Project Cash Flows'!S334</f>
        <v>0</v>
      </c>
      <c r="T778" s="29">
        <f>'Project Cash Flows'!T334</f>
        <v>0</v>
      </c>
    </row>
    <row r="779" spans="2:20" x14ac:dyDescent="0.25">
      <c r="B779" s="23" t="s">
        <v>3228</v>
      </c>
      <c r="C779" s="28" t="s">
        <v>493</v>
      </c>
      <c r="H779" s="29">
        <f>'Project Cash Flows'!H335</f>
        <v>0</v>
      </c>
      <c r="I779" s="29">
        <f>'Project Cash Flows'!I335</f>
        <v>0</v>
      </c>
      <c r="J779" s="29">
        <f>'Project Cash Flows'!J335</f>
        <v>0</v>
      </c>
      <c r="K779" s="29">
        <f>'Project Cash Flows'!K335</f>
        <v>0</v>
      </c>
      <c r="L779" s="29">
        <f>'Project Cash Flows'!L335</f>
        <v>0</v>
      </c>
      <c r="M779" s="29">
        <f>'Project Cash Flows'!M335</f>
        <v>0</v>
      </c>
      <c r="N779" s="29">
        <f>'Project Cash Flows'!N335</f>
        <v>0</v>
      </c>
      <c r="O779" s="29">
        <f>'Project Cash Flows'!O335</f>
        <v>0</v>
      </c>
      <c r="P779" s="29">
        <f>'Project Cash Flows'!P335</f>
        <v>0</v>
      </c>
      <c r="Q779" s="29">
        <f>'Project Cash Flows'!Q335</f>
        <v>0</v>
      </c>
      <c r="R779" s="29">
        <f>'Project Cash Flows'!R335</f>
        <v>0</v>
      </c>
      <c r="S779" s="29">
        <f>'Project Cash Flows'!S335</f>
        <v>0</v>
      </c>
      <c r="T779" s="29">
        <f>'Project Cash Flows'!T335</f>
        <v>0</v>
      </c>
    </row>
    <row r="780" spans="2:20" x14ac:dyDescent="0.25">
      <c r="B780" s="21" t="s">
        <v>3344</v>
      </c>
      <c r="C780" s="28" t="s">
        <v>493</v>
      </c>
      <c r="H780" s="26">
        <f>'Project Cash Flows'!H336</f>
        <v>0</v>
      </c>
      <c r="I780" s="26">
        <f>'Project Cash Flows'!I336</f>
        <v>0</v>
      </c>
      <c r="J780" s="26">
        <f>'Project Cash Flows'!J336</f>
        <v>0</v>
      </c>
      <c r="K780" s="26">
        <f>'Project Cash Flows'!K336</f>
        <v>0</v>
      </c>
      <c r="L780" s="26">
        <f>'Project Cash Flows'!L336</f>
        <v>0</v>
      </c>
      <c r="M780" s="26">
        <f>'Project Cash Flows'!M336</f>
        <v>0</v>
      </c>
      <c r="N780" s="26">
        <f>'Project Cash Flows'!N336</f>
        <v>0</v>
      </c>
      <c r="O780" s="26">
        <f>'Project Cash Flows'!O336</f>
        <v>0</v>
      </c>
      <c r="P780" s="26">
        <f>'Project Cash Flows'!P336</f>
        <v>0</v>
      </c>
      <c r="Q780" s="26">
        <f>'Project Cash Flows'!Q336</f>
        <v>0</v>
      </c>
      <c r="R780" s="26">
        <f>'Project Cash Flows'!R336</f>
        <v>0</v>
      </c>
      <c r="S780" s="26">
        <f>'Project Cash Flows'!S336</f>
        <v>0</v>
      </c>
      <c r="T780" s="26">
        <f>'Project Cash Flows'!T336</f>
        <v>0</v>
      </c>
    </row>
    <row r="781" spans="2:20" x14ac:dyDescent="0.25">
      <c r="B781" s="23" t="s">
        <v>3345</v>
      </c>
      <c r="C781" s="28" t="s">
        <v>493</v>
      </c>
      <c r="G781" s="29">
        <f>'Project Cash Flows'!G339</f>
        <v>0</v>
      </c>
      <c r="H781" s="29">
        <f>'Project Cash Flows'!H339</f>
        <v>0</v>
      </c>
      <c r="I781" s="29">
        <f>'Project Cash Flows'!I339</f>
        <v>0</v>
      </c>
      <c r="J781" s="29">
        <f>'Project Cash Flows'!J339</f>
        <v>0</v>
      </c>
      <c r="K781" s="29">
        <f>'Project Cash Flows'!K339</f>
        <v>0</v>
      </c>
      <c r="L781" s="29">
        <f>'Project Cash Flows'!L339</f>
        <v>0</v>
      </c>
      <c r="M781" s="29">
        <f>'Project Cash Flows'!M339</f>
        <v>0</v>
      </c>
      <c r="N781" s="29">
        <f>'Project Cash Flows'!N339</f>
        <v>0</v>
      </c>
      <c r="O781" s="29">
        <f>'Project Cash Flows'!O339</f>
        <v>0</v>
      </c>
      <c r="P781" s="29">
        <f>'Project Cash Flows'!P339</f>
        <v>0</v>
      </c>
      <c r="Q781" s="29">
        <f>'Project Cash Flows'!Q339</f>
        <v>0</v>
      </c>
      <c r="R781" s="29">
        <f>'Project Cash Flows'!R339</f>
        <v>0</v>
      </c>
      <c r="S781" s="29">
        <f>'Project Cash Flows'!S339</f>
        <v>0</v>
      </c>
      <c r="T781" s="29">
        <f>'Project Cash Flows'!T339</f>
        <v>0</v>
      </c>
    </row>
    <row r="782" spans="2:20" x14ac:dyDescent="0.25">
      <c r="B782" s="163" t="s">
        <v>3346</v>
      </c>
    </row>
    <row r="783" spans="2:20" x14ac:dyDescent="0.25">
      <c r="B783" s="23" t="s">
        <v>3363</v>
      </c>
      <c r="C783" s="28" t="s">
        <v>806</v>
      </c>
      <c r="G783" s="34">
        <f>'Capex &amp; Depreciation'!G22</f>
        <v>0</v>
      </c>
      <c r="H783" s="34">
        <f>'Capex &amp; Depreciation'!H22</f>
        <v>0</v>
      </c>
      <c r="I783" s="34">
        <f>'Capex &amp; Depreciation'!I22</f>
        <v>0</v>
      </c>
      <c r="J783" s="34">
        <f>'Capex &amp; Depreciation'!J22</f>
        <v>0</v>
      </c>
      <c r="K783" s="34">
        <f>'Capex &amp; Depreciation'!K22</f>
        <v>0</v>
      </c>
      <c r="L783" s="34">
        <f>'Capex &amp; Depreciation'!L22</f>
        <v>0</v>
      </c>
      <c r="M783" s="34">
        <f>'Capex &amp; Depreciation'!M22</f>
        <v>0</v>
      </c>
      <c r="N783" s="34">
        <f>'Capex &amp; Depreciation'!N22</f>
        <v>0</v>
      </c>
      <c r="O783" s="34">
        <f>'Capex &amp; Depreciation'!O22</f>
        <v>0</v>
      </c>
      <c r="P783" s="34">
        <f>'Capex &amp; Depreciation'!P22</f>
        <v>0</v>
      </c>
      <c r="Q783" s="34">
        <f>'Capex &amp; Depreciation'!Q22</f>
        <v>0</v>
      </c>
      <c r="R783" s="34">
        <f>'Capex &amp; Depreciation'!R22</f>
        <v>0</v>
      </c>
      <c r="S783" s="34">
        <f>'Capex &amp; Depreciation'!S22</f>
        <v>0</v>
      </c>
      <c r="T783" s="34">
        <f>'Capex &amp; Depreciation'!T22</f>
        <v>0</v>
      </c>
    </row>
    <row r="784" spans="2:20" x14ac:dyDescent="0.25">
      <c r="B784" s="23" t="s">
        <v>3364</v>
      </c>
      <c r="C784" s="28" t="s">
        <v>493</v>
      </c>
      <c r="G784" s="29">
        <f>'Capex &amp; Depreciation'!G74</f>
        <v>0</v>
      </c>
      <c r="H784" s="29">
        <f>'Capex &amp; Depreciation'!H74</f>
        <v>0</v>
      </c>
      <c r="I784" s="29">
        <f>'Capex &amp; Depreciation'!I74</f>
        <v>0</v>
      </c>
      <c r="J784" s="29">
        <f>'Capex &amp; Depreciation'!J74</f>
        <v>0</v>
      </c>
      <c r="K784" s="29">
        <f>'Capex &amp; Depreciation'!K74</f>
        <v>0</v>
      </c>
      <c r="L784" s="29">
        <f>'Capex &amp; Depreciation'!L74</f>
        <v>0</v>
      </c>
      <c r="M784" s="29">
        <f>'Capex &amp; Depreciation'!M74</f>
        <v>0</v>
      </c>
      <c r="N784" s="29">
        <f>'Capex &amp; Depreciation'!N74</f>
        <v>0</v>
      </c>
      <c r="O784" s="29">
        <f>'Capex &amp; Depreciation'!O74</f>
        <v>0</v>
      </c>
      <c r="P784" s="29">
        <f>'Capex &amp; Depreciation'!P74</f>
        <v>0</v>
      </c>
      <c r="Q784" s="29">
        <f>'Capex &amp; Depreciation'!Q74</f>
        <v>0</v>
      </c>
      <c r="R784" s="29">
        <f>'Capex &amp; Depreciation'!R74</f>
        <v>0</v>
      </c>
      <c r="S784" s="29">
        <f>'Capex &amp; Depreciation'!S74</f>
        <v>0</v>
      </c>
      <c r="T784" s="29">
        <f>'Capex &amp; Depreciation'!T74</f>
        <v>0</v>
      </c>
    </row>
    <row r="785" spans="2:20" ht="26.25" customHeight="1" x14ac:dyDescent="0.25">
      <c r="B785" s="64" t="s">
        <v>3365</v>
      </c>
      <c r="C785" s="28" t="s">
        <v>493</v>
      </c>
      <c r="H785" s="29">
        <f>'Funding Requirement'!H125</f>
        <v>0</v>
      </c>
      <c r="I785" s="29">
        <f>'Funding Requirement'!I125</f>
        <v>0</v>
      </c>
      <c r="J785" s="29">
        <f>'Funding Requirement'!J125</f>
        <v>0</v>
      </c>
      <c r="K785" s="29">
        <f>'Funding Requirement'!K125</f>
        <v>0</v>
      </c>
      <c r="L785" s="29">
        <f>'Funding Requirement'!L125</f>
        <v>0</v>
      </c>
      <c r="M785" s="29">
        <f>'Funding Requirement'!M125</f>
        <v>0</v>
      </c>
      <c r="N785" s="29">
        <f>'Funding Requirement'!N125</f>
        <v>0</v>
      </c>
      <c r="O785" s="29">
        <f>'Funding Requirement'!O125</f>
        <v>0</v>
      </c>
      <c r="P785" s="29">
        <f>'Funding Requirement'!P125</f>
        <v>0</v>
      </c>
      <c r="Q785" s="29">
        <f>'Funding Requirement'!Q125</f>
        <v>0</v>
      </c>
      <c r="R785" s="29">
        <f>'Funding Requirement'!R125</f>
        <v>0</v>
      </c>
      <c r="S785" s="29">
        <f>'Funding Requirement'!S125</f>
        <v>0</v>
      </c>
      <c r="T785" s="29">
        <f>'Funding Requirement'!T125</f>
        <v>0</v>
      </c>
    </row>
    <row r="786" spans="2:20" x14ac:dyDescent="0.25">
      <c r="B786" s="163" t="s">
        <v>3348</v>
      </c>
    </row>
    <row r="787" spans="2:20" x14ac:dyDescent="0.25">
      <c r="B787" s="44" t="s">
        <v>3349</v>
      </c>
      <c r="D787" s="204" t="str">
        <f>'Project Cash Flows'!$E$28</f>
        <v>inputs pending</v>
      </c>
      <c r="H787" s="44" t="s">
        <v>3176</v>
      </c>
      <c r="K787" s="205" t="str">
        <f>'Project Cash Flows'!$H$28</f>
        <v>inputs pending</v>
      </c>
      <c r="N787" s="44" t="s">
        <v>3350</v>
      </c>
      <c r="Q787" s="205" t="str">
        <f>'Project Cash Flows'!$I$28</f>
        <v>inputs pending</v>
      </c>
    </row>
    <row r="788" spans="2:20" x14ac:dyDescent="0.25">
      <c r="B788" s="44" t="s">
        <v>3180</v>
      </c>
      <c r="D788" s="205" t="str">
        <f>'Project Cash Flows'!$L$28</f>
        <v>as project IRR</v>
      </c>
      <c r="H788" s="44" t="s">
        <v>3351</v>
      </c>
      <c r="K788" s="206" t="str">
        <f>'Project Cash Flows'!$J$28</f>
        <v>inputs pending</v>
      </c>
      <c r="N788" s="44" t="s">
        <v>3179</v>
      </c>
      <c r="Q788" s="204" t="str">
        <f>'Project Cash Flows'!$K$28</f>
        <v>inputs pending</v>
      </c>
    </row>
    <row r="790" spans="2:20" x14ac:dyDescent="0.25">
      <c r="B790" s="58" t="s">
        <v>3396</v>
      </c>
      <c r="C790" s="19"/>
      <c r="D790" s="19"/>
      <c r="E790" s="19"/>
      <c r="F790" s="19"/>
      <c r="G790" s="19"/>
      <c r="H790" s="19"/>
      <c r="I790" s="19"/>
      <c r="J790" s="19"/>
      <c r="K790" s="19"/>
      <c r="L790" s="19"/>
      <c r="M790" s="19"/>
      <c r="N790" s="19"/>
      <c r="O790" s="19"/>
      <c r="P790" s="19"/>
      <c r="Q790" s="19"/>
      <c r="R790" s="19"/>
      <c r="S790" s="19"/>
      <c r="T790" s="19"/>
    </row>
    <row r="791" spans="2:20" x14ac:dyDescent="0.25">
      <c r="B791" s="70" t="s">
        <v>1690</v>
      </c>
      <c r="D791" s="130" t="str">
        <f>Inputs!$I$82</f>
        <v>Included in the valuation - DUMMY inputs (FS Data Request)</v>
      </c>
      <c r="M791" s="202" t="s">
        <v>3323</v>
      </c>
      <c r="N791" s="203">
        <f>Inputs!$H$82</f>
        <v>1</v>
      </c>
      <c r="Q791" s="202" t="s">
        <v>3397</v>
      </c>
      <c r="R791" s="78">
        <f>Inputs!$E$568*(1-Inputs!$H$82)</f>
        <v>0</v>
      </c>
    </row>
    <row r="792" spans="2:20" x14ac:dyDescent="0.25">
      <c r="B792" s="207" t="s">
        <v>3398</v>
      </c>
    </row>
    <row r="793" spans="2:20" x14ac:dyDescent="0.25">
      <c r="B793" s="163" t="s">
        <v>3324</v>
      </c>
    </row>
    <row r="794" spans="2:20" x14ac:dyDescent="0.25">
      <c r="B794" s="23" t="s">
        <v>3399</v>
      </c>
      <c r="C794" s="28" t="s">
        <v>1890</v>
      </c>
      <c r="H794" s="39">
        <f>'Revenue Calculation'!H28</f>
        <v>0</v>
      </c>
      <c r="I794" s="39">
        <f>'Revenue Calculation'!I28</f>
        <v>0</v>
      </c>
      <c r="J794" s="39">
        <f>'Revenue Calculation'!J28</f>
        <v>0</v>
      </c>
      <c r="K794" s="39">
        <f>'Revenue Calculation'!K28</f>
        <v>0</v>
      </c>
      <c r="L794" s="39">
        <f>'Revenue Calculation'!L28</f>
        <v>0</v>
      </c>
      <c r="M794" s="39">
        <f>'Revenue Calculation'!M28</f>
        <v>1</v>
      </c>
      <c r="N794" s="39">
        <f>'Revenue Calculation'!N28</f>
        <v>1</v>
      </c>
      <c r="O794" s="39">
        <f>'Revenue Calculation'!O28</f>
        <v>1</v>
      </c>
      <c r="P794" s="39">
        <f>'Revenue Calculation'!P28</f>
        <v>1</v>
      </c>
      <c r="Q794" s="39">
        <f>'Revenue Calculation'!Q28</f>
        <v>1</v>
      </c>
      <c r="R794" s="39">
        <f>'Revenue Calculation'!R28</f>
        <v>1</v>
      </c>
      <c r="S794" s="39">
        <f>'Revenue Calculation'!S28</f>
        <v>1</v>
      </c>
      <c r="T794" s="39">
        <f>'Revenue Calculation'!T28</f>
        <v>1</v>
      </c>
    </row>
    <row r="795" spans="2:20" x14ac:dyDescent="0.25">
      <c r="B795" s="23" t="s">
        <v>3400</v>
      </c>
      <c r="C795" s="28" t="s">
        <v>292</v>
      </c>
      <c r="H795" s="39">
        <f>Inputs!H587</f>
        <v>0.55000000000000004</v>
      </c>
      <c r="I795" s="39">
        <f>Inputs!I587</f>
        <v>0.55000000000000004</v>
      </c>
      <c r="J795" s="39">
        <f>Inputs!J587</f>
        <v>0.55000000000000004</v>
      </c>
      <c r="K795" s="39">
        <f>Inputs!K587</f>
        <v>0.55000000000000004</v>
      </c>
      <c r="L795" s="39">
        <f>Inputs!L587</f>
        <v>0.55000000000000004</v>
      </c>
      <c r="M795" s="39">
        <f>Inputs!M587</f>
        <v>0.55000000000000004</v>
      </c>
      <c r="N795" s="39">
        <f>Inputs!N587</f>
        <v>0.7</v>
      </c>
      <c r="O795" s="39">
        <f>Inputs!O587</f>
        <v>0.8</v>
      </c>
      <c r="P795" s="39">
        <f>Inputs!P587</f>
        <v>0.85</v>
      </c>
      <c r="Q795" s="39">
        <f>Inputs!Q587</f>
        <v>0.85</v>
      </c>
      <c r="R795" s="39">
        <f>Inputs!R587</f>
        <v>0.85</v>
      </c>
      <c r="S795" s="39">
        <f>Inputs!S587</f>
        <v>0.85</v>
      </c>
      <c r="T795" s="39">
        <f>Inputs!T587</f>
        <v>0.85</v>
      </c>
    </row>
    <row r="796" spans="2:20" x14ac:dyDescent="0.25">
      <c r="B796" s="23" t="s">
        <v>3353</v>
      </c>
      <c r="C796" s="28" t="s">
        <v>630</v>
      </c>
      <c r="H796" s="48">
        <f>'Revenue Calculation'!H175</f>
        <v>0</v>
      </c>
      <c r="I796" s="48">
        <f>'Revenue Calculation'!I175</f>
        <v>0</v>
      </c>
      <c r="J796" s="48">
        <f>'Revenue Calculation'!J175</f>
        <v>0</v>
      </c>
      <c r="K796" s="48">
        <f>'Revenue Calculation'!K175</f>
        <v>0</v>
      </c>
      <c r="L796" s="48">
        <f>'Revenue Calculation'!L175</f>
        <v>0</v>
      </c>
      <c r="M796" s="48">
        <f>'Revenue Calculation'!M175</f>
        <v>550000</v>
      </c>
      <c r="N796" s="48">
        <f>'Revenue Calculation'!N175</f>
        <v>700000</v>
      </c>
      <c r="O796" s="48">
        <f>'Revenue Calculation'!O175</f>
        <v>800000</v>
      </c>
      <c r="P796" s="48">
        <f>'Revenue Calculation'!P175</f>
        <v>850000</v>
      </c>
      <c r="Q796" s="48">
        <f>'Revenue Calculation'!Q175</f>
        <v>850000</v>
      </c>
      <c r="R796" s="48">
        <f>'Revenue Calculation'!R175</f>
        <v>850000</v>
      </c>
      <c r="S796" s="48">
        <f>'Revenue Calculation'!S175</f>
        <v>850000</v>
      </c>
      <c r="T796" s="48">
        <f>'Revenue Calculation'!T175</f>
        <v>850000</v>
      </c>
    </row>
    <row r="797" spans="2:20" x14ac:dyDescent="0.25">
      <c r="B797" s="23" t="s">
        <v>3401</v>
      </c>
      <c r="C797" s="28" t="s">
        <v>647</v>
      </c>
      <c r="H797" s="48">
        <f>'Revenue Calculation'!H178</f>
        <v>45000</v>
      </c>
      <c r="I797" s="48">
        <f>'Revenue Calculation'!I178</f>
        <v>45000</v>
      </c>
      <c r="J797" s="48">
        <f>'Revenue Calculation'!J178</f>
        <v>45000</v>
      </c>
      <c r="K797" s="48">
        <f>'Revenue Calculation'!K178</f>
        <v>45000</v>
      </c>
      <c r="L797" s="48">
        <f>'Revenue Calculation'!L178</f>
        <v>45000</v>
      </c>
      <c r="M797" s="48">
        <f>'Revenue Calculation'!M178</f>
        <v>45000</v>
      </c>
      <c r="N797" s="48">
        <f>'Revenue Calculation'!N178</f>
        <v>45000</v>
      </c>
      <c r="O797" s="48">
        <f>'Revenue Calculation'!O178</f>
        <v>45000</v>
      </c>
      <c r="P797" s="48">
        <f>'Revenue Calculation'!P178</f>
        <v>45000</v>
      </c>
      <c r="Q797" s="48">
        <f>'Revenue Calculation'!Q178</f>
        <v>45000</v>
      </c>
      <c r="R797" s="48">
        <f>'Revenue Calculation'!R178</f>
        <v>45000</v>
      </c>
      <c r="S797" s="48">
        <f>'Revenue Calculation'!S178</f>
        <v>45000</v>
      </c>
      <c r="T797" s="48">
        <f>'Revenue Calculation'!T178</f>
        <v>45000</v>
      </c>
    </row>
    <row r="798" spans="2:20" x14ac:dyDescent="0.25">
      <c r="B798" s="163" t="s">
        <v>3328</v>
      </c>
    </row>
    <row r="799" spans="2:20" x14ac:dyDescent="0.25">
      <c r="B799" s="21" t="s">
        <v>3402</v>
      </c>
      <c r="C799" s="28" t="s">
        <v>493</v>
      </c>
      <c r="H799" s="26">
        <f>'Revenue Calculation'!H185</f>
        <v>0</v>
      </c>
      <c r="I799" s="26">
        <f>'Revenue Calculation'!I185</f>
        <v>0</v>
      </c>
      <c r="J799" s="26">
        <f>'Revenue Calculation'!J185</f>
        <v>0</v>
      </c>
      <c r="K799" s="26">
        <f>'Revenue Calculation'!K185</f>
        <v>0</v>
      </c>
      <c r="L799" s="26">
        <f>'Revenue Calculation'!L185</f>
        <v>0</v>
      </c>
      <c r="M799" s="26">
        <f>'Revenue Calculation'!M185</f>
        <v>31.184999999999999</v>
      </c>
      <c r="N799" s="26">
        <f>'Revenue Calculation'!N185</f>
        <v>39.69</v>
      </c>
      <c r="O799" s="26">
        <f>'Revenue Calculation'!O185</f>
        <v>45.36</v>
      </c>
      <c r="P799" s="26">
        <f>'Revenue Calculation'!P185</f>
        <v>48.195</v>
      </c>
      <c r="Q799" s="26">
        <f>'Revenue Calculation'!Q185</f>
        <v>48.195</v>
      </c>
      <c r="R799" s="26">
        <f>'Revenue Calculation'!R185</f>
        <v>48.195</v>
      </c>
      <c r="S799" s="26">
        <f>'Revenue Calculation'!S185</f>
        <v>48.195</v>
      </c>
      <c r="T799" s="26">
        <f>'Revenue Calculation'!T185</f>
        <v>48.195</v>
      </c>
    </row>
    <row r="800" spans="2:20" x14ac:dyDescent="0.25">
      <c r="B800" s="23" t="s">
        <v>3330</v>
      </c>
      <c r="C800" s="28" t="s">
        <v>493</v>
      </c>
      <c r="H800" s="159">
        <f>-'Cost Calculation'!H206</f>
        <v>0</v>
      </c>
      <c r="I800" s="159">
        <f>-'Cost Calculation'!I206</f>
        <v>0</v>
      </c>
      <c r="J800" s="159">
        <f>-'Cost Calculation'!J206</f>
        <v>0</v>
      </c>
      <c r="K800" s="159">
        <f>-'Cost Calculation'!K206</f>
        <v>0</v>
      </c>
      <c r="L800" s="159">
        <f>-'Cost Calculation'!L206</f>
        <v>0</v>
      </c>
      <c r="M800" s="159">
        <f>-'Cost Calculation'!M206</f>
        <v>-15.487250000000001</v>
      </c>
      <c r="N800" s="159">
        <f>-'Cost Calculation'!N206</f>
        <v>-17.1875</v>
      </c>
      <c r="O800" s="159">
        <f>-'Cost Calculation'!O206</f>
        <v>-18.321000000000002</v>
      </c>
      <c r="P800" s="159">
        <f>-'Cost Calculation'!P206</f>
        <v>-18.88775</v>
      </c>
      <c r="Q800" s="159">
        <f>-'Cost Calculation'!Q206</f>
        <v>-18.88775</v>
      </c>
      <c r="R800" s="159">
        <f>-'Cost Calculation'!R206</f>
        <v>-18.88775</v>
      </c>
      <c r="S800" s="159">
        <f>-'Cost Calculation'!S206</f>
        <v>-18.88775</v>
      </c>
      <c r="T800" s="159">
        <f>-'Cost Calculation'!T206</f>
        <v>-18.88775</v>
      </c>
    </row>
    <row r="801" spans="2:20" x14ac:dyDescent="0.25">
      <c r="B801" s="23" t="s">
        <v>3403</v>
      </c>
      <c r="C801" s="28" t="s">
        <v>493</v>
      </c>
      <c r="H801" s="159">
        <f>-'Cost Calculation'!H209</f>
        <v>0</v>
      </c>
      <c r="I801" s="159">
        <f>-'Cost Calculation'!I209</f>
        <v>0</v>
      </c>
      <c r="J801" s="159">
        <f>-'Cost Calculation'!J209</f>
        <v>0</v>
      </c>
      <c r="K801" s="159">
        <f>-'Cost Calculation'!K209</f>
        <v>0</v>
      </c>
      <c r="L801" s="159">
        <f>-'Cost Calculation'!L209</f>
        <v>-1.5</v>
      </c>
      <c r="M801" s="159">
        <f>-'Cost Calculation'!M209</f>
        <v>-2.5</v>
      </c>
      <c r="N801" s="159">
        <f>-'Cost Calculation'!N209</f>
        <v>-2.5</v>
      </c>
      <c r="O801" s="159">
        <f>-'Cost Calculation'!O209</f>
        <v>-2.5</v>
      </c>
      <c r="P801" s="159">
        <f>-'Cost Calculation'!P209</f>
        <v>-2.5</v>
      </c>
      <c r="Q801" s="159">
        <f>-'Cost Calculation'!Q209</f>
        <v>-2.5</v>
      </c>
      <c r="R801" s="159">
        <f>-'Cost Calculation'!R209</f>
        <v>-2.5</v>
      </c>
      <c r="S801" s="159">
        <f>-'Cost Calculation'!S209</f>
        <v>-2.5</v>
      </c>
      <c r="T801" s="159">
        <f>-'Cost Calculation'!T209</f>
        <v>-2.5</v>
      </c>
    </row>
    <row r="802" spans="2:20" x14ac:dyDescent="0.25">
      <c r="B802" s="21" t="s">
        <v>3221</v>
      </c>
      <c r="C802" s="28" t="s">
        <v>493</v>
      </c>
      <c r="H802" s="26">
        <f>'Cost Calculation'!H210</f>
        <v>0</v>
      </c>
      <c r="I802" s="26">
        <f>'Cost Calculation'!I210</f>
        <v>0</v>
      </c>
      <c r="J802" s="26">
        <f>'Cost Calculation'!J210</f>
        <v>0</v>
      </c>
      <c r="K802" s="26">
        <f>'Cost Calculation'!K210</f>
        <v>0</v>
      </c>
      <c r="L802" s="26">
        <f>'Cost Calculation'!L210</f>
        <v>-1.5</v>
      </c>
      <c r="M802" s="26">
        <f>'Cost Calculation'!M210</f>
        <v>13.197749999999997</v>
      </c>
      <c r="N802" s="26">
        <f>'Cost Calculation'!N210</f>
        <v>20.002499999999998</v>
      </c>
      <c r="O802" s="26">
        <f>'Cost Calculation'!O210</f>
        <v>24.538999999999998</v>
      </c>
      <c r="P802" s="26">
        <f>'Cost Calculation'!P210</f>
        <v>26.80725</v>
      </c>
      <c r="Q802" s="26">
        <f>'Cost Calculation'!Q210</f>
        <v>26.80725</v>
      </c>
      <c r="R802" s="26">
        <f>'Cost Calculation'!R210</f>
        <v>26.80725</v>
      </c>
      <c r="S802" s="26">
        <f>'Cost Calculation'!S210</f>
        <v>26.80725</v>
      </c>
      <c r="T802" s="26">
        <f>'Cost Calculation'!T210</f>
        <v>26.80725</v>
      </c>
    </row>
    <row r="803" spans="2:20" x14ac:dyDescent="0.25">
      <c r="B803" s="23" t="s">
        <v>3332</v>
      </c>
      <c r="C803" s="28" t="s">
        <v>493</v>
      </c>
      <c r="H803" s="159">
        <f>-('Capex &amp; Depreciation'!H170+'Project Cash Flows'!H370)</f>
        <v>0</v>
      </c>
      <c r="I803" s="159">
        <f>-('Capex &amp; Depreciation'!I170+'Project Cash Flows'!I370)</f>
        <v>0</v>
      </c>
      <c r="J803" s="159">
        <f>-('Capex &amp; Depreciation'!J170+'Project Cash Flows'!J370)</f>
        <v>0</v>
      </c>
      <c r="K803" s="159">
        <f>-('Capex &amp; Depreciation'!K170+'Project Cash Flows'!K370)</f>
        <v>0</v>
      </c>
      <c r="L803" s="159">
        <f>-('Capex &amp; Depreciation'!L170+'Project Cash Flows'!L370)</f>
        <v>0</v>
      </c>
      <c r="M803" s="159">
        <f>-('Capex &amp; Depreciation'!M170+'Project Cash Flows'!M370)</f>
        <v>-11.377707049965778</v>
      </c>
      <c r="N803" s="159">
        <f>-('Capex &amp; Depreciation'!N170+'Project Cash Flows'!N370)</f>
        <v>-11.377707049965778</v>
      </c>
      <c r="O803" s="159">
        <f>-('Capex &amp; Depreciation'!O170+'Project Cash Flows'!O370)</f>
        <v>-11.377707049965776</v>
      </c>
      <c r="P803" s="159">
        <f>-('Capex &amp; Depreciation'!P170+'Project Cash Flows'!P370)</f>
        <v>-11.408878850102672</v>
      </c>
      <c r="Q803" s="159">
        <f>-('Capex &amp; Depreciation'!Q170+'Project Cash Flows'!Q370)</f>
        <v>-11.37770704996578</v>
      </c>
      <c r="R803" s="159">
        <f>-('Capex &amp; Depreciation'!R170+'Project Cash Flows'!R370)</f>
        <v>-11.377707049965771</v>
      </c>
      <c r="S803" s="159">
        <f>-('Capex &amp; Depreciation'!S170+'Project Cash Flows'!S370)</f>
        <v>-11.37770704996578</v>
      </c>
      <c r="T803" s="159">
        <f>-('Capex &amp; Depreciation'!T170+'Project Cash Flows'!T370)</f>
        <v>-11.408878850102672</v>
      </c>
    </row>
    <row r="804" spans="2:20" x14ac:dyDescent="0.25">
      <c r="B804" s="21" t="s">
        <v>3333</v>
      </c>
      <c r="C804" s="28" t="s">
        <v>493</v>
      </c>
      <c r="H804" s="26">
        <f>'Project Cash Flows'!H371</f>
        <v>0</v>
      </c>
      <c r="I804" s="26">
        <f>'Project Cash Flows'!I371</f>
        <v>0</v>
      </c>
      <c r="J804" s="26">
        <f>'Project Cash Flows'!J371</f>
        <v>0</v>
      </c>
      <c r="K804" s="26">
        <f>'Project Cash Flows'!K371</f>
        <v>0</v>
      </c>
      <c r="L804" s="26">
        <f>'Project Cash Flows'!L371</f>
        <v>-1.5</v>
      </c>
      <c r="M804" s="26">
        <f>'Project Cash Flows'!M371</f>
        <v>1.8200429500342192</v>
      </c>
      <c r="N804" s="26">
        <f>'Project Cash Flows'!N371</f>
        <v>8.6247929500342195</v>
      </c>
      <c r="O804" s="26">
        <f>'Project Cash Flows'!O371</f>
        <v>13.161292950034222</v>
      </c>
      <c r="P804" s="26">
        <f>'Project Cash Flows'!P371</f>
        <v>15.398371149897327</v>
      </c>
      <c r="Q804" s="26">
        <f>'Project Cash Flows'!Q371</f>
        <v>15.42954295003422</v>
      </c>
      <c r="R804" s="26">
        <f>'Project Cash Flows'!R371</f>
        <v>15.429542950034229</v>
      </c>
      <c r="S804" s="26">
        <f>'Project Cash Flows'!S371</f>
        <v>15.42954295003422</v>
      </c>
      <c r="T804" s="26">
        <f>'Project Cash Flows'!T371</f>
        <v>15.398371149897327</v>
      </c>
    </row>
    <row r="805" spans="2:20" x14ac:dyDescent="0.25">
      <c r="B805" s="23" t="s">
        <v>3404</v>
      </c>
      <c r="C805" s="28" t="s">
        <v>493</v>
      </c>
      <c r="H805" s="159">
        <f>-Financing!H51</f>
        <v>0</v>
      </c>
      <c r="I805" s="159">
        <f>-Financing!I51</f>
        <v>0</v>
      </c>
      <c r="J805" s="159">
        <f>-Financing!J51</f>
        <v>0</v>
      </c>
      <c r="K805" s="159">
        <f>-Financing!K51</f>
        <v>0</v>
      </c>
      <c r="L805" s="159">
        <f>-Financing!L51</f>
        <v>-3.4156499999999999</v>
      </c>
      <c r="M805" s="159">
        <f>-Financing!M51</f>
        <v>-8.5391250000000003</v>
      </c>
      <c r="N805" s="159">
        <f>-Financing!N51</f>
        <v>-8.5391250000000003</v>
      </c>
      <c r="O805" s="159">
        <f>-Financing!O51</f>
        <v>-7.8559950000000001</v>
      </c>
      <c r="P805" s="159">
        <f>-Financing!P51</f>
        <v>-6.1481700000000004</v>
      </c>
      <c r="Q805" s="159">
        <f>-Financing!Q51</f>
        <v>-4.4403449999999998</v>
      </c>
      <c r="R805" s="159">
        <f>-Financing!R51</f>
        <v>-2.7325200000000001</v>
      </c>
      <c r="S805" s="159">
        <f>-Financing!S51</f>
        <v>-1.0246949999999999</v>
      </c>
      <c r="T805" s="159">
        <f>-Financing!T51</f>
        <v>0</v>
      </c>
    </row>
    <row r="806" spans="2:20" x14ac:dyDescent="0.25">
      <c r="B806" s="23" t="s">
        <v>3405</v>
      </c>
      <c r="C806" s="28" t="s">
        <v>493</v>
      </c>
      <c r="H806" s="29">
        <f>'Project Cash Flows'!H377</f>
        <v>0</v>
      </c>
      <c r="I806" s="29">
        <f>'Project Cash Flows'!I377</f>
        <v>0</v>
      </c>
      <c r="J806" s="29">
        <f>'Project Cash Flows'!J377</f>
        <v>0</v>
      </c>
      <c r="K806" s="29">
        <f>'Project Cash Flows'!K377</f>
        <v>0</v>
      </c>
      <c r="L806" s="29">
        <f>'Project Cash Flows'!L377</f>
        <v>0</v>
      </c>
      <c r="M806" s="29">
        <f>'Project Cash Flows'!M377</f>
        <v>0</v>
      </c>
      <c r="N806" s="29">
        <f>'Project Cash Flows'!N377</f>
        <v>-1.884694900752823E-2</v>
      </c>
      <c r="O806" s="29">
        <f>'Project Cash Flows'!O377</f>
        <v>-1.1671655490075288</v>
      </c>
      <c r="P806" s="29">
        <f>'Project Cash Flows'!P377</f>
        <v>-2.035044252977412</v>
      </c>
      <c r="Q806" s="29">
        <f>'Project Cash Flows'!Q377</f>
        <v>-2.4176235490075286</v>
      </c>
      <c r="R806" s="29">
        <f>'Project Cash Flows'!R377</f>
        <v>-2.79334504900753</v>
      </c>
      <c r="S806" s="29">
        <f>'Project Cash Flows'!S377</f>
        <v>-3.1690665490075287</v>
      </c>
      <c r="T806" s="29">
        <f>'Project Cash Flows'!T377</f>
        <v>-3.387641652977412</v>
      </c>
    </row>
    <row r="807" spans="2:20" x14ac:dyDescent="0.25">
      <c r="B807" s="21" t="s">
        <v>3406</v>
      </c>
      <c r="C807" s="28" t="s">
        <v>493</v>
      </c>
      <c r="H807" s="160">
        <f>'Project Cash Flows'!H371-Financing!H51+'Project Cash Flows'!H377</f>
        <v>0</v>
      </c>
      <c r="I807" s="160">
        <f>'Project Cash Flows'!I371-Financing!I51+'Project Cash Flows'!I377</f>
        <v>0</v>
      </c>
      <c r="J807" s="160">
        <f>'Project Cash Flows'!J371-Financing!J51+'Project Cash Flows'!J377</f>
        <v>0</v>
      </c>
      <c r="K807" s="160">
        <f>'Project Cash Flows'!K371-Financing!K51+'Project Cash Flows'!K377</f>
        <v>0</v>
      </c>
      <c r="L807" s="160">
        <f>'Project Cash Flows'!L371-Financing!L51+'Project Cash Flows'!L377</f>
        <v>-4.9156499999999994</v>
      </c>
      <c r="M807" s="160">
        <f>'Project Cash Flows'!M371-Financing!M51+'Project Cash Flows'!M377</f>
        <v>-6.7190820499657811</v>
      </c>
      <c r="N807" s="160">
        <f>'Project Cash Flows'!N371-Financing!N51+'Project Cash Flows'!N377</f>
        <v>6.6821001026691002E-2</v>
      </c>
      <c r="O807" s="160">
        <f>'Project Cash Flows'!O371-Financing!O51+'Project Cash Flows'!O377</f>
        <v>4.1381324010266924</v>
      </c>
      <c r="P807" s="160">
        <f>'Project Cash Flows'!P371-Financing!P51+'Project Cash Flows'!P377</f>
        <v>7.2151568969199147</v>
      </c>
      <c r="Q807" s="160">
        <f>'Project Cash Flows'!Q371-Financing!Q51+'Project Cash Flows'!Q377</f>
        <v>8.5715744010266928</v>
      </c>
      <c r="R807" s="160">
        <f>'Project Cash Flows'!R371-Financing!R51+'Project Cash Flows'!R377</f>
        <v>9.9036779010266969</v>
      </c>
      <c r="S807" s="160">
        <f>'Project Cash Flows'!S371-Financing!S51+'Project Cash Flows'!S377</f>
        <v>11.235781401026692</v>
      </c>
      <c r="T807" s="160">
        <f>'Project Cash Flows'!T371-Financing!T51+'Project Cash Flows'!T377</f>
        <v>12.010729496919915</v>
      </c>
    </row>
    <row r="808" spans="2:20" x14ac:dyDescent="0.25">
      <c r="B808" s="163" t="s">
        <v>3337</v>
      </c>
    </row>
    <row r="809" spans="2:20" x14ac:dyDescent="0.25">
      <c r="B809" s="23" t="s">
        <v>3338</v>
      </c>
      <c r="C809" s="28" t="s">
        <v>493</v>
      </c>
      <c r="G809" s="159">
        <v>0</v>
      </c>
      <c r="H809" s="29">
        <f>'Capex &amp; Depreciation'!H172</f>
        <v>0</v>
      </c>
      <c r="I809" s="29">
        <f>'Capex &amp; Depreciation'!I172</f>
        <v>0</v>
      </c>
      <c r="J809" s="29">
        <f>'Capex &amp; Depreciation'!J172</f>
        <v>0</v>
      </c>
      <c r="K809" s="29">
        <f>'Capex &amp; Depreciation'!K172</f>
        <v>65.06</v>
      </c>
      <c r="L809" s="29">
        <f>'Capex &amp; Depreciation'!L172</f>
        <v>162.65</v>
      </c>
      <c r="M809" s="29">
        <f>'Capex &amp; Depreciation'!M172</f>
        <v>151.27229295003423</v>
      </c>
      <c r="N809" s="29">
        <f>'Capex &amp; Depreciation'!N172</f>
        <v>139.89458590006845</v>
      </c>
      <c r="O809" s="29">
        <f>'Capex &amp; Depreciation'!O172</f>
        <v>128.51687885010267</v>
      </c>
      <c r="P809" s="29">
        <f>'Capex &amp; Depreciation'!P172</f>
        <v>117.108</v>
      </c>
      <c r="Q809" s="29">
        <f>'Capex &amp; Depreciation'!Q172</f>
        <v>105.73029295003423</v>
      </c>
      <c r="R809" s="29">
        <f>'Capex &amp; Depreciation'!R172</f>
        <v>94.352585900068448</v>
      </c>
      <c r="S809" s="29">
        <f>'Capex &amp; Depreciation'!S172</f>
        <v>82.97487885010267</v>
      </c>
      <c r="T809" s="29">
        <f>'Capex &amp; Depreciation'!T172</f>
        <v>71.566000000000003</v>
      </c>
    </row>
    <row r="810" spans="2:20" x14ac:dyDescent="0.25">
      <c r="B810" s="23" t="s">
        <v>3339</v>
      </c>
      <c r="C810" s="28" t="s">
        <v>493</v>
      </c>
      <c r="G810" s="159">
        <v>0</v>
      </c>
      <c r="H810" s="29">
        <f>'Working Capital'!H106</f>
        <v>0</v>
      </c>
      <c r="I810" s="29">
        <f>'Working Capital'!I106</f>
        <v>0</v>
      </c>
      <c r="J810" s="29">
        <f>'Working Capital'!J106</f>
        <v>0</v>
      </c>
      <c r="K810" s="29">
        <f>'Working Capital'!K106</f>
        <v>0</v>
      </c>
      <c r="L810" s="29">
        <f>'Working Capital'!L106</f>
        <v>0</v>
      </c>
      <c r="M810" s="29">
        <f>'Working Capital'!M106</f>
        <v>3.8447260273972605</v>
      </c>
      <c r="N810" s="29">
        <f>'Working Capital'!N106</f>
        <v>4.8932876712328763</v>
      </c>
      <c r="O810" s="29">
        <f>'Working Capital'!O106</f>
        <v>5.5923287671232877</v>
      </c>
      <c r="P810" s="29">
        <f>'Working Capital'!P106</f>
        <v>5.925614754098361</v>
      </c>
      <c r="Q810" s="29">
        <f>'Working Capital'!Q106</f>
        <v>5.9418493150684935</v>
      </c>
      <c r="R810" s="29">
        <f>'Working Capital'!R106</f>
        <v>5.9418493150684935</v>
      </c>
      <c r="S810" s="29">
        <f>'Working Capital'!S106</f>
        <v>5.9418493150684935</v>
      </c>
      <c r="T810" s="29">
        <f>'Working Capital'!T106</f>
        <v>5.925614754098361</v>
      </c>
    </row>
    <row r="811" spans="2:20" x14ac:dyDescent="0.25">
      <c r="B811" s="23" t="s">
        <v>3340</v>
      </c>
      <c r="C811" s="28" t="s">
        <v>493</v>
      </c>
      <c r="G811" s="159">
        <v>0</v>
      </c>
      <c r="H811" s="159">
        <f>-'Working Capital'!H107</f>
        <v>0</v>
      </c>
      <c r="I811" s="159">
        <f>-'Working Capital'!I107</f>
        <v>0</v>
      </c>
      <c r="J811" s="159">
        <f>-'Working Capital'!J107</f>
        <v>0</v>
      </c>
      <c r="K811" s="159">
        <f>-'Working Capital'!K107</f>
        <v>0</v>
      </c>
      <c r="L811" s="159">
        <f>-'Working Capital'!L107</f>
        <v>0</v>
      </c>
      <c r="M811" s="159">
        <f>-'Working Capital'!M107</f>
        <v>-1.2729246575342468</v>
      </c>
      <c r="N811" s="159">
        <f>-'Working Capital'!N107</f>
        <v>-1.4126712328767124</v>
      </c>
      <c r="O811" s="159">
        <f>-'Working Capital'!O107</f>
        <v>-1.5058356164383562</v>
      </c>
      <c r="P811" s="159">
        <f>-'Working Capital'!P107</f>
        <v>-1.5481762295081969</v>
      </c>
      <c r="Q811" s="159">
        <f>-'Working Capital'!Q107</f>
        <v>-1.5524178082191782</v>
      </c>
      <c r="R811" s="159">
        <f>-'Working Capital'!R107</f>
        <v>-1.5524178082191782</v>
      </c>
      <c r="S811" s="159">
        <f>-'Working Capital'!S107</f>
        <v>-1.5524178082191782</v>
      </c>
      <c r="T811" s="159">
        <f>-'Working Capital'!T107</f>
        <v>-1.5481762295081969</v>
      </c>
    </row>
    <row r="812" spans="2:20" x14ac:dyDescent="0.25">
      <c r="B812" s="21" t="s">
        <v>3341</v>
      </c>
      <c r="C812" s="28" t="s">
        <v>493</v>
      </c>
      <c r="G812" s="160">
        <v>0</v>
      </c>
      <c r="H812" s="160">
        <f>'Capex &amp; Depreciation'!H172+'Working Capital'!H108</f>
        <v>0</v>
      </c>
      <c r="I812" s="160">
        <f>'Capex &amp; Depreciation'!I172+'Working Capital'!I108</f>
        <v>0</v>
      </c>
      <c r="J812" s="160">
        <f>'Capex &amp; Depreciation'!J172+'Working Capital'!J108</f>
        <v>0</v>
      </c>
      <c r="K812" s="160">
        <f>'Capex &amp; Depreciation'!K172+'Working Capital'!K108</f>
        <v>65.06</v>
      </c>
      <c r="L812" s="160">
        <f>'Capex &amp; Depreciation'!L172+'Working Capital'!L108</f>
        <v>162.65</v>
      </c>
      <c r="M812" s="160">
        <f>'Capex &amp; Depreciation'!M172+'Working Capital'!M108</f>
        <v>153.84409431989724</v>
      </c>
      <c r="N812" s="160">
        <f>'Capex &amp; Depreciation'!N172+'Working Capital'!N108</f>
        <v>143.3752023384246</v>
      </c>
      <c r="O812" s="160">
        <f>'Capex &amp; Depreciation'!O172+'Working Capital'!O108</f>
        <v>132.6033720007876</v>
      </c>
      <c r="P812" s="160">
        <f>'Capex &amp; Depreciation'!P172+'Working Capital'!P108</f>
        <v>121.48543852459017</v>
      </c>
      <c r="Q812" s="160">
        <f>'Capex &amp; Depreciation'!Q172+'Working Capital'!Q108</f>
        <v>110.11972445688355</v>
      </c>
      <c r="R812" s="160">
        <f>'Capex &amp; Depreciation'!R172+'Working Capital'!R108</f>
        <v>98.742017406917768</v>
      </c>
      <c r="S812" s="160">
        <f>'Capex &amp; Depreciation'!S172+'Working Capital'!S108</f>
        <v>87.364310356951989</v>
      </c>
      <c r="T812" s="160">
        <f>'Capex &amp; Depreciation'!T172+'Working Capital'!T108</f>
        <v>75.943438524590164</v>
      </c>
    </row>
    <row r="813" spans="2:20" x14ac:dyDescent="0.25">
      <c r="B813" s="23" t="s">
        <v>3407</v>
      </c>
      <c r="C813" s="28" t="s">
        <v>493</v>
      </c>
      <c r="G813" s="159">
        <v>0</v>
      </c>
      <c r="H813" s="159">
        <f>-Financing!H50</f>
        <v>0</v>
      </c>
      <c r="I813" s="159">
        <f>-Financing!I50</f>
        <v>0</v>
      </c>
      <c r="J813" s="159">
        <f>-Financing!J50</f>
        <v>0</v>
      </c>
      <c r="K813" s="159">
        <f>-Financing!K50</f>
        <v>-32.53</v>
      </c>
      <c r="L813" s="159">
        <f>-Financing!L50</f>
        <v>-81.325000000000003</v>
      </c>
      <c r="M813" s="159">
        <f>-Financing!M50</f>
        <v>-81.325000000000003</v>
      </c>
      <c r="N813" s="159">
        <f>-Financing!N50</f>
        <v>-74.819000000000003</v>
      </c>
      <c r="O813" s="159">
        <f>-Financing!O50</f>
        <v>-58.554000000000002</v>
      </c>
      <c r="P813" s="159">
        <f>-Financing!P50</f>
        <v>-42.289000000000001</v>
      </c>
      <c r="Q813" s="159">
        <f>-Financing!Q50</f>
        <v>-26.024000000000001</v>
      </c>
      <c r="R813" s="159">
        <f>-Financing!R50</f>
        <v>-9.7590000000000003</v>
      </c>
      <c r="S813" s="159">
        <f>-Financing!S50</f>
        <v>0</v>
      </c>
      <c r="T813" s="159">
        <f>-Financing!T50</f>
        <v>0</v>
      </c>
    </row>
    <row r="814" spans="2:20" x14ac:dyDescent="0.25">
      <c r="B814" s="163" t="s">
        <v>3342</v>
      </c>
    </row>
    <row r="815" spans="2:20" x14ac:dyDescent="0.25">
      <c r="B815" s="23" t="s">
        <v>3221</v>
      </c>
      <c r="C815" s="28" t="s">
        <v>493</v>
      </c>
      <c r="H815" s="29">
        <f>'Cost Calculation'!H210</f>
        <v>0</v>
      </c>
      <c r="I815" s="29">
        <f>'Cost Calculation'!I210</f>
        <v>0</v>
      </c>
      <c r="J815" s="29">
        <f>'Cost Calculation'!J210</f>
        <v>0</v>
      </c>
      <c r="K815" s="29">
        <f>'Cost Calculation'!K210</f>
        <v>0</v>
      </c>
      <c r="L815" s="29">
        <f>'Cost Calculation'!L210</f>
        <v>-1.5</v>
      </c>
      <c r="M815" s="29">
        <f>'Cost Calculation'!M210</f>
        <v>13.197749999999997</v>
      </c>
      <c r="N815" s="29">
        <f>'Cost Calculation'!N210</f>
        <v>20.002499999999998</v>
      </c>
      <c r="O815" s="29">
        <f>'Cost Calculation'!O210</f>
        <v>24.538999999999998</v>
      </c>
      <c r="P815" s="29">
        <f>'Cost Calculation'!P210</f>
        <v>26.80725</v>
      </c>
      <c r="Q815" s="29">
        <f>'Cost Calculation'!Q210</f>
        <v>26.80725</v>
      </c>
      <c r="R815" s="29">
        <f>'Cost Calculation'!R210</f>
        <v>26.80725</v>
      </c>
      <c r="S815" s="29">
        <f>'Cost Calculation'!S210</f>
        <v>26.80725</v>
      </c>
      <c r="T815" s="29">
        <f>'Cost Calculation'!T210</f>
        <v>26.80725</v>
      </c>
    </row>
    <row r="816" spans="2:20" x14ac:dyDescent="0.25">
      <c r="B816" s="23" t="s">
        <v>3343</v>
      </c>
      <c r="C816" s="28" t="s">
        <v>493</v>
      </c>
      <c r="H816" s="29">
        <f>'Project Cash Flows'!H372</f>
        <v>0</v>
      </c>
      <c r="I816" s="29">
        <f>'Project Cash Flows'!I372</f>
        <v>0</v>
      </c>
      <c r="J816" s="29">
        <f>'Project Cash Flows'!J372</f>
        <v>0</v>
      </c>
      <c r="K816" s="29">
        <f>'Project Cash Flows'!K372</f>
        <v>0</v>
      </c>
      <c r="L816" s="29">
        <f>'Project Cash Flows'!L372</f>
        <v>0</v>
      </c>
      <c r="M816" s="29">
        <f>'Project Cash Flows'!M372</f>
        <v>-0.40040944900752823</v>
      </c>
      <c r="N816" s="29">
        <f>'Project Cash Flows'!N372</f>
        <v>-1.8974544490075282</v>
      </c>
      <c r="O816" s="29">
        <f>'Project Cash Flows'!O372</f>
        <v>-2.8954844490075287</v>
      </c>
      <c r="P816" s="29">
        <f>'Project Cash Flows'!P372</f>
        <v>-3.387641652977412</v>
      </c>
      <c r="Q816" s="29">
        <f>'Project Cash Flows'!Q372</f>
        <v>-3.3944994490075282</v>
      </c>
      <c r="R816" s="29">
        <f>'Project Cash Flows'!R372</f>
        <v>-3.3944994490075304</v>
      </c>
      <c r="S816" s="29">
        <f>'Project Cash Flows'!S372</f>
        <v>-3.3944994490075282</v>
      </c>
      <c r="T816" s="29">
        <f>'Project Cash Flows'!T372</f>
        <v>-3.387641652977412</v>
      </c>
    </row>
    <row r="817" spans="2:20" x14ac:dyDescent="0.25">
      <c r="B817" s="23" t="s">
        <v>3227</v>
      </c>
      <c r="C817" s="28" t="s">
        <v>493</v>
      </c>
      <c r="H817" s="159">
        <f>-('Capex &amp; Depreciation'!H75+'Project Cash Flows'!H369)</f>
        <v>0</v>
      </c>
      <c r="I817" s="159">
        <f>-('Capex &amp; Depreciation'!I75+'Project Cash Flows'!I369)</f>
        <v>0</v>
      </c>
      <c r="J817" s="159">
        <f>-('Capex &amp; Depreciation'!J75+'Project Cash Flows'!J369)</f>
        <v>0</v>
      </c>
      <c r="K817" s="159">
        <f>-('Capex &amp; Depreciation'!K75+'Project Cash Flows'!K369)</f>
        <v>-65.06</v>
      </c>
      <c r="L817" s="159">
        <f>-('Capex &amp; Depreciation'!L75+'Project Cash Flows'!L369)</f>
        <v>-97.59</v>
      </c>
      <c r="M817" s="159">
        <f>-('Capex &amp; Depreciation'!M75+'Project Cash Flows'!M369)</f>
        <v>0</v>
      </c>
      <c r="N817" s="159">
        <f>-('Capex &amp; Depreciation'!N75+'Project Cash Flows'!N369)</f>
        <v>0</v>
      </c>
      <c r="O817" s="159">
        <f>-('Capex &amp; Depreciation'!O75+'Project Cash Flows'!O369)</f>
        <v>0</v>
      </c>
      <c r="P817" s="159">
        <f>-('Capex &amp; Depreciation'!P75+'Project Cash Flows'!P369)</f>
        <v>0</v>
      </c>
      <c r="Q817" s="159">
        <f>-('Capex &amp; Depreciation'!Q75+'Project Cash Flows'!Q369)</f>
        <v>0</v>
      </c>
      <c r="R817" s="159">
        <f>-('Capex &amp; Depreciation'!R75+'Project Cash Flows'!R369)</f>
        <v>0</v>
      </c>
      <c r="S817" s="159">
        <f>-('Capex &amp; Depreciation'!S75+'Project Cash Flows'!S369)</f>
        <v>0</v>
      </c>
      <c r="T817" s="159">
        <f>-('Capex &amp; Depreciation'!T75+'Project Cash Flows'!T369)</f>
        <v>0</v>
      </c>
    </row>
    <row r="818" spans="2:20" x14ac:dyDescent="0.25">
      <c r="B818" s="23" t="s">
        <v>3228</v>
      </c>
      <c r="C818" s="28" t="s">
        <v>493</v>
      </c>
      <c r="H818" s="159">
        <f>-('Working Capital'!H108-'Working Capital'!G108)</f>
        <v>0</v>
      </c>
      <c r="I818" s="159">
        <f>-('Working Capital'!I108-'Working Capital'!H108)</f>
        <v>0</v>
      </c>
      <c r="J818" s="159">
        <f>-('Working Capital'!J108-'Working Capital'!I108)</f>
        <v>0</v>
      </c>
      <c r="K818" s="159">
        <f>-('Working Capital'!K108-'Working Capital'!J108)</f>
        <v>0</v>
      </c>
      <c r="L818" s="159">
        <f>-('Working Capital'!L108-'Working Capital'!K108)</f>
        <v>0</v>
      </c>
      <c r="M818" s="159">
        <f>-('Working Capital'!M108-'Working Capital'!L108)</f>
        <v>-2.5718013698630138</v>
      </c>
      <c r="N818" s="159">
        <f>-('Working Capital'!N108-'Working Capital'!M108)</f>
        <v>-0.90881506849315041</v>
      </c>
      <c r="O818" s="159">
        <f>-('Working Capital'!O108-'Working Capital'!N108)</f>
        <v>-0.60587671232876783</v>
      </c>
      <c r="P818" s="159">
        <f>-('Working Capital'!P108-'Working Capital'!O108)</f>
        <v>-0.2909453739052319</v>
      </c>
      <c r="Q818" s="159">
        <f>-('Working Capital'!Q108-'Working Capital'!P108)</f>
        <v>-1.1992982259151574E-2</v>
      </c>
      <c r="R818" s="159">
        <f>-('Working Capital'!R108-'Working Capital'!Q108)</f>
        <v>0</v>
      </c>
      <c r="S818" s="159">
        <f>-('Working Capital'!S108-'Working Capital'!R108)</f>
        <v>0</v>
      </c>
      <c r="T818" s="159">
        <f>-('Working Capital'!T108-'Working Capital'!S108)</f>
        <v>1.1992982259151574E-2</v>
      </c>
    </row>
    <row r="819" spans="2:20" x14ac:dyDescent="0.25">
      <c r="B819" s="21" t="s">
        <v>3344</v>
      </c>
      <c r="C819" s="28" t="s">
        <v>493</v>
      </c>
      <c r="H819" s="26">
        <f>'Project Cash Flows'!H373</f>
        <v>0</v>
      </c>
      <c r="I819" s="26">
        <f>'Project Cash Flows'!I373</f>
        <v>0</v>
      </c>
      <c r="J819" s="26">
        <f>'Project Cash Flows'!J373</f>
        <v>0</v>
      </c>
      <c r="K819" s="26">
        <f>'Project Cash Flows'!K373</f>
        <v>-65.06</v>
      </c>
      <c r="L819" s="26">
        <f>'Project Cash Flows'!L373</f>
        <v>-99.09</v>
      </c>
      <c r="M819" s="26">
        <f>'Project Cash Flows'!M373</f>
        <v>10.225539181129456</v>
      </c>
      <c r="N819" s="26">
        <f>'Project Cash Flows'!N373</f>
        <v>17.196230482499317</v>
      </c>
      <c r="O819" s="26">
        <f>'Project Cash Flows'!O373</f>
        <v>21.0376388386637</v>
      </c>
      <c r="P819" s="26">
        <f>'Project Cash Flows'!P373</f>
        <v>23.128662973117358</v>
      </c>
      <c r="Q819" s="26">
        <f>'Project Cash Flows'!Q373</f>
        <v>23.400757568733319</v>
      </c>
      <c r="R819" s="26">
        <f>'Project Cash Flows'!R373</f>
        <v>23.41275055099247</v>
      </c>
      <c r="S819" s="26">
        <f>'Project Cash Flows'!S373</f>
        <v>23.41275055099247</v>
      </c>
      <c r="T819" s="26">
        <f>'Project Cash Flows'!T373</f>
        <v>23.43160132928174</v>
      </c>
    </row>
    <row r="820" spans="2:20" x14ac:dyDescent="0.25">
      <c r="B820" s="23" t="s">
        <v>3408</v>
      </c>
      <c r="C820" s="28" t="s">
        <v>493</v>
      </c>
      <c r="G820" s="159">
        <v>0</v>
      </c>
      <c r="H820" s="29">
        <f>'Project Cash Flows'!H376</f>
        <v>0</v>
      </c>
      <c r="I820" s="29">
        <f>'Project Cash Flows'!I376</f>
        <v>0</v>
      </c>
      <c r="J820" s="29">
        <f>'Project Cash Flows'!J376</f>
        <v>0</v>
      </c>
      <c r="K820" s="29">
        <f>'Project Cash Flows'!K376</f>
        <v>-65.06</v>
      </c>
      <c r="L820" s="29">
        <f>'Project Cash Flows'!L376</f>
        <v>-164.15</v>
      </c>
      <c r="M820" s="29">
        <f>'Project Cash Flows'!M376</f>
        <v>-153.92446081887056</v>
      </c>
      <c r="N820" s="29">
        <f>'Project Cash Flows'!N376</f>
        <v>-136.72823033637124</v>
      </c>
      <c r="O820" s="29">
        <f>'Project Cash Flows'!O376</f>
        <v>-115.69059149770754</v>
      </c>
      <c r="P820" s="29">
        <f>'Project Cash Flows'!P376</f>
        <v>-92.561928524590186</v>
      </c>
      <c r="Q820" s="29">
        <f>'Project Cash Flows'!Q376</f>
        <v>-69.161170955856875</v>
      </c>
      <c r="R820" s="29">
        <f>'Project Cash Flows'!R376</f>
        <v>-45.748420404864405</v>
      </c>
      <c r="S820" s="29">
        <f>'Project Cash Flows'!S376</f>
        <v>-22.335669853871934</v>
      </c>
      <c r="T820" s="29">
        <f>'Project Cash Flows'!T376</f>
        <v>1.095931475409806</v>
      </c>
    </row>
    <row r="821" spans="2:20" x14ac:dyDescent="0.25">
      <c r="B821" s="21" t="s">
        <v>3409</v>
      </c>
      <c r="C821" s="28" t="s">
        <v>493</v>
      </c>
      <c r="G821" s="160">
        <v>0</v>
      </c>
      <c r="H821" s="26">
        <f>'Project Cash Flows'!H378</f>
        <v>0</v>
      </c>
      <c r="I821" s="26">
        <f>'Project Cash Flows'!I378</f>
        <v>0</v>
      </c>
      <c r="J821" s="26">
        <f>'Project Cash Flows'!J378</f>
        <v>0</v>
      </c>
      <c r="K821" s="26">
        <f>'Project Cash Flows'!K378</f>
        <v>-32.53</v>
      </c>
      <c r="L821" s="26">
        <f>'Project Cash Flows'!L378</f>
        <v>-53.710650000000001</v>
      </c>
      <c r="M821" s="26">
        <f>'Project Cash Flows'!M378</f>
        <v>2.0868236301369834</v>
      </c>
      <c r="N821" s="26">
        <f>'Project Cash Flows'!N378</f>
        <v>4.0297129824993174</v>
      </c>
      <c r="O821" s="26">
        <f>'Project Cash Flows'!O378</f>
        <v>-1.3550372613362995</v>
      </c>
      <c r="P821" s="26">
        <f>'Project Cash Flows'!P378</f>
        <v>2.0680903731173572</v>
      </c>
      <c r="Q821" s="26">
        <f>'Project Cash Flows'!Q378</f>
        <v>3.672288468733317</v>
      </c>
      <c r="R821" s="26">
        <f>'Project Cash Flows'!R378</f>
        <v>5.0163849509924674</v>
      </c>
      <c r="S821" s="26">
        <f>'Project Cash Flows'!S378</f>
        <v>12.85448845099247</v>
      </c>
      <c r="T821" s="26">
        <f>'Project Cash Flows'!T378</f>
        <v>247.38468428075453</v>
      </c>
    </row>
    <row r="822" spans="2:20" x14ac:dyDescent="0.25">
      <c r="B822" s="163" t="s">
        <v>3346</v>
      </c>
    </row>
    <row r="823" spans="2:20" x14ac:dyDescent="0.25">
      <c r="B823" s="23" t="s">
        <v>3410</v>
      </c>
      <c r="C823" s="28" t="s">
        <v>806</v>
      </c>
      <c r="G823" s="165">
        <v>0</v>
      </c>
      <c r="H823" s="34">
        <f>'Capex &amp; Depreciation'!H27</f>
        <v>0</v>
      </c>
      <c r="I823" s="34">
        <f>'Capex &amp; Depreciation'!I27</f>
        <v>0</v>
      </c>
      <c r="J823" s="34">
        <f>'Capex &amp; Depreciation'!J27</f>
        <v>0</v>
      </c>
      <c r="K823" s="34">
        <f>'Capex &amp; Depreciation'!K27</f>
        <v>4</v>
      </c>
      <c r="L823" s="34">
        <f>'Capex &amp; Depreciation'!L27</f>
        <v>6</v>
      </c>
      <c r="M823" s="34">
        <f>'Capex &amp; Depreciation'!M27</f>
        <v>0</v>
      </c>
      <c r="N823" s="34">
        <f>'Capex &amp; Depreciation'!N27</f>
        <v>0</v>
      </c>
      <c r="O823" s="34">
        <f>'Capex &amp; Depreciation'!O27</f>
        <v>0</v>
      </c>
      <c r="P823" s="34">
        <f>'Capex &amp; Depreciation'!P27</f>
        <v>0</v>
      </c>
      <c r="Q823" s="34">
        <f>'Capex &amp; Depreciation'!Q27</f>
        <v>0</v>
      </c>
      <c r="R823" s="34">
        <f>'Capex &amp; Depreciation'!R27</f>
        <v>0</v>
      </c>
      <c r="S823" s="34">
        <f>'Capex &amp; Depreciation'!S27</f>
        <v>0</v>
      </c>
      <c r="T823" s="34">
        <f>'Capex &amp; Depreciation'!T27</f>
        <v>0</v>
      </c>
    </row>
    <row r="824" spans="2:20" x14ac:dyDescent="0.25">
      <c r="B824" s="23" t="s">
        <v>3364</v>
      </c>
      <c r="C824" s="28" t="s">
        <v>493</v>
      </c>
      <c r="G824" s="159">
        <v>0</v>
      </c>
      <c r="H824" s="29">
        <f>'Capex &amp; Depreciation'!H75</f>
        <v>0</v>
      </c>
      <c r="I824" s="29">
        <f>'Capex &amp; Depreciation'!I75</f>
        <v>0</v>
      </c>
      <c r="J824" s="29">
        <f>'Capex &amp; Depreciation'!J75</f>
        <v>0</v>
      </c>
      <c r="K824" s="29">
        <f>'Capex &amp; Depreciation'!K75</f>
        <v>65.06</v>
      </c>
      <c r="L824" s="29">
        <f>'Capex &amp; Depreciation'!L75</f>
        <v>97.59</v>
      </c>
      <c r="M824" s="29">
        <f>'Capex &amp; Depreciation'!M75</f>
        <v>0</v>
      </c>
      <c r="N824" s="29">
        <f>'Capex &amp; Depreciation'!N75</f>
        <v>0</v>
      </c>
      <c r="O824" s="29">
        <f>'Capex &amp; Depreciation'!O75</f>
        <v>0</v>
      </c>
      <c r="P824" s="29">
        <f>'Capex &amp; Depreciation'!P75</f>
        <v>0</v>
      </c>
      <c r="Q824" s="29">
        <f>'Capex &amp; Depreciation'!Q75</f>
        <v>0</v>
      </c>
      <c r="R824" s="29">
        <f>'Capex &amp; Depreciation'!R75</f>
        <v>0</v>
      </c>
      <c r="S824" s="29">
        <f>'Capex &amp; Depreciation'!S75</f>
        <v>0</v>
      </c>
      <c r="T824" s="29">
        <f>'Capex &amp; Depreciation'!T75</f>
        <v>0</v>
      </c>
    </row>
    <row r="825" spans="2:20" x14ac:dyDescent="0.25">
      <c r="B825" s="23" t="s">
        <v>3411</v>
      </c>
      <c r="C825" s="28" t="s">
        <v>493</v>
      </c>
      <c r="H825" s="29">
        <f>Financing!H48</f>
        <v>0</v>
      </c>
      <c r="I825" s="29">
        <f>Financing!I48</f>
        <v>0</v>
      </c>
      <c r="J825" s="29">
        <f>Financing!J48</f>
        <v>0</v>
      </c>
      <c r="K825" s="29">
        <f>Financing!K48</f>
        <v>32.53</v>
      </c>
      <c r="L825" s="29">
        <f>Financing!L48</f>
        <v>48.795000000000002</v>
      </c>
      <c r="M825" s="29">
        <f>Financing!M48</f>
        <v>0</v>
      </c>
      <c r="N825" s="29">
        <f>Financing!N48</f>
        <v>0</v>
      </c>
      <c r="O825" s="29">
        <f>Financing!O48</f>
        <v>0</v>
      </c>
      <c r="P825" s="29">
        <f>Financing!P48</f>
        <v>0</v>
      </c>
      <c r="Q825" s="29">
        <f>Financing!Q48</f>
        <v>0</v>
      </c>
      <c r="R825" s="29">
        <f>Financing!R48</f>
        <v>0</v>
      </c>
      <c r="S825" s="29">
        <f>Financing!S48</f>
        <v>0</v>
      </c>
      <c r="T825" s="29">
        <f>Financing!T48</f>
        <v>0</v>
      </c>
    </row>
    <row r="826" spans="2:20" x14ac:dyDescent="0.25">
      <c r="B826" s="23" t="s">
        <v>3412</v>
      </c>
      <c r="C826" s="28" t="s">
        <v>493</v>
      </c>
      <c r="H826" s="159">
        <f>'Capex &amp; Depreciation'!H75-Financing!H48</f>
        <v>0</v>
      </c>
      <c r="I826" s="159">
        <f>'Capex &amp; Depreciation'!I75-Financing!I48</f>
        <v>0</v>
      </c>
      <c r="J826" s="159">
        <f>'Capex &amp; Depreciation'!J75-Financing!J48</f>
        <v>0</v>
      </c>
      <c r="K826" s="159">
        <f>'Capex &amp; Depreciation'!K75-Financing!K48</f>
        <v>32.53</v>
      </c>
      <c r="L826" s="159">
        <f>'Capex &amp; Depreciation'!L75-Financing!L48</f>
        <v>48.795000000000002</v>
      </c>
      <c r="M826" s="159">
        <f>'Capex &amp; Depreciation'!M75-Financing!M48</f>
        <v>0</v>
      </c>
      <c r="N826" s="159">
        <f>'Capex &amp; Depreciation'!N75-Financing!N48</f>
        <v>0</v>
      </c>
      <c r="O826" s="159">
        <f>'Capex &amp; Depreciation'!O75-Financing!O48</f>
        <v>0</v>
      </c>
      <c r="P826" s="159">
        <f>'Capex &amp; Depreciation'!P75-Financing!P48</f>
        <v>0</v>
      </c>
      <c r="Q826" s="159">
        <f>'Capex &amp; Depreciation'!Q75-Financing!Q48</f>
        <v>0</v>
      </c>
      <c r="R826" s="159">
        <f>'Capex &amp; Depreciation'!R75-Financing!R48</f>
        <v>0</v>
      </c>
      <c r="S826" s="159">
        <f>'Capex &amp; Depreciation'!S75-Financing!S48</f>
        <v>0</v>
      </c>
      <c r="T826" s="159">
        <f>'Capex &amp; Depreciation'!T75-Financing!T48</f>
        <v>0</v>
      </c>
    </row>
    <row r="827" spans="2:20" x14ac:dyDescent="0.25">
      <c r="B827" s="23" t="s">
        <v>3413</v>
      </c>
      <c r="C827" s="28" t="s">
        <v>493</v>
      </c>
      <c r="H827" s="29">
        <f>'Funding Requirement'!H135</f>
        <v>0</v>
      </c>
      <c r="I827" s="29">
        <f>'Funding Requirement'!I135</f>
        <v>0</v>
      </c>
      <c r="J827" s="29">
        <f>'Funding Requirement'!J135</f>
        <v>0</v>
      </c>
      <c r="K827" s="29">
        <f>'Funding Requirement'!K135</f>
        <v>0</v>
      </c>
      <c r="L827" s="29">
        <f>'Funding Requirement'!L135</f>
        <v>0</v>
      </c>
      <c r="M827" s="29">
        <f>'Funding Requirement'!M135</f>
        <v>0</v>
      </c>
      <c r="N827" s="29">
        <f>'Funding Requirement'!N135</f>
        <v>0</v>
      </c>
      <c r="O827" s="29">
        <f>'Funding Requirement'!O135</f>
        <v>0</v>
      </c>
      <c r="P827" s="29">
        <f>'Funding Requirement'!P135</f>
        <v>0</v>
      </c>
      <c r="Q827" s="29">
        <f>'Funding Requirement'!Q135</f>
        <v>0</v>
      </c>
      <c r="R827" s="29">
        <f>'Funding Requirement'!R135</f>
        <v>0</v>
      </c>
      <c r="S827" s="29">
        <f>'Funding Requirement'!S135</f>
        <v>0</v>
      </c>
      <c r="T827" s="29">
        <f>'Funding Requirement'!T135</f>
        <v>0</v>
      </c>
    </row>
    <row r="828" spans="2:20" x14ac:dyDescent="0.25">
      <c r="B828" s="163" t="s">
        <v>3348</v>
      </c>
    </row>
    <row r="829" spans="2:20" x14ac:dyDescent="0.25">
      <c r="B829" s="44" t="s">
        <v>3349</v>
      </c>
      <c r="D829" s="204">
        <f>'Project Cash Flows'!$E$379</f>
        <v>14.116098408150656</v>
      </c>
      <c r="H829" s="44" t="s">
        <v>3176</v>
      </c>
      <c r="K829" s="205">
        <f>'Project Cash Flows'!$E$380</f>
        <v>2.9802322387695314E-9</v>
      </c>
      <c r="N829" s="44" t="s">
        <v>3414</v>
      </c>
      <c r="Q829" s="205">
        <f>'Project Cash Flows'!$E$381</f>
        <v>0.13550329804420469</v>
      </c>
    </row>
    <row r="830" spans="2:20" x14ac:dyDescent="0.25">
      <c r="B830" s="44" t="s">
        <v>3415</v>
      </c>
      <c r="D830" s="205">
        <f>'Project Cash Flows'!$E$382</f>
        <v>2.9802322387695314E-9</v>
      </c>
      <c r="H830" s="44" t="s">
        <v>3351</v>
      </c>
      <c r="K830" s="206">
        <f>'Project Cash Flows'!$E$383</f>
        <v>9.9532284857526889</v>
      </c>
      <c r="N830" s="44" t="s">
        <v>3179</v>
      </c>
      <c r="Q830" s="204">
        <f>'Project Cash Flows'!$E$384</f>
        <v>164.15</v>
      </c>
    </row>
    <row r="832" spans="2:20" x14ac:dyDescent="0.25">
      <c r="B832" s="58" t="str">
        <f>"F01  "&amp;IF(LEN(Inputs!$E$711&amp;"")=0,"funding-only project (blank)",Inputs!$E$711)&amp;"   [capex and funding only - never valued]"</f>
        <v>F01  funding-only project (blank)   [capex and funding only - never valued]</v>
      </c>
      <c r="C832" s="19"/>
      <c r="D832" s="19"/>
      <c r="E832" s="19"/>
      <c r="F832" s="19"/>
      <c r="G832" s="19"/>
      <c r="H832" s="19"/>
      <c r="I832" s="19"/>
      <c r="J832" s="19"/>
      <c r="K832" s="19"/>
      <c r="L832" s="19"/>
      <c r="M832" s="19"/>
      <c r="N832" s="19"/>
      <c r="O832" s="19"/>
      <c r="P832" s="19"/>
      <c r="Q832" s="19"/>
      <c r="R832" s="19"/>
      <c r="S832" s="19"/>
      <c r="T832" s="19"/>
    </row>
    <row r="833" spans="2:20" x14ac:dyDescent="0.25">
      <c r="B833" s="70" t="s">
        <v>3416</v>
      </c>
      <c r="D833" s="130" t="s">
        <v>3417</v>
      </c>
    </row>
    <row r="834" spans="2:20" x14ac:dyDescent="0.25">
      <c r="B834" s="23" t="s">
        <v>3418</v>
      </c>
      <c r="C834" s="28" t="s">
        <v>806</v>
      </c>
      <c r="H834" s="34">
        <f>'Capex &amp; Depreciation'!H341</f>
        <v>0</v>
      </c>
      <c r="I834" s="34">
        <f>'Capex &amp; Depreciation'!I341</f>
        <v>0</v>
      </c>
      <c r="J834" s="34">
        <f>'Capex &amp; Depreciation'!J341</f>
        <v>0</v>
      </c>
      <c r="K834" s="34">
        <f>'Capex &amp; Depreciation'!K341</f>
        <v>0</v>
      </c>
      <c r="L834" s="34">
        <f>'Capex &amp; Depreciation'!L341</f>
        <v>0</v>
      </c>
      <c r="M834" s="34">
        <f>'Capex &amp; Depreciation'!M341</f>
        <v>0</v>
      </c>
      <c r="N834" s="34">
        <f>'Capex &amp; Depreciation'!N341</f>
        <v>0</v>
      </c>
      <c r="O834" s="34">
        <f>'Capex &amp; Depreciation'!O341</f>
        <v>0</v>
      </c>
      <c r="P834" s="34">
        <f>'Capex &amp; Depreciation'!P341</f>
        <v>0</v>
      </c>
      <c r="Q834" s="34">
        <f>'Capex &amp; Depreciation'!Q341</f>
        <v>0</v>
      </c>
      <c r="R834" s="34">
        <f>'Capex &amp; Depreciation'!R341</f>
        <v>0</v>
      </c>
      <c r="S834" s="34">
        <f>'Capex &amp; Depreciation'!S341</f>
        <v>0</v>
      </c>
      <c r="T834" s="34">
        <f>'Capex &amp; Depreciation'!T341</f>
        <v>0</v>
      </c>
    </row>
    <row r="835" spans="2:20" x14ac:dyDescent="0.25">
      <c r="B835" s="21" t="s">
        <v>3419</v>
      </c>
      <c r="C835" s="28" t="s">
        <v>493</v>
      </c>
      <c r="H835" s="26">
        <f>'Capex &amp; Depreciation'!H348</f>
        <v>0</v>
      </c>
      <c r="I835" s="26">
        <f>'Capex &amp; Depreciation'!I348</f>
        <v>0</v>
      </c>
      <c r="J835" s="26">
        <f>'Capex &amp; Depreciation'!J348</f>
        <v>0</v>
      </c>
      <c r="K835" s="26">
        <f>'Capex &amp; Depreciation'!K348</f>
        <v>0</v>
      </c>
      <c r="L835" s="26">
        <f>'Capex &amp; Depreciation'!L348</f>
        <v>0</v>
      </c>
      <c r="M835" s="26">
        <f>'Capex &amp; Depreciation'!M348</f>
        <v>0</v>
      </c>
      <c r="N835" s="26">
        <f>'Capex &amp; Depreciation'!N348</f>
        <v>0</v>
      </c>
      <c r="O835" s="26">
        <f>'Capex &amp; Depreciation'!O348</f>
        <v>0</v>
      </c>
      <c r="P835" s="26">
        <f>'Capex &amp; Depreciation'!P348</f>
        <v>0</v>
      </c>
      <c r="Q835" s="26">
        <f>'Capex &amp; Depreciation'!Q348</f>
        <v>0</v>
      </c>
      <c r="R835" s="26">
        <f>'Capex &amp; Depreciation'!R348</f>
        <v>0</v>
      </c>
      <c r="S835" s="26">
        <f>'Capex &amp; Depreciation'!S348</f>
        <v>0</v>
      </c>
      <c r="T835" s="26">
        <f>'Capex &amp; Depreciation'!T348</f>
        <v>0</v>
      </c>
    </row>
    <row r="836" spans="2:20" x14ac:dyDescent="0.25">
      <c r="B836" s="23" t="s">
        <v>3420</v>
      </c>
      <c r="C836" s="28" t="s">
        <v>493</v>
      </c>
      <c r="H836" s="159">
        <f>'Capex &amp; Depreciation'!H348*Inputs!$E$735</f>
        <v>0</v>
      </c>
      <c r="I836" s="159">
        <f>'Capex &amp; Depreciation'!I348*Inputs!$E$735</f>
        <v>0</v>
      </c>
      <c r="J836" s="159">
        <f>'Capex &amp; Depreciation'!J348*Inputs!$E$735</f>
        <v>0</v>
      </c>
      <c r="K836" s="159">
        <f>'Capex &amp; Depreciation'!K348*Inputs!$E$735</f>
        <v>0</v>
      </c>
      <c r="L836" s="159">
        <f>'Capex &amp; Depreciation'!L348*Inputs!$E$735</f>
        <v>0</v>
      </c>
      <c r="M836" s="159">
        <f>'Capex &amp; Depreciation'!M348*Inputs!$E$735</f>
        <v>0</v>
      </c>
      <c r="N836" s="159">
        <f>'Capex &amp; Depreciation'!N348*Inputs!$E$735</f>
        <v>0</v>
      </c>
      <c r="O836" s="159">
        <f>'Capex &amp; Depreciation'!O348*Inputs!$E$735</f>
        <v>0</v>
      </c>
      <c r="P836" s="159">
        <f>'Capex &amp; Depreciation'!P348*Inputs!$E$735</f>
        <v>0</v>
      </c>
      <c r="Q836" s="159">
        <f>'Capex &amp; Depreciation'!Q348*Inputs!$E$735</f>
        <v>0</v>
      </c>
      <c r="R836" s="159">
        <f>'Capex &amp; Depreciation'!R348*Inputs!$E$735</f>
        <v>0</v>
      </c>
      <c r="S836" s="159">
        <f>'Capex &amp; Depreciation'!S348*Inputs!$E$735</f>
        <v>0</v>
      </c>
      <c r="T836" s="159">
        <f>'Capex &amp; Depreciation'!T348*Inputs!$E$735</f>
        <v>0</v>
      </c>
    </row>
    <row r="837" spans="2:20" x14ac:dyDescent="0.25">
      <c r="B837" s="23" t="s">
        <v>3421</v>
      </c>
      <c r="C837" s="28" t="s">
        <v>493</v>
      </c>
      <c r="H837" s="159">
        <f>'Capex &amp; Depreciation'!H348*(1-Inputs!$E$735)</f>
        <v>0</v>
      </c>
      <c r="I837" s="159">
        <f>'Capex &amp; Depreciation'!I348*(1-Inputs!$E$735)</f>
        <v>0</v>
      </c>
      <c r="J837" s="159">
        <f>'Capex &amp; Depreciation'!J348*(1-Inputs!$E$735)</f>
        <v>0</v>
      </c>
      <c r="K837" s="159">
        <f>'Capex &amp; Depreciation'!K348*(1-Inputs!$E$735)</f>
        <v>0</v>
      </c>
      <c r="L837" s="159">
        <f>'Capex &amp; Depreciation'!L348*(1-Inputs!$E$735)</f>
        <v>0</v>
      </c>
      <c r="M837" s="159">
        <f>'Capex &amp; Depreciation'!M348*(1-Inputs!$E$735)</f>
        <v>0</v>
      </c>
      <c r="N837" s="159">
        <f>'Capex &amp; Depreciation'!N348*(1-Inputs!$E$735)</f>
        <v>0</v>
      </c>
      <c r="O837" s="159">
        <f>'Capex &amp; Depreciation'!O348*(1-Inputs!$E$735)</f>
        <v>0</v>
      </c>
      <c r="P837" s="159">
        <f>'Capex &amp; Depreciation'!P348*(1-Inputs!$E$735)</f>
        <v>0</v>
      </c>
      <c r="Q837" s="159">
        <f>'Capex &amp; Depreciation'!Q348*(1-Inputs!$E$735)</f>
        <v>0</v>
      </c>
      <c r="R837" s="159">
        <f>'Capex &amp; Depreciation'!R348*(1-Inputs!$E$735)</f>
        <v>0</v>
      </c>
      <c r="S837" s="159">
        <f>'Capex &amp; Depreciation'!S348*(1-Inputs!$E$735)</f>
        <v>0</v>
      </c>
      <c r="T837" s="159">
        <f>'Capex &amp; Depreciation'!T348*(1-Inputs!$E$735)</f>
        <v>0</v>
      </c>
    </row>
    <row r="839" spans="2:20" x14ac:dyDescent="0.25">
      <c r="B839" s="58" t="str">
        <f>"F02  "&amp;IF(LEN(Inputs!$E$716&amp;"")=0,"funding-only project (blank)",Inputs!$E$716)&amp;"   [capex and funding only - never valued]"</f>
        <v>F02  funding-only project (blank)   [capex and funding only - never valued]</v>
      </c>
      <c r="C839" s="19"/>
      <c r="D839" s="19"/>
      <c r="E839" s="19"/>
      <c r="F839" s="19"/>
      <c r="G839" s="19"/>
      <c r="H839" s="19"/>
      <c r="I839" s="19"/>
      <c r="J839" s="19"/>
      <c r="K839" s="19"/>
      <c r="L839" s="19"/>
      <c r="M839" s="19"/>
      <c r="N839" s="19"/>
      <c r="O839" s="19"/>
      <c r="P839" s="19"/>
      <c r="Q839" s="19"/>
      <c r="R839" s="19"/>
      <c r="S839" s="19"/>
      <c r="T839" s="19"/>
    </row>
    <row r="840" spans="2:20" x14ac:dyDescent="0.25">
      <c r="B840" s="70" t="s">
        <v>3416</v>
      </c>
      <c r="D840" s="130" t="s">
        <v>3417</v>
      </c>
    </row>
    <row r="841" spans="2:20" x14ac:dyDescent="0.25">
      <c r="B841" s="23" t="s">
        <v>3418</v>
      </c>
      <c r="C841" s="28" t="s">
        <v>806</v>
      </c>
      <c r="H841" s="34">
        <f>'Capex &amp; Depreciation'!H342</f>
        <v>0</v>
      </c>
      <c r="I841" s="34">
        <f>'Capex &amp; Depreciation'!I342</f>
        <v>0</v>
      </c>
      <c r="J841" s="34">
        <f>'Capex &amp; Depreciation'!J342</f>
        <v>0</v>
      </c>
      <c r="K841" s="34">
        <f>'Capex &amp; Depreciation'!K342</f>
        <v>0</v>
      </c>
      <c r="L841" s="34">
        <f>'Capex &amp; Depreciation'!L342</f>
        <v>0</v>
      </c>
      <c r="M841" s="34">
        <f>'Capex &amp; Depreciation'!M342</f>
        <v>0</v>
      </c>
      <c r="N841" s="34">
        <f>'Capex &amp; Depreciation'!N342</f>
        <v>0</v>
      </c>
      <c r="O841" s="34">
        <f>'Capex &amp; Depreciation'!O342</f>
        <v>0</v>
      </c>
      <c r="P841" s="34">
        <f>'Capex &amp; Depreciation'!P342</f>
        <v>0</v>
      </c>
      <c r="Q841" s="34">
        <f>'Capex &amp; Depreciation'!Q342</f>
        <v>0</v>
      </c>
      <c r="R841" s="34">
        <f>'Capex &amp; Depreciation'!R342</f>
        <v>0</v>
      </c>
      <c r="S841" s="34">
        <f>'Capex &amp; Depreciation'!S342</f>
        <v>0</v>
      </c>
      <c r="T841" s="34">
        <f>'Capex &amp; Depreciation'!T342</f>
        <v>0</v>
      </c>
    </row>
    <row r="842" spans="2:20" x14ac:dyDescent="0.25">
      <c r="B842" s="21" t="s">
        <v>3419</v>
      </c>
      <c r="C842" s="28" t="s">
        <v>493</v>
      </c>
      <c r="H842" s="26">
        <f>'Capex &amp; Depreciation'!H349</f>
        <v>0</v>
      </c>
      <c r="I842" s="26">
        <f>'Capex &amp; Depreciation'!I349</f>
        <v>0</v>
      </c>
      <c r="J842" s="26">
        <f>'Capex &amp; Depreciation'!J349</f>
        <v>0</v>
      </c>
      <c r="K842" s="26">
        <f>'Capex &amp; Depreciation'!K349</f>
        <v>0</v>
      </c>
      <c r="L842" s="26">
        <f>'Capex &amp; Depreciation'!L349</f>
        <v>0</v>
      </c>
      <c r="M842" s="26">
        <f>'Capex &amp; Depreciation'!M349</f>
        <v>0</v>
      </c>
      <c r="N842" s="26">
        <f>'Capex &amp; Depreciation'!N349</f>
        <v>0</v>
      </c>
      <c r="O842" s="26">
        <f>'Capex &amp; Depreciation'!O349</f>
        <v>0</v>
      </c>
      <c r="P842" s="26">
        <f>'Capex &amp; Depreciation'!P349</f>
        <v>0</v>
      </c>
      <c r="Q842" s="26">
        <f>'Capex &amp; Depreciation'!Q349</f>
        <v>0</v>
      </c>
      <c r="R842" s="26">
        <f>'Capex &amp; Depreciation'!R349</f>
        <v>0</v>
      </c>
      <c r="S842" s="26">
        <f>'Capex &amp; Depreciation'!S349</f>
        <v>0</v>
      </c>
      <c r="T842" s="26">
        <f>'Capex &amp; Depreciation'!T349</f>
        <v>0</v>
      </c>
    </row>
    <row r="843" spans="2:20" x14ac:dyDescent="0.25">
      <c r="B843" s="23" t="s">
        <v>3420</v>
      </c>
      <c r="C843" s="28" t="s">
        <v>493</v>
      </c>
      <c r="H843" s="159">
        <f>'Capex &amp; Depreciation'!H349*Inputs!$E$735</f>
        <v>0</v>
      </c>
      <c r="I843" s="159">
        <f>'Capex &amp; Depreciation'!I349*Inputs!$E$735</f>
        <v>0</v>
      </c>
      <c r="J843" s="159">
        <f>'Capex &amp; Depreciation'!J349*Inputs!$E$735</f>
        <v>0</v>
      </c>
      <c r="K843" s="159">
        <f>'Capex &amp; Depreciation'!K349*Inputs!$E$735</f>
        <v>0</v>
      </c>
      <c r="L843" s="159">
        <f>'Capex &amp; Depreciation'!L349*Inputs!$E$735</f>
        <v>0</v>
      </c>
      <c r="M843" s="159">
        <f>'Capex &amp; Depreciation'!M349*Inputs!$E$735</f>
        <v>0</v>
      </c>
      <c r="N843" s="159">
        <f>'Capex &amp; Depreciation'!N349*Inputs!$E$735</f>
        <v>0</v>
      </c>
      <c r="O843" s="159">
        <f>'Capex &amp; Depreciation'!O349*Inputs!$E$735</f>
        <v>0</v>
      </c>
      <c r="P843" s="159">
        <f>'Capex &amp; Depreciation'!P349*Inputs!$E$735</f>
        <v>0</v>
      </c>
      <c r="Q843" s="159">
        <f>'Capex &amp; Depreciation'!Q349*Inputs!$E$735</f>
        <v>0</v>
      </c>
      <c r="R843" s="159">
        <f>'Capex &amp; Depreciation'!R349*Inputs!$E$735</f>
        <v>0</v>
      </c>
      <c r="S843" s="159">
        <f>'Capex &amp; Depreciation'!S349*Inputs!$E$735</f>
        <v>0</v>
      </c>
      <c r="T843" s="159">
        <f>'Capex &amp; Depreciation'!T349*Inputs!$E$735</f>
        <v>0</v>
      </c>
    </row>
    <row r="844" spans="2:20" x14ac:dyDescent="0.25">
      <c r="B844" s="23" t="s">
        <v>3421</v>
      </c>
      <c r="C844" s="28" t="s">
        <v>493</v>
      </c>
      <c r="H844" s="159">
        <f>'Capex &amp; Depreciation'!H349*(1-Inputs!$E$735)</f>
        <v>0</v>
      </c>
      <c r="I844" s="159">
        <f>'Capex &amp; Depreciation'!I349*(1-Inputs!$E$735)</f>
        <v>0</v>
      </c>
      <c r="J844" s="159">
        <f>'Capex &amp; Depreciation'!J349*(1-Inputs!$E$735)</f>
        <v>0</v>
      </c>
      <c r="K844" s="159">
        <f>'Capex &amp; Depreciation'!K349*(1-Inputs!$E$735)</f>
        <v>0</v>
      </c>
      <c r="L844" s="159">
        <f>'Capex &amp; Depreciation'!L349*(1-Inputs!$E$735)</f>
        <v>0</v>
      </c>
      <c r="M844" s="159">
        <f>'Capex &amp; Depreciation'!M349*(1-Inputs!$E$735)</f>
        <v>0</v>
      </c>
      <c r="N844" s="159">
        <f>'Capex &amp; Depreciation'!N349*(1-Inputs!$E$735)</f>
        <v>0</v>
      </c>
      <c r="O844" s="159">
        <f>'Capex &amp; Depreciation'!O349*(1-Inputs!$E$735)</f>
        <v>0</v>
      </c>
      <c r="P844" s="159">
        <f>'Capex &amp; Depreciation'!P349*(1-Inputs!$E$735)</f>
        <v>0</v>
      </c>
      <c r="Q844" s="159">
        <f>'Capex &amp; Depreciation'!Q349*(1-Inputs!$E$735)</f>
        <v>0</v>
      </c>
      <c r="R844" s="159">
        <f>'Capex &amp; Depreciation'!R349*(1-Inputs!$E$735)</f>
        <v>0</v>
      </c>
      <c r="S844" s="159">
        <f>'Capex &amp; Depreciation'!S349*(1-Inputs!$E$735)</f>
        <v>0</v>
      </c>
      <c r="T844" s="159">
        <f>'Capex &amp; Depreciation'!T349*(1-Inputs!$E$735)</f>
        <v>0</v>
      </c>
    </row>
    <row r="846" spans="2:20" x14ac:dyDescent="0.25">
      <c r="B846" s="58" t="str">
        <f>"F03  "&amp;IF(LEN(Inputs!$E$721&amp;"")=0,"funding-only project (blank)",Inputs!$E$721)&amp;"   [capex and funding only - never valued]"</f>
        <v>F03  funding-only project (blank)   [capex and funding only - never valued]</v>
      </c>
      <c r="C846" s="19"/>
      <c r="D846" s="19"/>
      <c r="E846" s="19"/>
      <c r="F846" s="19"/>
      <c r="G846" s="19"/>
      <c r="H846" s="19"/>
      <c r="I846" s="19"/>
      <c r="J846" s="19"/>
      <c r="K846" s="19"/>
      <c r="L846" s="19"/>
      <c r="M846" s="19"/>
      <c r="N846" s="19"/>
      <c r="O846" s="19"/>
      <c r="P846" s="19"/>
      <c r="Q846" s="19"/>
      <c r="R846" s="19"/>
      <c r="S846" s="19"/>
      <c r="T846" s="19"/>
    </row>
    <row r="847" spans="2:20" x14ac:dyDescent="0.25">
      <c r="B847" s="70" t="s">
        <v>3416</v>
      </c>
      <c r="D847" s="130" t="s">
        <v>3417</v>
      </c>
    </row>
    <row r="848" spans="2:20" x14ac:dyDescent="0.25">
      <c r="B848" s="23" t="s">
        <v>3418</v>
      </c>
      <c r="C848" s="28" t="s">
        <v>806</v>
      </c>
      <c r="H848" s="34">
        <f>'Capex &amp; Depreciation'!H343</f>
        <v>0</v>
      </c>
      <c r="I848" s="34">
        <f>'Capex &amp; Depreciation'!I343</f>
        <v>0</v>
      </c>
      <c r="J848" s="34">
        <f>'Capex &amp; Depreciation'!J343</f>
        <v>0</v>
      </c>
      <c r="K848" s="34">
        <f>'Capex &amp; Depreciation'!K343</f>
        <v>0</v>
      </c>
      <c r="L848" s="34">
        <f>'Capex &amp; Depreciation'!L343</f>
        <v>0</v>
      </c>
      <c r="M848" s="34">
        <f>'Capex &amp; Depreciation'!M343</f>
        <v>0</v>
      </c>
      <c r="N848" s="34">
        <f>'Capex &amp; Depreciation'!N343</f>
        <v>0</v>
      </c>
      <c r="O848" s="34">
        <f>'Capex &amp; Depreciation'!O343</f>
        <v>0</v>
      </c>
      <c r="P848" s="34">
        <f>'Capex &amp; Depreciation'!P343</f>
        <v>0</v>
      </c>
      <c r="Q848" s="34">
        <f>'Capex &amp; Depreciation'!Q343</f>
        <v>0</v>
      </c>
      <c r="R848" s="34">
        <f>'Capex &amp; Depreciation'!R343</f>
        <v>0</v>
      </c>
      <c r="S848" s="34">
        <f>'Capex &amp; Depreciation'!S343</f>
        <v>0</v>
      </c>
      <c r="T848" s="34">
        <f>'Capex &amp; Depreciation'!T343</f>
        <v>0</v>
      </c>
    </row>
    <row r="849" spans="2:20" x14ac:dyDescent="0.25">
      <c r="B849" s="21" t="s">
        <v>3419</v>
      </c>
      <c r="C849" s="28" t="s">
        <v>493</v>
      </c>
      <c r="H849" s="26">
        <f>'Capex &amp; Depreciation'!H350</f>
        <v>0</v>
      </c>
      <c r="I849" s="26">
        <f>'Capex &amp; Depreciation'!I350</f>
        <v>0</v>
      </c>
      <c r="J849" s="26">
        <f>'Capex &amp; Depreciation'!J350</f>
        <v>0</v>
      </c>
      <c r="K849" s="26">
        <f>'Capex &amp; Depreciation'!K350</f>
        <v>0</v>
      </c>
      <c r="L849" s="26">
        <f>'Capex &amp; Depreciation'!L350</f>
        <v>0</v>
      </c>
      <c r="M849" s="26">
        <f>'Capex &amp; Depreciation'!M350</f>
        <v>0</v>
      </c>
      <c r="N849" s="26">
        <f>'Capex &amp; Depreciation'!N350</f>
        <v>0</v>
      </c>
      <c r="O849" s="26">
        <f>'Capex &amp; Depreciation'!O350</f>
        <v>0</v>
      </c>
      <c r="P849" s="26">
        <f>'Capex &amp; Depreciation'!P350</f>
        <v>0</v>
      </c>
      <c r="Q849" s="26">
        <f>'Capex &amp; Depreciation'!Q350</f>
        <v>0</v>
      </c>
      <c r="R849" s="26">
        <f>'Capex &amp; Depreciation'!R350</f>
        <v>0</v>
      </c>
      <c r="S849" s="26">
        <f>'Capex &amp; Depreciation'!S350</f>
        <v>0</v>
      </c>
      <c r="T849" s="26">
        <f>'Capex &amp; Depreciation'!T350</f>
        <v>0</v>
      </c>
    </row>
    <row r="850" spans="2:20" x14ac:dyDescent="0.25">
      <c r="B850" s="23" t="s">
        <v>3420</v>
      </c>
      <c r="C850" s="28" t="s">
        <v>493</v>
      </c>
      <c r="H850" s="159">
        <f>'Capex &amp; Depreciation'!H350*Inputs!$E$735</f>
        <v>0</v>
      </c>
      <c r="I850" s="159">
        <f>'Capex &amp; Depreciation'!I350*Inputs!$E$735</f>
        <v>0</v>
      </c>
      <c r="J850" s="159">
        <f>'Capex &amp; Depreciation'!J350*Inputs!$E$735</f>
        <v>0</v>
      </c>
      <c r="K850" s="159">
        <f>'Capex &amp; Depreciation'!K350*Inputs!$E$735</f>
        <v>0</v>
      </c>
      <c r="L850" s="159">
        <f>'Capex &amp; Depreciation'!L350*Inputs!$E$735</f>
        <v>0</v>
      </c>
      <c r="M850" s="159">
        <f>'Capex &amp; Depreciation'!M350*Inputs!$E$735</f>
        <v>0</v>
      </c>
      <c r="N850" s="159">
        <f>'Capex &amp; Depreciation'!N350*Inputs!$E$735</f>
        <v>0</v>
      </c>
      <c r="O850" s="159">
        <f>'Capex &amp; Depreciation'!O350*Inputs!$E$735</f>
        <v>0</v>
      </c>
      <c r="P850" s="159">
        <f>'Capex &amp; Depreciation'!P350*Inputs!$E$735</f>
        <v>0</v>
      </c>
      <c r="Q850" s="159">
        <f>'Capex &amp; Depreciation'!Q350*Inputs!$E$735</f>
        <v>0</v>
      </c>
      <c r="R850" s="159">
        <f>'Capex &amp; Depreciation'!R350*Inputs!$E$735</f>
        <v>0</v>
      </c>
      <c r="S850" s="159">
        <f>'Capex &amp; Depreciation'!S350*Inputs!$E$735</f>
        <v>0</v>
      </c>
      <c r="T850" s="159">
        <f>'Capex &amp; Depreciation'!T350*Inputs!$E$735</f>
        <v>0</v>
      </c>
    </row>
    <row r="851" spans="2:20" x14ac:dyDescent="0.25">
      <c r="B851" s="23" t="s">
        <v>3421</v>
      </c>
      <c r="C851" s="28" t="s">
        <v>493</v>
      </c>
      <c r="H851" s="159">
        <f>'Capex &amp; Depreciation'!H350*(1-Inputs!$E$735)</f>
        <v>0</v>
      </c>
      <c r="I851" s="159">
        <f>'Capex &amp; Depreciation'!I350*(1-Inputs!$E$735)</f>
        <v>0</v>
      </c>
      <c r="J851" s="159">
        <f>'Capex &amp; Depreciation'!J350*(1-Inputs!$E$735)</f>
        <v>0</v>
      </c>
      <c r="K851" s="159">
        <f>'Capex &amp; Depreciation'!K350*(1-Inputs!$E$735)</f>
        <v>0</v>
      </c>
      <c r="L851" s="159">
        <f>'Capex &amp; Depreciation'!L350*(1-Inputs!$E$735)</f>
        <v>0</v>
      </c>
      <c r="M851" s="159">
        <f>'Capex &amp; Depreciation'!M350*(1-Inputs!$E$735)</f>
        <v>0</v>
      </c>
      <c r="N851" s="159">
        <f>'Capex &amp; Depreciation'!N350*(1-Inputs!$E$735)</f>
        <v>0</v>
      </c>
      <c r="O851" s="159">
        <f>'Capex &amp; Depreciation'!O350*(1-Inputs!$E$735)</f>
        <v>0</v>
      </c>
      <c r="P851" s="159">
        <f>'Capex &amp; Depreciation'!P350*(1-Inputs!$E$735)</f>
        <v>0</v>
      </c>
      <c r="Q851" s="159">
        <f>'Capex &amp; Depreciation'!Q350*(1-Inputs!$E$735)</f>
        <v>0</v>
      </c>
      <c r="R851" s="159">
        <f>'Capex &amp; Depreciation'!R350*(1-Inputs!$E$735)</f>
        <v>0</v>
      </c>
      <c r="S851" s="159">
        <f>'Capex &amp; Depreciation'!S350*(1-Inputs!$E$735)</f>
        <v>0</v>
      </c>
      <c r="T851" s="159">
        <f>'Capex &amp; Depreciation'!T350*(1-Inputs!$E$735)</f>
        <v>0</v>
      </c>
    </row>
    <row r="853" spans="2:20" x14ac:dyDescent="0.25">
      <c r="B853" s="58" t="str">
        <f>"F04  "&amp;IF(LEN(Inputs!$E$726&amp;"")=0,"funding-only project (blank)",Inputs!$E$726)&amp;"   [capex and funding only - never valued]"</f>
        <v>F04  funding-only project (blank)   [capex and funding only - never valued]</v>
      </c>
      <c r="C853" s="19"/>
      <c r="D853" s="19"/>
      <c r="E853" s="19"/>
      <c r="F853" s="19"/>
      <c r="G853" s="19"/>
      <c r="H853" s="19"/>
      <c r="I853" s="19"/>
      <c r="J853" s="19"/>
      <c r="K853" s="19"/>
      <c r="L853" s="19"/>
      <c r="M853" s="19"/>
      <c r="N853" s="19"/>
      <c r="O853" s="19"/>
      <c r="P853" s="19"/>
      <c r="Q853" s="19"/>
      <c r="R853" s="19"/>
      <c r="S853" s="19"/>
      <c r="T853" s="19"/>
    </row>
    <row r="854" spans="2:20" x14ac:dyDescent="0.25">
      <c r="B854" s="70" t="s">
        <v>3416</v>
      </c>
      <c r="D854" s="130" t="s">
        <v>3417</v>
      </c>
    </row>
    <row r="855" spans="2:20" x14ac:dyDescent="0.25">
      <c r="B855" s="23" t="s">
        <v>3418</v>
      </c>
      <c r="C855" s="28" t="s">
        <v>806</v>
      </c>
      <c r="H855" s="34">
        <f>'Capex &amp; Depreciation'!H344</f>
        <v>0</v>
      </c>
      <c r="I855" s="34">
        <f>'Capex &amp; Depreciation'!I344</f>
        <v>0</v>
      </c>
      <c r="J855" s="34">
        <f>'Capex &amp; Depreciation'!J344</f>
        <v>0</v>
      </c>
      <c r="K855" s="34">
        <f>'Capex &amp; Depreciation'!K344</f>
        <v>0</v>
      </c>
      <c r="L855" s="34">
        <f>'Capex &amp; Depreciation'!L344</f>
        <v>0</v>
      </c>
      <c r="M855" s="34">
        <f>'Capex &amp; Depreciation'!M344</f>
        <v>0</v>
      </c>
      <c r="N855" s="34">
        <f>'Capex &amp; Depreciation'!N344</f>
        <v>0</v>
      </c>
      <c r="O855" s="34">
        <f>'Capex &amp; Depreciation'!O344</f>
        <v>0</v>
      </c>
      <c r="P855" s="34">
        <f>'Capex &amp; Depreciation'!P344</f>
        <v>0</v>
      </c>
      <c r="Q855" s="34">
        <f>'Capex &amp; Depreciation'!Q344</f>
        <v>0</v>
      </c>
      <c r="R855" s="34">
        <f>'Capex &amp; Depreciation'!R344</f>
        <v>0</v>
      </c>
      <c r="S855" s="34">
        <f>'Capex &amp; Depreciation'!S344</f>
        <v>0</v>
      </c>
      <c r="T855" s="34">
        <f>'Capex &amp; Depreciation'!T344</f>
        <v>0</v>
      </c>
    </row>
    <row r="856" spans="2:20" x14ac:dyDescent="0.25">
      <c r="B856" s="21" t="s">
        <v>3419</v>
      </c>
      <c r="C856" s="28" t="s">
        <v>493</v>
      </c>
      <c r="H856" s="26">
        <f>'Capex &amp; Depreciation'!H351</f>
        <v>0</v>
      </c>
      <c r="I856" s="26">
        <f>'Capex &amp; Depreciation'!I351</f>
        <v>0</v>
      </c>
      <c r="J856" s="26">
        <f>'Capex &amp; Depreciation'!J351</f>
        <v>0</v>
      </c>
      <c r="K856" s="26">
        <f>'Capex &amp; Depreciation'!K351</f>
        <v>0</v>
      </c>
      <c r="L856" s="26">
        <f>'Capex &amp; Depreciation'!L351</f>
        <v>0</v>
      </c>
      <c r="M856" s="26">
        <f>'Capex &amp; Depreciation'!M351</f>
        <v>0</v>
      </c>
      <c r="N856" s="26">
        <f>'Capex &amp; Depreciation'!N351</f>
        <v>0</v>
      </c>
      <c r="O856" s="26">
        <f>'Capex &amp; Depreciation'!O351</f>
        <v>0</v>
      </c>
      <c r="P856" s="26">
        <f>'Capex &amp; Depreciation'!P351</f>
        <v>0</v>
      </c>
      <c r="Q856" s="26">
        <f>'Capex &amp; Depreciation'!Q351</f>
        <v>0</v>
      </c>
      <c r="R856" s="26">
        <f>'Capex &amp; Depreciation'!R351</f>
        <v>0</v>
      </c>
      <c r="S856" s="26">
        <f>'Capex &amp; Depreciation'!S351</f>
        <v>0</v>
      </c>
      <c r="T856" s="26">
        <f>'Capex &amp; Depreciation'!T351</f>
        <v>0</v>
      </c>
    </row>
    <row r="857" spans="2:20" x14ac:dyDescent="0.25">
      <c r="B857" s="23" t="s">
        <v>3420</v>
      </c>
      <c r="C857" s="28" t="s">
        <v>493</v>
      </c>
      <c r="H857" s="159">
        <f>'Capex &amp; Depreciation'!H351*Inputs!$E$735</f>
        <v>0</v>
      </c>
      <c r="I857" s="159">
        <f>'Capex &amp; Depreciation'!I351*Inputs!$E$735</f>
        <v>0</v>
      </c>
      <c r="J857" s="159">
        <f>'Capex &amp; Depreciation'!J351*Inputs!$E$735</f>
        <v>0</v>
      </c>
      <c r="K857" s="159">
        <f>'Capex &amp; Depreciation'!K351*Inputs!$E$735</f>
        <v>0</v>
      </c>
      <c r="L857" s="159">
        <f>'Capex &amp; Depreciation'!L351*Inputs!$E$735</f>
        <v>0</v>
      </c>
      <c r="M857" s="159">
        <f>'Capex &amp; Depreciation'!M351*Inputs!$E$735</f>
        <v>0</v>
      </c>
      <c r="N857" s="159">
        <f>'Capex &amp; Depreciation'!N351*Inputs!$E$735</f>
        <v>0</v>
      </c>
      <c r="O857" s="159">
        <f>'Capex &amp; Depreciation'!O351*Inputs!$E$735</f>
        <v>0</v>
      </c>
      <c r="P857" s="159">
        <f>'Capex &amp; Depreciation'!P351*Inputs!$E$735</f>
        <v>0</v>
      </c>
      <c r="Q857" s="159">
        <f>'Capex &amp; Depreciation'!Q351*Inputs!$E$735</f>
        <v>0</v>
      </c>
      <c r="R857" s="159">
        <f>'Capex &amp; Depreciation'!R351*Inputs!$E$735</f>
        <v>0</v>
      </c>
      <c r="S857" s="159">
        <f>'Capex &amp; Depreciation'!S351*Inputs!$E$735</f>
        <v>0</v>
      </c>
      <c r="T857" s="159">
        <f>'Capex &amp; Depreciation'!T351*Inputs!$E$735</f>
        <v>0</v>
      </c>
    </row>
    <row r="858" spans="2:20" x14ac:dyDescent="0.25">
      <c r="B858" s="23" t="s">
        <v>3421</v>
      </c>
      <c r="C858" s="28" t="s">
        <v>493</v>
      </c>
      <c r="H858" s="159">
        <f>'Capex &amp; Depreciation'!H351*(1-Inputs!$E$735)</f>
        <v>0</v>
      </c>
      <c r="I858" s="159">
        <f>'Capex &amp; Depreciation'!I351*(1-Inputs!$E$735)</f>
        <v>0</v>
      </c>
      <c r="J858" s="159">
        <f>'Capex &amp; Depreciation'!J351*(1-Inputs!$E$735)</f>
        <v>0</v>
      </c>
      <c r="K858" s="159">
        <f>'Capex &amp; Depreciation'!K351*(1-Inputs!$E$735)</f>
        <v>0</v>
      </c>
      <c r="L858" s="159">
        <f>'Capex &amp; Depreciation'!L351*(1-Inputs!$E$735)</f>
        <v>0</v>
      </c>
      <c r="M858" s="159">
        <f>'Capex &amp; Depreciation'!M351*(1-Inputs!$E$735)</f>
        <v>0</v>
      </c>
      <c r="N858" s="159">
        <f>'Capex &amp; Depreciation'!N351*(1-Inputs!$E$735)</f>
        <v>0</v>
      </c>
      <c r="O858" s="159">
        <f>'Capex &amp; Depreciation'!O351*(1-Inputs!$E$735)</f>
        <v>0</v>
      </c>
      <c r="P858" s="159">
        <f>'Capex &amp; Depreciation'!P351*(1-Inputs!$E$735)</f>
        <v>0</v>
      </c>
      <c r="Q858" s="159">
        <f>'Capex &amp; Depreciation'!Q351*(1-Inputs!$E$735)</f>
        <v>0</v>
      </c>
      <c r="R858" s="159">
        <f>'Capex &amp; Depreciation'!R351*(1-Inputs!$E$735)</f>
        <v>0</v>
      </c>
      <c r="S858" s="159">
        <f>'Capex &amp; Depreciation'!S351*(1-Inputs!$E$735)</f>
        <v>0</v>
      </c>
      <c r="T858" s="159">
        <f>'Capex &amp; Depreciation'!T351*(1-Inputs!$E$735)</f>
        <v>0</v>
      </c>
    </row>
    <row r="860" spans="2:20" x14ac:dyDescent="0.25">
      <c r="B860" s="58" t="str">
        <f>"F05  "&amp;IF(LEN(Inputs!$E$731&amp;"")=0,"funding-only project (blank)",Inputs!$E$731)&amp;"   [capex and funding only - never valued]"</f>
        <v>F05  funding-only project (blank)   [capex and funding only - never valued]</v>
      </c>
      <c r="C860" s="19"/>
      <c r="D860" s="19"/>
      <c r="E860" s="19"/>
      <c r="F860" s="19"/>
      <c r="G860" s="19"/>
      <c r="H860" s="19"/>
      <c r="I860" s="19"/>
      <c r="J860" s="19"/>
      <c r="K860" s="19"/>
      <c r="L860" s="19"/>
      <c r="M860" s="19"/>
      <c r="N860" s="19"/>
      <c r="O860" s="19"/>
      <c r="P860" s="19"/>
      <c r="Q860" s="19"/>
      <c r="R860" s="19"/>
      <c r="S860" s="19"/>
      <c r="T860" s="19"/>
    </row>
    <row r="861" spans="2:20" x14ac:dyDescent="0.25">
      <c r="B861" s="70" t="s">
        <v>3416</v>
      </c>
      <c r="D861" s="130" t="s">
        <v>3417</v>
      </c>
    </row>
    <row r="862" spans="2:20" x14ac:dyDescent="0.25">
      <c r="B862" s="23" t="s">
        <v>3418</v>
      </c>
      <c r="C862" s="28" t="s">
        <v>806</v>
      </c>
      <c r="H862" s="34">
        <f>'Capex &amp; Depreciation'!H345</f>
        <v>0</v>
      </c>
      <c r="I862" s="34">
        <f>'Capex &amp; Depreciation'!I345</f>
        <v>0</v>
      </c>
      <c r="J862" s="34">
        <f>'Capex &amp; Depreciation'!J345</f>
        <v>0</v>
      </c>
      <c r="K862" s="34">
        <f>'Capex &amp; Depreciation'!K345</f>
        <v>0</v>
      </c>
      <c r="L862" s="34">
        <f>'Capex &amp; Depreciation'!L345</f>
        <v>0</v>
      </c>
      <c r="M862" s="34">
        <f>'Capex &amp; Depreciation'!M345</f>
        <v>0</v>
      </c>
      <c r="N862" s="34">
        <f>'Capex &amp; Depreciation'!N345</f>
        <v>0</v>
      </c>
      <c r="O862" s="34">
        <f>'Capex &amp; Depreciation'!O345</f>
        <v>0</v>
      </c>
      <c r="P862" s="34">
        <f>'Capex &amp; Depreciation'!P345</f>
        <v>0</v>
      </c>
      <c r="Q862" s="34">
        <f>'Capex &amp; Depreciation'!Q345</f>
        <v>0</v>
      </c>
      <c r="R862" s="34">
        <f>'Capex &amp; Depreciation'!R345</f>
        <v>0</v>
      </c>
      <c r="S862" s="34">
        <f>'Capex &amp; Depreciation'!S345</f>
        <v>0</v>
      </c>
      <c r="T862" s="34">
        <f>'Capex &amp; Depreciation'!T345</f>
        <v>0</v>
      </c>
    </row>
    <row r="863" spans="2:20" x14ac:dyDescent="0.25">
      <c r="B863" s="21" t="s">
        <v>3419</v>
      </c>
      <c r="C863" s="28" t="s">
        <v>493</v>
      </c>
      <c r="H863" s="26">
        <f>'Capex &amp; Depreciation'!H352</f>
        <v>0</v>
      </c>
      <c r="I863" s="26">
        <f>'Capex &amp; Depreciation'!I352</f>
        <v>0</v>
      </c>
      <c r="J863" s="26">
        <f>'Capex &amp; Depreciation'!J352</f>
        <v>0</v>
      </c>
      <c r="K863" s="26">
        <f>'Capex &amp; Depreciation'!K352</f>
        <v>0</v>
      </c>
      <c r="L863" s="26">
        <f>'Capex &amp; Depreciation'!L352</f>
        <v>0</v>
      </c>
      <c r="M863" s="26">
        <f>'Capex &amp; Depreciation'!M352</f>
        <v>0</v>
      </c>
      <c r="N863" s="26">
        <f>'Capex &amp; Depreciation'!N352</f>
        <v>0</v>
      </c>
      <c r="O863" s="26">
        <f>'Capex &amp; Depreciation'!O352</f>
        <v>0</v>
      </c>
      <c r="P863" s="26">
        <f>'Capex &amp; Depreciation'!P352</f>
        <v>0</v>
      </c>
      <c r="Q863" s="26">
        <f>'Capex &amp; Depreciation'!Q352</f>
        <v>0</v>
      </c>
      <c r="R863" s="26">
        <f>'Capex &amp; Depreciation'!R352</f>
        <v>0</v>
      </c>
      <c r="S863" s="26">
        <f>'Capex &amp; Depreciation'!S352</f>
        <v>0</v>
      </c>
      <c r="T863" s="26">
        <f>'Capex &amp; Depreciation'!T352</f>
        <v>0</v>
      </c>
    </row>
    <row r="864" spans="2:20" x14ac:dyDescent="0.25">
      <c r="B864" s="23" t="s">
        <v>3420</v>
      </c>
      <c r="C864" s="28" t="s">
        <v>493</v>
      </c>
      <c r="H864" s="159">
        <f>'Capex &amp; Depreciation'!H352*Inputs!$E$735</f>
        <v>0</v>
      </c>
      <c r="I864" s="159">
        <f>'Capex &amp; Depreciation'!I352*Inputs!$E$735</f>
        <v>0</v>
      </c>
      <c r="J864" s="159">
        <f>'Capex &amp; Depreciation'!J352*Inputs!$E$735</f>
        <v>0</v>
      </c>
      <c r="K864" s="159">
        <f>'Capex &amp; Depreciation'!K352*Inputs!$E$735</f>
        <v>0</v>
      </c>
      <c r="L864" s="159">
        <f>'Capex &amp; Depreciation'!L352*Inputs!$E$735</f>
        <v>0</v>
      </c>
      <c r="M864" s="159">
        <f>'Capex &amp; Depreciation'!M352*Inputs!$E$735</f>
        <v>0</v>
      </c>
      <c r="N864" s="159">
        <f>'Capex &amp; Depreciation'!N352*Inputs!$E$735</f>
        <v>0</v>
      </c>
      <c r="O864" s="159">
        <f>'Capex &amp; Depreciation'!O352*Inputs!$E$735</f>
        <v>0</v>
      </c>
      <c r="P864" s="159">
        <f>'Capex &amp; Depreciation'!P352*Inputs!$E$735</f>
        <v>0</v>
      </c>
      <c r="Q864" s="159">
        <f>'Capex &amp; Depreciation'!Q352*Inputs!$E$735</f>
        <v>0</v>
      </c>
      <c r="R864" s="159">
        <f>'Capex &amp; Depreciation'!R352*Inputs!$E$735</f>
        <v>0</v>
      </c>
      <c r="S864" s="159">
        <f>'Capex &amp; Depreciation'!S352*Inputs!$E$735</f>
        <v>0</v>
      </c>
      <c r="T864" s="159">
        <f>'Capex &amp; Depreciation'!T352*Inputs!$E$735</f>
        <v>0</v>
      </c>
    </row>
    <row r="865" spans="2:20" x14ac:dyDescent="0.25">
      <c r="B865" s="23" t="s">
        <v>3421</v>
      </c>
      <c r="C865" s="28" t="s">
        <v>493</v>
      </c>
      <c r="H865" s="159">
        <f>'Capex &amp; Depreciation'!H352*(1-Inputs!$E$735)</f>
        <v>0</v>
      </c>
      <c r="I865" s="159">
        <f>'Capex &amp; Depreciation'!I352*(1-Inputs!$E$735)</f>
        <v>0</v>
      </c>
      <c r="J865" s="159">
        <f>'Capex &amp; Depreciation'!J352*(1-Inputs!$E$735)</f>
        <v>0</v>
      </c>
      <c r="K865" s="159">
        <f>'Capex &amp; Depreciation'!K352*(1-Inputs!$E$735)</f>
        <v>0</v>
      </c>
      <c r="L865" s="159">
        <f>'Capex &amp; Depreciation'!L352*(1-Inputs!$E$735)</f>
        <v>0</v>
      </c>
      <c r="M865" s="159">
        <f>'Capex &amp; Depreciation'!M352*(1-Inputs!$E$735)</f>
        <v>0</v>
      </c>
      <c r="N865" s="159">
        <f>'Capex &amp; Depreciation'!N352*(1-Inputs!$E$735)</f>
        <v>0</v>
      </c>
      <c r="O865" s="159">
        <f>'Capex &amp; Depreciation'!O352*(1-Inputs!$E$735)</f>
        <v>0</v>
      </c>
      <c r="P865" s="159">
        <f>'Capex &amp; Depreciation'!P352*(1-Inputs!$E$735)</f>
        <v>0</v>
      </c>
      <c r="Q865" s="159">
        <f>'Capex &amp; Depreciation'!Q352*(1-Inputs!$E$735)</f>
        <v>0</v>
      </c>
      <c r="R865" s="159">
        <f>'Capex &amp; Depreciation'!R352*(1-Inputs!$E$735)</f>
        <v>0</v>
      </c>
      <c r="S865" s="159">
        <f>'Capex &amp; Depreciation'!S352*(1-Inputs!$E$735)</f>
        <v>0</v>
      </c>
      <c r="T865" s="159">
        <f>'Capex &amp; Depreciation'!T352*(1-Inputs!$E$735)</f>
        <v>0</v>
      </c>
    </row>
    <row r="867" spans="2:20" x14ac:dyDescent="0.25">
      <c r="B867" s="58" t="s">
        <v>3422</v>
      </c>
      <c r="C867" s="19"/>
      <c r="D867" s="19"/>
      <c r="E867" s="19"/>
      <c r="F867" s="19"/>
      <c r="G867" s="19"/>
      <c r="H867" s="19"/>
      <c r="I867" s="19"/>
      <c r="J867" s="19"/>
      <c r="K867" s="19"/>
      <c r="L867" s="19"/>
      <c r="M867" s="19"/>
      <c r="N867" s="19"/>
      <c r="O867" s="19"/>
      <c r="P867" s="19"/>
      <c r="Q867" s="19"/>
      <c r="R867" s="19"/>
      <c r="S867" s="19"/>
      <c r="T867" s="19"/>
    </row>
    <row r="868" spans="2:20" x14ac:dyDescent="0.25">
      <c r="B868" s="23" t="s">
        <v>3423</v>
      </c>
      <c r="C868" s="28" t="s">
        <v>493</v>
      </c>
      <c r="H868" s="159">
        <f>'Revenue Calculation'!H41+'Revenue Calculation'!H47+'Revenue Calculation'!H53+'Revenue Calculation'!H92+'Revenue Calculation'!H99+'Revenue Calculation'!H104+'Revenue Calculation'!H111+'Revenue Calculation'!H115+'Revenue Calculation'!H122+'Revenue Calculation'!H129+'Revenue Calculation'!H133+'Revenue Calculation'!H137+'Revenue Calculation'!H140+'Revenue Calculation'!H143+'Revenue Calculation'!H146+'BUMN Synergy Calculation'!H34+'BUMN Synergy Calculation'!H59+'BUMN Synergy Calculation'!H81+'Revenue Calculation'!H157+'Revenue Calculation'!H163+'Revenue Calculation'!H167+'Revenue Calculation'!H171+'Revenue Calculation'!H186</f>
        <v>305.28863657531394</v>
      </c>
      <c r="I868" s="159">
        <f>'Revenue Calculation'!I41+'Revenue Calculation'!I47+'Revenue Calculation'!I53+'Revenue Calculation'!I92+'Revenue Calculation'!I99+'Revenue Calculation'!I104+'Revenue Calculation'!I111+'Revenue Calculation'!I115+'Revenue Calculation'!I122+'Revenue Calculation'!I129+'Revenue Calculation'!I133+'Revenue Calculation'!I137+'Revenue Calculation'!I140+'Revenue Calculation'!I143+'Revenue Calculation'!I146+'BUMN Synergy Calculation'!I34+'BUMN Synergy Calculation'!I59+'BUMN Synergy Calculation'!I81+'Revenue Calculation'!I157+'Revenue Calculation'!I163+'Revenue Calculation'!I167+'Revenue Calculation'!I171+'Revenue Calculation'!I186</f>
        <v>427.60286647031643</v>
      </c>
      <c r="J868" s="159">
        <f>'Revenue Calculation'!J41+'Revenue Calculation'!J47+'Revenue Calculation'!J53+'Revenue Calculation'!J92+'Revenue Calculation'!J99+'Revenue Calculation'!J104+'Revenue Calculation'!J111+'Revenue Calculation'!J115+'Revenue Calculation'!J122+'Revenue Calculation'!J129+'Revenue Calculation'!J133+'Revenue Calculation'!J137+'Revenue Calculation'!J140+'Revenue Calculation'!J143+'Revenue Calculation'!J146+'BUMN Synergy Calculation'!J34+'BUMN Synergy Calculation'!J59+'BUMN Synergy Calculation'!J81+'Revenue Calculation'!J157+'Revenue Calculation'!J163+'Revenue Calculation'!J167+'Revenue Calculation'!J171+'Revenue Calculation'!J186</f>
        <v>622.0648862865288</v>
      </c>
      <c r="K868" s="159">
        <f>'Revenue Calculation'!K41+'Revenue Calculation'!K47+'Revenue Calculation'!K53+'Revenue Calculation'!K92+'Revenue Calculation'!K99+'Revenue Calculation'!K104+'Revenue Calculation'!K111+'Revenue Calculation'!K115+'Revenue Calculation'!K122+'Revenue Calculation'!K129+'Revenue Calculation'!K133+'Revenue Calculation'!K137+'Revenue Calculation'!K140+'Revenue Calculation'!K143+'Revenue Calculation'!K146+'BUMN Synergy Calculation'!K34+'BUMN Synergy Calculation'!K59+'BUMN Synergy Calculation'!K81+'Revenue Calculation'!K157+'Revenue Calculation'!K163+'Revenue Calculation'!K167+'Revenue Calculation'!K171+'Revenue Calculation'!K186</f>
        <v>754.46283287559299</v>
      </c>
      <c r="L868" s="159">
        <f>'Revenue Calculation'!L41+'Revenue Calculation'!L47+'Revenue Calculation'!L53+'Revenue Calculation'!L92+'Revenue Calculation'!L99+'Revenue Calculation'!L104+'Revenue Calculation'!L111+'Revenue Calculation'!L115+'Revenue Calculation'!L122+'Revenue Calculation'!L129+'Revenue Calculation'!L133+'Revenue Calculation'!L137+'Revenue Calculation'!L140+'Revenue Calculation'!L143+'Revenue Calculation'!L146+'BUMN Synergy Calculation'!L34+'BUMN Synergy Calculation'!L59+'BUMN Synergy Calculation'!L81+'Revenue Calculation'!L157+'Revenue Calculation'!L163+'Revenue Calculation'!L167+'Revenue Calculation'!L171+'Revenue Calculation'!L186</f>
        <v>841.30957702557612</v>
      </c>
      <c r="M868" s="159">
        <f>'Revenue Calculation'!M41+'Revenue Calculation'!M47+'Revenue Calculation'!M53+'Revenue Calculation'!M92+'Revenue Calculation'!M99+'Revenue Calculation'!M104+'Revenue Calculation'!M111+'Revenue Calculation'!M115+'Revenue Calculation'!M122+'Revenue Calculation'!M129+'Revenue Calculation'!M133+'Revenue Calculation'!M137+'Revenue Calculation'!M140+'Revenue Calculation'!M143+'Revenue Calculation'!M146+'BUMN Synergy Calculation'!M34+'BUMN Synergy Calculation'!M59+'BUMN Synergy Calculation'!M81+'Revenue Calculation'!M157+'Revenue Calculation'!M163+'Revenue Calculation'!M167+'Revenue Calculation'!M171+'Revenue Calculation'!M186</f>
        <v>949.09203723101211</v>
      </c>
      <c r="N868" s="159">
        <f>'Revenue Calculation'!N41+'Revenue Calculation'!N47+'Revenue Calculation'!N53+'Revenue Calculation'!N92+'Revenue Calculation'!N99+'Revenue Calculation'!N104+'Revenue Calculation'!N111+'Revenue Calculation'!N115+'Revenue Calculation'!N122+'Revenue Calculation'!N129+'Revenue Calculation'!N133+'Revenue Calculation'!N137+'Revenue Calculation'!N140+'Revenue Calculation'!N143+'Revenue Calculation'!N146+'BUMN Synergy Calculation'!N34+'BUMN Synergy Calculation'!N59+'BUMN Synergy Calculation'!N81+'Revenue Calculation'!N157+'Revenue Calculation'!N163+'Revenue Calculation'!N167+'Revenue Calculation'!N171+'Revenue Calculation'!N186</f>
        <v>996.70687917243299</v>
      </c>
      <c r="O868" s="159">
        <f>'Revenue Calculation'!O41+'Revenue Calculation'!O47+'Revenue Calculation'!O53+'Revenue Calculation'!O92+'Revenue Calculation'!O99+'Revenue Calculation'!O104+'Revenue Calculation'!O111+'Revenue Calculation'!O115+'Revenue Calculation'!O122+'Revenue Calculation'!O129+'Revenue Calculation'!O133+'Revenue Calculation'!O137+'Revenue Calculation'!O140+'Revenue Calculation'!O143+'Revenue Calculation'!O146+'BUMN Synergy Calculation'!O34+'BUMN Synergy Calculation'!O59+'BUMN Synergy Calculation'!O81+'Revenue Calculation'!O157+'Revenue Calculation'!O163+'Revenue Calculation'!O167+'Revenue Calculation'!O171+'Revenue Calculation'!O186</f>
        <v>1066.803109570357</v>
      </c>
      <c r="P868" s="159">
        <f>'Revenue Calculation'!P41+'Revenue Calculation'!P47+'Revenue Calculation'!P53+'Revenue Calculation'!P92+'Revenue Calculation'!P99+'Revenue Calculation'!P104+'Revenue Calculation'!P111+'Revenue Calculation'!P115+'Revenue Calculation'!P122+'Revenue Calculation'!P129+'Revenue Calculation'!P133+'Revenue Calculation'!P137+'Revenue Calculation'!P140+'Revenue Calculation'!P143+'Revenue Calculation'!P146+'BUMN Synergy Calculation'!P34+'BUMN Synergy Calculation'!P59+'BUMN Synergy Calculation'!P81+'Revenue Calculation'!P157+'Revenue Calculation'!P163+'Revenue Calculation'!P167+'Revenue Calculation'!P171+'Revenue Calculation'!P186</f>
        <v>1116.5241172001436</v>
      </c>
      <c r="Q868" s="159">
        <f>'Revenue Calculation'!Q41+'Revenue Calculation'!Q47+'Revenue Calculation'!Q53+'Revenue Calculation'!Q92+'Revenue Calculation'!Q99+'Revenue Calculation'!Q104+'Revenue Calculation'!Q111+'Revenue Calculation'!Q115+'Revenue Calculation'!Q122+'Revenue Calculation'!Q129+'Revenue Calculation'!Q133+'Revenue Calculation'!Q137+'Revenue Calculation'!Q140+'Revenue Calculation'!Q143+'Revenue Calculation'!Q146+'BUMN Synergy Calculation'!Q34+'BUMN Synergy Calculation'!Q59+'BUMN Synergy Calculation'!Q81+'Revenue Calculation'!Q157+'Revenue Calculation'!Q163+'Revenue Calculation'!Q167+'Revenue Calculation'!Q171+'Revenue Calculation'!Q186</f>
        <v>1185.4169371080027</v>
      </c>
      <c r="R868" s="159">
        <f>'Revenue Calculation'!R41+'Revenue Calculation'!R47+'Revenue Calculation'!R53+'Revenue Calculation'!R92+'Revenue Calculation'!R99+'Revenue Calculation'!R104+'Revenue Calculation'!R111+'Revenue Calculation'!R115+'Revenue Calculation'!R122+'Revenue Calculation'!R129+'Revenue Calculation'!R133+'Revenue Calculation'!R137+'Revenue Calculation'!R140+'Revenue Calculation'!R143+'Revenue Calculation'!R146+'BUMN Synergy Calculation'!R34+'BUMN Synergy Calculation'!R59+'BUMN Synergy Calculation'!R81+'Revenue Calculation'!R157+'Revenue Calculation'!R163+'Revenue Calculation'!R167+'Revenue Calculation'!R171+'Revenue Calculation'!R186</f>
        <v>1210.7769669451766</v>
      </c>
      <c r="S868" s="159">
        <f>'Revenue Calculation'!S41+'Revenue Calculation'!S47+'Revenue Calculation'!S53+'Revenue Calculation'!S92+'Revenue Calculation'!S99+'Revenue Calculation'!S104+'Revenue Calculation'!S111+'Revenue Calculation'!S115+'Revenue Calculation'!S122+'Revenue Calculation'!S129+'Revenue Calculation'!S133+'Revenue Calculation'!S137+'Revenue Calculation'!S140+'Revenue Calculation'!S143+'Revenue Calculation'!S146+'BUMN Synergy Calculation'!S34+'BUMN Synergy Calculation'!S59+'BUMN Synergy Calculation'!S81+'Revenue Calculation'!S157+'Revenue Calculation'!S163+'Revenue Calculation'!S167+'Revenue Calculation'!S171+'Revenue Calculation'!S186</f>
        <v>1219.4093622958553</v>
      </c>
      <c r="T868" s="159">
        <f>'Revenue Calculation'!T41+'Revenue Calculation'!T47+'Revenue Calculation'!T53+'Revenue Calculation'!T92+'Revenue Calculation'!T99+'Revenue Calculation'!T104+'Revenue Calculation'!T111+'Revenue Calculation'!T115+'Revenue Calculation'!T122+'Revenue Calculation'!T129+'Revenue Calculation'!T133+'Revenue Calculation'!T137+'Revenue Calculation'!T140+'Revenue Calculation'!T143+'Revenue Calculation'!T146+'BUMN Synergy Calculation'!T34+'BUMN Synergy Calculation'!T59+'BUMN Synergy Calculation'!T81+'Revenue Calculation'!T157+'Revenue Calculation'!T163+'Revenue Calculation'!T167+'Revenue Calculation'!T171+'Revenue Calculation'!T186</f>
        <v>1260.4845163049374</v>
      </c>
    </row>
    <row r="869" spans="2:20" x14ac:dyDescent="0.25">
      <c r="B869" s="21" t="s">
        <v>3424</v>
      </c>
      <c r="C869" s="28" t="s">
        <v>493</v>
      </c>
      <c r="H869" s="26">
        <f>'FSL Output - With BUMN'!H59</f>
        <v>305.28863657531394</v>
      </c>
      <c r="I869" s="26">
        <f>'FSL Output - With BUMN'!I59</f>
        <v>427.60286647031643</v>
      </c>
      <c r="J869" s="26">
        <f>'FSL Output - With BUMN'!J59</f>
        <v>622.0648862865288</v>
      </c>
      <c r="K869" s="26">
        <f>'FSL Output - With BUMN'!K59</f>
        <v>754.46283287559299</v>
      </c>
      <c r="L869" s="26">
        <f>'FSL Output - With BUMN'!L59</f>
        <v>841.309577025576</v>
      </c>
      <c r="M869" s="26">
        <f>'FSL Output - With BUMN'!M59</f>
        <v>949.09203723101211</v>
      </c>
      <c r="N869" s="26">
        <f>'FSL Output - With BUMN'!N59</f>
        <v>996.70687917243333</v>
      </c>
      <c r="O869" s="26">
        <f>'FSL Output - With BUMN'!O59</f>
        <v>1066.803109570357</v>
      </c>
      <c r="P869" s="26">
        <f>'FSL Output - With BUMN'!P59</f>
        <v>1116.5241172001438</v>
      </c>
      <c r="Q869" s="26">
        <f>'FSL Output - With BUMN'!Q59</f>
        <v>1185.4169371080031</v>
      </c>
      <c r="R869" s="26">
        <f>'FSL Output - With BUMN'!R59</f>
        <v>1210.7769669451768</v>
      </c>
      <c r="S869" s="26">
        <f>'FSL Output - With BUMN'!S59</f>
        <v>1219.4093622958555</v>
      </c>
      <c r="T869" s="26">
        <f>'FSL Output - With BUMN'!T59</f>
        <v>1260.4845163049374</v>
      </c>
    </row>
    <row r="870" spans="2:20" x14ac:dyDescent="0.25">
      <c r="B870" s="23" t="s">
        <v>3425</v>
      </c>
      <c r="C870" s="28" t="s">
        <v>493</v>
      </c>
      <c r="H870" s="159">
        <f>'Cost Calculation'!H35+'Cost Calculation'!H66+'Cost Calculation'!H94+'Cost Calculation'!H131+'Cost Calculation'!H137+'Cost Calculation'!H141+'Cost Calculation'!H145+'Cost Calculation'!H149+'Cost Calculation'!H153+'Cost Calculation'!H157+'Cost Calculation'!H161+'Cost Calculation'!H165+'Cost Calculation'!H168+'Cost Calculation'!H171+'Cost Calculation'!H174+'BUMN Synergy Calculation'!H37+'BUMN Synergy Calculation'!H62+'BUMN Synergy Calculation'!H84+'Cost Calculation'!H178+'Cost Calculation'!H186+'Cost Calculation'!H192+'Cost Calculation'!H198+'Cost Calculation'!H214</f>
        <v>154.23547540286305</v>
      </c>
      <c r="I870" s="159">
        <f>'Cost Calculation'!I35+'Cost Calculation'!I66+'Cost Calculation'!I94+'Cost Calculation'!I131+'Cost Calculation'!I137+'Cost Calculation'!I141+'Cost Calculation'!I145+'Cost Calculation'!I149+'Cost Calculation'!I153+'Cost Calculation'!I157+'Cost Calculation'!I161+'Cost Calculation'!I165+'Cost Calculation'!I168+'Cost Calculation'!I171+'Cost Calculation'!I174+'BUMN Synergy Calculation'!I37+'BUMN Synergy Calculation'!I62+'BUMN Synergy Calculation'!I84+'Cost Calculation'!I178+'Cost Calculation'!I186+'Cost Calculation'!I192+'Cost Calculation'!I198+'Cost Calculation'!I214</f>
        <v>263.55853377872427</v>
      </c>
      <c r="J870" s="159">
        <f>'Cost Calculation'!J35+'Cost Calculation'!J66+'Cost Calculation'!J94+'Cost Calculation'!J131+'Cost Calculation'!J137+'Cost Calculation'!J141+'Cost Calculation'!J145+'Cost Calculation'!J149+'Cost Calculation'!J153+'Cost Calculation'!J157+'Cost Calculation'!J161+'Cost Calculation'!J165+'Cost Calculation'!J168+'Cost Calculation'!J171+'Cost Calculation'!J174+'BUMN Synergy Calculation'!J37+'BUMN Synergy Calculation'!J62+'BUMN Synergy Calculation'!J84+'Cost Calculation'!J178+'Cost Calculation'!J186+'Cost Calculation'!J192+'Cost Calculation'!J198+'Cost Calculation'!J214</f>
        <v>367.49028803120575</v>
      </c>
      <c r="K870" s="159">
        <f>'Cost Calculation'!K35+'Cost Calculation'!K66+'Cost Calculation'!K94+'Cost Calculation'!K131+'Cost Calculation'!K137+'Cost Calculation'!K141+'Cost Calculation'!K145+'Cost Calculation'!K149+'Cost Calculation'!K153+'Cost Calculation'!K157+'Cost Calculation'!K161+'Cost Calculation'!K165+'Cost Calculation'!K168+'Cost Calculation'!K171+'Cost Calculation'!K174+'BUMN Synergy Calculation'!K37+'BUMN Synergy Calculation'!K62+'BUMN Synergy Calculation'!K84+'Cost Calculation'!K178+'Cost Calculation'!K186+'Cost Calculation'!K192+'Cost Calculation'!K198+'Cost Calculation'!K214</f>
        <v>450.24813332977317</v>
      </c>
      <c r="L870" s="159">
        <f>'Cost Calculation'!L35+'Cost Calculation'!L66+'Cost Calculation'!L94+'Cost Calculation'!L131+'Cost Calculation'!L137+'Cost Calculation'!L141+'Cost Calculation'!L145+'Cost Calculation'!L149+'Cost Calculation'!L153+'Cost Calculation'!L157+'Cost Calculation'!L161+'Cost Calculation'!L165+'Cost Calculation'!L168+'Cost Calculation'!L171+'Cost Calculation'!L174+'BUMN Synergy Calculation'!L37+'BUMN Synergy Calculation'!L62+'BUMN Synergy Calculation'!L84+'Cost Calculation'!L178+'Cost Calculation'!L186+'Cost Calculation'!L192+'Cost Calculation'!L198+'Cost Calculation'!L214</f>
        <v>497.66950547804652</v>
      </c>
      <c r="M870" s="159">
        <f>'Cost Calculation'!M35+'Cost Calculation'!M66+'Cost Calculation'!M94+'Cost Calculation'!M131+'Cost Calculation'!M137+'Cost Calculation'!M141+'Cost Calculation'!M145+'Cost Calculation'!M149+'Cost Calculation'!M153+'Cost Calculation'!M157+'Cost Calculation'!M161+'Cost Calculation'!M165+'Cost Calculation'!M168+'Cost Calculation'!M171+'Cost Calculation'!M174+'BUMN Synergy Calculation'!M37+'BUMN Synergy Calculation'!M62+'BUMN Synergy Calculation'!M84+'Cost Calculation'!M178+'Cost Calculation'!M186+'Cost Calculation'!M192+'Cost Calculation'!M198+'Cost Calculation'!M214</f>
        <v>567.1880901466418</v>
      </c>
      <c r="N870" s="159">
        <f>'Cost Calculation'!N35+'Cost Calculation'!N66+'Cost Calculation'!N94+'Cost Calculation'!N131+'Cost Calculation'!N137+'Cost Calculation'!N141+'Cost Calculation'!N145+'Cost Calculation'!N149+'Cost Calculation'!N153+'Cost Calculation'!N157+'Cost Calculation'!N161+'Cost Calculation'!N165+'Cost Calculation'!N168+'Cost Calculation'!N171+'Cost Calculation'!N174+'BUMN Synergy Calculation'!N37+'BUMN Synergy Calculation'!N62+'BUMN Synergy Calculation'!N84+'Cost Calculation'!N178+'Cost Calculation'!N186+'Cost Calculation'!N192+'Cost Calculation'!N198+'Cost Calculation'!N214</f>
        <v>595.36851562758238</v>
      </c>
      <c r="O870" s="159">
        <f>'Cost Calculation'!O35+'Cost Calculation'!O66+'Cost Calculation'!O94+'Cost Calculation'!O131+'Cost Calculation'!O137+'Cost Calculation'!O141+'Cost Calculation'!O145+'Cost Calculation'!O149+'Cost Calculation'!O153+'Cost Calculation'!O157+'Cost Calculation'!O161+'Cost Calculation'!O165+'Cost Calculation'!O168+'Cost Calculation'!O171+'Cost Calculation'!O174+'BUMN Synergy Calculation'!O37+'BUMN Synergy Calculation'!O62+'BUMN Synergy Calculation'!O84+'Cost Calculation'!O178+'Cost Calculation'!O186+'Cost Calculation'!O192+'Cost Calculation'!O198+'Cost Calculation'!O214</f>
        <v>642.91169302368314</v>
      </c>
      <c r="P870" s="159">
        <f>'Cost Calculation'!P35+'Cost Calculation'!P66+'Cost Calculation'!P94+'Cost Calculation'!P131+'Cost Calculation'!P137+'Cost Calculation'!P141+'Cost Calculation'!P145+'Cost Calculation'!P149+'Cost Calculation'!P153+'Cost Calculation'!P157+'Cost Calculation'!P161+'Cost Calculation'!P165+'Cost Calculation'!P168+'Cost Calculation'!P171+'Cost Calculation'!P174+'BUMN Synergy Calculation'!P37+'BUMN Synergy Calculation'!P62+'BUMN Synergy Calculation'!P84+'Cost Calculation'!P178+'Cost Calculation'!P186+'Cost Calculation'!P192+'Cost Calculation'!P198+'Cost Calculation'!P214</f>
        <v>673.87651926544368</v>
      </c>
      <c r="Q870" s="159">
        <f>'Cost Calculation'!Q35+'Cost Calculation'!Q66+'Cost Calculation'!Q94+'Cost Calculation'!Q131+'Cost Calculation'!Q137+'Cost Calculation'!Q141+'Cost Calculation'!Q145+'Cost Calculation'!Q149+'Cost Calculation'!Q153+'Cost Calculation'!Q157+'Cost Calculation'!Q161+'Cost Calculation'!Q165+'Cost Calculation'!Q168+'Cost Calculation'!Q171+'Cost Calculation'!Q174+'BUMN Synergy Calculation'!Q37+'BUMN Synergy Calculation'!Q62+'BUMN Synergy Calculation'!Q84+'Cost Calculation'!Q178+'Cost Calculation'!Q186+'Cost Calculation'!Q192+'Cost Calculation'!Q198+'Cost Calculation'!Q214</f>
        <v>721.09913610810827</v>
      </c>
      <c r="R870" s="159">
        <f>'Cost Calculation'!R35+'Cost Calculation'!R66+'Cost Calculation'!R94+'Cost Calculation'!R131+'Cost Calculation'!R137+'Cost Calculation'!R141+'Cost Calculation'!R145+'Cost Calculation'!R149+'Cost Calculation'!R153+'Cost Calculation'!R157+'Cost Calculation'!R161+'Cost Calculation'!R165+'Cost Calculation'!R168+'Cost Calculation'!R171+'Cost Calculation'!R174+'BUMN Synergy Calculation'!R37+'BUMN Synergy Calculation'!R62+'BUMN Synergy Calculation'!R84+'Cost Calculation'!R178+'Cost Calculation'!R186+'Cost Calculation'!R192+'Cost Calculation'!R198+'Cost Calculation'!R214</f>
        <v>742.71674547399243</v>
      </c>
      <c r="S870" s="159">
        <f>'Cost Calculation'!S35+'Cost Calculation'!S66+'Cost Calculation'!S94+'Cost Calculation'!S131+'Cost Calculation'!S137+'Cost Calculation'!S141+'Cost Calculation'!S145+'Cost Calculation'!S149+'Cost Calculation'!S153+'Cost Calculation'!S157+'Cost Calculation'!S161+'Cost Calculation'!S165+'Cost Calculation'!S168+'Cost Calculation'!S171+'Cost Calculation'!S174+'BUMN Synergy Calculation'!S37+'BUMN Synergy Calculation'!S62+'BUMN Synergy Calculation'!S84+'Cost Calculation'!S178+'Cost Calculation'!S186+'Cost Calculation'!S192+'Cost Calculation'!S198+'Cost Calculation'!S214</f>
        <v>738.15263621875283</v>
      </c>
      <c r="T870" s="159">
        <f>'Cost Calculation'!T35+'Cost Calculation'!T66+'Cost Calculation'!T94+'Cost Calculation'!T131+'Cost Calculation'!T137+'Cost Calculation'!T141+'Cost Calculation'!T145+'Cost Calculation'!T149+'Cost Calculation'!T153+'Cost Calculation'!T157+'Cost Calculation'!T161+'Cost Calculation'!T165+'Cost Calculation'!T168+'Cost Calculation'!T171+'Cost Calculation'!T174+'BUMN Synergy Calculation'!T37+'BUMN Synergy Calculation'!T62+'BUMN Synergy Calculation'!T84+'Cost Calculation'!T178+'Cost Calculation'!T186+'Cost Calculation'!T192+'Cost Calculation'!T198+'Cost Calculation'!T214</f>
        <v>761.08029091213007</v>
      </c>
    </row>
    <row r="871" spans="2:20" x14ac:dyDescent="0.25">
      <c r="B871" s="23" t="s">
        <v>3426</v>
      </c>
      <c r="C871" s="28" t="s">
        <v>493</v>
      </c>
      <c r="H871" s="159">
        <f>-'Cost Calculation'!H299</f>
        <v>0</v>
      </c>
      <c r="I871" s="159">
        <f>-'Cost Calculation'!I299</f>
        <v>0</v>
      </c>
      <c r="J871" s="159">
        <f>-'Cost Calculation'!J299</f>
        <v>0</v>
      </c>
      <c r="K871" s="159">
        <f>-'Cost Calculation'!K299</f>
        <v>0</v>
      </c>
      <c r="L871" s="159">
        <f>-'Cost Calculation'!L299</f>
        <v>0</v>
      </c>
      <c r="M871" s="159">
        <f>-'Cost Calculation'!M299</f>
        <v>0</v>
      </c>
      <c r="N871" s="159">
        <f>-'Cost Calculation'!N299</f>
        <v>0</v>
      </c>
      <c r="O871" s="159">
        <f>-'Cost Calculation'!O299</f>
        <v>0</v>
      </c>
      <c r="P871" s="159">
        <f>-'Cost Calculation'!P299</f>
        <v>0</v>
      </c>
      <c r="Q871" s="159">
        <f>-'Cost Calculation'!Q299</f>
        <v>0</v>
      </c>
      <c r="R871" s="159">
        <f>-'Cost Calculation'!R299</f>
        <v>0</v>
      </c>
      <c r="S871" s="159">
        <f>-'Cost Calculation'!S299</f>
        <v>0</v>
      </c>
      <c r="T871" s="159">
        <f>-'Cost Calculation'!T299</f>
        <v>0</v>
      </c>
    </row>
    <row r="872" spans="2:20" x14ac:dyDescent="0.25">
      <c r="B872" s="21" t="s">
        <v>3427</v>
      </c>
      <c r="C872" s="28" t="s">
        <v>493</v>
      </c>
      <c r="H872" s="26">
        <f>'FSL Output - With BUMN'!H67</f>
        <v>154.23547540286305</v>
      </c>
      <c r="I872" s="26">
        <f>'FSL Output - With BUMN'!I67</f>
        <v>263.55853377872427</v>
      </c>
      <c r="J872" s="26">
        <f>'FSL Output - With BUMN'!J67</f>
        <v>367.49028803120575</v>
      </c>
      <c r="K872" s="26">
        <f>'FSL Output - With BUMN'!K67</f>
        <v>450.24813332977317</v>
      </c>
      <c r="L872" s="26">
        <f>'FSL Output - With BUMN'!L67</f>
        <v>497.66950547804646</v>
      </c>
      <c r="M872" s="26">
        <f>'FSL Output - With BUMN'!M67</f>
        <v>567.1880901466418</v>
      </c>
      <c r="N872" s="26">
        <f>'FSL Output - With BUMN'!N67</f>
        <v>595.36851562758238</v>
      </c>
      <c r="O872" s="26">
        <f>'FSL Output - With BUMN'!O67</f>
        <v>642.91169302368303</v>
      </c>
      <c r="P872" s="26">
        <f>'FSL Output - With BUMN'!P67</f>
        <v>673.87651926544368</v>
      </c>
      <c r="Q872" s="26">
        <f>'FSL Output - With BUMN'!Q67</f>
        <v>721.09913610810815</v>
      </c>
      <c r="R872" s="26">
        <f>'FSL Output - With BUMN'!R67</f>
        <v>742.71674547399266</v>
      </c>
      <c r="S872" s="26">
        <f>'FSL Output - With BUMN'!S67</f>
        <v>738.15263621875317</v>
      </c>
      <c r="T872" s="26">
        <f>'FSL Output - With BUMN'!T67</f>
        <v>761.08029091213029</v>
      </c>
    </row>
    <row r="873" spans="2:20" x14ac:dyDescent="0.25">
      <c r="B873" s="23" t="s">
        <v>3428</v>
      </c>
      <c r="C873" s="28" t="s">
        <v>493</v>
      </c>
      <c r="H873" s="159">
        <f>'Project Cash Flows'!H59+'Project Cash Flows'!H72+'Project Cash Flows'!H85+'Project Cash Flows'!H98+'Project Cash Flows'!H111+'Project Cash Flows'!H124+'Project Cash Flows'!H137+'Project Cash Flows'!H150+'Project Cash Flows'!H163+'Project Cash Flows'!H176+'Project Cash Flows'!H189+'Project Cash Flows'!H202+'Project Cash Flows'!H215+'Project Cash Flows'!H228+'Project Cash Flows'!H241+'Project Cash Flows'!H254+'Project Cash Flows'!H267+'Project Cash Flows'!H280+'Project Cash Flows'!H293+'Project Cash Flows'!H306+'Project Cash Flows'!H319+'Project Cash Flows'!H332+'Project Cash Flows'!H345</f>
        <v>40.429223963838901</v>
      </c>
      <c r="I873" s="159">
        <f>'Project Cash Flows'!I59+'Project Cash Flows'!I72+'Project Cash Flows'!I85+'Project Cash Flows'!I98+'Project Cash Flows'!I111+'Project Cash Flows'!I124+'Project Cash Flows'!I137+'Project Cash Flows'!I150+'Project Cash Flows'!I163+'Project Cash Flows'!I176+'Project Cash Flows'!I189+'Project Cash Flows'!I202+'Project Cash Flows'!I215+'Project Cash Flows'!I228+'Project Cash Flows'!I241+'Project Cash Flows'!I254+'Project Cash Flows'!I267+'Project Cash Flows'!I280+'Project Cash Flows'!I293+'Project Cash Flows'!I306+'Project Cash Flows'!I319+'Project Cash Flows'!I332+'Project Cash Flows'!I345</f>
        <v>100.67365608004293</v>
      </c>
      <c r="J873" s="159">
        <f>'Project Cash Flows'!J59+'Project Cash Flows'!J72+'Project Cash Flows'!J85+'Project Cash Flows'!J98+'Project Cash Flows'!J111+'Project Cash Flows'!J124+'Project Cash Flows'!J137+'Project Cash Flows'!J150+'Project Cash Flows'!J163+'Project Cash Flows'!J176+'Project Cash Flows'!J189+'Project Cash Flows'!J202+'Project Cash Flows'!J215+'Project Cash Flows'!J228+'Project Cash Flows'!J241+'Project Cash Flows'!J254+'Project Cash Flows'!J267+'Project Cash Flows'!J280+'Project Cash Flows'!J293+'Project Cash Flows'!J306+'Project Cash Flows'!J319+'Project Cash Flows'!J332+'Project Cash Flows'!J345</f>
        <v>161.9765057769738</v>
      </c>
      <c r="K873" s="159">
        <f>'Project Cash Flows'!K59+'Project Cash Flows'!K72+'Project Cash Flows'!K85+'Project Cash Flows'!K98+'Project Cash Flows'!K111+'Project Cash Flows'!K124+'Project Cash Flows'!K137+'Project Cash Flows'!K150+'Project Cash Flows'!K163+'Project Cash Flows'!K176+'Project Cash Flows'!K189+'Project Cash Flows'!K202+'Project Cash Flows'!K215+'Project Cash Flows'!K228+'Project Cash Flows'!K241+'Project Cash Flows'!K254+'Project Cash Flows'!K267+'Project Cash Flows'!K280+'Project Cash Flows'!K293+'Project Cash Flows'!K306+'Project Cash Flows'!K319+'Project Cash Flows'!K332+'Project Cash Flows'!K345</f>
        <v>235.2479930531905</v>
      </c>
      <c r="L873" s="159">
        <f>'Project Cash Flows'!L59+'Project Cash Flows'!L72+'Project Cash Flows'!L85+'Project Cash Flows'!L98+'Project Cash Flows'!L111+'Project Cash Flows'!L124+'Project Cash Flows'!L137+'Project Cash Flows'!L150+'Project Cash Flows'!L163+'Project Cash Flows'!L176+'Project Cash Flows'!L189+'Project Cash Flows'!L202+'Project Cash Flows'!L215+'Project Cash Flows'!L228+'Project Cash Flows'!L241+'Project Cash Flows'!L254+'Project Cash Flows'!L267+'Project Cash Flows'!L280+'Project Cash Flows'!L293+'Project Cash Flows'!L306+'Project Cash Flows'!L319+'Project Cash Flows'!L332+'Project Cash Flows'!L345</f>
        <v>269.63846800565386</v>
      </c>
      <c r="M873" s="159">
        <f>'Project Cash Flows'!M59+'Project Cash Flows'!M72+'Project Cash Flows'!M85+'Project Cash Flows'!M98+'Project Cash Flows'!M111+'Project Cash Flows'!M124+'Project Cash Flows'!M137+'Project Cash Flows'!M150+'Project Cash Flows'!M163+'Project Cash Flows'!M176+'Project Cash Flows'!M189+'Project Cash Flows'!M202+'Project Cash Flows'!M215+'Project Cash Flows'!M228+'Project Cash Flows'!M241+'Project Cash Flows'!M254+'Project Cash Flows'!M267+'Project Cash Flows'!M280+'Project Cash Flows'!M293+'Project Cash Flows'!M306+'Project Cash Flows'!M319+'Project Cash Flows'!M332+'Project Cash Flows'!M345</f>
        <v>310.8996181390666</v>
      </c>
      <c r="N873" s="159">
        <f>'Project Cash Flows'!N59+'Project Cash Flows'!N72+'Project Cash Flows'!N85+'Project Cash Flows'!N98+'Project Cash Flows'!N111+'Project Cash Flows'!N124+'Project Cash Flows'!N137+'Project Cash Flows'!N150+'Project Cash Flows'!N163+'Project Cash Flows'!N176+'Project Cash Flows'!N189+'Project Cash Flows'!N202+'Project Cash Flows'!N215+'Project Cash Flows'!N228+'Project Cash Flows'!N241+'Project Cash Flows'!N254+'Project Cash Flows'!N267+'Project Cash Flows'!N280+'Project Cash Flows'!N293+'Project Cash Flows'!N306+'Project Cash Flows'!N319+'Project Cash Flows'!N332+'Project Cash Flows'!N345</f>
        <v>334.77501028372347</v>
      </c>
      <c r="O873" s="159">
        <f>'Project Cash Flows'!O59+'Project Cash Flows'!O72+'Project Cash Flows'!O85+'Project Cash Flows'!O98+'Project Cash Flows'!O111+'Project Cash Flows'!O124+'Project Cash Flows'!O137+'Project Cash Flows'!O150+'Project Cash Flows'!O163+'Project Cash Flows'!O176+'Project Cash Flows'!O189+'Project Cash Flows'!O202+'Project Cash Flows'!O215+'Project Cash Flows'!O228+'Project Cash Flows'!O241+'Project Cash Flows'!O254+'Project Cash Flows'!O267+'Project Cash Flows'!O280+'Project Cash Flows'!O293+'Project Cash Flows'!O306+'Project Cash Flows'!O319+'Project Cash Flows'!O332+'Project Cash Flows'!O345</f>
        <v>372.41321302456083</v>
      </c>
      <c r="P873" s="159">
        <f>'Project Cash Flows'!P59+'Project Cash Flows'!P72+'Project Cash Flows'!P85+'Project Cash Flows'!P98+'Project Cash Flows'!P111+'Project Cash Flows'!P124+'Project Cash Flows'!P137+'Project Cash Flows'!P150+'Project Cash Flows'!P163+'Project Cash Flows'!P176+'Project Cash Flows'!P189+'Project Cash Flows'!P202+'Project Cash Flows'!P215+'Project Cash Flows'!P228+'Project Cash Flows'!P241+'Project Cash Flows'!P254+'Project Cash Flows'!P267+'Project Cash Flows'!P280+'Project Cash Flows'!P293+'Project Cash Flows'!P306+'Project Cash Flows'!P319+'Project Cash Flows'!P332+'Project Cash Flows'!P345</f>
        <v>396.30633906626946</v>
      </c>
      <c r="Q873" s="159">
        <f>'Project Cash Flows'!Q59+'Project Cash Flows'!Q72+'Project Cash Flows'!Q85+'Project Cash Flows'!Q98+'Project Cash Flows'!Q111+'Project Cash Flows'!Q124+'Project Cash Flows'!Q137+'Project Cash Flows'!Q150+'Project Cash Flows'!Q163+'Project Cash Flows'!Q176+'Project Cash Flows'!Q189+'Project Cash Flows'!Q202+'Project Cash Flows'!Q215+'Project Cash Flows'!Q228+'Project Cash Flows'!Q241+'Project Cash Flows'!Q254+'Project Cash Flows'!Q267+'Project Cash Flows'!Q280+'Project Cash Flows'!Q293+'Project Cash Flows'!Q306+'Project Cash Flows'!Q319+'Project Cash Flows'!Q332+'Project Cash Flows'!Q345</f>
        <v>434.4890252264417</v>
      </c>
      <c r="R873" s="159">
        <f>'Project Cash Flows'!R59+'Project Cash Flows'!R72+'Project Cash Flows'!R85+'Project Cash Flows'!R98+'Project Cash Flows'!R111+'Project Cash Flows'!R124+'Project Cash Flows'!R137+'Project Cash Flows'!R150+'Project Cash Flows'!R163+'Project Cash Flows'!R176+'Project Cash Flows'!R189+'Project Cash Flows'!R202+'Project Cash Flows'!R215+'Project Cash Flows'!R228+'Project Cash Flows'!R241+'Project Cash Flows'!R254+'Project Cash Flows'!R267+'Project Cash Flows'!R280+'Project Cash Flows'!R293+'Project Cash Flows'!R306+'Project Cash Flows'!R319+'Project Cash Flows'!R332+'Project Cash Flows'!R345</f>
        <v>456.9948633867088</v>
      </c>
      <c r="S873" s="159">
        <f>'Project Cash Flows'!S59+'Project Cash Flows'!S72+'Project Cash Flows'!S85+'Project Cash Flows'!S98+'Project Cash Flows'!S111+'Project Cash Flows'!S124+'Project Cash Flows'!S137+'Project Cash Flows'!S150+'Project Cash Flows'!S163+'Project Cash Flows'!S176+'Project Cash Flows'!S189+'Project Cash Flows'!S202+'Project Cash Flows'!S215+'Project Cash Flows'!S228+'Project Cash Flows'!S241+'Project Cash Flows'!S254+'Project Cash Flows'!S267+'Project Cash Flows'!S280+'Project Cash Flows'!S293+'Project Cash Flows'!S306+'Project Cash Flows'!S319+'Project Cash Flows'!S332+'Project Cash Flows'!S345</f>
        <v>451.7733314381685</v>
      </c>
      <c r="T873" s="159">
        <f>'Project Cash Flows'!T59+'Project Cash Flows'!T72+'Project Cash Flows'!T85+'Project Cash Flows'!T98+'Project Cash Flows'!T111+'Project Cash Flows'!T124+'Project Cash Flows'!T137+'Project Cash Flows'!T150+'Project Cash Flows'!T163+'Project Cash Flows'!T176+'Project Cash Flows'!T189+'Project Cash Flows'!T202+'Project Cash Flows'!T215+'Project Cash Flows'!T228+'Project Cash Flows'!T241+'Project Cash Flows'!T254+'Project Cash Flows'!T267+'Project Cash Flows'!T280+'Project Cash Flows'!T293+'Project Cash Flows'!T306+'Project Cash Flows'!T319+'Project Cash Flows'!T332+'Project Cash Flows'!T345</f>
        <v>470.42402645885301</v>
      </c>
    </row>
    <row r="874" spans="2:20" ht="26.25" customHeight="1" x14ac:dyDescent="0.25">
      <c r="B874" s="64" t="s">
        <v>3429</v>
      </c>
      <c r="C874" s="28" t="s">
        <v>493</v>
      </c>
      <c r="H874" s="159">
        <f>'FSL Output - With BUMN'!H66+'FSL Output - With BUMN'!H70-Financing!H34+'FSL Output - With BUMN'!H72+'FSL Output - With BUMN'!H73</f>
        <v>0</v>
      </c>
      <c r="I874" s="159">
        <f>'FSL Output - With BUMN'!I66+'FSL Output - With BUMN'!I70-Financing!I34+'FSL Output - With BUMN'!I72+'FSL Output - With BUMN'!I73</f>
        <v>0</v>
      </c>
      <c r="J874" s="159">
        <f>'FSL Output - With BUMN'!J66+'FSL Output - With BUMN'!J70-Financing!J34+'FSL Output - With BUMN'!J72+'FSL Output - With BUMN'!J73</f>
        <v>0</v>
      </c>
      <c r="K874" s="159">
        <f>'FSL Output - With BUMN'!K66+'FSL Output - With BUMN'!K70-Financing!K34+'FSL Output - With BUMN'!K72+'FSL Output - With BUMN'!K73</f>
        <v>0</v>
      </c>
      <c r="L874" s="159">
        <f>'FSL Output - With BUMN'!L66+'FSL Output - With BUMN'!L70-Financing!L34+'FSL Output - With BUMN'!L72+'FSL Output - With BUMN'!L73</f>
        <v>0</v>
      </c>
      <c r="M874" s="159">
        <f>'FSL Output - With BUMN'!M66+'FSL Output - With BUMN'!M70-Financing!M34+'FSL Output - With BUMN'!M72+'FSL Output - With BUMN'!M73</f>
        <v>0</v>
      </c>
      <c r="N874" s="159">
        <f>'FSL Output - With BUMN'!N66+'FSL Output - With BUMN'!N70-Financing!N34+'FSL Output - With BUMN'!N72+'FSL Output - With BUMN'!N73</f>
        <v>0</v>
      </c>
      <c r="O874" s="159">
        <f>'FSL Output - With BUMN'!O66+'FSL Output - With BUMN'!O70-Financing!O34+'FSL Output - With BUMN'!O72+'FSL Output - With BUMN'!O73</f>
        <v>0</v>
      </c>
      <c r="P874" s="159">
        <f>'FSL Output - With BUMN'!P66+'FSL Output - With BUMN'!P70-Financing!P34+'FSL Output - With BUMN'!P72+'FSL Output - With BUMN'!P73</f>
        <v>0</v>
      </c>
      <c r="Q874" s="159">
        <f>'FSL Output - With BUMN'!Q66+'FSL Output - With BUMN'!Q70-Financing!Q34+'FSL Output - With BUMN'!Q72+'FSL Output - With BUMN'!Q73</f>
        <v>0</v>
      </c>
      <c r="R874" s="159">
        <f>'FSL Output - With BUMN'!R66+'FSL Output - With BUMN'!R70-Financing!R34+'FSL Output - With BUMN'!R72+'FSL Output - With BUMN'!R73</f>
        <v>0</v>
      </c>
      <c r="S874" s="159">
        <f>'FSL Output - With BUMN'!S66+'FSL Output - With BUMN'!S70-Financing!S34+'FSL Output - With BUMN'!S72+'FSL Output - With BUMN'!S73</f>
        <v>0</v>
      </c>
      <c r="T874" s="159">
        <f>'FSL Output - With BUMN'!T66+'FSL Output - With BUMN'!T70-Financing!T34+'FSL Output - With BUMN'!T72+'FSL Output - With BUMN'!T73</f>
        <v>0</v>
      </c>
    </row>
    <row r="875" spans="2:20" ht="26.25" customHeight="1" x14ac:dyDescent="0.25">
      <c r="B875" s="64" t="s">
        <v>3430</v>
      </c>
      <c r="C875" s="28" t="s">
        <v>493</v>
      </c>
      <c r="H875" s="159">
        <f>('Project Cash Flows'!H58+'Project Cash Flows'!H71+'Project Cash Flows'!H84+'Project Cash Flows'!H97+'Project Cash Flows'!H110+'Project Cash Flows'!H123+'Project Cash Flows'!H136+'Project Cash Flows'!H149+'Project Cash Flows'!H162+'Project Cash Flows'!H175+'Project Cash Flows'!H188+'Project Cash Flows'!H201+'Project Cash Flows'!H214+'Project Cash Flows'!H227+'Project Cash Flows'!H240+'Project Cash Flows'!H253+'Project Cash Flows'!H266+'Project Cash Flows'!H279+'Project Cash Flows'!H292+'Project Cash Flows'!H305+'Project Cash Flows'!H318+'Project Cash Flows'!H331+'Project Cash Flows'!H344)-'FSL Output - With BUMN'!H230</f>
        <v>0</v>
      </c>
      <c r="I875" s="159">
        <f>('Project Cash Flows'!I58+'Project Cash Flows'!I71+'Project Cash Flows'!I84+'Project Cash Flows'!I97+'Project Cash Flows'!I110+'Project Cash Flows'!I123+'Project Cash Flows'!I136+'Project Cash Flows'!I149+'Project Cash Flows'!I162+'Project Cash Flows'!I175+'Project Cash Flows'!I188+'Project Cash Flows'!I201+'Project Cash Flows'!I214+'Project Cash Flows'!I227+'Project Cash Flows'!I240+'Project Cash Flows'!I253+'Project Cash Flows'!I266+'Project Cash Flows'!I279+'Project Cash Flows'!I292+'Project Cash Flows'!I305+'Project Cash Flows'!I318+'Project Cash Flows'!I331+'Project Cash Flows'!I344)-'FSL Output - With BUMN'!I230</f>
        <v>0</v>
      </c>
      <c r="J875" s="159">
        <f>('Project Cash Flows'!J58+'Project Cash Flows'!J71+'Project Cash Flows'!J84+'Project Cash Flows'!J97+'Project Cash Flows'!J110+'Project Cash Flows'!J123+'Project Cash Flows'!J136+'Project Cash Flows'!J149+'Project Cash Flows'!J162+'Project Cash Flows'!J175+'Project Cash Flows'!J188+'Project Cash Flows'!J201+'Project Cash Flows'!J214+'Project Cash Flows'!J227+'Project Cash Flows'!J240+'Project Cash Flows'!J253+'Project Cash Flows'!J266+'Project Cash Flows'!J279+'Project Cash Flows'!J292+'Project Cash Flows'!J305+'Project Cash Flows'!J318+'Project Cash Flows'!J331+'Project Cash Flows'!J344)-'FSL Output - With BUMN'!J230</f>
        <v>2.9859598999999903</v>
      </c>
      <c r="K875" s="159">
        <f>('Project Cash Flows'!K58+'Project Cash Flows'!K71+'Project Cash Flows'!K84+'Project Cash Flows'!K97+'Project Cash Flows'!K110+'Project Cash Flows'!K123+'Project Cash Flows'!K136+'Project Cash Flows'!K149+'Project Cash Flows'!K162+'Project Cash Flows'!K175+'Project Cash Flows'!K188+'Project Cash Flows'!K201+'Project Cash Flows'!K214+'Project Cash Flows'!K227+'Project Cash Flows'!K240+'Project Cash Flows'!K253+'Project Cash Flows'!K266+'Project Cash Flows'!K279+'Project Cash Flows'!K292+'Project Cash Flows'!K305+'Project Cash Flows'!K318+'Project Cash Flows'!K331+'Project Cash Flows'!K344)-'FSL Output - With BUMN'!K230</f>
        <v>1.2303592334219928</v>
      </c>
      <c r="L875" s="159">
        <f>('Project Cash Flows'!L58+'Project Cash Flows'!L71+'Project Cash Flows'!L84+'Project Cash Flows'!L97+'Project Cash Flows'!L110+'Project Cash Flows'!L123+'Project Cash Flows'!L136+'Project Cash Flows'!L149+'Project Cash Flows'!L162+'Project Cash Flows'!L175+'Project Cash Flows'!L188+'Project Cash Flows'!L201+'Project Cash Flows'!L214+'Project Cash Flows'!L227+'Project Cash Flows'!L240+'Project Cash Flows'!L253+'Project Cash Flows'!L266+'Project Cash Flows'!L279+'Project Cash Flows'!L292+'Project Cash Flows'!L305+'Project Cash Flows'!L318+'Project Cash Flows'!L331+'Project Cash Flows'!L344)-'FSL Output - With BUMN'!L230</f>
        <v>0.72571193740765239</v>
      </c>
      <c r="M875" s="159">
        <f>('Project Cash Flows'!M58+'Project Cash Flows'!M71+'Project Cash Flows'!M84+'Project Cash Flows'!M97+'Project Cash Flows'!M110+'Project Cash Flows'!M123+'Project Cash Flows'!M136+'Project Cash Flows'!M149+'Project Cash Flows'!M162+'Project Cash Flows'!M175+'Project Cash Flows'!M188+'Project Cash Flows'!M201+'Project Cash Flows'!M214+'Project Cash Flows'!M227+'Project Cash Flows'!M240+'Project Cash Flows'!M253+'Project Cash Flows'!M266+'Project Cash Flows'!M279+'Project Cash Flows'!M292+'Project Cash Flows'!M305+'Project Cash Flows'!M318+'Project Cash Flows'!M331+'Project Cash Flows'!M344)-'FSL Output - With BUMN'!M230</f>
        <v>0.19240258460440884</v>
      </c>
      <c r="N875" s="159">
        <f>('Project Cash Flows'!N58+'Project Cash Flows'!N71+'Project Cash Flows'!N84+'Project Cash Flows'!N97+'Project Cash Flows'!N110+'Project Cash Flows'!N123+'Project Cash Flows'!N136+'Project Cash Flows'!N149+'Project Cash Flows'!N162+'Project Cash Flows'!N175+'Project Cash Flows'!N188+'Project Cash Flows'!N201+'Project Cash Flows'!N214+'Project Cash Flows'!N227+'Project Cash Flows'!N240+'Project Cash Flows'!N253+'Project Cash Flows'!N266+'Project Cash Flows'!N279+'Project Cash Flows'!N292+'Project Cash Flows'!N305+'Project Cash Flows'!N318+'Project Cash Flows'!N331+'Project Cash Flows'!N344)-'FSL Output - With BUMN'!N230</f>
        <v>0</v>
      </c>
      <c r="O875" s="159">
        <f>('Project Cash Flows'!O58+'Project Cash Flows'!O71+'Project Cash Flows'!O84+'Project Cash Flows'!O97+'Project Cash Flows'!O110+'Project Cash Flows'!O123+'Project Cash Flows'!O136+'Project Cash Flows'!O149+'Project Cash Flows'!O162+'Project Cash Flows'!O175+'Project Cash Flows'!O188+'Project Cash Flows'!O201+'Project Cash Flows'!O214+'Project Cash Flows'!O227+'Project Cash Flows'!O240+'Project Cash Flows'!O253+'Project Cash Flows'!O266+'Project Cash Flows'!O279+'Project Cash Flows'!O292+'Project Cash Flows'!O305+'Project Cash Flows'!O318+'Project Cash Flows'!O331+'Project Cash Flows'!O344)-'FSL Output - With BUMN'!O230</f>
        <v>0</v>
      </c>
      <c r="P875" s="159">
        <f>('Project Cash Flows'!P58+'Project Cash Flows'!P71+'Project Cash Flows'!P84+'Project Cash Flows'!P97+'Project Cash Flows'!P110+'Project Cash Flows'!P123+'Project Cash Flows'!P136+'Project Cash Flows'!P149+'Project Cash Flows'!P162+'Project Cash Flows'!P175+'Project Cash Flows'!P188+'Project Cash Flows'!P201+'Project Cash Flows'!P214+'Project Cash Flows'!P227+'Project Cash Flows'!P240+'Project Cash Flows'!P253+'Project Cash Flows'!P266+'Project Cash Flows'!P279+'Project Cash Flows'!P292+'Project Cash Flows'!P305+'Project Cash Flows'!P318+'Project Cash Flows'!P331+'Project Cash Flows'!P344)-'FSL Output - With BUMN'!P230</f>
        <v>0</v>
      </c>
      <c r="Q875" s="159">
        <f>('Project Cash Flows'!Q58+'Project Cash Flows'!Q71+'Project Cash Flows'!Q84+'Project Cash Flows'!Q97+'Project Cash Flows'!Q110+'Project Cash Flows'!Q123+'Project Cash Flows'!Q136+'Project Cash Flows'!Q149+'Project Cash Flows'!Q162+'Project Cash Flows'!Q175+'Project Cash Flows'!Q188+'Project Cash Flows'!Q201+'Project Cash Flows'!Q214+'Project Cash Flows'!Q227+'Project Cash Flows'!Q240+'Project Cash Flows'!Q253+'Project Cash Flows'!Q266+'Project Cash Flows'!Q279+'Project Cash Flows'!Q292+'Project Cash Flows'!Q305+'Project Cash Flows'!Q318+'Project Cash Flows'!Q331+'Project Cash Flows'!Q344)-'FSL Output - With BUMN'!Q230</f>
        <v>0</v>
      </c>
      <c r="R875" s="159">
        <f>('Project Cash Flows'!R58+'Project Cash Flows'!R71+'Project Cash Flows'!R84+'Project Cash Flows'!R97+'Project Cash Flows'!R110+'Project Cash Flows'!R123+'Project Cash Flows'!R136+'Project Cash Flows'!R149+'Project Cash Flows'!R162+'Project Cash Flows'!R175+'Project Cash Flows'!R188+'Project Cash Flows'!R201+'Project Cash Flows'!R214+'Project Cash Flows'!R227+'Project Cash Flows'!R240+'Project Cash Flows'!R253+'Project Cash Flows'!R266+'Project Cash Flows'!R279+'Project Cash Flows'!R292+'Project Cash Flows'!R305+'Project Cash Flows'!R318+'Project Cash Flows'!R331+'Project Cash Flows'!R344)-'FSL Output - With BUMN'!R230</f>
        <v>0</v>
      </c>
      <c r="S875" s="159">
        <f>('Project Cash Flows'!S58+'Project Cash Flows'!S71+'Project Cash Flows'!S84+'Project Cash Flows'!S97+'Project Cash Flows'!S110+'Project Cash Flows'!S123+'Project Cash Flows'!S136+'Project Cash Flows'!S149+'Project Cash Flows'!S162+'Project Cash Flows'!S175+'Project Cash Flows'!S188+'Project Cash Flows'!S201+'Project Cash Flows'!S214+'Project Cash Flows'!S227+'Project Cash Flows'!S240+'Project Cash Flows'!S253+'Project Cash Flows'!S266+'Project Cash Flows'!S279+'Project Cash Flows'!S292+'Project Cash Flows'!S305+'Project Cash Flows'!S318+'Project Cash Flows'!S331+'Project Cash Flows'!S344)-'FSL Output - With BUMN'!S230</f>
        <v>2.9859599000000117</v>
      </c>
      <c r="T875" s="159">
        <f>('Project Cash Flows'!T58+'Project Cash Flows'!T71+'Project Cash Flows'!T84+'Project Cash Flows'!T97+'Project Cash Flows'!T110+'Project Cash Flows'!T123+'Project Cash Flows'!T136+'Project Cash Flows'!T149+'Project Cash Flows'!T162+'Project Cash Flows'!T175+'Project Cash Flows'!T188+'Project Cash Flows'!T201+'Project Cash Flows'!T214+'Project Cash Flows'!T227+'Project Cash Flows'!T240+'Project Cash Flows'!T253+'Project Cash Flows'!T266+'Project Cash Flows'!T279+'Project Cash Flows'!T292+'Project Cash Flows'!T305+'Project Cash Flows'!T318+'Project Cash Flows'!T331+'Project Cash Flows'!T344)-'FSL Output - With BUMN'!T230</f>
        <v>2.9859599000000401</v>
      </c>
    </row>
    <row r="876" spans="2:20" x14ac:dyDescent="0.25">
      <c r="B876" s="21" t="s">
        <v>3431</v>
      </c>
      <c r="C876" s="28" t="s">
        <v>493</v>
      </c>
      <c r="H876" s="26">
        <f>'FSL Output - With BUMN'!H77</f>
        <v>40.429223963838908</v>
      </c>
      <c r="I876" s="26">
        <f>'FSL Output - With BUMN'!I77</f>
        <v>100.67365608004286</v>
      </c>
      <c r="J876" s="26">
        <f>'FSL Output - With BUMN'!J77</f>
        <v>164.96246567697375</v>
      </c>
      <c r="K876" s="26">
        <f>'FSL Output - With BUMN'!K77</f>
        <v>236.47835228661239</v>
      </c>
      <c r="L876" s="26">
        <f>'FSL Output - With BUMN'!L77</f>
        <v>270.36417994306152</v>
      </c>
      <c r="M876" s="26">
        <f>'FSL Output - With BUMN'!M77</f>
        <v>311.09202072367106</v>
      </c>
      <c r="N876" s="26">
        <f>'FSL Output - With BUMN'!N77</f>
        <v>334.77501028372325</v>
      </c>
      <c r="O876" s="26">
        <f>'FSL Output - With BUMN'!O77</f>
        <v>372.41321302456066</v>
      </c>
      <c r="P876" s="26">
        <f>'FSL Output - With BUMN'!P77</f>
        <v>396.30633906626957</v>
      </c>
      <c r="Q876" s="26">
        <f>'FSL Output - With BUMN'!Q77</f>
        <v>434.48902522644192</v>
      </c>
      <c r="R876" s="26">
        <f>'FSL Output - With BUMN'!R77</f>
        <v>456.99486338670908</v>
      </c>
      <c r="S876" s="26">
        <f>'FSL Output - With BUMN'!S77</f>
        <v>454.75929133816862</v>
      </c>
      <c r="T876" s="26">
        <f>'FSL Output - With BUMN'!T77</f>
        <v>473.40998635885308</v>
      </c>
    </row>
    <row r="877" spans="2:20" x14ac:dyDescent="0.25">
      <c r="B877" s="23" t="s">
        <v>3432</v>
      </c>
      <c r="C877" s="28" t="s">
        <v>493</v>
      </c>
      <c r="H877" s="29">
        <f>'Project Cash Flows'!H406</f>
        <v>-18.458283227188701</v>
      </c>
      <c r="I877" s="29">
        <f>'Project Cash Flows'!I406</f>
        <v>196.1722315230071</v>
      </c>
      <c r="J877" s="29">
        <f>'Project Cash Flows'!J406</f>
        <v>-134.66195882390994</v>
      </c>
      <c r="K877" s="29">
        <f>'Project Cash Flows'!K406</f>
        <v>137.93782050833391</v>
      </c>
      <c r="L877" s="29">
        <f>'Project Cash Flows'!L406</f>
        <v>311.02671932730607</v>
      </c>
      <c r="M877" s="29">
        <f>'Project Cash Flows'!M406</f>
        <v>465.24752411573456</v>
      </c>
      <c r="N877" s="29">
        <f>'Project Cash Flows'!N406</f>
        <v>494.12547615474375</v>
      </c>
      <c r="O877" s="29">
        <f>'Project Cash Flows'!O406</f>
        <v>528.55294107244356</v>
      </c>
      <c r="P877" s="29">
        <f>'Project Cash Flows'!P406</f>
        <v>555.88323167773649</v>
      </c>
      <c r="Q877" s="29">
        <f>'Project Cash Flows'!Q406</f>
        <v>589.69382435316857</v>
      </c>
      <c r="R877" s="29">
        <f>'Project Cash Flows'!R406</f>
        <v>609.75245990641588</v>
      </c>
      <c r="S877" s="29">
        <f>'Project Cash Flows'!S406</f>
        <v>606.34717800696205</v>
      </c>
      <c r="T877" s="29">
        <f>'Project Cash Flows'!T406</f>
        <v>620.74081139618761</v>
      </c>
    </row>
    <row r="878" spans="2:20" ht="26.25" customHeight="1" x14ac:dyDescent="0.25">
      <c r="B878" s="64" t="s">
        <v>3433</v>
      </c>
      <c r="C878" s="28" t="s">
        <v>493</v>
      </c>
      <c r="H878" s="159">
        <f>'Project Cash Flows'!H407+'Project Cash Flows'!H408+'Project Cash Flows'!H409</f>
        <v>30.328014017095104</v>
      </c>
      <c r="I878" s="159">
        <f>'Project Cash Flows'!I407+'Project Cash Flows'!I408+'Project Cash Flows'!I409</f>
        <v>0</v>
      </c>
      <c r="J878" s="159">
        <f>'Project Cash Flows'!J407+'Project Cash Flows'!J408+'Project Cash Flows'!J409</f>
        <v>2.9859598999999832</v>
      </c>
      <c r="K878" s="159">
        <f>'Project Cash Flows'!K407+'Project Cash Flows'!K408+'Project Cash Flows'!K409</f>
        <v>1.2303592334219928</v>
      </c>
      <c r="L878" s="159">
        <f>'Project Cash Flows'!L407+'Project Cash Flows'!L408+'Project Cash Flows'!L409</f>
        <v>0.72571193740765239</v>
      </c>
      <c r="M878" s="159">
        <f>'Project Cash Flows'!M407+'Project Cash Flows'!M408+'Project Cash Flows'!M409</f>
        <v>0.19240258460440884</v>
      </c>
      <c r="N878" s="159">
        <f>'Project Cash Flows'!N407+'Project Cash Flows'!N408+'Project Cash Flows'!N409</f>
        <v>-1.4210854715202004E-14</v>
      </c>
      <c r="O878" s="159">
        <f>'Project Cash Flows'!O407+'Project Cash Flows'!O408+'Project Cash Flows'!O409</f>
        <v>0</v>
      </c>
      <c r="P878" s="159">
        <f>'Project Cash Flows'!P407+'Project Cash Flows'!P408+'Project Cash Flows'!P409</f>
        <v>4.8849813083506888E-14</v>
      </c>
      <c r="Q878" s="159">
        <f>'Project Cash Flows'!Q407+'Project Cash Flows'!Q408+'Project Cash Flows'!Q409</f>
        <v>-8.8817841970012523E-15</v>
      </c>
      <c r="R878" s="159">
        <f>'Project Cash Flows'!R407+'Project Cash Flows'!R408+'Project Cash Flows'!R409</f>
        <v>0.51981068748260695</v>
      </c>
      <c r="S878" s="159">
        <f>'Project Cash Flows'!S407+'Project Cash Flows'!S408+'Project Cash Flows'!S409</f>
        <v>2.9859598999999775</v>
      </c>
      <c r="T878" s="159">
        <f>'Project Cash Flows'!T407+'Project Cash Flows'!T408+'Project Cash Flows'!T409</f>
        <v>2.9859599000000023</v>
      </c>
    </row>
    <row r="879" spans="2:20" x14ac:dyDescent="0.25">
      <c r="B879" s="21" t="s">
        <v>3434</v>
      </c>
      <c r="C879" s="28" t="s">
        <v>493</v>
      </c>
      <c r="H879" s="26">
        <f>'Valuation — With BUMN'!H42</f>
        <v>11.86973078990642</v>
      </c>
      <c r="I879" s="26">
        <f>'Valuation — With BUMN'!I42</f>
        <v>196.1722315230071</v>
      </c>
      <c r="J879" s="26">
        <f>'Valuation — With BUMN'!J42</f>
        <v>-131.67599892390993</v>
      </c>
      <c r="K879" s="26">
        <f>'Valuation — With BUMN'!K42</f>
        <v>139.16817974175589</v>
      </c>
      <c r="L879" s="26">
        <f>'Valuation — With BUMN'!L42</f>
        <v>311.75243126471378</v>
      </c>
      <c r="M879" s="26">
        <f>'Valuation — With BUMN'!M42</f>
        <v>465.43992670033907</v>
      </c>
      <c r="N879" s="26">
        <f>'Valuation — With BUMN'!N42</f>
        <v>494.12547615474364</v>
      </c>
      <c r="O879" s="26">
        <f>'Valuation — With BUMN'!O42</f>
        <v>528.55294107244345</v>
      </c>
      <c r="P879" s="26">
        <f>'Valuation — With BUMN'!P42</f>
        <v>555.8832316777366</v>
      </c>
      <c r="Q879" s="26">
        <f>'Valuation — With BUMN'!Q42</f>
        <v>589.69382435316902</v>
      </c>
      <c r="R879" s="26">
        <f>'Valuation — With BUMN'!R42</f>
        <v>610.27227059389872</v>
      </c>
      <c r="S879" s="26">
        <f>'Valuation — With BUMN'!S42</f>
        <v>609.33313790696207</v>
      </c>
      <c r="T879" s="26">
        <f>'Valuation — With BUMN'!T42</f>
        <v>623.72677129618762</v>
      </c>
    </row>
    <row r="880" spans="2:20" x14ac:dyDescent="0.25">
      <c r="B880" s="23" t="s">
        <v>3435</v>
      </c>
      <c r="C880" s="28" t="s">
        <v>493</v>
      </c>
      <c r="H880" s="159">
        <f>'Capex &amp; Depreciation'!H258+'Capex &amp; Depreciation'!H259+'Capex &amp; Depreciation'!H260+'Capex &amp; Depreciation'!H261+'Capex &amp; Depreciation'!H262+'Capex &amp; Depreciation'!H263+'Capex &amp; Depreciation'!H264+'Capex &amp; Depreciation'!H265+'Capex &amp; Depreciation'!H266+'Capex &amp; Depreciation'!H267+'Capex &amp; Depreciation'!H268+'Capex &amp; Depreciation'!H269+'Capex &amp; Depreciation'!H270+'Capex &amp; Depreciation'!H271+'Capex &amp; Depreciation'!H272+'Capex &amp; Depreciation'!H273+'Capex &amp; Depreciation'!H274+'Capex &amp; Depreciation'!H275+'Capex &amp; Depreciation'!H276+'Capex &amp; Depreciation'!H277+'Capex &amp; Depreciation'!H278+'Capex &amp; Depreciation'!H279+'Capex &amp; Depreciation'!H280</f>
        <v>125.24050000000001</v>
      </c>
      <c r="I880" s="159">
        <f>'Capex &amp; Depreciation'!I258+'Capex &amp; Depreciation'!I259+'Capex &amp; Depreciation'!I260+'Capex &amp; Depreciation'!I261+'Capex &amp; Depreciation'!I262+'Capex &amp; Depreciation'!I263+'Capex &amp; Depreciation'!I264+'Capex &amp; Depreciation'!I265+'Capex &amp; Depreciation'!I266+'Capex &amp; Depreciation'!I267+'Capex &amp; Depreciation'!I268+'Capex &amp; Depreciation'!I269+'Capex &amp; Depreciation'!I270+'Capex &amp; Depreciation'!I271+'Capex &amp; Depreciation'!I272+'Capex &amp; Depreciation'!I273+'Capex &amp; Depreciation'!I274+'Capex &amp; Depreciation'!I275+'Capex &amp; Depreciation'!I276+'Capex &amp; Depreciation'!I277+'Capex &amp; Depreciation'!I278+'Capex &amp; Depreciation'!I279+'Capex &amp; Depreciation'!I280</f>
        <v>14.638500000000001</v>
      </c>
      <c r="J880" s="159">
        <f>'Capex &amp; Depreciation'!J258+'Capex &amp; Depreciation'!J259+'Capex &amp; Depreciation'!J260+'Capex &amp; Depreciation'!J261+'Capex &amp; Depreciation'!J262+'Capex &amp; Depreciation'!J263+'Capex &amp; Depreciation'!J264+'Capex &amp; Depreciation'!J265+'Capex &amp; Depreciation'!J266+'Capex &amp; Depreciation'!J267+'Capex &amp; Depreciation'!J268+'Capex &amp; Depreciation'!J269+'Capex &amp; Depreciation'!J270+'Capex &amp; Depreciation'!J271+'Capex &amp; Depreciation'!J272+'Capex &amp; Depreciation'!J273+'Capex &amp; Depreciation'!J274+'Capex &amp; Depreciation'!J275+'Capex &amp; Depreciation'!J276+'Capex &amp; Depreciation'!J277+'Capex &amp; Depreciation'!J278+'Capex &amp; Depreciation'!J279+'Capex &amp; Depreciation'!J280</f>
        <v>419.77202976190472</v>
      </c>
      <c r="K880" s="159">
        <f>'Capex &amp; Depreciation'!K258+'Capex &amp; Depreciation'!K259+'Capex &amp; Depreciation'!K260+'Capex &amp; Depreciation'!K261+'Capex &amp; Depreciation'!K262+'Capex &amp; Depreciation'!K263+'Capex &amp; Depreciation'!K264+'Capex &amp; Depreciation'!K265+'Capex &amp; Depreciation'!K266+'Capex &amp; Depreciation'!K267+'Capex &amp; Depreciation'!K268+'Capex &amp; Depreciation'!K269+'Capex &amp; Depreciation'!K270+'Capex &amp; Depreciation'!K271+'Capex &amp; Depreciation'!K272+'Capex &amp; Depreciation'!K273+'Capex &amp; Depreciation'!K274+'Capex &amp; Depreciation'!K275+'Capex &amp; Depreciation'!K276+'Capex &amp; Depreciation'!K277+'Capex &amp; Depreciation'!K278+'Capex &amp; Depreciation'!K279+'Capex &amp; Depreciation'!K280</f>
        <v>225.06362499999994</v>
      </c>
      <c r="L880" s="159">
        <f>'Capex &amp; Depreciation'!L258+'Capex &amp; Depreciation'!L259+'Capex &amp; Depreciation'!L260+'Capex &amp; Depreciation'!L261+'Capex &amp; Depreciation'!L262+'Capex &amp; Depreciation'!L263+'Capex &amp; Depreciation'!L264+'Capex &amp; Depreciation'!L265+'Capex &amp; Depreciation'!L266+'Capex &amp; Depreciation'!L267+'Capex &amp; Depreciation'!L268+'Capex &amp; Depreciation'!L269+'Capex &amp; Depreciation'!L270+'Capex &amp; Depreciation'!L271+'Capex &amp; Depreciation'!L272+'Capex &amp; Depreciation'!L273+'Capex &amp; Depreciation'!L274+'Capex &amp; Depreciation'!L275+'Capex &amp; Depreciation'!L276+'Capex &amp; Depreciation'!L277+'Capex &amp; Depreciation'!L278+'Capex &amp; Depreciation'!L279+'Capex &amp; Depreciation'!L280</f>
        <v>97.59</v>
      </c>
      <c r="M880" s="159">
        <f>'Capex &amp; Depreciation'!M258+'Capex &amp; Depreciation'!M259+'Capex &amp; Depreciation'!M260+'Capex &amp; Depreciation'!M261+'Capex &amp; Depreciation'!M262+'Capex &amp; Depreciation'!M263+'Capex &amp; Depreciation'!M264+'Capex &amp; Depreciation'!M265+'Capex &amp; Depreciation'!M266+'Capex &amp; Depreciation'!M267+'Capex &amp; Depreciation'!M268+'Capex &amp; Depreciation'!M269+'Capex &amp; Depreciation'!M270+'Capex &amp; Depreciation'!M271+'Capex &amp; Depreciation'!M272+'Capex &amp; Depreciation'!M273+'Capex &amp; Depreciation'!M274+'Capex &amp; Depreciation'!M275+'Capex &amp; Depreciation'!M276+'Capex &amp; Depreciation'!M277+'Capex &amp; Depreciation'!M278+'Capex &amp; Depreciation'!M279+'Capex &amp; Depreciation'!M280</f>
        <v>0</v>
      </c>
      <c r="N880" s="159">
        <f>'Capex &amp; Depreciation'!N258+'Capex &amp; Depreciation'!N259+'Capex &amp; Depreciation'!N260+'Capex &amp; Depreciation'!N261+'Capex &amp; Depreciation'!N262+'Capex &amp; Depreciation'!N263+'Capex &amp; Depreciation'!N264+'Capex &amp; Depreciation'!N265+'Capex &amp; Depreciation'!N266+'Capex &amp; Depreciation'!N267+'Capex &amp; Depreciation'!N268+'Capex &amp; Depreciation'!N269+'Capex &amp; Depreciation'!N270+'Capex &amp; Depreciation'!N271+'Capex &amp; Depreciation'!N272+'Capex &amp; Depreciation'!N273+'Capex &amp; Depreciation'!N274+'Capex &amp; Depreciation'!N275+'Capex &amp; Depreciation'!N276+'Capex &amp; Depreciation'!N277+'Capex &amp; Depreciation'!N278+'Capex &amp; Depreciation'!N279+'Capex &amp; Depreciation'!N280</f>
        <v>0</v>
      </c>
      <c r="O880" s="159">
        <f>'Capex &amp; Depreciation'!O258+'Capex &amp; Depreciation'!O259+'Capex &amp; Depreciation'!O260+'Capex &amp; Depreciation'!O261+'Capex &amp; Depreciation'!O262+'Capex &amp; Depreciation'!O263+'Capex &amp; Depreciation'!O264+'Capex &amp; Depreciation'!O265+'Capex &amp; Depreciation'!O266+'Capex &amp; Depreciation'!O267+'Capex &amp; Depreciation'!O268+'Capex &amp; Depreciation'!O269+'Capex &amp; Depreciation'!O270+'Capex &amp; Depreciation'!O271+'Capex &amp; Depreciation'!O272+'Capex &amp; Depreciation'!O273+'Capex &amp; Depreciation'!O274+'Capex &amp; Depreciation'!O275+'Capex &amp; Depreciation'!O276+'Capex &amp; Depreciation'!O277+'Capex &amp; Depreciation'!O278+'Capex &amp; Depreciation'!O279+'Capex &amp; Depreciation'!O280</f>
        <v>0</v>
      </c>
      <c r="P880" s="159">
        <f>'Capex &amp; Depreciation'!P258+'Capex &amp; Depreciation'!P259+'Capex &amp; Depreciation'!P260+'Capex &amp; Depreciation'!P261+'Capex &amp; Depreciation'!P262+'Capex &amp; Depreciation'!P263+'Capex &amp; Depreciation'!P264+'Capex &amp; Depreciation'!P265+'Capex &amp; Depreciation'!P266+'Capex &amp; Depreciation'!P267+'Capex &amp; Depreciation'!P268+'Capex &amp; Depreciation'!P269+'Capex &amp; Depreciation'!P270+'Capex &amp; Depreciation'!P271+'Capex &amp; Depreciation'!P272+'Capex &amp; Depreciation'!P273+'Capex &amp; Depreciation'!P274+'Capex &amp; Depreciation'!P275+'Capex &amp; Depreciation'!P276+'Capex &amp; Depreciation'!P277+'Capex &amp; Depreciation'!P278+'Capex &amp; Depreciation'!P279+'Capex &amp; Depreciation'!P280</f>
        <v>0</v>
      </c>
      <c r="Q880" s="159">
        <f>'Capex &amp; Depreciation'!Q258+'Capex &amp; Depreciation'!Q259+'Capex &amp; Depreciation'!Q260+'Capex &amp; Depreciation'!Q261+'Capex &amp; Depreciation'!Q262+'Capex &amp; Depreciation'!Q263+'Capex &amp; Depreciation'!Q264+'Capex &amp; Depreciation'!Q265+'Capex &amp; Depreciation'!Q266+'Capex &amp; Depreciation'!Q267+'Capex &amp; Depreciation'!Q268+'Capex &amp; Depreciation'!Q269+'Capex &amp; Depreciation'!Q270+'Capex &amp; Depreciation'!Q271+'Capex &amp; Depreciation'!Q272+'Capex &amp; Depreciation'!Q273+'Capex &amp; Depreciation'!Q274+'Capex &amp; Depreciation'!Q275+'Capex &amp; Depreciation'!Q276+'Capex &amp; Depreciation'!Q277+'Capex &amp; Depreciation'!Q278+'Capex &amp; Depreciation'!Q279+'Capex &amp; Depreciation'!Q280</f>
        <v>0</v>
      </c>
      <c r="R880" s="159">
        <f>'Capex &amp; Depreciation'!R258+'Capex &amp; Depreciation'!R259+'Capex &amp; Depreciation'!R260+'Capex &amp; Depreciation'!R261+'Capex &amp; Depreciation'!R262+'Capex &amp; Depreciation'!R263+'Capex &amp; Depreciation'!R264+'Capex &amp; Depreciation'!R265+'Capex &amp; Depreciation'!R266+'Capex &amp; Depreciation'!R267+'Capex &amp; Depreciation'!R268+'Capex &amp; Depreciation'!R269+'Capex &amp; Depreciation'!R270+'Capex &amp; Depreciation'!R271+'Capex &amp; Depreciation'!R272+'Capex &amp; Depreciation'!R273+'Capex &amp; Depreciation'!R274+'Capex &amp; Depreciation'!R275+'Capex &amp; Depreciation'!R276+'Capex &amp; Depreciation'!R277+'Capex &amp; Depreciation'!R278+'Capex &amp; Depreciation'!R279+'Capex &amp; Depreciation'!R280</f>
        <v>0</v>
      </c>
      <c r="S880" s="159">
        <f>'Capex &amp; Depreciation'!S258+'Capex &amp; Depreciation'!S259+'Capex &amp; Depreciation'!S260+'Capex &amp; Depreciation'!S261+'Capex &amp; Depreciation'!S262+'Capex &amp; Depreciation'!S263+'Capex &amp; Depreciation'!S264+'Capex &amp; Depreciation'!S265+'Capex &amp; Depreciation'!S266+'Capex &amp; Depreciation'!S267+'Capex &amp; Depreciation'!S268+'Capex &amp; Depreciation'!S269+'Capex &amp; Depreciation'!S270+'Capex &amp; Depreciation'!S271+'Capex &amp; Depreciation'!S272+'Capex &amp; Depreciation'!S273+'Capex &amp; Depreciation'!S274+'Capex &amp; Depreciation'!S275+'Capex &amp; Depreciation'!S276+'Capex &amp; Depreciation'!S277+'Capex &amp; Depreciation'!S278+'Capex &amp; Depreciation'!S279+'Capex &amp; Depreciation'!S280</f>
        <v>0</v>
      </c>
      <c r="T880" s="159">
        <f>'Capex &amp; Depreciation'!T258+'Capex &amp; Depreciation'!T259+'Capex &amp; Depreciation'!T260+'Capex &amp; Depreciation'!T261+'Capex &amp; Depreciation'!T262+'Capex &amp; Depreciation'!T263+'Capex &amp; Depreciation'!T264+'Capex &amp; Depreciation'!T265+'Capex &amp; Depreciation'!T266+'Capex &amp; Depreciation'!T267+'Capex &amp; Depreciation'!T268+'Capex &amp; Depreciation'!T269+'Capex &amp; Depreciation'!T270+'Capex &amp; Depreciation'!T271+'Capex &amp; Depreciation'!T272+'Capex &amp; Depreciation'!T273+'Capex &amp; Depreciation'!T274+'Capex &amp; Depreciation'!T275+'Capex &amp; Depreciation'!T276+'Capex &amp; Depreciation'!T277+'Capex &amp; Depreciation'!T278+'Capex &amp; Depreciation'!T279+'Capex &amp; Depreciation'!T280</f>
        <v>0</v>
      </c>
    </row>
    <row r="881" spans="2:20" x14ac:dyDescent="0.25">
      <c r="B881" s="21" t="s">
        <v>3436</v>
      </c>
      <c r="C881" s="28" t="s">
        <v>493</v>
      </c>
      <c r="H881" s="26">
        <f>'Capex &amp; Depreciation'!H283</f>
        <v>125.24050000000001</v>
      </c>
      <c r="I881" s="26">
        <f>'Capex &amp; Depreciation'!I283</f>
        <v>14.638500000000001</v>
      </c>
      <c r="J881" s="26">
        <f>'Capex &amp; Depreciation'!J283</f>
        <v>419.77202976190472</v>
      </c>
      <c r="K881" s="26">
        <f>'Capex &amp; Depreciation'!K283</f>
        <v>225.06362499999994</v>
      </c>
      <c r="L881" s="26">
        <f>'Capex &amp; Depreciation'!L283</f>
        <v>97.59</v>
      </c>
      <c r="M881" s="26">
        <f>'Capex &amp; Depreciation'!M283</f>
        <v>0</v>
      </c>
      <c r="N881" s="26">
        <f>'Capex &amp; Depreciation'!N283</f>
        <v>0</v>
      </c>
      <c r="O881" s="26">
        <f>'Capex &amp; Depreciation'!O283</f>
        <v>0</v>
      </c>
      <c r="P881" s="26">
        <f>'Capex &amp; Depreciation'!P283</f>
        <v>0</v>
      </c>
      <c r="Q881" s="26">
        <f>'Capex &amp; Depreciation'!Q283</f>
        <v>0</v>
      </c>
      <c r="R881" s="26">
        <f>'Capex &amp; Depreciation'!R283</f>
        <v>0</v>
      </c>
      <c r="S881" s="26">
        <f>'Capex &amp; Depreciation'!S283</f>
        <v>0</v>
      </c>
      <c r="T881" s="26">
        <f>'Capex &amp; Depreciation'!T283</f>
        <v>0</v>
      </c>
    </row>
    <row r="882" spans="2:20" x14ac:dyDescent="0.25">
      <c r="B882" s="154" t="s">
        <v>3437</v>
      </c>
    </row>
    <row r="883" spans="2:20" ht="26.25" customHeight="1" x14ac:dyDescent="0.25">
      <c r="B883" s="64" t="s">
        <v>3438</v>
      </c>
      <c r="C883" s="28" t="s">
        <v>493</v>
      </c>
      <c r="G883" s="159">
        <f>'Capex &amp; Depreciation'!G285+'Capex &amp; Depreciation'!G286+'Capex &amp; Depreciation'!G287+'Capex &amp; Depreciation'!G288+'Capex &amp; Depreciation'!G289+'Capex &amp; Depreciation'!G290+'Capex &amp; Depreciation'!G291+'Capex &amp; Depreciation'!G292+'Capex &amp; Depreciation'!G293+'Capex &amp; Depreciation'!G294+'Capex &amp; Depreciation'!G295+'Capex &amp; Depreciation'!G296+'Capex &amp; Depreciation'!G297+'Capex &amp; Depreciation'!G298+'Capex &amp; Depreciation'!G299+'Capex &amp; Depreciation'!G300+'Capex &amp; Depreciation'!G301+'Capex &amp; Depreciation'!G302+'Capex &amp; Depreciation'!G303+'Capex &amp; Depreciation'!G304+'Capex &amp; Depreciation'!G305+'Capex &amp; Depreciation'!G306+'Capex &amp; Depreciation'!G307+'Capex &amp; Depreciation'!G308+'Capex &amp; Depreciation'!G309</f>
        <v>1023.4327533527071</v>
      </c>
      <c r="H883" s="159">
        <f>'Capex &amp; Depreciation'!H285+'Capex &amp; Depreciation'!H286+'Capex &amp; Depreciation'!H287+'Capex &amp; Depreciation'!H288+'Capex &amp; Depreciation'!H289+'Capex &amp; Depreciation'!H290+'Capex &amp; Depreciation'!H291+'Capex &amp; Depreciation'!H292+'Capex &amp; Depreciation'!H293+'Capex &amp; Depreciation'!H294+'Capex &amp; Depreciation'!H295+'Capex &amp; Depreciation'!H296+'Capex &amp; Depreciation'!H297+'Capex &amp; Depreciation'!H298+'Capex &amp; Depreciation'!H299+'Capex &amp; Depreciation'!H300+'Capex &amp; Depreciation'!H301+'Capex &amp; Depreciation'!H302+'Capex &amp; Depreciation'!H303+'Capex &amp; Depreciation'!H304+'Capex &amp; Depreciation'!H305+'Capex &amp; Depreciation'!H306+'Capex &amp; Depreciation'!H307+'Capex &amp; Depreciation'!H308+'Capex &amp; Depreciation'!H309</f>
        <v>1060.3001909437717</v>
      </c>
      <c r="I883" s="159">
        <f>'Capex &amp; Depreciation'!I285+'Capex &amp; Depreciation'!I286+'Capex &amp; Depreciation'!I287+'Capex &amp; Depreciation'!I288+'Capex &amp; Depreciation'!I289+'Capex &amp; Depreciation'!I290+'Capex &amp; Depreciation'!I291+'Capex &amp; Depreciation'!I292+'Capex &amp; Depreciation'!I293+'Capex &amp; Depreciation'!I294+'Capex &amp; Depreciation'!I295+'Capex &amp; Depreciation'!I296+'Capex &amp; Depreciation'!I297+'Capex &amp; Depreciation'!I298+'Capex &amp; Depreciation'!I299+'Capex &amp; Depreciation'!I300+'Capex &amp; Depreciation'!I301+'Capex &amp; Depreciation'!I302+'Capex &amp; Depreciation'!I303+'Capex &amp; Depreciation'!I304+'Capex &amp; Depreciation'!I305+'Capex &amp; Depreciation'!I306+'Capex &amp; Depreciation'!I307+'Capex &amp; Depreciation'!I308+'Capex &amp; Depreciation'!I309</f>
        <v>961.3390057617703</v>
      </c>
      <c r="J883" s="159">
        <f>'Capex &amp; Depreciation'!J285+'Capex &amp; Depreciation'!J286+'Capex &amp; Depreciation'!J287+'Capex &amp; Depreciation'!J288+'Capex &amp; Depreciation'!J289+'Capex &amp; Depreciation'!J290+'Capex &amp; Depreciation'!J291+'Capex &amp; Depreciation'!J292+'Capex &amp; Depreciation'!J293+'Capex &amp; Depreciation'!J294+'Capex &amp; Depreciation'!J295+'Capex &amp; Depreciation'!J296+'Capex &amp; Depreciation'!J297+'Capex &amp; Depreciation'!J298+'Capex &amp; Depreciation'!J299+'Capex &amp; Depreciation'!J300+'Capex &amp; Depreciation'!J301+'Capex &amp; Depreciation'!J302+'Capex &amp; Depreciation'!J303+'Capex &amp; Depreciation'!J304+'Capex &amp; Depreciation'!J305+'Capex &amp; Depreciation'!J306+'Capex &amp; Depreciation'!J307+'Capex &amp; Depreciation'!J308+'Capex &amp; Depreciation'!J309</f>
        <v>1246.1432316205623</v>
      </c>
      <c r="K883" s="159">
        <f>'Capex &amp; Depreciation'!K285+'Capex &amp; Depreciation'!K286+'Capex &amp; Depreciation'!K287+'Capex &amp; Depreciation'!K288+'Capex &amp; Depreciation'!K289+'Capex &amp; Depreciation'!K290+'Capex &amp; Depreciation'!K291+'Capex &amp; Depreciation'!K292+'Capex &amp; Depreciation'!K293+'Capex &amp; Depreciation'!K294+'Capex &amp; Depreciation'!K295+'Capex &amp; Depreciation'!K296+'Capex &amp; Depreciation'!K297+'Capex &amp; Depreciation'!K298+'Capex &amp; Depreciation'!K299+'Capex &amp; Depreciation'!K300+'Capex &amp; Depreciation'!K301+'Capex &amp; Depreciation'!K302+'Capex &amp; Depreciation'!K303+'Capex &amp; Depreciation'!K304+'Capex &amp; Depreciation'!K305+'Capex &amp; Depreciation'!K306+'Capex &amp; Depreciation'!K307+'Capex &amp; Depreciation'!K308+'Capex &amp; Depreciation'!K309</f>
        <v>1334.2655149333534</v>
      </c>
      <c r="L883" s="159">
        <f>'Capex &amp; Depreciation'!L285+'Capex &amp; Depreciation'!L286+'Capex &amp; Depreciation'!L287+'Capex &amp; Depreciation'!L288+'Capex &amp; Depreciation'!L289+'Capex &amp; Depreciation'!L290+'Capex &amp; Depreciation'!L291+'Capex &amp; Depreciation'!L292+'Capex &amp; Depreciation'!L293+'Capex &amp; Depreciation'!L294+'Capex &amp; Depreciation'!L295+'Capex &amp; Depreciation'!L296+'Capex &amp; Depreciation'!L297+'Capex &amp; Depreciation'!L298+'Capex &amp; Depreciation'!L299+'Capex &amp; Depreciation'!L300+'Capex &amp; Depreciation'!L301+'Capex &amp; Depreciation'!L302+'Capex &amp; Depreciation'!L303+'Capex &amp; Depreciation'!L304+'Capex &amp; Depreciation'!L305+'Capex &amp; Depreciation'!L306+'Capex &amp; Depreciation'!L307+'Capex &amp; Depreciation'!L308+'Capex &amp; Depreciation'!L309</f>
        <v>1287.6570848700178</v>
      </c>
      <c r="M883" s="159">
        <f>'Capex &amp; Depreciation'!M285+'Capex &amp; Depreciation'!M286+'Capex &amp; Depreciation'!M287+'Capex &amp; Depreciation'!M288+'Capex &amp; Depreciation'!M289+'Capex &amp; Depreciation'!M290+'Capex &amp; Depreciation'!M291+'Capex &amp; Depreciation'!M292+'Capex &amp; Depreciation'!M293+'Capex &amp; Depreciation'!M294+'Capex &amp; Depreciation'!M295+'Capex &amp; Depreciation'!M296+'Capex &amp; Depreciation'!M297+'Capex &amp; Depreciation'!M298+'Capex &amp; Depreciation'!M299+'Capex &amp; Depreciation'!M300+'Capex &amp; Depreciation'!M301+'Capex &amp; Depreciation'!M302+'Capex &amp; Depreciation'!M303+'Capex &amp; Depreciation'!M304+'Capex &amp; Depreciation'!M305+'Capex &amp; Depreciation'!M306+'Capex &amp; Depreciation'!M307+'Capex &amp; Depreciation'!M308+'Capex &amp; Depreciation'!M309</f>
        <v>1130.0722156630661</v>
      </c>
      <c r="N883" s="159">
        <f>'Capex &amp; Depreciation'!N285+'Capex &amp; Depreciation'!N286+'Capex &amp; Depreciation'!N287+'Capex &amp; Depreciation'!N288+'Capex &amp; Depreciation'!N289+'Capex &amp; Depreciation'!N290+'Capex &amp; Depreciation'!N291+'Capex &amp; Depreciation'!N292+'Capex &amp; Depreciation'!N293+'Capex &amp; Depreciation'!N294+'Capex &amp; Depreciation'!N295+'Capex &amp; Depreciation'!N296+'Capex &amp; Depreciation'!N297+'Capex &amp; Depreciation'!N298+'Capex &amp; Depreciation'!N299+'Capex &amp; Depreciation'!N300+'Capex &amp; Depreciation'!N301+'Capex &amp; Depreciation'!N302+'Capex &amp; Depreciation'!N303+'Capex &amp; Depreciation'!N304+'Capex &amp; Depreciation'!N305+'Capex &amp; Depreciation'!N306+'Capex &amp; Depreciation'!N307+'Capex &amp; Depreciation'!N308+'Capex &amp; Depreciation'!N309</f>
        <v>972.47843972059172</v>
      </c>
      <c r="O883" s="159">
        <f>'Capex &amp; Depreciation'!O285+'Capex &amp; Depreciation'!O286+'Capex &amp; Depreciation'!O287+'Capex &amp; Depreciation'!O288+'Capex &amp; Depreciation'!O289+'Capex &amp; Depreciation'!O290+'Capex &amp; Depreciation'!O291+'Capex &amp; Depreciation'!O292+'Capex &amp; Depreciation'!O293+'Capex &amp; Depreciation'!O294+'Capex &amp; Depreciation'!O295+'Capex &amp; Depreciation'!O296+'Capex &amp; Depreciation'!O297+'Capex &amp; Depreciation'!O298+'Capex &amp; Depreciation'!O299+'Capex &amp; Depreciation'!O300+'Capex &amp; Depreciation'!O301+'Capex &amp; Depreciation'!O302+'Capex &amp; Depreciation'!O303+'Capex &amp; Depreciation'!O304+'Capex &amp; Depreciation'!O305+'Capex &amp; Depreciation'!O306+'Capex &amp; Depreciation'!O307+'Capex &amp; Depreciation'!O308+'Capex &amp; Depreciation'!O309</f>
        <v>814.87557890788412</v>
      </c>
      <c r="P883" s="159">
        <f>'Capex &amp; Depreciation'!P285+'Capex &amp; Depreciation'!P286+'Capex &amp; Depreciation'!P287+'Capex &amp; Depreciation'!P288+'Capex &amp; Depreciation'!P289+'Capex &amp; Depreciation'!P290+'Capex &amp; Depreciation'!P291+'Capex &amp; Depreciation'!P292+'Capex &amp; Depreciation'!P293+'Capex &amp; Depreciation'!P294+'Capex &amp; Depreciation'!P295+'Capex &amp; Depreciation'!P296+'Capex &amp; Depreciation'!P297+'Capex &amp; Depreciation'!P298+'Capex &amp; Depreciation'!P299+'Capex &amp; Depreciation'!P300+'Capex &amp; Depreciation'!P301+'Capex &amp; Depreciation'!P302+'Capex &amp; Depreciation'!P303+'Capex &amp; Depreciation'!P304+'Capex &amp; Depreciation'!P305+'Capex &amp; Depreciation'!P306+'Capex &amp; Depreciation'!P307+'Capex &amp; Depreciation'!P308+'Capex &amp; Depreciation'!P309</f>
        <v>655.23227972740142</v>
      </c>
      <c r="Q883" s="159">
        <f>'Capex &amp; Depreciation'!Q285+'Capex &amp; Depreciation'!Q286+'Capex &amp; Depreciation'!Q287+'Capex &amp; Depreciation'!Q288+'Capex &amp; Depreciation'!Q289+'Capex &amp; Depreciation'!Q290+'Capex &amp; Depreciation'!Q291+'Capex &amp; Depreciation'!Q292+'Capex &amp; Depreciation'!Q293+'Capex &amp; Depreciation'!Q294+'Capex &amp; Depreciation'!Q295+'Capex &amp; Depreciation'!Q296+'Capex &amp; Depreciation'!Q297+'Capex &amp; Depreciation'!Q298+'Capex &amp; Depreciation'!Q299+'Capex &amp; Depreciation'!Q300+'Capex &amp; Depreciation'!Q301+'Capex &amp; Depreciation'!Q302+'Capex &amp; Depreciation'!Q303+'Capex &amp; Depreciation'!Q304+'Capex &amp; Depreciation'!Q305+'Capex &amp; Depreciation'!Q306+'Capex &amp; Depreciation'!Q307+'Capex &amp; Depreciation'!Q308+'Capex &amp; Depreciation'!Q309</f>
        <v>495.61070044806496</v>
      </c>
      <c r="R883" s="159">
        <f>'Capex &amp; Depreciation'!R285+'Capex &amp; Depreciation'!R286+'Capex &amp; Depreciation'!R287+'Capex &amp; Depreciation'!R288+'Capex &amp; Depreciation'!R289+'Capex &amp; Depreciation'!R290+'Capex &amp; Depreciation'!R291+'Capex &amp; Depreciation'!R292+'Capex &amp; Depreciation'!R293+'Capex &amp; Depreciation'!R294+'Capex &amp; Depreciation'!R295+'Capex &amp; Depreciation'!R296+'Capex &amp; Depreciation'!R297+'Capex &amp; Depreciation'!R298+'Capex &amp; Depreciation'!R299+'Capex &amp; Depreciation'!R300+'Capex &amp; Depreciation'!R301+'Capex &amp; Depreciation'!R302+'Capex &amp; Depreciation'!R303+'Capex &amp; Depreciation'!R304+'Capex &amp; Depreciation'!R305+'Capex &amp; Depreciation'!R306+'Capex &amp; Depreciation'!R307+'Capex &amp; Depreciation'!R308+'Capex &amp; Depreciation'!R309</f>
        <v>341.51732546985312</v>
      </c>
      <c r="S883" s="159">
        <f>'Capex &amp; Depreciation'!S285+'Capex &amp; Depreciation'!S286+'Capex &amp; Depreciation'!S287+'Capex &amp; Depreciation'!S288+'Capex &amp; Depreciation'!S289+'Capex &amp; Depreciation'!S290+'Capex &amp; Depreciation'!S291+'Capex &amp; Depreciation'!S292+'Capex &amp; Depreciation'!S293+'Capex &amp; Depreciation'!S294+'Capex &amp; Depreciation'!S295+'Capex &amp; Depreciation'!S296+'Capex &amp; Depreciation'!S297+'Capex &amp; Depreciation'!S298+'Capex &amp; Depreciation'!S299+'Capex &amp; Depreciation'!S300+'Capex &amp; Depreciation'!S301+'Capex &amp; Depreciation'!S302+'Capex &amp; Depreciation'!S303+'Capex &amp; Depreciation'!S304+'Capex &amp; Depreciation'!S305+'Capex &amp; Depreciation'!S306+'Capex &amp; Depreciation'!S307+'Capex &amp; Depreciation'!S308+'Capex &amp; Depreciation'!S309</f>
        <v>187.41411673593137</v>
      </c>
      <c r="T883" s="159">
        <f>'Capex &amp; Depreciation'!T285+'Capex &amp; Depreciation'!T286+'Capex &amp; Depreciation'!T287+'Capex &amp; Depreciation'!T288+'Capex &amp; Depreciation'!T289+'Capex &amp; Depreciation'!T290+'Capex &amp; Depreciation'!T291+'Capex &amp; Depreciation'!T292+'Capex &amp; Depreciation'!T293+'Capex &amp; Depreciation'!T294+'Capex &amp; Depreciation'!T295+'Capex &amp; Depreciation'!T296+'Capex &amp; Depreciation'!T297+'Capex &amp; Depreciation'!T298+'Capex &amp; Depreciation'!T299+'Capex &amp; Depreciation'!T300+'Capex &amp; Depreciation'!T301+'Capex &amp; Depreciation'!T302+'Capex &amp; Depreciation'!T303+'Capex &amp; Depreciation'!T304+'Capex &amp; Depreciation'!T305+'Capex &amp; Depreciation'!T306+'Capex &amp; Depreciation'!T307+'Capex &amp; Depreciation'!T308+'Capex &amp; Depreciation'!T309</f>
        <v>33.269705771048592</v>
      </c>
    </row>
    <row r="884" spans="2:20" ht="26.25" customHeight="1" x14ac:dyDescent="0.25">
      <c r="B884" s="64" t="s">
        <v>3439</v>
      </c>
      <c r="C884" s="28" t="s">
        <v>493</v>
      </c>
      <c r="G884" s="159">
        <v>0</v>
      </c>
      <c r="H884" s="159">
        <f>'Working Capital'!H15+'Working Capital'!H19+'Working Capital'!H23+'Working Capital'!H27+'Working Capital'!H31+'Working Capital'!H35+'Working Capital'!H39+'Working Capital'!H43+'Working Capital'!H47+'Working Capital'!H51+'Working Capital'!H55+'Working Capital'!H59+'Working Capital'!H63+'Working Capital'!H67+'Working Capital'!H71+'Working Capital'!H75+'Working Capital'!H79+'Working Capital'!H83+'Working Capital'!H87+'Working Capital'!H91+'Working Capital'!H95+'Working Capital'!H99+'Working Capital'!H103</f>
        <v>27.490975117623886</v>
      </c>
      <c r="I884" s="159">
        <f>'Working Capital'!I15+'Working Capital'!I19+'Working Capital'!I23+'Working Capital'!I27+'Working Capital'!I31+'Working Capital'!I35+'Working Capital'!I39+'Working Capital'!I43+'Working Capital'!I47+'Working Capital'!I51+'Working Capital'!I55+'Working Capital'!I59+'Working Capital'!I63+'Working Capital'!I67+'Working Capital'!I71+'Working Capital'!I75+'Working Capital'!I79+'Working Capital'!I83+'Working Capital'!I87+'Working Capital'!I91+'Working Capital'!I95+'Working Capital'!I99+'Working Capital'!I103</f>
        <v>43.294153716250889</v>
      </c>
      <c r="J884" s="159">
        <f>'Working Capital'!J15+'Working Capital'!J19+'Working Capital'!J23+'Working Capital'!J27+'Working Capital'!J31+'Working Capital'!J35+'Working Capital'!J39+'Working Capital'!J43+'Working Capital'!J47+'Working Capital'!J51+'Working Capital'!J55+'Working Capital'!J59+'Working Capital'!J63+'Working Capital'!J67+'Working Capital'!J71+'Working Capital'!J75+'Working Capital'!J79+'Working Capital'!J83+'Working Capital'!J87+'Working Capital'!J91+'Working Capital'!J95+'Working Capital'!J99+'Working Capital'!J103</f>
        <v>67.468961317932056</v>
      </c>
      <c r="K884" s="159">
        <f>'Working Capital'!K15+'Working Capital'!K19+'Working Capital'!K23+'Working Capital'!K27+'Working Capital'!K31+'Working Capital'!K35+'Working Capital'!K39+'Working Capital'!K43+'Working Capital'!K47+'Working Capital'!K51+'Working Capital'!K55+'Working Capital'!K59+'Working Capital'!K63+'Working Capital'!K67+'Working Capital'!K71+'Working Capital'!K75+'Working Capital'!K79+'Working Capital'!K83+'Working Capital'!K87+'Working Capital'!K91+'Working Capital'!K95+'Working Capital'!K99+'Working Capital'!K103</f>
        <v>82.776420313245879</v>
      </c>
      <c r="L884" s="159">
        <f>'Working Capital'!L15+'Working Capital'!L19+'Working Capital'!L23+'Working Capital'!L27+'Working Capital'!L31+'Working Capital'!L35+'Working Capital'!L39+'Working Capital'!L43+'Working Capital'!L47+'Working Capital'!L51+'Working Capital'!L55+'Working Capital'!L59+'Working Capital'!L63+'Working Capital'!L67+'Working Capital'!L71+'Working Capital'!L75+'Working Capital'!L79+'Working Capital'!L83+'Working Capital'!L87+'Working Capital'!L91+'Working Capital'!L95+'Working Capital'!L99+'Working Capital'!L103</f>
        <v>91.412249054929518</v>
      </c>
      <c r="M884" s="159">
        <f>'Working Capital'!M15+'Working Capital'!M19+'Working Capital'!M23+'Working Capital'!M27+'Working Capital'!M31+'Working Capital'!M35+'Working Capital'!M39+'Working Capital'!M43+'Working Capital'!M47+'Working Capital'!M51+'Working Capital'!M55+'Working Capital'!M59+'Working Capital'!M63+'Working Capital'!M67+'Working Capital'!M71+'Working Capital'!M75+'Working Capital'!M79+'Working Capital'!M83+'Working Capital'!M87+'Working Capital'!M91+'Working Capital'!M95+'Working Capital'!M99+'Working Capital'!M103</f>
        <v>102.78792783620563</v>
      </c>
      <c r="N884" s="159">
        <f>'Working Capital'!N15+'Working Capital'!N19+'Working Capital'!N23+'Working Capital'!N27+'Working Capital'!N31+'Working Capital'!N35+'Working Capital'!N39+'Working Capital'!N43+'Working Capital'!N47+'Working Capital'!N51+'Working Capital'!N55+'Working Capital'!N59+'Working Capital'!N63+'Working Capital'!N67+'Working Capital'!N71+'Working Capital'!N75+'Working Capital'!N79+'Working Capital'!N83+'Working Capital'!N87+'Working Capital'!N91+'Working Capital'!N95+'Working Capital'!N99+'Working Capital'!N103</f>
        <v>107.69175540765978</v>
      </c>
      <c r="O884" s="159">
        <f>'Working Capital'!O15+'Working Capital'!O19+'Working Capital'!O23+'Working Capital'!O27+'Working Capital'!O31+'Working Capital'!O35+'Working Capital'!O39+'Working Capital'!O43+'Working Capital'!O47+'Working Capital'!O51+'Working Capital'!O55+'Working Capital'!O59+'Working Capital'!O63+'Working Capital'!O67+'Working Capital'!O71+'Working Capital'!O75+'Working Capital'!O79+'Working Capital'!O83+'Working Capital'!O87+'Working Capital'!O91+'Working Capital'!O95+'Working Capital'!O99+'Working Capital'!O103</f>
        <v>115.28256427248488</v>
      </c>
      <c r="P884" s="159">
        <f>'Working Capital'!P15+'Working Capital'!P19+'Working Capital'!P23+'Working Capital'!P27+'Working Capital'!P31+'Working Capital'!P35+'Working Capital'!P39+'Working Capital'!P43+'Working Capital'!P47+'Working Capital'!P51+'Working Capital'!P55+'Working Capital'!P59+'Working Capital'!P63+'Working Capital'!P67+'Working Capital'!P71+'Working Capital'!P75+'Working Capital'!P79+'Working Capital'!P83+'Working Capital'!P87+'Working Capital'!P91+'Working Capital'!P95+'Working Capital'!P99+'Working Capital'!P103</f>
        <v>120.1445434415005</v>
      </c>
      <c r="Q884" s="159">
        <f>'Working Capital'!Q15+'Working Capital'!Q19+'Working Capital'!Q23+'Working Capital'!Q27+'Working Capital'!Q31+'Working Capital'!Q35+'Working Capital'!Q39+'Working Capital'!Q43+'Working Capital'!Q47+'Working Capital'!Q51+'Working Capital'!Q55+'Working Capital'!Q59+'Working Capital'!Q63+'Working Capital'!Q67+'Working Capital'!Q71+'Working Capital'!Q75+'Working Capital'!Q79+'Working Capital'!Q83+'Working Capital'!Q87+'Working Capital'!Q91+'Working Capital'!Q95+'Working Capital'!Q99+'Working Capital'!Q103</f>
        <v>128.02479269411</v>
      </c>
      <c r="R884" s="159">
        <f>'Working Capital'!R15+'Working Capital'!R19+'Working Capital'!R23+'Working Capital'!R27+'Working Capital'!R31+'Working Capital'!R35+'Working Capital'!R39+'Working Capital'!R43+'Working Capital'!R47+'Working Capital'!R51+'Working Capital'!R55+'Working Capital'!R59+'Working Capital'!R63+'Working Capital'!R67+'Working Capital'!R71+'Working Capital'!R75+'Working Capital'!R79+'Working Capital'!R83+'Working Capital'!R87+'Working Capital'!R91+'Working Capital'!R95+'Working Capital'!R99+'Working Capital'!R103</f>
        <v>131.49193675261478</v>
      </c>
      <c r="S884" s="159">
        <f>'Working Capital'!S15+'Working Capital'!S19+'Working Capital'!S23+'Working Capital'!S27+'Working Capital'!S31+'Working Capital'!S35+'Working Capital'!S39+'Working Capital'!S43+'Working Capital'!S47+'Working Capital'!S51+'Working Capital'!S55+'Working Capital'!S59+'Working Capital'!S63+'Working Capital'!S67+'Working Capital'!S71+'Working Capital'!S75+'Working Capital'!S79+'Working Capital'!S83+'Working Capital'!S87+'Working Capital'!S91+'Working Capital'!S95+'Working Capital'!S99+'Working Capital'!S103</f>
        <v>131.82056101774296</v>
      </c>
      <c r="T884" s="159">
        <f>'Working Capital'!T15+'Working Capital'!T19+'Working Capital'!T23+'Working Capital'!T27+'Working Capital'!T31+'Working Capital'!T35+'Working Capital'!T39+'Working Capital'!T43+'Working Capital'!T47+'Working Capital'!T51+'Working Capital'!T55+'Working Capital'!T59+'Working Capital'!T63+'Working Capital'!T67+'Working Capital'!T71+'Working Capital'!T75+'Working Capital'!T79+'Working Capital'!T83+'Working Capital'!T87+'Working Capital'!T91+'Working Capital'!T95+'Working Capital'!T99+'Working Capital'!T103</f>
        <v>135.64818704529122</v>
      </c>
    </row>
    <row r="885" spans="2:20" x14ac:dyDescent="0.25">
      <c r="B885" s="21" t="s">
        <v>3440</v>
      </c>
      <c r="C885" s="28" t="s">
        <v>493</v>
      </c>
      <c r="G885" s="160">
        <f t="shared" ref="G885:T885" si="2">G883+G884</f>
        <v>1023.4327533527071</v>
      </c>
      <c r="H885" s="160">
        <f t="shared" si="2"/>
        <v>1087.7911660613956</v>
      </c>
      <c r="I885" s="160">
        <f t="shared" si="2"/>
        <v>1004.6331594780212</v>
      </c>
      <c r="J885" s="160">
        <f t="shared" si="2"/>
        <v>1313.6121929384944</v>
      </c>
      <c r="K885" s="160">
        <f t="shared" si="2"/>
        <v>1417.0419352465992</v>
      </c>
      <c r="L885" s="160">
        <f t="shared" si="2"/>
        <v>1379.0693339249474</v>
      </c>
      <c r="M885" s="160">
        <f t="shared" si="2"/>
        <v>1232.8601434992718</v>
      </c>
      <c r="N885" s="160">
        <f t="shared" si="2"/>
        <v>1080.1701951282514</v>
      </c>
      <c r="O885" s="160">
        <f t="shared" si="2"/>
        <v>930.15814318036905</v>
      </c>
      <c r="P885" s="160">
        <f t="shared" si="2"/>
        <v>775.37682316890186</v>
      </c>
      <c r="Q885" s="160">
        <f t="shared" si="2"/>
        <v>623.63549314217494</v>
      </c>
      <c r="R885" s="160">
        <f t="shared" si="2"/>
        <v>473.0092622224679</v>
      </c>
      <c r="S885" s="160">
        <f t="shared" si="2"/>
        <v>319.2346777536743</v>
      </c>
      <c r="T885" s="160">
        <f t="shared" si="2"/>
        <v>168.91789281633982</v>
      </c>
    </row>
    <row r="886" spans="2:20" x14ac:dyDescent="0.25">
      <c r="B886" s="23" t="s">
        <v>3441</v>
      </c>
      <c r="C886" s="28" t="s">
        <v>493</v>
      </c>
      <c r="G886" s="29">
        <f>'Working Capital'!G115</f>
        <v>30.847824704577697</v>
      </c>
      <c r="H886" s="159">
        <f>'Working Capital'!H115-H884</f>
        <v>0.51981068748259318</v>
      </c>
      <c r="I886" s="159">
        <f>'Working Capital'!I115-I884</f>
        <v>0.51981068748259673</v>
      </c>
      <c r="J886" s="159">
        <f>'Working Capital'!J115-J884</f>
        <v>0.51981068748261805</v>
      </c>
      <c r="K886" s="159">
        <f>'Working Capital'!K115-K884</f>
        <v>0.51981068748258963</v>
      </c>
      <c r="L886" s="159">
        <f>'Working Capital'!L115-L884</f>
        <v>0.51981068748260384</v>
      </c>
      <c r="M886" s="159">
        <f>'Working Capital'!M115-M884</f>
        <v>0.51981068748261805</v>
      </c>
      <c r="N886" s="159">
        <f>'Working Capital'!N115-N884</f>
        <v>0.51981068748261805</v>
      </c>
      <c r="O886" s="159">
        <f>'Working Capital'!O115-O884</f>
        <v>0.51981068748260384</v>
      </c>
      <c r="P886" s="159">
        <f>'Working Capital'!P115-P884</f>
        <v>0.51981068748257542</v>
      </c>
      <c r="Q886" s="159">
        <f>'Working Capital'!Q115-Q884</f>
        <v>0.51981068748258963</v>
      </c>
      <c r="R886" s="159">
        <f>'Working Capital'!R115-R884</f>
        <v>0</v>
      </c>
      <c r="S886" s="159">
        <f>'Working Capital'!S115-S884</f>
        <v>0</v>
      </c>
      <c r="T886" s="159">
        <f>'Working Capital'!T115-T884</f>
        <v>0</v>
      </c>
    </row>
    <row r="887" spans="2:20" x14ac:dyDescent="0.25">
      <c r="B887" s="23" t="s">
        <v>3442</v>
      </c>
      <c r="C887" s="28" t="s">
        <v>493</v>
      </c>
      <c r="G887" s="29">
        <f>'FSL Output - With BUMN'!G241</f>
        <v>60.638905050280002</v>
      </c>
      <c r="H887" s="29">
        <f>'FSL Output - With BUMN'!H241</f>
        <v>31.366562544943211</v>
      </c>
      <c r="I887" s="29">
        <f>'FSL Output - With BUMN'!I241</f>
        <v>191.0299126301345</v>
      </c>
      <c r="J887" s="29">
        <f>'FSL Output - With BUMN'!J241</f>
        <v>3.7172272628511678</v>
      </c>
      <c r="K887" s="29">
        <f>'FSL Output - With BUMN'!K241</f>
        <v>3</v>
      </c>
      <c r="L887" s="29">
        <f>'FSL Output - With BUMN'!L241</f>
        <v>285.75388391879335</v>
      </c>
      <c r="M887" s="29">
        <f>'FSL Output - With BUMN'!M241</f>
        <v>657.0791567809805</v>
      </c>
      <c r="N887" s="29">
        <f>'FSL Output - With BUMN'!N241</f>
        <v>1045.2337768886682</v>
      </c>
      <c r="O887" s="29">
        <f>'FSL Output - With BUMN'!O241</f>
        <v>1447.579866305218</v>
      </c>
      <c r="P887" s="29">
        <f>'FSL Output - With BUMN'!P241</f>
        <v>1872.1249970514179</v>
      </c>
      <c r="Q887" s="29">
        <f>'FSL Output - With BUMN'!Q241</f>
        <v>2320.664820523014</v>
      </c>
      <c r="R887" s="29">
        <f>'FSL Output - With BUMN'!R241</f>
        <v>2784.6756756413865</v>
      </c>
      <c r="S887" s="29">
        <f>'FSL Output - With BUMN'!S241</f>
        <v>3256.5737736086317</v>
      </c>
      <c r="T887" s="29">
        <f>'FSL Output - With BUMN'!T241</f>
        <v>3748.1514464465854</v>
      </c>
    </row>
    <row r="888" spans="2:20" ht="26.25" customHeight="1" x14ac:dyDescent="0.25">
      <c r="B888" s="64" t="s">
        <v>3443</v>
      </c>
      <c r="C888" s="28" t="s">
        <v>493</v>
      </c>
      <c r="G888" s="159">
        <f>'FSL Output - With BUMN'!G245-'Capex &amp; Depreciation'!G308-'Capex &amp; Depreciation'!G309</f>
        <v>133.85219044944799</v>
      </c>
      <c r="H888" s="159">
        <f>'FSL Output - With BUMN'!H245-'Capex &amp; Depreciation'!H308-'Capex &amp; Depreciation'!H309</f>
        <v>133.85219044944799</v>
      </c>
      <c r="I888" s="159">
        <f>'FSL Output - With BUMN'!I245-'Capex &amp; Depreciation'!I308-'Capex &amp; Depreciation'!I309</f>
        <v>133.85219044944799</v>
      </c>
      <c r="J888" s="159">
        <f>'FSL Output - With BUMN'!J245-'Capex &amp; Depreciation'!J308-'Capex &amp; Depreciation'!J309</f>
        <v>133.85219044944799</v>
      </c>
      <c r="K888" s="159">
        <f>'FSL Output - With BUMN'!K245-'Capex &amp; Depreciation'!K308-'Capex &amp; Depreciation'!K309</f>
        <v>133.85219044944799</v>
      </c>
      <c r="L888" s="159">
        <f>'FSL Output - With BUMN'!L245-'Capex &amp; Depreciation'!L308-'Capex &amp; Depreciation'!L309</f>
        <v>133.85219044944799</v>
      </c>
      <c r="M888" s="159">
        <f>'FSL Output - With BUMN'!M245-'Capex &amp; Depreciation'!M308-'Capex &amp; Depreciation'!M309</f>
        <v>133.85219044944799</v>
      </c>
      <c r="N888" s="159">
        <f>'FSL Output - With BUMN'!N245-'Capex &amp; Depreciation'!N308-'Capex &amp; Depreciation'!N309</f>
        <v>133.85219044944799</v>
      </c>
      <c r="O888" s="159">
        <f>'FSL Output - With BUMN'!O245-'Capex &amp; Depreciation'!O308-'Capex &amp; Depreciation'!O309</f>
        <v>133.85219044944799</v>
      </c>
      <c r="P888" s="159">
        <f>'FSL Output - With BUMN'!P245-'Capex &amp; Depreciation'!P308-'Capex &amp; Depreciation'!P309</f>
        <v>133.85219044944799</v>
      </c>
      <c r="Q888" s="159">
        <f>'FSL Output - With BUMN'!Q245-'Capex &amp; Depreciation'!Q308-'Capex &amp; Depreciation'!Q309</f>
        <v>133.85219044944799</v>
      </c>
      <c r="R888" s="159">
        <f>'FSL Output - With BUMN'!R245-'Capex &amp; Depreciation'!R308-'Capex &amp; Depreciation'!R309</f>
        <v>133.85219044944799</v>
      </c>
      <c r="S888" s="159">
        <f>'FSL Output - With BUMN'!S245-'Capex &amp; Depreciation'!S308-'Capex &amp; Depreciation'!S309</f>
        <v>133.85219044944799</v>
      </c>
      <c r="T888" s="159">
        <f>'FSL Output - With BUMN'!T245-'Capex &amp; Depreciation'!T308-'Capex &amp; Depreciation'!T309</f>
        <v>133.85219044944799</v>
      </c>
    </row>
    <row r="889" spans="2:20" ht="26.25" customHeight="1" x14ac:dyDescent="0.25">
      <c r="B889" s="64" t="s">
        <v>3444</v>
      </c>
      <c r="C889" s="28" t="s">
        <v>493</v>
      </c>
      <c r="G889" s="159">
        <f>-('FSL Output - With BUMN'!G250+'FSL Output - With BUMN'!G251+'FSL Output - With BUMN'!G252)</f>
        <v>-224.51846524876001</v>
      </c>
      <c r="H889" s="159">
        <f>-('FSL Output - With BUMN'!H250+'FSL Output - With BUMN'!H251+'FSL Output - With BUMN'!H252)</f>
        <v>-195.18</v>
      </c>
      <c r="I889" s="159">
        <f>-('FSL Output - With BUMN'!I250+'FSL Output - With BUMN'!I251+'FSL Output - With BUMN'!I252)</f>
        <v>-195.18</v>
      </c>
      <c r="J889" s="159">
        <f>-('FSL Output - With BUMN'!J250+'FSL Output - With BUMN'!J251+'FSL Output - With BUMN'!J252)</f>
        <v>-195.18</v>
      </c>
      <c r="K889" s="159">
        <f>-('FSL Output - With BUMN'!K250+'FSL Output - With BUMN'!K251+'FSL Output - With BUMN'!K252)</f>
        <v>-32.53</v>
      </c>
      <c r="L889" s="159">
        <f>-('FSL Output - With BUMN'!L250+'FSL Output - With BUMN'!L251+'FSL Output - With BUMN'!L252)</f>
        <v>-81.325000000000003</v>
      </c>
      <c r="M889" s="159">
        <f>-('FSL Output - With BUMN'!M250+'FSL Output - With BUMN'!M251+'FSL Output - With BUMN'!M252)</f>
        <v>-81.325000000000003</v>
      </c>
      <c r="N889" s="159">
        <f>-('FSL Output - With BUMN'!N250+'FSL Output - With BUMN'!N251+'FSL Output - With BUMN'!N252)</f>
        <v>-74.819000000000003</v>
      </c>
      <c r="O889" s="159">
        <f>-('FSL Output - With BUMN'!O250+'FSL Output - With BUMN'!O251+'FSL Output - With BUMN'!O252)</f>
        <v>-58.554000000000002</v>
      </c>
      <c r="P889" s="159">
        <f>-('FSL Output - With BUMN'!P250+'FSL Output - With BUMN'!P251+'FSL Output - With BUMN'!P252)</f>
        <v>-42.289000000000001</v>
      </c>
      <c r="Q889" s="159">
        <f>-('FSL Output - With BUMN'!Q250+'FSL Output - With BUMN'!Q251+'FSL Output - With BUMN'!Q252)</f>
        <v>-26.024000000000001</v>
      </c>
      <c r="R889" s="159">
        <f>-('FSL Output - With BUMN'!R250+'FSL Output - With BUMN'!R251+'FSL Output - With BUMN'!R252)</f>
        <v>-9.7590000000000003</v>
      </c>
      <c r="S889" s="159">
        <f>-('FSL Output - With BUMN'!S250+'FSL Output - With BUMN'!S251+'FSL Output - With BUMN'!S252)</f>
        <v>0</v>
      </c>
      <c r="T889" s="159">
        <f>-('FSL Output - With BUMN'!T250+'FSL Output - With BUMN'!T251+'FSL Output - With BUMN'!T252)</f>
        <v>0</v>
      </c>
    </row>
    <row r="890" spans="2:20" x14ac:dyDescent="0.25">
      <c r="B890" s="23" t="s">
        <v>3445</v>
      </c>
      <c r="C890" s="28" t="s">
        <v>493</v>
      </c>
      <c r="G890" s="159">
        <f>-'FSL Output - With BUMN'!G253</f>
        <v>-55.924464057122997</v>
      </c>
      <c r="H890" s="159">
        <f>-'FSL Output - With BUMN'!H253</f>
        <v>-55.924464057122997</v>
      </c>
      <c r="I890" s="159">
        <f>-'FSL Output - With BUMN'!I253</f>
        <v>-55.924464057122997</v>
      </c>
      <c r="J890" s="159">
        <f>-'FSL Output - With BUMN'!J253</f>
        <v>-55.924464057122997</v>
      </c>
      <c r="K890" s="159">
        <f>-'FSL Output - With BUMN'!K253</f>
        <v>-55.924464057122997</v>
      </c>
      <c r="L890" s="159">
        <f>-'FSL Output - With BUMN'!L253</f>
        <v>-55.924464057122997</v>
      </c>
      <c r="M890" s="159">
        <f>-'FSL Output - With BUMN'!M253</f>
        <v>-55.924464057122997</v>
      </c>
      <c r="N890" s="159">
        <f>-'FSL Output - With BUMN'!N253</f>
        <v>-55.924464057122997</v>
      </c>
      <c r="O890" s="159">
        <f>-'FSL Output - With BUMN'!O253</f>
        <v>-55.924464057122997</v>
      </c>
      <c r="P890" s="159">
        <f>-'FSL Output - With BUMN'!P253</f>
        <v>-55.924464057122997</v>
      </c>
      <c r="Q890" s="159">
        <f>-'FSL Output - With BUMN'!Q253</f>
        <v>-55.924464057122997</v>
      </c>
      <c r="R890" s="159">
        <f>-'FSL Output - With BUMN'!R253</f>
        <v>-55.924464057122997</v>
      </c>
      <c r="S890" s="159">
        <f>-'FSL Output - With BUMN'!S253</f>
        <v>-55.924464057122997</v>
      </c>
      <c r="T890" s="159">
        <f>-'FSL Output - With BUMN'!T253</f>
        <v>-55.924464057122997</v>
      </c>
    </row>
    <row r="891" spans="2:20" x14ac:dyDescent="0.25">
      <c r="B891" s="21" t="s">
        <v>3446</v>
      </c>
      <c r="C891" s="28" t="s">
        <v>493</v>
      </c>
      <c r="G891" s="160">
        <f t="shared" ref="G891:T891" si="3">G885+G886+G887+G888+G889+G890</f>
        <v>968.32874425112982</v>
      </c>
      <c r="H891" s="160">
        <f t="shared" si="3"/>
        <v>1002.4252656861463</v>
      </c>
      <c r="I891" s="160">
        <f t="shared" si="3"/>
        <v>1078.9306091879632</v>
      </c>
      <c r="J891" s="160">
        <f t="shared" si="3"/>
        <v>1200.5969572811532</v>
      </c>
      <c r="K891" s="160">
        <f t="shared" si="3"/>
        <v>1465.9594723264067</v>
      </c>
      <c r="L891" s="160">
        <f t="shared" si="3"/>
        <v>1661.9457549235483</v>
      </c>
      <c r="M891" s="160">
        <f t="shared" si="3"/>
        <v>1887.0618373600598</v>
      </c>
      <c r="N891" s="160">
        <f t="shared" si="3"/>
        <v>2129.0325090967272</v>
      </c>
      <c r="O891" s="160">
        <f t="shared" si="3"/>
        <v>2397.6315465653947</v>
      </c>
      <c r="P891" s="160">
        <f t="shared" si="3"/>
        <v>2683.6603573001271</v>
      </c>
      <c r="Q891" s="160">
        <f t="shared" si="3"/>
        <v>2996.7238507449965</v>
      </c>
      <c r="R891" s="160">
        <f t="shared" si="3"/>
        <v>3325.8536642561794</v>
      </c>
      <c r="S891" s="160">
        <f t="shared" si="3"/>
        <v>3653.7361777546312</v>
      </c>
      <c r="T891" s="160">
        <f t="shared" si="3"/>
        <v>3994.99706565525</v>
      </c>
    </row>
    <row r="892" spans="2:20" x14ac:dyDescent="0.25">
      <c r="B892" s="21" t="s">
        <v>3447</v>
      </c>
      <c r="C892" s="28" t="s">
        <v>493</v>
      </c>
      <c r="G892" s="160">
        <f>'FSL Output - With BUMN'!G260+'FSL Output - With BUMN'!G263</f>
        <v>968.32874425112959</v>
      </c>
      <c r="H892" s="160">
        <f>'FSL Output - With BUMN'!H260+'FSL Output - With BUMN'!H263</f>
        <v>1002.4252656861463</v>
      </c>
      <c r="I892" s="160">
        <f>'FSL Output - With BUMN'!I260+'FSL Output - With BUMN'!I263</f>
        <v>1078.9306091879632</v>
      </c>
      <c r="J892" s="160">
        <f>'FSL Output - With BUMN'!J260+'FSL Output - With BUMN'!J263</f>
        <v>1200.5969572811532</v>
      </c>
      <c r="K892" s="160">
        <f>'FSL Output - With BUMN'!K260+'FSL Output - With BUMN'!K263</f>
        <v>1465.959472326407</v>
      </c>
      <c r="L892" s="160">
        <f>'FSL Output - With BUMN'!L260+'FSL Output - With BUMN'!L263</f>
        <v>1661.9457549235481</v>
      </c>
      <c r="M892" s="160">
        <f>'FSL Output - With BUMN'!M260+'FSL Output - With BUMN'!M263</f>
        <v>1887.0618373600596</v>
      </c>
      <c r="N892" s="160">
        <f>'FSL Output - With BUMN'!N260+'FSL Output - With BUMN'!N263</f>
        <v>2129.0325090967267</v>
      </c>
      <c r="O892" s="160">
        <f>'FSL Output - With BUMN'!O260+'FSL Output - With BUMN'!O263</f>
        <v>2397.6315465653943</v>
      </c>
      <c r="P892" s="160">
        <f>'FSL Output - With BUMN'!P260+'FSL Output - With BUMN'!P263</f>
        <v>2683.6603573001271</v>
      </c>
      <c r="Q892" s="160">
        <f>'FSL Output - With BUMN'!Q260+'FSL Output - With BUMN'!Q263</f>
        <v>2996.7238507449961</v>
      </c>
      <c r="R892" s="160">
        <f>'FSL Output - With BUMN'!R260+'FSL Output - With BUMN'!R263</f>
        <v>3325.8536642561794</v>
      </c>
      <c r="S892" s="160">
        <f>'FSL Output - With BUMN'!S260+'FSL Output - With BUMN'!S263</f>
        <v>3653.7361777546303</v>
      </c>
      <c r="T892" s="160">
        <f>'FSL Output - With BUMN'!T260+'FSL Output - With BUMN'!T263</f>
        <v>3994.99706565525</v>
      </c>
    </row>
    <row r="893" spans="2:20" ht="26.25" customHeight="1" x14ac:dyDescent="0.25">
      <c r="B893" s="64" t="s">
        <v>3448</v>
      </c>
      <c r="C893" s="28" t="s">
        <v>493</v>
      </c>
      <c r="H893" s="161">
        <f t="shared" ref="H893:T893" si="4">ROUND(ABS(H868-H869)+ABS(H870+H871-H872)+ABS(H873+H874+H875-H876)+ABS(H877+H878-H879)+ABS(H880-H881)+ABS(H891-H892),6)</f>
        <v>0</v>
      </c>
      <c r="I893" s="161">
        <f t="shared" si="4"/>
        <v>0</v>
      </c>
      <c r="J893" s="161">
        <f t="shared" si="4"/>
        <v>0</v>
      </c>
      <c r="K893" s="161">
        <f t="shared" si="4"/>
        <v>0</v>
      </c>
      <c r="L893" s="161">
        <f t="shared" si="4"/>
        <v>0</v>
      </c>
      <c r="M893" s="161">
        <f t="shared" si="4"/>
        <v>0</v>
      </c>
      <c r="N893" s="161">
        <f t="shared" si="4"/>
        <v>0</v>
      </c>
      <c r="O893" s="161">
        <f t="shared" si="4"/>
        <v>0</v>
      </c>
      <c r="P893" s="161">
        <f t="shared" si="4"/>
        <v>0</v>
      </c>
      <c r="Q893" s="161">
        <f t="shared" si="4"/>
        <v>0</v>
      </c>
      <c r="R893" s="161">
        <f t="shared" si="4"/>
        <v>0</v>
      </c>
      <c r="S893" s="161">
        <f t="shared" si="4"/>
        <v>0</v>
      </c>
      <c r="T893" s="161">
        <f t="shared" si="4"/>
        <v>0</v>
      </c>
    </row>
    <row r="895" spans="2:20" x14ac:dyDescent="0.25">
      <c r="B895" s="58" t="s">
        <v>3449</v>
      </c>
      <c r="C895" s="19"/>
      <c r="D895" s="19"/>
      <c r="E895" s="19"/>
      <c r="F895" s="19"/>
      <c r="G895" s="19"/>
      <c r="H895" s="19"/>
      <c r="I895" s="19"/>
      <c r="J895" s="19"/>
      <c r="K895" s="19"/>
      <c r="L895" s="19"/>
      <c r="M895" s="19"/>
      <c r="N895" s="19"/>
      <c r="O895" s="19"/>
      <c r="P895" s="19"/>
      <c r="Q895" s="19"/>
      <c r="R895" s="19"/>
      <c r="S895" s="19"/>
      <c r="T895" s="19"/>
    </row>
    <row r="896" spans="2:20" x14ac:dyDescent="0.25">
      <c r="B896" s="23" t="s">
        <v>3423</v>
      </c>
      <c r="C896" s="28" t="s">
        <v>493</v>
      </c>
      <c r="H896" s="159">
        <f>'Revenue Calculation'!H41+'Revenue Calculation'!H47+'Revenue Calculation'!H53+'Revenue Calculation'!H92+'Revenue Calculation'!H99+'Revenue Calculation'!H104+'Revenue Calculation'!H111+'Revenue Calculation'!H115+'Revenue Calculation'!H122+'Revenue Calculation'!H129+'Revenue Calculation'!H133+'Revenue Calculation'!H137+'Revenue Calculation'!H140+'Revenue Calculation'!H143+'Revenue Calculation'!H146+'Revenue Calculation'!H157+'Revenue Calculation'!H163+'Revenue Calculation'!H167+'Revenue Calculation'!H171+'Revenue Calculation'!H186</f>
        <v>305.28863657531394</v>
      </c>
      <c r="I896" s="159">
        <f>'Revenue Calculation'!I41+'Revenue Calculation'!I47+'Revenue Calculation'!I53+'Revenue Calculation'!I92+'Revenue Calculation'!I99+'Revenue Calculation'!I104+'Revenue Calculation'!I111+'Revenue Calculation'!I115+'Revenue Calculation'!I122+'Revenue Calculation'!I129+'Revenue Calculation'!I133+'Revenue Calculation'!I137+'Revenue Calculation'!I140+'Revenue Calculation'!I143+'Revenue Calculation'!I146+'Revenue Calculation'!I157+'Revenue Calculation'!I163+'Revenue Calculation'!I167+'Revenue Calculation'!I171+'Revenue Calculation'!I186</f>
        <v>427.60286647031643</v>
      </c>
      <c r="J896" s="159">
        <f>'Revenue Calculation'!J41+'Revenue Calculation'!J47+'Revenue Calculation'!J53+'Revenue Calculation'!J92+'Revenue Calculation'!J99+'Revenue Calculation'!J104+'Revenue Calculation'!J111+'Revenue Calculation'!J115+'Revenue Calculation'!J122+'Revenue Calculation'!J129+'Revenue Calculation'!J133+'Revenue Calculation'!J137+'Revenue Calculation'!J140+'Revenue Calculation'!J143+'Revenue Calculation'!J146+'Revenue Calculation'!J157+'Revenue Calculation'!J163+'Revenue Calculation'!J167+'Revenue Calculation'!J171+'Revenue Calculation'!J186</f>
        <v>494.57107893833955</v>
      </c>
      <c r="K896" s="159">
        <f>'Revenue Calculation'!K41+'Revenue Calculation'!K47+'Revenue Calculation'!K53+'Revenue Calculation'!K92+'Revenue Calculation'!K99+'Revenue Calculation'!K104+'Revenue Calculation'!K111+'Revenue Calculation'!K115+'Revenue Calculation'!K122+'Revenue Calculation'!K129+'Revenue Calculation'!K133+'Revenue Calculation'!K137+'Revenue Calculation'!K140+'Revenue Calculation'!K143+'Revenue Calculation'!K146+'Revenue Calculation'!K157+'Revenue Calculation'!K163+'Revenue Calculation'!K167+'Revenue Calculation'!K171+'Revenue Calculation'!K186</f>
        <v>619.9263584366729</v>
      </c>
      <c r="L896" s="159">
        <f>'Revenue Calculation'!L41+'Revenue Calculation'!L47+'Revenue Calculation'!L53+'Revenue Calculation'!L92+'Revenue Calculation'!L99+'Revenue Calculation'!L104+'Revenue Calculation'!L111+'Revenue Calculation'!L115+'Revenue Calculation'!L122+'Revenue Calculation'!L129+'Revenue Calculation'!L133+'Revenue Calculation'!L137+'Revenue Calculation'!L140+'Revenue Calculation'!L143+'Revenue Calculation'!L146+'Revenue Calculation'!L157+'Revenue Calculation'!L163+'Revenue Calculation'!L167+'Revenue Calculation'!L171+'Revenue Calculation'!L186</f>
        <v>702.0290807220257</v>
      </c>
      <c r="M896" s="159">
        <f>'Revenue Calculation'!M41+'Revenue Calculation'!M47+'Revenue Calculation'!M53+'Revenue Calculation'!M92+'Revenue Calculation'!M99+'Revenue Calculation'!M104+'Revenue Calculation'!M111+'Revenue Calculation'!M115+'Revenue Calculation'!M122+'Revenue Calculation'!M129+'Revenue Calculation'!M133+'Revenue Calculation'!M137+'Revenue Calculation'!M140+'Revenue Calculation'!M143+'Revenue Calculation'!M146+'Revenue Calculation'!M157+'Revenue Calculation'!M163+'Revenue Calculation'!M167+'Revenue Calculation'!M171+'Revenue Calculation'!M186</f>
        <v>804.94933230341951</v>
      </c>
      <c r="N896" s="159">
        <f>'Revenue Calculation'!N41+'Revenue Calculation'!N47+'Revenue Calculation'!N53+'Revenue Calculation'!N92+'Revenue Calculation'!N99+'Revenue Calculation'!N104+'Revenue Calculation'!N111+'Revenue Calculation'!N115+'Revenue Calculation'!N122+'Revenue Calculation'!N129+'Revenue Calculation'!N133+'Revenue Calculation'!N137+'Revenue Calculation'!N140+'Revenue Calculation'!N143+'Revenue Calculation'!N146+'Revenue Calculation'!N157+'Revenue Calculation'!N163+'Revenue Calculation'!N167+'Revenue Calculation'!N171+'Revenue Calculation'!N186</f>
        <v>847.58023325860427</v>
      </c>
      <c r="O896" s="159">
        <f>'Revenue Calculation'!O41+'Revenue Calculation'!O47+'Revenue Calculation'!O53+'Revenue Calculation'!O92+'Revenue Calculation'!O99+'Revenue Calculation'!O104+'Revenue Calculation'!O111+'Revenue Calculation'!O115+'Revenue Calculation'!O122+'Revenue Calculation'!O129+'Revenue Calculation'!O133+'Revenue Calculation'!O137+'Revenue Calculation'!O140+'Revenue Calculation'!O143+'Revenue Calculation'!O146+'Revenue Calculation'!O157+'Revenue Calculation'!O163+'Revenue Calculation'!O167+'Revenue Calculation'!O171+'Revenue Calculation'!O186</f>
        <v>912.56713833723222</v>
      </c>
      <c r="P896" s="159">
        <f>'Revenue Calculation'!P41+'Revenue Calculation'!P47+'Revenue Calculation'!P53+'Revenue Calculation'!P92+'Revenue Calculation'!P99+'Revenue Calculation'!P104+'Revenue Calculation'!P111+'Revenue Calculation'!P115+'Revenue Calculation'!P122+'Revenue Calculation'!P129+'Revenue Calculation'!P133+'Revenue Calculation'!P137+'Revenue Calculation'!P140+'Revenue Calculation'!P143+'Revenue Calculation'!P146+'Revenue Calculation'!P157+'Revenue Calculation'!P163+'Revenue Calculation'!P167+'Revenue Calculation'!P171+'Revenue Calculation'!P186</f>
        <v>957.04967478467086</v>
      </c>
      <c r="Q896" s="159">
        <f>'Revenue Calculation'!Q41+'Revenue Calculation'!Q47+'Revenue Calculation'!Q53+'Revenue Calculation'!Q92+'Revenue Calculation'!Q99+'Revenue Calculation'!Q104+'Revenue Calculation'!Q111+'Revenue Calculation'!Q115+'Revenue Calculation'!Q122+'Revenue Calculation'!Q129+'Revenue Calculation'!Q133+'Revenue Calculation'!Q137+'Revenue Calculation'!Q140+'Revenue Calculation'!Q143+'Revenue Calculation'!Q146+'Revenue Calculation'!Q157+'Revenue Calculation'!Q163+'Revenue Calculation'!Q167+'Revenue Calculation'!Q171+'Revenue Calculation'!Q186</f>
        <v>1020.5710032712389</v>
      </c>
      <c r="R896" s="159">
        <f>'Revenue Calculation'!R41+'Revenue Calculation'!R47+'Revenue Calculation'!R53+'Revenue Calculation'!R92+'Revenue Calculation'!R99+'Revenue Calculation'!R104+'Revenue Calculation'!R111+'Revenue Calculation'!R115+'Revenue Calculation'!R122+'Revenue Calculation'!R129+'Revenue Calculation'!R133+'Revenue Calculation'!R137+'Revenue Calculation'!R140+'Revenue Calculation'!R143+'Revenue Calculation'!R146+'Revenue Calculation'!R157+'Revenue Calculation'!R163+'Revenue Calculation'!R167+'Revenue Calculation'!R171+'Revenue Calculation'!R186</f>
        <v>1040.4225308410098</v>
      </c>
      <c r="S896" s="159">
        <f>'Revenue Calculation'!S41+'Revenue Calculation'!S47+'Revenue Calculation'!S53+'Revenue Calculation'!S92+'Revenue Calculation'!S99+'Revenue Calculation'!S104+'Revenue Calculation'!S111+'Revenue Calculation'!S115+'Revenue Calculation'!S122+'Revenue Calculation'!S129+'Revenue Calculation'!S133+'Revenue Calculation'!S137+'Revenue Calculation'!S140+'Revenue Calculation'!S143+'Revenue Calculation'!S146+'Revenue Calculation'!S157+'Revenue Calculation'!S163+'Revenue Calculation'!S167+'Revenue Calculation'!S171+'Revenue Calculation'!S186</f>
        <v>1053.0588613636462</v>
      </c>
      <c r="T896" s="159">
        <f>'Revenue Calculation'!T41+'Revenue Calculation'!T47+'Revenue Calculation'!T53+'Revenue Calculation'!T92+'Revenue Calculation'!T99+'Revenue Calculation'!T104+'Revenue Calculation'!T111+'Revenue Calculation'!T115+'Revenue Calculation'!T122+'Revenue Calculation'!T129+'Revenue Calculation'!T133+'Revenue Calculation'!T137+'Revenue Calculation'!T140+'Revenue Calculation'!T143+'Revenue Calculation'!T146+'Revenue Calculation'!T157+'Revenue Calculation'!T163+'Revenue Calculation'!T167+'Revenue Calculation'!T171+'Revenue Calculation'!T186</f>
        <v>1089.1435003447618</v>
      </c>
    </row>
    <row r="897" spans="2:20" x14ac:dyDescent="0.25">
      <c r="B897" s="21" t="s">
        <v>3424</v>
      </c>
      <c r="C897" s="28" t="s">
        <v>493</v>
      </c>
      <c r="H897" s="26">
        <f>'FSL Output - Without BUMN'!H9</f>
        <v>305.28863657531394</v>
      </c>
      <c r="I897" s="26">
        <f>'FSL Output - Without BUMN'!I9</f>
        <v>427.60286647031643</v>
      </c>
      <c r="J897" s="26">
        <f>'FSL Output - Without BUMN'!J9</f>
        <v>494.5710789383395</v>
      </c>
      <c r="K897" s="26">
        <f>'FSL Output - Without BUMN'!K9</f>
        <v>619.9263584366729</v>
      </c>
      <c r="L897" s="26">
        <f>'FSL Output - Without BUMN'!L9</f>
        <v>702.02908072202558</v>
      </c>
      <c r="M897" s="26">
        <f>'FSL Output - Without BUMN'!M9</f>
        <v>804.94933230341962</v>
      </c>
      <c r="N897" s="26">
        <f>'FSL Output - Without BUMN'!N9</f>
        <v>847.58023325860461</v>
      </c>
      <c r="O897" s="26">
        <f>'FSL Output - Without BUMN'!O9</f>
        <v>912.56713833723211</v>
      </c>
      <c r="P897" s="26">
        <f>'FSL Output - Without BUMN'!P9</f>
        <v>957.04967478467086</v>
      </c>
      <c r="Q897" s="26">
        <f>'FSL Output - Without BUMN'!Q9</f>
        <v>1020.571003271239</v>
      </c>
      <c r="R897" s="26">
        <f>'FSL Output - Without BUMN'!R9</f>
        <v>1040.4225308410098</v>
      </c>
      <c r="S897" s="26">
        <f>'FSL Output - Without BUMN'!S9</f>
        <v>1053.0588613636462</v>
      </c>
      <c r="T897" s="26">
        <f>'FSL Output - Without BUMN'!T9</f>
        <v>1089.1435003447618</v>
      </c>
    </row>
    <row r="898" spans="2:20" x14ac:dyDescent="0.25">
      <c r="B898" s="23" t="s">
        <v>3425</v>
      </c>
      <c r="C898" s="28" t="s">
        <v>493</v>
      </c>
      <c r="H898" s="159">
        <f>'Cost Calculation'!H35+'Cost Calculation'!H66+'Cost Calculation'!H94+'Cost Calculation'!H131+'Cost Calculation'!H137+'Cost Calculation'!H141+'Cost Calculation'!H145+'Cost Calculation'!H149+'Cost Calculation'!H153+'Cost Calculation'!H157+'Cost Calculation'!H161+'Cost Calculation'!H165+'Cost Calculation'!H168+'Cost Calculation'!H171+'Cost Calculation'!H174+'Cost Calculation'!H178+'Cost Calculation'!H186+'Cost Calculation'!H192+'Cost Calculation'!H198+'Cost Calculation'!H214</f>
        <v>154.23547540286305</v>
      </c>
      <c r="I898" s="159">
        <f>'Cost Calculation'!I35+'Cost Calculation'!I66+'Cost Calculation'!I94+'Cost Calculation'!I131+'Cost Calculation'!I137+'Cost Calculation'!I141+'Cost Calculation'!I145+'Cost Calculation'!I149+'Cost Calculation'!I153+'Cost Calculation'!I157+'Cost Calculation'!I161+'Cost Calculation'!I165+'Cost Calculation'!I168+'Cost Calculation'!I171+'Cost Calculation'!I174+'Cost Calculation'!I178+'Cost Calculation'!I186+'Cost Calculation'!I192+'Cost Calculation'!I198+'Cost Calculation'!I214</f>
        <v>263.55853377872427</v>
      </c>
      <c r="J898" s="159">
        <f>'Cost Calculation'!J35+'Cost Calculation'!J66+'Cost Calculation'!J94+'Cost Calculation'!J131+'Cost Calculation'!J137+'Cost Calculation'!J141+'Cost Calculation'!J145+'Cost Calculation'!J149+'Cost Calculation'!J153+'Cost Calculation'!J157+'Cost Calculation'!J161+'Cost Calculation'!J165+'Cost Calculation'!J168+'Cost Calculation'!J171+'Cost Calculation'!J174+'Cost Calculation'!J178+'Cost Calculation'!J186+'Cost Calculation'!J192+'Cost Calculation'!J198+'Cost Calculation'!J214</f>
        <v>309.17211498131741</v>
      </c>
      <c r="K898" s="159">
        <f>'Cost Calculation'!K35+'Cost Calculation'!K66+'Cost Calculation'!K94+'Cost Calculation'!K131+'Cost Calculation'!K137+'Cost Calculation'!K141+'Cost Calculation'!K145+'Cost Calculation'!K149+'Cost Calculation'!K153+'Cost Calculation'!K157+'Cost Calculation'!K161+'Cost Calculation'!K165+'Cost Calculation'!K168+'Cost Calculation'!K171+'Cost Calculation'!K174+'Cost Calculation'!K178+'Cost Calculation'!K186+'Cost Calculation'!K192+'Cost Calculation'!K198+'Cost Calculation'!K214</f>
        <v>388.7967383541656</v>
      </c>
      <c r="L898" s="159">
        <f>'Cost Calculation'!L35+'Cost Calculation'!L66+'Cost Calculation'!L94+'Cost Calculation'!L131+'Cost Calculation'!L137+'Cost Calculation'!L141+'Cost Calculation'!L145+'Cost Calculation'!L149+'Cost Calculation'!L153+'Cost Calculation'!L157+'Cost Calculation'!L161+'Cost Calculation'!L165+'Cost Calculation'!L168+'Cost Calculation'!L171+'Cost Calculation'!L174+'Cost Calculation'!L178+'Cost Calculation'!L186+'Cost Calculation'!L192+'Cost Calculation'!L198+'Cost Calculation'!L214</f>
        <v>434.07015977164167</v>
      </c>
      <c r="M898" s="159">
        <f>'Cost Calculation'!M35+'Cost Calculation'!M66+'Cost Calculation'!M94+'Cost Calculation'!M131+'Cost Calculation'!M137+'Cost Calculation'!M141+'Cost Calculation'!M145+'Cost Calculation'!M149+'Cost Calculation'!M153+'Cost Calculation'!M157+'Cost Calculation'!M161+'Cost Calculation'!M165+'Cost Calculation'!M168+'Cost Calculation'!M171+'Cost Calculation'!M174+'Cost Calculation'!M178+'Cost Calculation'!M186+'Cost Calculation'!M192+'Cost Calculation'!M198+'Cost Calculation'!M214</f>
        <v>501.38673276302256</v>
      </c>
      <c r="N898" s="159">
        <f>'Cost Calculation'!N35+'Cost Calculation'!N66+'Cost Calculation'!N94+'Cost Calculation'!N131+'Cost Calculation'!N137+'Cost Calculation'!N141+'Cost Calculation'!N145+'Cost Calculation'!N149+'Cost Calculation'!N153+'Cost Calculation'!N157+'Cost Calculation'!N161+'Cost Calculation'!N165+'Cost Calculation'!N168+'Cost Calculation'!N171+'Cost Calculation'!N174+'Cost Calculation'!N178+'Cost Calculation'!N186+'Cost Calculation'!N192+'Cost Calculation'!N198+'Cost Calculation'!N214</f>
        <v>527.30946379193892</v>
      </c>
      <c r="O898" s="159">
        <f>'Cost Calculation'!O35+'Cost Calculation'!O66+'Cost Calculation'!O94+'Cost Calculation'!O131+'Cost Calculation'!O137+'Cost Calculation'!O141+'Cost Calculation'!O145+'Cost Calculation'!O149+'Cost Calculation'!O153+'Cost Calculation'!O157+'Cost Calculation'!O161+'Cost Calculation'!O165+'Cost Calculation'!O168+'Cost Calculation'!O171+'Cost Calculation'!O174+'Cost Calculation'!O178+'Cost Calculation'!O186+'Cost Calculation'!O192+'Cost Calculation'!O198+'Cost Calculation'!O214</f>
        <v>572.53759347796142</v>
      </c>
      <c r="P898" s="159">
        <f>'Cost Calculation'!P35+'Cost Calculation'!P66+'Cost Calculation'!P94+'Cost Calculation'!P131+'Cost Calculation'!P137+'Cost Calculation'!P141+'Cost Calculation'!P145+'Cost Calculation'!P149+'Cost Calculation'!P153+'Cost Calculation'!P157+'Cost Calculation'!P161+'Cost Calculation'!P165+'Cost Calculation'!P168+'Cost Calculation'!P171+'Cost Calculation'!P174+'Cost Calculation'!P178+'Cost Calculation'!P186+'Cost Calculation'!P192+'Cost Calculation'!P198+'Cost Calculation'!P214</f>
        <v>601.12829815384794</v>
      </c>
      <c r="Q898" s="159">
        <f>'Cost Calculation'!Q35+'Cost Calculation'!Q66+'Cost Calculation'!Q94+'Cost Calculation'!Q131+'Cost Calculation'!Q137+'Cost Calculation'!Q141+'Cost Calculation'!Q145+'Cost Calculation'!Q149+'Cost Calculation'!Q153+'Cost Calculation'!Q157+'Cost Calculation'!Q161+'Cost Calculation'!Q165+'Cost Calculation'!Q168+'Cost Calculation'!Q171+'Cost Calculation'!Q174+'Cost Calculation'!Q178+'Cost Calculation'!Q186+'Cost Calculation'!Q192+'Cost Calculation'!Q198+'Cost Calculation'!Q214</f>
        <v>645.91594735916897</v>
      </c>
      <c r="R898" s="159">
        <f>'Cost Calculation'!R35+'Cost Calculation'!R66+'Cost Calculation'!R94+'Cost Calculation'!R131+'Cost Calculation'!R137+'Cost Calculation'!R141+'Cost Calculation'!R145+'Cost Calculation'!R149+'Cost Calculation'!R153+'Cost Calculation'!R157+'Cost Calculation'!R161+'Cost Calculation'!R165+'Cost Calculation'!R168+'Cost Calculation'!R171+'Cost Calculation'!R174+'Cost Calculation'!R178+'Cost Calculation'!R186+'Cost Calculation'!R192+'Cost Calculation'!R198+'Cost Calculation'!R214</f>
        <v>665.03591763409611</v>
      </c>
      <c r="S898" s="159">
        <f>'Cost Calculation'!S35+'Cost Calculation'!S66+'Cost Calculation'!S94+'Cost Calculation'!S131+'Cost Calculation'!S137+'Cost Calculation'!S141+'Cost Calculation'!S145+'Cost Calculation'!S149+'Cost Calculation'!S153+'Cost Calculation'!S157+'Cost Calculation'!S161+'Cost Calculation'!S165+'Cost Calculation'!S168+'Cost Calculation'!S171+'Cost Calculation'!S174+'Cost Calculation'!S178+'Cost Calculation'!S186+'Cost Calculation'!S192+'Cost Calculation'!S198+'Cost Calculation'!S214</f>
        <v>662.06064789334516</v>
      </c>
      <c r="T898" s="159">
        <f>'Cost Calculation'!T35+'Cost Calculation'!T66+'Cost Calculation'!T94+'Cost Calculation'!T131+'Cost Calculation'!T137+'Cost Calculation'!T141+'Cost Calculation'!T145+'Cost Calculation'!T149+'Cost Calculation'!T153+'Cost Calculation'!T157+'Cost Calculation'!T161+'Cost Calculation'!T165+'Cost Calculation'!T168+'Cost Calculation'!T171+'Cost Calculation'!T174+'Cost Calculation'!T178+'Cost Calculation'!T186+'Cost Calculation'!T192+'Cost Calculation'!T198+'Cost Calculation'!T214</f>
        <v>682.70554293696023</v>
      </c>
    </row>
    <row r="899" spans="2:20" x14ac:dyDescent="0.25">
      <c r="B899" s="23" t="s">
        <v>3426</v>
      </c>
      <c r="C899" s="28" t="s">
        <v>493</v>
      </c>
      <c r="H899" s="159">
        <f>-'Cost Calculation'!H299</f>
        <v>0</v>
      </c>
      <c r="I899" s="159">
        <f>-'Cost Calculation'!I299</f>
        <v>0</v>
      </c>
      <c r="J899" s="159">
        <f>-'Cost Calculation'!J299</f>
        <v>0</v>
      </c>
      <c r="K899" s="159">
        <f>-'Cost Calculation'!K299</f>
        <v>0</v>
      </c>
      <c r="L899" s="159">
        <f>-'Cost Calculation'!L299</f>
        <v>0</v>
      </c>
      <c r="M899" s="159">
        <f>-'Cost Calculation'!M299</f>
        <v>0</v>
      </c>
      <c r="N899" s="159">
        <f>-'Cost Calculation'!N299</f>
        <v>0</v>
      </c>
      <c r="O899" s="159">
        <f>-'Cost Calculation'!O299</f>
        <v>0</v>
      </c>
      <c r="P899" s="159">
        <f>-'Cost Calculation'!P299</f>
        <v>0</v>
      </c>
      <c r="Q899" s="159">
        <f>-'Cost Calculation'!Q299</f>
        <v>0</v>
      </c>
      <c r="R899" s="159">
        <f>-'Cost Calculation'!R299</f>
        <v>0</v>
      </c>
      <c r="S899" s="159">
        <f>-'Cost Calculation'!S299</f>
        <v>0</v>
      </c>
      <c r="T899" s="159">
        <f>-'Cost Calculation'!T299</f>
        <v>0</v>
      </c>
    </row>
    <row r="900" spans="2:20" x14ac:dyDescent="0.25">
      <c r="B900" s="21" t="s">
        <v>3427</v>
      </c>
      <c r="C900" s="28" t="s">
        <v>493</v>
      </c>
      <c r="H900" s="26">
        <f>'FSL Output - Without BUMN'!H16</f>
        <v>154.23547540286305</v>
      </c>
      <c r="I900" s="26">
        <f>'FSL Output - Without BUMN'!I16</f>
        <v>263.55853377872427</v>
      </c>
      <c r="J900" s="26">
        <f>'FSL Output - Without BUMN'!J16</f>
        <v>309.17211498131735</v>
      </c>
      <c r="K900" s="26">
        <f>'FSL Output - Without BUMN'!K16</f>
        <v>388.79673835416565</v>
      </c>
      <c r="L900" s="26">
        <f>'FSL Output - Without BUMN'!L16</f>
        <v>434.07015977164167</v>
      </c>
      <c r="M900" s="26">
        <f>'FSL Output - Without BUMN'!M16</f>
        <v>501.38673276302262</v>
      </c>
      <c r="N900" s="26">
        <f>'FSL Output - Without BUMN'!N16</f>
        <v>527.30946379193892</v>
      </c>
      <c r="O900" s="26">
        <f>'FSL Output - Without BUMN'!O16</f>
        <v>572.53759347796131</v>
      </c>
      <c r="P900" s="26">
        <f>'FSL Output - Without BUMN'!P16</f>
        <v>601.12829815384794</v>
      </c>
      <c r="Q900" s="26">
        <f>'FSL Output - Without BUMN'!Q16</f>
        <v>645.91594735916885</v>
      </c>
      <c r="R900" s="26">
        <f>'FSL Output - Without BUMN'!R16</f>
        <v>665.03591763409622</v>
      </c>
      <c r="S900" s="26">
        <f>'FSL Output - Without BUMN'!S16</f>
        <v>662.0606478933455</v>
      </c>
      <c r="T900" s="26">
        <f>'FSL Output - Without BUMN'!T16</f>
        <v>682.70554293696023</v>
      </c>
    </row>
    <row r="901" spans="2:20" x14ac:dyDescent="0.25">
      <c r="B901" s="23" t="s">
        <v>3428</v>
      </c>
      <c r="C901" s="28" t="s">
        <v>493</v>
      </c>
      <c r="H901" s="159">
        <f>'Project Cash Flows'!H59+'Project Cash Flows'!H72+'Project Cash Flows'!H85+'Project Cash Flows'!H98+'Project Cash Flows'!H111+'Project Cash Flows'!H124+'Project Cash Flows'!H137+'Project Cash Flows'!H150+'Project Cash Flows'!H163+'Project Cash Flows'!H176+'Project Cash Flows'!H189+'Project Cash Flows'!H202+'Project Cash Flows'!H215+'Project Cash Flows'!H228+'Project Cash Flows'!H241+'Project Cash Flows'!H293+'Project Cash Flows'!H306+'Project Cash Flows'!H319+'Project Cash Flows'!H332+'Project Cash Flows'!H345</f>
        <v>40.429223963838901</v>
      </c>
      <c r="I901" s="159">
        <f>'Project Cash Flows'!I59+'Project Cash Flows'!I72+'Project Cash Flows'!I85+'Project Cash Flows'!I98+'Project Cash Flows'!I111+'Project Cash Flows'!I124+'Project Cash Flows'!I137+'Project Cash Flows'!I150+'Project Cash Flows'!I163+'Project Cash Flows'!I176+'Project Cash Flows'!I189+'Project Cash Flows'!I202+'Project Cash Flows'!I215+'Project Cash Flows'!I228+'Project Cash Flows'!I241+'Project Cash Flows'!I293+'Project Cash Flows'!I306+'Project Cash Flows'!I319+'Project Cash Flows'!I332+'Project Cash Flows'!I345</f>
        <v>100.67365608004293</v>
      </c>
      <c r="J901" s="159">
        <f>'Project Cash Flows'!J59+'Project Cash Flows'!J72+'Project Cash Flows'!J85+'Project Cash Flows'!J98+'Project Cash Flows'!J111+'Project Cash Flows'!J124+'Project Cash Flows'!J137+'Project Cash Flows'!J150+'Project Cash Flows'!J163+'Project Cash Flows'!J176+'Project Cash Flows'!J189+'Project Cash Flows'!J202+'Project Cash Flows'!J215+'Project Cash Flows'!J228+'Project Cash Flows'!J241+'Project Cash Flows'!J293+'Project Cash Flows'!J306+'Project Cash Flows'!J319+'Project Cash Flows'!J332+'Project Cash Flows'!J345</f>
        <v>116.48833079806087</v>
      </c>
      <c r="K901" s="159">
        <f>'Project Cash Flows'!K59+'Project Cash Flows'!K72+'Project Cash Flows'!K85+'Project Cash Flows'!K98+'Project Cash Flows'!K111+'Project Cash Flows'!K124+'Project Cash Flows'!K137+'Project Cash Flows'!K150+'Project Cash Flows'!K163+'Project Cash Flows'!K176+'Project Cash Flows'!K189+'Project Cash Flows'!K202+'Project Cash Flows'!K215+'Project Cash Flows'!K228+'Project Cash Flows'!K241+'Project Cash Flows'!K293+'Project Cash Flows'!K306+'Project Cash Flows'!K319+'Project Cash Flows'!K332+'Project Cash Flows'!K345</f>
        <v>187.31590497221657</v>
      </c>
      <c r="L901" s="159">
        <f>'Project Cash Flows'!L59+'Project Cash Flows'!L72+'Project Cash Flows'!L85+'Project Cash Flows'!L98+'Project Cash Flows'!L111+'Project Cash Flows'!L124+'Project Cash Flows'!L137+'Project Cash Flows'!L150+'Project Cash Flows'!L163+'Project Cash Flows'!L176+'Project Cash Flows'!L189+'Project Cash Flows'!L202+'Project Cash Flows'!L215+'Project Cash Flows'!L228+'Project Cash Flows'!L241+'Project Cash Flows'!L293+'Project Cash Flows'!L306+'Project Cash Flows'!L319+'Project Cash Flows'!L332+'Project Cash Flows'!L345</f>
        <v>220.03097835465812</v>
      </c>
      <c r="M901" s="159">
        <f>'Project Cash Flows'!M59+'Project Cash Flows'!M72+'Project Cash Flows'!M85+'Project Cash Flows'!M98+'Project Cash Flows'!M111+'Project Cash Flows'!M124+'Project Cash Flows'!M137+'Project Cash Flows'!M150+'Project Cash Flows'!M163+'Project Cash Flows'!M176+'Project Cash Flows'!M189+'Project Cash Flows'!M202+'Project Cash Flows'!M215+'Project Cash Flows'!M228+'Project Cash Flows'!M241+'Project Cash Flows'!M293+'Project Cash Flows'!M306+'Project Cash Flows'!M319+'Project Cash Flows'!M332+'Project Cash Flows'!M345</f>
        <v>259.57455937984361</v>
      </c>
      <c r="N901" s="159">
        <f>'Project Cash Flows'!N59+'Project Cash Flows'!N72+'Project Cash Flows'!N85+'Project Cash Flows'!N98+'Project Cash Flows'!N111+'Project Cash Flows'!N124+'Project Cash Flows'!N137+'Project Cash Flows'!N150+'Project Cash Flows'!N163+'Project Cash Flows'!N176+'Project Cash Flows'!N189+'Project Cash Flows'!N202+'Project Cash Flows'!N215+'Project Cash Flows'!N228+'Project Cash Flows'!N241+'Project Cash Flows'!N293+'Project Cash Flows'!N306+'Project Cash Flows'!N319+'Project Cash Flows'!N332+'Project Cash Flows'!N345</f>
        <v>281.68894985192151</v>
      </c>
      <c r="O901" s="159">
        <f>'Project Cash Flows'!O59+'Project Cash Flows'!O72+'Project Cash Flows'!O85+'Project Cash Flows'!O98+'Project Cash Flows'!O111+'Project Cash Flows'!O124+'Project Cash Flows'!O137+'Project Cash Flows'!O150+'Project Cash Flows'!O163+'Project Cash Flows'!O176+'Project Cash Flows'!O189+'Project Cash Flows'!O202+'Project Cash Flows'!O215+'Project Cash Flows'!O228+'Project Cash Flows'!O241+'Project Cash Flows'!O293+'Project Cash Flows'!O306+'Project Cash Flows'!O319+'Project Cash Flows'!O332+'Project Cash Flows'!O345</f>
        <v>317.52141537889787</v>
      </c>
      <c r="P901" s="159">
        <f>'Project Cash Flows'!P59+'Project Cash Flows'!P72+'Project Cash Flows'!P85+'Project Cash Flows'!P98+'Project Cash Flows'!P111+'Project Cash Flows'!P124+'Project Cash Flows'!P137+'Project Cash Flows'!P150+'Project Cash Flows'!P163+'Project Cash Flows'!P176+'Project Cash Flows'!P189+'Project Cash Flows'!P202+'Project Cash Flows'!P215+'Project Cash Flows'!P228+'Project Cash Flows'!P241+'Project Cash Flows'!P293+'Project Cash Flows'!P306+'Project Cash Flows'!P319+'Project Cash Flows'!P332+'Project Cash Flows'!P345</f>
        <v>339.56272659922479</v>
      </c>
      <c r="Q901" s="159">
        <f>'Project Cash Flows'!Q59+'Project Cash Flows'!Q72+'Project Cash Flows'!Q85+'Project Cash Flows'!Q98+'Project Cash Flows'!Q111+'Project Cash Flows'!Q124+'Project Cash Flows'!Q137+'Project Cash Flows'!Q150+'Project Cash Flows'!Q163+'Project Cash Flows'!Q176+'Project Cash Flows'!Q189+'Project Cash Flows'!Q202+'Project Cash Flows'!Q215+'Project Cash Flows'!Q228+'Project Cash Flows'!Q241+'Project Cash Flows'!Q293+'Project Cash Flows'!Q306+'Project Cash Flows'!Q319+'Project Cash Flows'!Q332+'Project Cash Flows'!Q345</f>
        <v>375.84613800226913</v>
      </c>
      <c r="R901" s="159">
        <f>'Project Cash Flows'!R59+'Project Cash Flows'!R72+'Project Cash Flows'!R85+'Project Cash Flows'!R98+'Project Cash Flows'!R111+'Project Cash Flows'!R124+'Project Cash Flows'!R137+'Project Cash Flows'!R150+'Project Cash Flows'!R163+'Project Cash Flows'!R176+'Project Cash Flows'!R189+'Project Cash Flows'!R202+'Project Cash Flows'!R215+'Project Cash Flows'!R228+'Project Cash Flows'!R241+'Project Cash Flows'!R293+'Project Cash Flows'!R306+'Project Cash Flows'!R319+'Project Cash Flows'!R332+'Project Cash Flows'!R345</f>
        <v>396.40381767158971</v>
      </c>
      <c r="S901" s="159">
        <f>'Project Cash Flows'!S59+'Project Cash Flows'!S72+'Project Cash Flows'!S85+'Project Cash Flows'!S98+'Project Cash Flows'!S111+'Project Cash Flows'!S124+'Project Cash Flows'!S137+'Project Cash Flows'!S150+'Project Cash Flows'!S163+'Project Cash Flows'!S176+'Project Cash Flows'!S189+'Project Cash Flows'!S202+'Project Cash Flows'!S215+'Project Cash Flows'!S228+'Project Cash Flows'!S241+'Project Cash Flows'!S293+'Project Cash Flows'!S306+'Project Cash Flows'!S319+'Project Cash Flows'!S332+'Project Cash Flows'!S345</f>
        <v>392.42158054435049</v>
      </c>
      <c r="T901" s="159">
        <f>'Project Cash Flows'!T59+'Project Cash Flows'!T72+'Project Cash Flows'!T85+'Project Cash Flows'!T98+'Project Cash Flows'!T111+'Project Cash Flows'!T124+'Project Cash Flows'!T137+'Project Cash Flows'!T150+'Project Cash Flows'!T163+'Project Cash Flows'!T176+'Project Cash Flows'!T189+'Project Cash Flows'!T202+'Project Cash Flows'!T215+'Project Cash Flows'!T228+'Project Cash Flows'!T241+'Project Cash Flows'!T293+'Project Cash Flows'!T306+'Project Cash Flows'!T319+'Project Cash Flows'!T332+'Project Cash Flows'!T345</f>
        <v>409.29172303822048</v>
      </c>
    </row>
    <row r="902" spans="2:20" ht="26.25" customHeight="1" x14ac:dyDescent="0.25">
      <c r="B902" s="64" t="s">
        <v>3429</v>
      </c>
      <c r="C902" s="28" t="s">
        <v>493</v>
      </c>
      <c r="H902" s="159">
        <f>'FSL Output - Without BUMN'!H15+'FSL Output - Without BUMN'!H19-Financing!H42+'FSL Output - Without BUMN'!H21+'FSL Output - Without BUMN'!H22</f>
        <v>0</v>
      </c>
      <c r="I902" s="159">
        <f>'FSL Output - Without BUMN'!I15+'FSL Output - Without BUMN'!I19-Financing!I42+'FSL Output - Without BUMN'!I21+'FSL Output - Without BUMN'!I22</f>
        <v>0</v>
      </c>
      <c r="J902" s="159">
        <f>'FSL Output - Without BUMN'!J15+'FSL Output - Without BUMN'!J19-Financing!J42+'FSL Output - Without BUMN'!J21+'FSL Output - Without BUMN'!J22</f>
        <v>0</v>
      </c>
      <c r="K902" s="159">
        <f>'FSL Output - Without BUMN'!K15+'FSL Output - Without BUMN'!K19-Financing!K42+'FSL Output - Without BUMN'!K21+'FSL Output - Without BUMN'!K22</f>
        <v>0</v>
      </c>
      <c r="L902" s="159">
        <f>'FSL Output - Without BUMN'!L15+'FSL Output - Without BUMN'!L19-Financing!L42+'FSL Output - Without BUMN'!L21+'FSL Output - Without BUMN'!L22</f>
        <v>0</v>
      </c>
      <c r="M902" s="159">
        <f>'FSL Output - Without BUMN'!M15+'FSL Output - Without BUMN'!M19-Financing!M42+'FSL Output - Without BUMN'!M21+'FSL Output - Without BUMN'!M22</f>
        <v>0</v>
      </c>
      <c r="N902" s="159">
        <f>'FSL Output - Without BUMN'!N15+'FSL Output - Without BUMN'!N19-Financing!N42+'FSL Output - Without BUMN'!N21+'FSL Output - Without BUMN'!N22</f>
        <v>0</v>
      </c>
      <c r="O902" s="159">
        <f>'FSL Output - Without BUMN'!O15+'FSL Output - Without BUMN'!O19-Financing!O42+'FSL Output - Without BUMN'!O21+'FSL Output - Without BUMN'!O22</f>
        <v>0</v>
      </c>
      <c r="P902" s="159">
        <f>'FSL Output - Without BUMN'!P15+'FSL Output - Without BUMN'!P19-Financing!P42+'FSL Output - Without BUMN'!P21+'FSL Output - Without BUMN'!P22</f>
        <v>0</v>
      </c>
      <c r="Q902" s="159">
        <f>'FSL Output - Without BUMN'!Q15+'FSL Output - Without BUMN'!Q19-Financing!Q42+'FSL Output - Without BUMN'!Q21+'FSL Output - Without BUMN'!Q22</f>
        <v>0</v>
      </c>
      <c r="R902" s="159">
        <f>'FSL Output - Without BUMN'!R15+'FSL Output - Without BUMN'!R19-Financing!R42+'FSL Output - Without BUMN'!R21+'FSL Output - Without BUMN'!R22</f>
        <v>0</v>
      </c>
      <c r="S902" s="159">
        <f>'FSL Output - Without BUMN'!S15+'FSL Output - Without BUMN'!S19-Financing!S42+'FSL Output - Without BUMN'!S21+'FSL Output - Without BUMN'!S22</f>
        <v>0</v>
      </c>
      <c r="T902" s="159">
        <f>'FSL Output - Without BUMN'!T15+'FSL Output - Without BUMN'!T19-Financing!T42+'FSL Output - Without BUMN'!T21+'FSL Output - Without BUMN'!T22</f>
        <v>0</v>
      </c>
    </row>
    <row r="903" spans="2:20" ht="26.25" customHeight="1" x14ac:dyDescent="0.25">
      <c r="B903" s="64" t="s">
        <v>3430</v>
      </c>
      <c r="C903" s="28" t="s">
        <v>493</v>
      </c>
      <c r="H903" s="159">
        <f>('Project Cash Flows'!H58+'Project Cash Flows'!H71+'Project Cash Flows'!H84+'Project Cash Flows'!H97+'Project Cash Flows'!H110+'Project Cash Flows'!H123+'Project Cash Flows'!H136+'Project Cash Flows'!H149+'Project Cash Flows'!H162+'Project Cash Flows'!H175+'Project Cash Flows'!H188+'Project Cash Flows'!H201+'Project Cash Flows'!H214+'Project Cash Flows'!H227+'Project Cash Flows'!H240+'Project Cash Flows'!H292+'Project Cash Flows'!H305+'Project Cash Flows'!H318+'Project Cash Flows'!H331+'Project Cash Flows'!H344)-'FSL Output - Without BUMN'!H179</f>
        <v>0</v>
      </c>
      <c r="I903" s="159">
        <f>('Project Cash Flows'!I58+'Project Cash Flows'!I71+'Project Cash Flows'!I84+'Project Cash Flows'!I97+'Project Cash Flows'!I110+'Project Cash Flows'!I123+'Project Cash Flows'!I136+'Project Cash Flows'!I149+'Project Cash Flows'!I162+'Project Cash Flows'!I175+'Project Cash Flows'!I188+'Project Cash Flows'!I201+'Project Cash Flows'!I214+'Project Cash Flows'!I227+'Project Cash Flows'!I240+'Project Cash Flows'!I292+'Project Cash Flows'!I305+'Project Cash Flows'!I318+'Project Cash Flows'!I331+'Project Cash Flows'!I344)-'FSL Output - Without BUMN'!I179</f>
        <v>0</v>
      </c>
      <c r="J903" s="159">
        <f>('Project Cash Flows'!J58+'Project Cash Flows'!J71+'Project Cash Flows'!J84+'Project Cash Flows'!J97+'Project Cash Flows'!J110+'Project Cash Flows'!J123+'Project Cash Flows'!J136+'Project Cash Flows'!J149+'Project Cash Flows'!J162+'Project Cash Flows'!J175+'Project Cash Flows'!J188+'Project Cash Flows'!J201+'Project Cash Flows'!J214+'Project Cash Flows'!J227+'Project Cash Flows'!J240+'Project Cash Flows'!J292+'Project Cash Flows'!J305+'Project Cash Flows'!J318+'Project Cash Flows'!J331+'Project Cash Flows'!J344)-'FSL Output - Without BUMN'!J179</f>
        <v>2.9859598999999903</v>
      </c>
      <c r="K903" s="159">
        <f>('Project Cash Flows'!K58+'Project Cash Flows'!K71+'Project Cash Flows'!K84+'Project Cash Flows'!K97+'Project Cash Flows'!K110+'Project Cash Flows'!K123+'Project Cash Flows'!K136+'Project Cash Flows'!K149+'Project Cash Flows'!K162+'Project Cash Flows'!K175+'Project Cash Flows'!K188+'Project Cash Flows'!K201+'Project Cash Flows'!K214+'Project Cash Flows'!K227+'Project Cash Flows'!K240+'Project Cash Flows'!K292+'Project Cash Flows'!K305+'Project Cash Flows'!K318+'Project Cash Flows'!K331+'Project Cash Flows'!K344)-'FSL Output - Without BUMN'!K179</f>
        <v>1.2303592334219928</v>
      </c>
      <c r="L903" s="159">
        <f>('Project Cash Flows'!L58+'Project Cash Flows'!L71+'Project Cash Flows'!L84+'Project Cash Flows'!L97+'Project Cash Flows'!L110+'Project Cash Flows'!L123+'Project Cash Flows'!L136+'Project Cash Flows'!L149+'Project Cash Flows'!L162+'Project Cash Flows'!L175+'Project Cash Flows'!L188+'Project Cash Flows'!L201+'Project Cash Flows'!L214+'Project Cash Flows'!L227+'Project Cash Flows'!L240+'Project Cash Flows'!L292+'Project Cash Flows'!L305+'Project Cash Flows'!L318+'Project Cash Flows'!L331+'Project Cash Flows'!L344)-'FSL Output - Without BUMN'!L179</f>
        <v>0.72571193740765239</v>
      </c>
      <c r="M903" s="159">
        <f>('Project Cash Flows'!M58+'Project Cash Flows'!M71+'Project Cash Flows'!M84+'Project Cash Flows'!M97+'Project Cash Flows'!M110+'Project Cash Flows'!M123+'Project Cash Flows'!M136+'Project Cash Flows'!M149+'Project Cash Flows'!M162+'Project Cash Flows'!M175+'Project Cash Flows'!M188+'Project Cash Flows'!M201+'Project Cash Flows'!M214+'Project Cash Flows'!M227+'Project Cash Flows'!M240+'Project Cash Flows'!M292+'Project Cash Flows'!M305+'Project Cash Flows'!M318+'Project Cash Flows'!M331+'Project Cash Flows'!M344)-'FSL Output - Without BUMN'!M179</f>
        <v>0.19240258460439463</v>
      </c>
      <c r="N903" s="159">
        <f>('Project Cash Flows'!N58+'Project Cash Flows'!N71+'Project Cash Flows'!N84+'Project Cash Flows'!N97+'Project Cash Flows'!N110+'Project Cash Flows'!N123+'Project Cash Flows'!N136+'Project Cash Flows'!N149+'Project Cash Flows'!N162+'Project Cash Flows'!N175+'Project Cash Flows'!N188+'Project Cash Flows'!N201+'Project Cash Flows'!N214+'Project Cash Flows'!N227+'Project Cash Flows'!N240+'Project Cash Flows'!N292+'Project Cash Flows'!N305+'Project Cash Flows'!N318+'Project Cash Flows'!N331+'Project Cash Flows'!N344)-'FSL Output - Without BUMN'!N179</f>
        <v>0</v>
      </c>
      <c r="O903" s="159">
        <f>('Project Cash Flows'!O58+'Project Cash Flows'!O71+'Project Cash Flows'!O84+'Project Cash Flows'!O97+'Project Cash Flows'!O110+'Project Cash Flows'!O123+'Project Cash Flows'!O136+'Project Cash Flows'!O149+'Project Cash Flows'!O162+'Project Cash Flows'!O175+'Project Cash Flows'!O188+'Project Cash Flows'!O201+'Project Cash Flows'!O214+'Project Cash Flows'!O227+'Project Cash Flows'!O240+'Project Cash Flows'!O292+'Project Cash Flows'!O305+'Project Cash Flows'!O318+'Project Cash Flows'!O331+'Project Cash Flows'!O344)-'FSL Output - Without BUMN'!O179</f>
        <v>0</v>
      </c>
      <c r="P903" s="159">
        <f>('Project Cash Flows'!P58+'Project Cash Flows'!P71+'Project Cash Flows'!P84+'Project Cash Flows'!P97+'Project Cash Flows'!P110+'Project Cash Flows'!P123+'Project Cash Flows'!P136+'Project Cash Flows'!P149+'Project Cash Flows'!P162+'Project Cash Flows'!P175+'Project Cash Flows'!P188+'Project Cash Flows'!P201+'Project Cash Flows'!P214+'Project Cash Flows'!P227+'Project Cash Flows'!P240+'Project Cash Flows'!P292+'Project Cash Flows'!P305+'Project Cash Flows'!P318+'Project Cash Flows'!P331+'Project Cash Flows'!P344)-'FSL Output - Without BUMN'!P179</f>
        <v>0</v>
      </c>
      <c r="Q903" s="159">
        <f>('Project Cash Flows'!Q58+'Project Cash Flows'!Q71+'Project Cash Flows'!Q84+'Project Cash Flows'!Q97+'Project Cash Flows'!Q110+'Project Cash Flows'!Q123+'Project Cash Flows'!Q136+'Project Cash Flows'!Q149+'Project Cash Flows'!Q162+'Project Cash Flows'!Q175+'Project Cash Flows'!Q188+'Project Cash Flows'!Q201+'Project Cash Flows'!Q214+'Project Cash Flows'!Q227+'Project Cash Flows'!Q240+'Project Cash Flows'!Q292+'Project Cash Flows'!Q305+'Project Cash Flows'!Q318+'Project Cash Flows'!Q331+'Project Cash Flows'!Q344)-'FSL Output - Without BUMN'!Q179</f>
        <v>0</v>
      </c>
      <c r="R903" s="159">
        <f>('Project Cash Flows'!R58+'Project Cash Flows'!R71+'Project Cash Flows'!R84+'Project Cash Flows'!R97+'Project Cash Flows'!R110+'Project Cash Flows'!R123+'Project Cash Flows'!R136+'Project Cash Flows'!R149+'Project Cash Flows'!R162+'Project Cash Flows'!R175+'Project Cash Flows'!R188+'Project Cash Flows'!R201+'Project Cash Flows'!R214+'Project Cash Flows'!R227+'Project Cash Flows'!R240+'Project Cash Flows'!R292+'Project Cash Flows'!R305+'Project Cash Flows'!R318+'Project Cash Flows'!R331+'Project Cash Flows'!R344)-'FSL Output - Without BUMN'!R179</f>
        <v>0</v>
      </c>
      <c r="S903" s="159">
        <f>('Project Cash Flows'!S58+'Project Cash Flows'!S71+'Project Cash Flows'!S84+'Project Cash Flows'!S97+'Project Cash Flows'!S110+'Project Cash Flows'!S123+'Project Cash Flows'!S136+'Project Cash Flows'!S149+'Project Cash Flows'!S162+'Project Cash Flows'!S175+'Project Cash Flows'!S188+'Project Cash Flows'!S201+'Project Cash Flows'!S214+'Project Cash Flows'!S227+'Project Cash Flows'!S240+'Project Cash Flows'!S292+'Project Cash Flows'!S305+'Project Cash Flows'!S318+'Project Cash Flows'!S331+'Project Cash Flows'!S344)-'FSL Output - Without BUMN'!S179</f>
        <v>2.9859598999999974</v>
      </c>
      <c r="T903" s="159">
        <f>('Project Cash Flows'!T58+'Project Cash Flows'!T71+'Project Cash Flows'!T84+'Project Cash Flows'!T97+'Project Cash Flows'!T110+'Project Cash Flows'!T123+'Project Cash Flows'!T136+'Project Cash Flows'!T149+'Project Cash Flows'!T162+'Project Cash Flows'!T175+'Project Cash Flows'!T188+'Project Cash Flows'!T201+'Project Cash Flows'!T214+'Project Cash Flows'!T227+'Project Cash Flows'!T240+'Project Cash Flows'!T292+'Project Cash Flows'!T305+'Project Cash Flows'!T318+'Project Cash Flows'!T331+'Project Cash Flows'!T344)-'FSL Output - Without BUMN'!T179</f>
        <v>2.9859598999999974</v>
      </c>
    </row>
    <row r="904" spans="2:20" x14ac:dyDescent="0.25">
      <c r="B904" s="21" t="s">
        <v>3431</v>
      </c>
      <c r="C904" s="28" t="s">
        <v>493</v>
      </c>
      <c r="H904" s="26">
        <f>'FSL Output - Without BUMN'!H26</f>
        <v>40.429223963838908</v>
      </c>
      <c r="I904" s="26">
        <f>'FSL Output - Without BUMN'!I26</f>
        <v>100.67365608004286</v>
      </c>
      <c r="J904" s="26">
        <f>'FSL Output - Without BUMN'!J26</f>
        <v>119.4742906980608</v>
      </c>
      <c r="K904" s="26">
        <f>'FSL Output - Without BUMN'!K26</f>
        <v>188.54626420563858</v>
      </c>
      <c r="L904" s="26">
        <f>'FSL Output - Without BUMN'!L26</f>
        <v>220.75669029206574</v>
      </c>
      <c r="M904" s="26">
        <f>'FSL Output - Without BUMN'!M26</f>
        <v>259.76696196444806</v>
      </c>
      <c r="N904" s="26">
        <f>'FSL Output - Without BUMN'!N26</f>
        <v>281.68894985192134</v>
      </c>
      <c r="O904" s="26">
        <f>'FSL Output - Without BUMN'!O26</f>
        <v>317.5214153788977</v>
      </c>
      <c r="P904" s="26">
        <f>'FSL Output - Without BUMN'!P26</f>
        <v>339.56272659922496</v>
      </c>
      <c r="Q904" s="26">
        <f>'FSL Output - Without BUMN'!Q26</f>
        <v>375.84613800226924</v>
      </c>
      <c r="R904" s="26">
        <f>'FSL Output - Without BUMN'!R26</f>
        <v>396.40381767158982</v>
      </c>
      <c r="S904" s="26">
        <f>'FSL Output - Without BUMN'!S26</f>
        <v>395.40754044435056</v>
      </c>
      <c r="T904" s="26">
        <f>'FSL Output - Without BUMN'!T26</f>
        <v>412.27768293822038</v>
      </c>
    </row>
    <row r="905" spans="2:20" x14ac:dyDescent="0.25">
      <c r="B905" s="23" t="s">
        <v>3432</v>
      </c>
      <c r="C905" s="28" t="s">
        <v>493</v>
      </c>
      <c r="H905" s="29">
        <f>'Project Cash Flows'!H417</f>
        <v>-18.458283227188701</v>
      </c>
      <c r="I905" s="29">
        <f>'Project Cash Flows'!I417</f>
        <v>196.1722315230071</v>
      </c>
      <c r="J905" s="29">
        <f>'Project Cash Flows'!J417</f>
        <v>-164.43171919825159</v>
      </c>
      <c r="K905" s="29">
        <f>'Project Cash Flows'!K417</f>
        <v>90.8740064522446</v>
      </c>
      <c r="L905" s="29">
        <f>'Project Cash Flows'!L417</f>
        <v>261.95719223171716</v>
      </c>
      <c r="M905" s="29">
        <f>'Project Cash Flows'!M417</f>
        <v>414.5688325873794</v>
      </c>
      <c r="N905" s="29">
        <f>'Project Cash Flows'!N417</f>
        <v>441.65387420069703</v>
      </c>
      <c r="O905" s="29">
        <f>'Project Cash Flows'!O417</f>
        <v>474.29106024696785</v>
      </c>
      <c r="P905" s="29">
        <f>'Project Cash Flows'!P417</f>
        <v>499.73173890875739</v>
      </c>
      <c r="Q905" s="29">
        <f>'Project Cash Flows'!Q417</f>
        <v>531.76689501220119</v>
      </c>
      <c r="R905" s="29">
        <f>'Project Cash Flows'!R417</f>
        <v>549.8405446078259</v>
      </c>
      <c r="S905" s="29">
        <f>'Project Cash Flows'!S417</f>
        <v>546.50179127002605</v>
      </c>
      <c r="T905" s="29">
        <f>'Project Cash Flows'!T417</f>
        <v>560.16606046295976</v>
      </c>
    </row>
    <row r="906" spans="2:20" ht="26.25" customHeight="1" x14ac:dyDescent="0.25">
      <c r="B906" s="64" t="s">
        <v>3433</v>
      </c>
      <c r="C906" s="28" t="s">
        <v>493</v>
      </c>
      <c r="H906" s="159">
        <f>'Project Cash Flows'!H418+'Project Cash Flows'!H419+'Project Cash Flows'!H420</f>
        <v>30.328014017095104</v>
      </c>
      <c r="I906" s="159">
        <f>'Project Cash Flows'!I418+'Project Cash Flows'!I419+'Project Cash Flows'!I420</f>
        <v>0</v>
      </c>
      <c r="J906" s="159">
        <f>'Project Cash Flows'!J418+'Project Cash Flows'!J419+'Project Cash Flows'!J420</f>
        <v>2.9859598999999903</v>
      </c>
      <c r="K906" s="159">
        <f>'Project Cash Flows'!K418+'Project Cash Flows'!K419+'Project Cash Flows'!K420</f>
        <v>1.2303592334219928</v>
      </c>
      <c r="L906" s="159">
        <f>'Project Cash Flows'!L418+'Project Cash Flows'!L419+'Project Cash Flows'!L420</f>
        <v>0.72571193740765239</v>
      </c>
      <c r="M906" s="159">
        <f>'Project Cash Flows'!M418+'Project Cash Flows'!M419+'Project Cash Flows'!M420</f>
        <v>0.19240258460439463</v>
      </c>
      <c r="N906" s="159">
        <f>'Project Cash Flows'!N418+'Project Cash Flows'!N419+'Project Cash Flows'!N420</f>
        <v>0</v>
      </c>
      <c r="O906" s="159">
        <f>'Project Cash Flows'!O418+'Project Cash Flows'!O419+'Project Cash Flows'!O420</f>
        <v>-4.1744385725905886E-14</v>
      </c>
      <c r="P906" s="159">
        <f>'Project Cash Flows'!P418+'Project Cash Flows'!P419+'Project Cash Flows'!P420</f>
        <v>2.4868995751603507E-14</v>
      </c>
      <c r="Q906" s="159">
        <f>'Project Cash Flows'!Q418+'Project Cash Flows'!Q419+'Project Cash Flows'!Q420</f>
        <v>2.8421709430404007E-14</v>
      </c>
      <c r="R906" s="159">
        <f>'Project Cash Flows'!R418+'Project Cash Flows'!R419+'Project Cash Flows'!R420</f>
        <v>0.51981068748258474</v>
      </c>
      <c r="S906" s="159">
        <f>'Project Cash Flows'!S418+'Project Cash Flows'!S419+'Project Cash Flows'!S420</f>
        <v>2.9859599000000241</v>
      </c>
      <c r="T906" s="159">
        <f>'Project Cash Flows'!T418+'Project Cash Flows'!T419+'Project Cash Flows'!T420</f>
        <v>2.985959899999957</v>
      </c>
    </row>
    <row r="907" spans="2:20" x14ac:dyDescent="0.25">
      <c r="B907" s="21" t="s">
        <v>3434</v>
      </c>
      <c r="C907" s="28" t="s">
        <v>493</v>
      </c>
      <c r="H907" s="26">
        <f>'Valuation — Without BUMN'!H42</f>
        <v>11.86973078990642</v>
      </c>
      <c r="I907" s="26">
        <f>'Valuation — Without BUMN'!I42</f>
        <v>196.1722315230071</v>
      </c>
      <c r="J907" s="26">
        <f>'Valuation — Without BUMN'!J42</f>
        <v>-161.44575929825157</v>
      </c>
      <c r="K907" s="26">
        <f>'Valuation — Without BUMN'!K42</f>
        <v>92.104365685666693</v>
      </c>
      <c r="L907" s="26">
        <f>'Valuation — Without BUMN'!L42</f>
        <v>262.68290416912492</v>
      </c>
      <c r="M907" s="26">
        <f>'Valuation — Without BUMN'!M42</f>
        <v>414.76123517198391</v>
      </c>
      <c r="N907" s="26">
        <f>'Valuation — Without BUMN'!N42</f>
        <v>441.65387420069686</v>
      </c>
      <c r="O907" s="26">
        <f>'Valuation — Without BUMN'!O42</f>
        <v>474.29106024696762</v>
      </c>
      <c r="P907" s="26">
        <f>'Valuation — Without BUMN'!P42</f>
        <v>499.73173890875745</v>
      </c>
      <c r="Q907" s="26">
        <f>'Valuation — Without BUMN'!Q42</f>
        <v>531.76689501220142</v>
      </c>
      <c r="R907" s="26">
        <f>'Valuation — Without BUMN'!R42</f>
        <v>550.36035529530864</v>
      </c>
      <c r="S907" s="26">
        <f>'Valuation — Without BUMN'!S42</f>
        <v>549.48775117002606</v>
      </c>
      <c r="T907" s="26">
        <f>'Valuation — Without BUMN'!T42</f>
        <v>563.15202036295966</v>
      </c>
    </row>
    <row r="908" spans="2:20" x14ac:dyDescent="0.25">
      <c r="B908" s="23" t="s">
        <v>3435</v>
      </c>
      <c r="C908" s="28" t="s">
        <v>493</v>
      </c>
      <c r="H908" s="159">
        <f>'Capex &amp; Depreciation'!H258+'Capex &amp; Depreciation'!H259+'Capex &amp; Depreciation'!H260+'Capex &amp; Depreciation'!H261+'Capex &amp; Depreciation'!H262+'Capex &amp; Depreciation'!H263+'Capex &amp; Depreciation'!H264+'Capex &amp; Depreciation'!H265+'Capex &amp; Depreciation'!H266+'Capex &amp; Depreciation'!H267+'Capex &amp; Depreciation'!H268+'Capex &amp; Depreciation'!H269+'Capex &amp; Depreciation'!H270+'Capex &amp; Depreciation'!H271+'Capex &amp; Depreciation'!H272+'Capex &amp; Depreciation'!H276+'Capex &amp; Depreciation'!H277+'Capex &amp; Depreciation'!H278+'Capex &amp; Depreciation'!H279+'Capex &amp; Depreciation'!H280</f>
        <v>125.24050000000001</v>
      </c>
      <c r="I908" s="159">
        <f>'Capex &amp; Depreciation'!I258+'Capex &amp; Depreciation'!I259+'Capex &amp; Depreciation'!I260+'Capex &amp; Depreciation'!I261+'Capex &amp; Depreciation'!I262+'Capex &amp; Depreciation'!I263+'Capex &amp; Depreciation'!I264+'Capex &amp; Depreciation'!I265+'Capex &amp; Depreciation'!I266+'Capex &amp; Depreciation'!I267+'Capex &amp; Depreciation'!I268+'Capex &amp; Depreciation'!I269+'Capex &amp; Depreciation'!I270+'Capex &amp; Depreciation'!I271+'Capex &amp; Depreciation'!I272+'Capex &amp; Depreciation'!I276+'Capex &amp; Depreciation'!I277+'Capex &amp; Depreciation'!I278+'Capex &amp; Depreciation'!I279+'Capex &amp; Depreciation'!I280</f>
        <v>14.638500000000001</v>
      </c>
      <c r="J908" s="159">
        <f>'Capex &amp; Depreciation'!J258+'Capex &amp; Depreciation'!J259+'Capex &amp; Depreciation'!J260+'Capex &amp; Depreciation'!J261+'Capex &amp; Depreciation'!J262+'Capex &amp; Depreciation'!J263+'Capex &amp; Depreciation'!J264+'Capex &amp; Depreciation'!J265+'Capex &amp; Depreciation'!J266+'Capex &amp; Depreciation'!J267+'Capex &amp; Depreciation'!J268+'Capex &amp; Depreciation'!J269+'Capex &amp; Depreciation'!J270+'Capex &amp; Depreciation'!J271+'Capex &amp; Depreciation'!J272+'Capex &amp; Depreciation'!J276+'Capex &amp; Depreciation'!J277+'Capex &amp; Depreciation'!J278+'Capex &amp; Depreciation'!J279+'Capex &amp; Depreciation'!J280</f>
        <v>419.77202976190472</v>
      </c>
      <c r="K908" s="159">
        <f>'Capex &amp; Depreciation'!K258+'Capex &amp; Depreciation'!K259+'Capex &amp; Depreciation'!K260+'Capex &amp; Depreciation'!K261+'Capex &amp; Depreciation'!K262+'Capex &amp; Depreciation'!K263+'Capex &amp; Depreciation'!K264+'Capex &amp; Depreciation'!K265+'Capex &amp; Depreciation'!K266+'Capex &amp; Depreciation'!K267+'Capex &amp; Depreciation'!K268+'Capex &amp; Depreciation'!K269+'Capex &amp; Depreciation'!K270+'Capex &amp; Depreciation'!K271+'Capex &amp; Depreciation'!K272+'Capex &amp; Depreciation'!K276+'Capex &amp; Depreciation'!K277+'Capex &amp; Depreciation'!K278+'Capex &amp; Depreciation'!K279+'Capex &amp; Depreciation'!K280</f>
        <v>225.06362499999994</v>
      </c>
      <c r="L908" s="159">
        <f>'Capex &amp; Depreciation'!L258+'Capex &amp; Depreciation'!L259+'Capex &amp; Depreciation'!L260+'Capex &amp; Depreciation'!L261+'Capex &amp; Depreciation'!L262+'Capex &amp; Depreciation'!L263+'Capex &amp; Depreciation'!L264+'Capex &amp; Depreciation'!L265+'Capex &amp; Depreciation'!L266+'Capex &amp; Depreciation'!L267+'Capex &amp; Depreciation'!L268+'Capex &amp; Depreciation'!L269+'Capex &amp; Depreciation'!L270+'Capex &amp; Depreciation'!L271+'Capex &amp; Depreciation'!L272+'Capex &amp; Depreciation'!L276+'Capex &amp; Depreciation'!L277+'Capex &amp; Depreciation'!L278+'Capex &amp; Depreciation'!L279+'Capex &amp; Depreciation'!L280</f>
        <v>97.59</v>
      </c>
      <c r="M908" s="159">
        <f>'Capex &amp; Depreciation'!M258+'Capex &amp; Depreciation'!M259+'Capex &amp; Depreciation'!M260+'Capex &amp; Depreciation'!M261+'Capex &amp; Depreciation'!M262+'Capex &amp; Depreciation'!M263+'Capex &amp; Depreciation'!M264+'Capex &amp; Depreciation'!M265+'Capex &amp; Depreciation'!M266+'Capex &amp; Depreciation'!M267+'Capex &amp; Depreciation'!M268+'Capex &amp; Depreciation'!M269+'Capex &amp; Depreciation'!M270+'Capex &amp; Depreciation'!M271+'Capex &amp; Depreciation'!M272+'Capex &amp; Depreciation'!M276+'Capex &amp; Depreciation'!M277+'Capex &amp; Depreciation'!M278+'Capex &amp; Depreciation'!M279+'Capex &amp; Depreciation'!M280</f>
        <v>0</v>
      </c>
      <c r="N908" s="159">
        <f>'Capex &amp; Depreciation'!N258+'Capex &amp; Depreciation'!N259+'Capex &amp; Depreciation'!N260+'Capex &amp; Depreciation'!N261+'Capex &amp; Depreciation'!N262+'Capex &amp; Depreciation'!N263+'Capex &amp; Depreciation'!N264+'Capex &amp; Depreciation'!N265+'Capex &amp; Depreciation'!N266+'Capex &amp; Depreciation'!N267+'Capex &amp; Depreciation'!N268+'Capex &amp; Depreciation'!N269+'Capex &amp; Depreciation'!N270+'Capex &amp; Depreciation'!N271+'Capex &amp; Depreciation'!N272+'Capex &amp; Depreciation'!N276+'Capex &amp; Depreciation'!N277+'Capex &amp; Depreciation'!N278+'Capex &amp; Depreciation'!N279+'Capex &amp; Depreciation'!N280</f>
        <v>0</v>
      </c>
      <c r="O908" s="159">
        <f>'Capex &amp; Depreciation'!O258+'Capex &amp; Depreciation'!O259+'Capex &amp; Depreciation'!O260+'Capex &amp; Depreciation'!O261+'Capex &amp; Depreciation'!O262+'Capex &amp; Depreciation'!O263+'Capex &amp; Depreciation'!O264+'Capex &amp; Depreciation'!O265+'Capex &amp; Depreciation'!O266+'Capex &amp; Depreciation'!O267+'Capex &amp; Depreciation'!O268+'Capex &amp; Depreciation'!O269+'Capex &amp; Depreciation'!O270+'Capex &amp; Depreciation'!O271+'Capex &amp; Depreciation'!O272+'Capex &amp; Depreciation'!O276+'Capex &amp; Depreciation'!O277+'Capex &amp; Depreciation'!O278+'Capex &amp; Depreciation'!O279+'Capex &amp; Depreciation'!O280</f>
        <v>0</v>
      </c>
      <c r="P908" s="159">
        <f>'Capex &amp; Depreciation'!P258+'Capex &amp; Depreciation'!P259+'Capex &amp; Depreciation'!P260+'Capex &amp; Depreciation'!P261+'Capex &amp; Depreciation'!P262+'Capex &amp; Depreciation'!P263+'Capex &amp; Depreciation'!P264+'Capex &amp; Depreciation'!P265+'Capex &amp; Depreciation'!P266+'Capex &amp; Depreciation'!P267+'Capex &amp; Depreciation'!P268+'Capex &amp; Depreciation'!P269+'Capex &amp; Depreciation'!P270+'Capex &amp; Depreciation'!P271+'Capex &amp; Depreciation'!P272+'Capex &amp; Depreciation'!P276+'Capex &amp; Depreciation'!P277+'Capex &amp; Depreciation'!P278+'Capex &amp; Depreciation'!P279+'Capex &amp; Depreciation'!P280</f>
        <v>0</v>
      </c>
      <c r="Q908" s="159">
        <f>'Capex &amp; Depreciation'!Q258+'Capex &amp; Depreciation'!Q259+'Capex &amp; Depreciation'!Q260+'Capex &amp; Depreciation'!Q261+'Capex &amp; Depreciation'!Q262+'Capex &amp; Depreciation'!Q263+'Capex &amp; Depreciation'!Q264+'Capex &amp; Depreciation'!Q265+'Capex &amp; Depreciation'!Q266+'Capex &amp; Depreciation'!Q267+'Capex &amp; Depreciation'!Q268+'Capex &amp; Depreciation'!Q269+'Capex &amp; Depreciation'!Q270+'Capex &amp; Depreciation'!Q271+'Capex &amp; Depreciation'!Q272+'Capex &amp; Depreciation'!Q276+'Capex &amp; Depreciation'!Q277+'Capex &amp; Depreciation'!Q278+'Capex &amp; Depreciation'!Q279+'Capex &amp; Depreciation'!Q280</f>
        <v>0</v>
      </c>
      <c r="R908" s="159">
        <f>'Capex &amp; Depreciation'!R258+'Capex &amp; Depreciation'!R259+'Capex &amp; Depreciation'!R260+'Capex &amp; Depreciation'!R261+'Capex &amp; Depreciation'!R262+'Capex &amp; Depreciation'!R263+'Capex &amp; Depreciation'!R264+'Capex &amp; Depreciation'!R265+'Capex &amp; Depreciation'!R266+'Capex &amp; Depreciation'!R267+'Capex &amp; Depreciation'!R268+'Capex &amp; Depreciation'!R269+'Capex &amp; Depreciation'!R270+'Capex &amp; Depreciation'!R271+'Capex &amp; Depreciation'!R272+'Capex &amp; Depreciation'!R276+'Capex &amp; Depreciation'!R277+'Capex &amp; Depreciation'!R278+'Capex &amp; Depreciation'!R279+'Capex &amp; Depreciation'!R280</f>
        <v>0</v>
      </c>
      <c r="S908" s="159">
        <f>'Capex &amp; Depreciation'!S258+'Capex &amp; Depreciation'!S259+'Capex &amp; Depreciation'!S260+'Capex &amp; Depreciation'!S261+'Capex &amp; Depreciation'!S262+'Capex &amp; Depreciation'!S263+'Capex &amp; Depreciation'!S264+'Capex &amp; Depreciation'!S265+'Capex &amp; Depreciation'!S266+'Capex &amp; Depreciation'!S267+'Capex &amp; Depreciation'!S268+'Capex &amp; Depreciation'!S269+'Capex &amp; Depreciation'!S270+'Capex &amp; Depreciation'!S271+'Capex &amp; Depreciation'!S272+'Capex &amp; Depreciation'!S276+'Capex &amp; Depreciation'!S277+'Capex &amp; Depreciation'!S278+'Capex &amp; Depreciation'!S279+'Capex &amp; Depreciation'!S280</f>
        <v>0</v>
      </c>
      <c r="T908" s="159">
        <f>'Capex &amp; Depreciation'!T258+'Capex &amp; Depreciation'!T259+'Capex &amp; Depreciation'!T260+'Capex &amp; Depreciation'!T261+'Capex &amp; Depreciation'!T262+'Capex &amp; Depreciation'!T263+'Capex &amp; Depreciation'!T264+'Capex &amp; Depreciation'!T265+'Capex &amp; Depreciation'!T266+'Capex &amp; Depreciation'!T267+'Capex &amp; Depreciation'!T268+'Capex &amp; Depreciation'!T269+'Capex &amp; Depreciation'!T270+'Capex &amp; Depreciation'!T271+'Capex &amp; Depreciation'!T272+'Capex &amp; Depreciation'!T276+'Capex &amp; Depreciation'!T277+'Capex &amp; Depreciation'!T278+'Capex &amp; Depreciation'!T279+'Capex &amp; Depreciation'!T280</f>
        <v>0</v>
      </c>
    </row>
    <row r="909" spans="2:20" x14ac:dyDescent="0.25">
      <c r="B909" s="21" t="s">
        <v>3436</v>
      </c>
      <c r="C909" s="28" t="s">
        <v>493</v>
      </c>
      <c r="H909" s="26">
        <f>'Capex &amp; Depreciation'!H281</f>
        <v>125.24050000000001</v>
      </c>
      <c r="I909" s="26">
        <f>'Capex &amp; Depreciation'!I281</f>
        <v>14.638500000000001</v>
      </c>
      <c r="J909" s="26">
        <f>'Capex &amp; Depreciation'!J281</f>
        <v>419.77202976190472</v>
      </c>
      <c r="K909" s="26">
        <f>'Capex &amp; Depreciation'!K281</f>
        <v>225.06362499999994</v>
      </c>
      <c r="L909" s="26">
        <f>'Capex &amp; Depreciation'!L281</f>
        <v>97.59</v>
      </c>
      <c r="M909" s="26">
        <f>'Capex &amp; Depreciation'!M281</f>
        <v>0</v>
      </c>
      <c r="N909" s="26">
        <f>'Capex &amp; Depreciation'!N281</f>
        <v>0</v>
      </c>
      <c r="O909" s="26">
        <f>'Capex &amp; Depreciation'!O281</f>
        <v>0</v>
      </c>
      <c r="P909" s="26">
        <f>'Capex &amp; Depreciation'!P281</f>
        <v>0</v>
      </c>
      <c r="Q909" s="26">
        <f>'Capex &amp; Depreciation'!Q281</f>
        <v>0</v>
      </c>
      <c r="R909" s="26">
        <f>'Capex &amp; Depreciation'!R281</f>
        <v>0</v>
      </c>
      <c r="S909" s="26">
        <f>'Capex &amp; Depreciation'!S281</f>
        <v>0</v>
      </c>
      <c r="T909" s="26">
        <f>'Capex &amp; Depreciation'!T281</f>
        <v>0</v>
      </c>
    </row>
    <row r="910" spans="2:20" x14ac:dyDescent="0.25">
      <c r="B910" s="154" t="s">
        <v>3437</v>
      </c>
    </row>
    <row r="911" spans="2:20" ht="26.25" customHeight="1" x14ac:dyDescent="0.25">
      <c r="B911" s="64" t="s">
        <v>3438</v>
      </c>
      <c r="C911" s="28" t="s">
        <v>493</v>
      </c>
      <c r="G911" s="159">
        <f>'Capex &amp; Depreciation'!G285+'Capex &amp; Depreciation'!G286+'Capex &amp; Depreciation'!G287+'Capex &amp; Depreciation'!G288+'Capex &amp; Depreciation'!G289+'Capex &amp; Depreciation'!G290+'Capex &amp; Depreciation'!G291+'Capex &amp; Depreciation'!G292+'Capex &amp; Depreciation'!G293+'Capex &amp; Depreciation'!G294+'Capex &amp; Depreciation'!G295+'Capex &amp; Depreciation'!G296+'Capex &amp; Depreciation'!G297+'Capex &amp; Depreciation'!G298+'Capex &amp; Depreciation'!G299+'Capex &amp; Depreciation'!G303+'Capex &amp; Depreciation'!G304+'Capex &amp; Depreciation'!G305+'Capex &amp; Depreciation'!G306+'Capex &amp; Depreciation'!G307+'Capex &amp; Depreciation'!G308+'Capex &amp; Depreciation'!G309</f>
        <v>1023.4327533527071</v>
      </c>
      <c r="H911" s="159">
        <f>'Capex &amp; Depreciation'!H285+'Capex &amp; Depreciation'!H286+'Capex &amp; Depreciation'!H287+'Capex &amp; Depreciation'!H288+'Capex &amp; Depreciation'!H289+'Capex &amp; Depreciation'!H290+'Capex &amp; Depreciation'!H291+'Capex &amp; Depreciation'!H292+'Capex &amp; Depreciation'!H293+'Capex &amp; Depreciation'!H294+'Capex &amp; Depreciation'!H295+'Capex &amp; Depreciation'!H296+'Capex &amp; Depreciation'!H297+'Capex &amp; Depreciation'!H298+'Capex &amp; Depreciation'!H299+'Capex &amp; Depreciation'!H303+'Capex &amp; Depreciation'!H304+'Capex &amp; Depreciation'!H305+'Capex &amp; Depreciation'!H306+'Capex &amp; Depreciation'!H307+'Capex &amp; Depreciation'!H308+'Capex &amp; Depreciation'!H309</f>
        <v>1060.3001909437717</v>
      </c>
      <c r="I911" s="159">
        <f>'Capex &amp; Depreciation'!I285+'Capex &amp; Depreciation'!I286+'Capex &amp; Depreciation'!I287+'Capex &amp; Depreciation'!I288+'Capex &amp; Depreciation'!I289+'Capex &amp; Depreciation'!I290+'Capex &amp; Depreciation'!I291+'Capex &amp; Depreciation'!I292+'Capex &amp; Depreciation'!I293+'Capex &amp; Depreciation'!I294+'Capex &amp; Depreciation'!I295+'Capex &amp; Depreciation'!I296+'Capex &amp; Depreciation'!I297+'Capex &amp; Depreciation'!I298+'Capex &amp; Depreciation'!I299+'Capex &amp; Depreciation'!I303+'Capex &amp; Depreciation'!I304+'Capex &amp; Depreciation'!I305+'Capex &amp; Depreciation'!I306+'Capex &amp; Depreciation'!I307+'Capex &amp; Depreciation'!I308+'Capex &amp; Depreciation'!I309</f>
        <v>961.3390057617703</v>
      </c>
      <c r="J911" s="159">
        <f>'Capex &amp; Depreciation'!J285+'Capex &amp; Depreciation'!J286+'Capex &amp; Depreciation'!J287+'Capex &amp; Depreciation'!J288+'Capex &amp; Depreciation'!J289+'Capex &amp; Depreciation'!J290+'Capex &amp; Depreciation'!J291+'Capex &amp; Depreciation'!J292+'Capex &amp; Depreciation'!J293+'Capex &amp; Depreciation'!J294+'Capex &amp; Depreciation'!J295+'Capex &amp; Depreciation'!J296+'Capex &amp; Depreciation'!J297+'Capex &amp; Depreciation'!J298+'Capex &amp; Depreciation'!J299+'Capex &amp; Depreciation'!J303+'Capex &amp; Depreciation'!J304+'Capex &amp; Depreciation'!J305+'Capex &amp; Depreciation'!J306+'Capex &amp; Depreciation'!J307+'Capex &amp; Depreciation'!J308+'Capex &amp; Depreciation'!J309</f>
        <v>1246.1432316205623</v>
      </c>
      <c r="K911" s="159">
        <f>'Capex &amp; Depreciation'!K285+'Capex &amp; Depreciation'!K286+'Capex &amp; Depreciation'!K287+'Capex &amp; Depreciation'!K288+'Capex &amp; Depreciation'!K289+'Capex &amp; Depreciation'!K290+'Capex &amp; Depreciation'!K291+'Capex &amp; Depreciation'!K292+'Capex &amp; Depreciation'!K293+'Capex &amp; Depreciation'!K294+'Capex &amp; Depreciation'!K295+'Capex &amp; Depreciation'!K296+'Capex &amp; Depreciation'!K297+'Capex &amp; Depreciation'!K298+'Capex &amp; Depreciation'!K299+'Capex &amp; Depreciation'!K303+'Capex &amp; Depreciation'!K304+'Capex &amp; Depreciation'!K305+'Capex &amp; Depreciation'!K306+'Capex &amp; Depreciation'!K307+'Capex &amp; Depreciation'!K308+'Capex &amp; Depreciation'!K309</f>
        <v>1334.2655149333534</v>
      </c>
      <c r="L911" s="159">
        <f>'Capex &amp; Depreciation'!L285+'Capex &amp; Depreciation'!L286+'Capex &amp; Depreciation'!L287+'Capex &amp; Depreciation'!L288+'Capex &amp; Depreciation'!L289+'Capex &amp; Depreciation'!L290+'Capex &amp; Depreciation'!L291+'Capex &amp; Depreciation'!L292+'Capex &amp; Depreciation'!L293+'Capex &amp; Depreciation'!L294+'Capex &amp; Depreciation'!L295+'Capex &amp; Depreciation'!L296+'Capex &amp; Depreciation'!L297+'Capex &amp; Depreciation'!L298+'Capex &amp; Depreciation'!L299+'Capex &amp; Depreciation'!L303+'Capex &amp; Depreciation'!L304+'Capex &amp; Depreciation'!L305+'Capex &amp; Depreciation'!L306+'Capex &amp; Depreciation'!L307+'Capex &amp; Depreciation'!L308+'Capex &amp; Depreciation'!L309</f>
        <v>1287.6570848700178</v>
      </c>
      <c r="M911" s="159">
        <f>'Capex &amp; Depreciation'!M285+'Capex &amp; Depreciation'!M286+'Capex &amp; Depreciation'!M287+'Capex &amp; Depreciation'!M288+'Capex &amp; Depreciation'!M289+'Capex &amp; Depreciation'!M290+'Capex &amp; Depreciation'!M291+'Capex &amp; Depreciation'!M292+'Capex &amp; Depreciation'!M293+'Capex &amp; Depreciation'!M294+'Capex &amp; Depreciation'!M295+'Capex &amp; Depreciation'!M296+'Capex &amp; Depreciation'!M297+'Capex &amp; Depreciation'!M298+'Capex &amp; Depreciation'!M299+'Capex &amp; Depreciation'!M303+'Capex &amp; Depreciation'!M304+'Capex &amp; Depreciation'!M305+'Capex &amp; Depreciation'!M306+'Capex &amp; Depreciation'!M307+'Capex &amp; Depreciation'!M308+'Capex &amp; Depreciation'!M309</f>
        <v>1130.0722156630661</v>
      </c>
      <c r="N911" s="159">
        <f>'Capex &amp; Depreciation'!N285+'Capex &amp; Depreciation'!N286+'Capex &amp; Depreciation'!N287+'Capex &amp; Depreciation'!N288+'Capex &amp; Depreciation'!N289+'Capex &amp; Depreciation'!N290+'Capex &amp; Depreciation'!N291+'Capex &amp; Depreciation'!N292+'Capex &amp; Depreciation'!N293+'Capex &amp; Depreciation'!N294+'Capex &amp; Depreciation'!N295+'Capex &amp; Depreciation'!N296+'Capex &amp; Depreciation'!N297+'Capex &amp; Depreciation'!N298+'Capex &amp; Depreciation'!N299+'Capex &amp; Depreciation'!N303+'Capex &amp; Depreciation'!N304+'Capex &amp; Depreciation'!N305+'Capex &amp; Depreciation'!N306+'Capex &amp; Depreciation'!N307+'Capex &amp; Depreciation'!N308+'Capex &amp; Depreciation'!N309</f>
        <v>972.47843972059172</v>
      </c>
      <c r="O911" s="159">
        <f>'Capex &amp; Depreciation'!O285+'Capex &amp; Depreciation'!O286+'Capex &amp; Depreciation'!O287+'Capex &amp; Depreciation'!O288+'Capex &amp; Depreciation'!O289+'Capex &amp; Depreciation'!O290+'Capex &amp; Depreciation'!O291+'Capex &amp; Depreciation'!O292+'Capex &amp; Depreciation'!O293+'Capex &amp; Depreciation'!O294+'Capex &amp; Depreciation'!O295+'Capex &amp; Depreciation'!O296+'Capex &amp; Depreciation'!O297+'Capex &amp; Depreciation'!O298+'Capex &amp; Depreciation'!O299+'Capex &amp; Depreciation'!O303+'Capex &amp; Depreciation'!O304+'Capex &amp; Depreciation'!O305+'Capex &amp; Depreciation'!O306+'Capex &amp; Depreciation'!O307+'Capex &amp; Depreciation'!O308+'Capex &amp; Depreciation'!O309</f>
        <v>814.87557890788412</v>
      </c>
      <c r="P911" s="159">
        <f>'Capex &amp; Depreciation'!P285+'Capex &amp; Depreciation'!P286+'Capex &amp; Depreciation'!P287+'Capex &amp; Depreciation'!P288+'Capex &amp; Depreciation'!P289+'Capex &amp; Depreciation'!P290+'Capex &amp; Depreciation'!P291+'Capex &amp; Depreciation'!P292+'Capex &amp; Depreciation'!P293+'Capex &amp; Depreciation'!P294+'Capex &amp; Depreciation'!P295+'Capex &amp; Depreciation'!P296+'Capex &amp; Depreciation'!P297+'Capex &amp; Depreciation'!P298+'Capex &amp; Depreciation'!P299+'Capex &amp; Depreciation'!P303+'Capex &amp; Depreciation'!P304+'Capex &amp; Depreciation'!P305+'Capex &amp; Depreciation'!P306+'Capex &amp; Depreciation'!P307+'Capex &amp; Depreciation'!P308+'Capex &amp; Depreciation'!P309</f>
        <v>655.23227972740142</v>
      </c>
      <c r="Q911" s="159">
        <f>'Capex &amp; Depreciation'!Q285+'Capex &amp; Depreciation'!Q286+'Capex &amp; Depreciation'!Q287+'Capex &amp; Depreciation'!Q288+'Capex &amp; Depreciation'!Q289+'Capex &amp; Depreciation'!Q290+'Capex &amp; Depreciation'!Q291+'Capex &amp; Depreciation'!Q292+'Capex &amp; Depreciation'!Q293+'Capex &amp; Depreciation'!Q294+'Capex &amp; Depreciation'!Q295+'Capex &amp; Depreciation'!Q296+'Capex &amp; Depreciation'!Q297+'Capex &amp; Depreciation'!Q298+'Capex &amp; Depreciation'!Q299+'Capex &amp; Depreciation'!Q303+'Capex &amp; Depreciation'!Q304+'Capex &amp; Depreciation'!Q305+'Capex &amp; Depreciation'!Q306+'Capex &amp; Depreciation'!Q307+'Capex &amp; Depreciation'!Q308+'Capex &amp; Depreciation'!Q309</f>
        <v>495.61070044806496</v>
      </c>
      <c r="R911" s="159">
        <f>'Capex &amp; Depreciation'!R285+'Capex &amp; Depreciation'!R286+'Capex &amp; Depreciation'!R287+'Capex &amp; Depreciation'!R288+'Capex &amp; Depreciation'!R289+'Capex &amp; Depreciation'!R290+'Capex &amp; Depreciation'!R291+'Capex &amp; Depreciation'!R292+'Capex &amp; Depreciation'!R293+'Capex &amp; Depreciation'!R294+'Capex &amp; Depreciation'!R295+'Capex &amp; Depreciation'!R296+'Capex &amp; Depreciation'!R297+'Capex &amp; Depreciation'!R298+'Capex &amp; Depreciation'!R299+'Capex &amp; Depreciation'!R303+'Capex &amp; Depreciation'!R304+'Capex &amp; Depreciation'!R305+'Capex &amp; Depreciation'!R306+'Capex &amp; Depreciation'!R307+'Capex &amp; Depreciation'!R308+'Capex &amp; Depreciation'!R309</f>
        <v>341.51732546985312</v>
      </c>
      <c r="S911" s="159">
        <f>'Capex &amp; Depreciation'!S285+'Capex &amp; Depreciation'!S286+'Capex &amp; Depreciation'!S287+'Capex &amp; Depreciation'!S288+'Capex &amp; Depreciation'!S289+'Capex &amp; Depreciation'!S290+'Capex &amp; Depreciation'!S291+'Capex &amp; Depreciation'!S292+'Capex &amp; Depreciation'!S293+'Capex &amp; Depreciation'!S294+'Capex &amp; Depreciation'!S295+'Capex &amp; Depreciation'!S296+'Capex &amp; Depreciation'!S297+'Capex &amp; Depreciation'!S298+'Capex &amp; Depreciation'!S299+'Capex &amp; Depreciation'!S303+'Capex &amp; Depreciation'!S304+'Capex &amp; Depreciation'!S305+'Capex &amp; Depreciation'!S306+'Capex &amp; Depreciation'!S307+'Capex &amp; Depreciation'!S308+'Capex &amp; Depreciation'!S309</f>
        <v>187.41411673593137</v>
      </c>
      <c r="T911" s="159">
        <f>'Capex &amp; Depreciation'!T285+'Capex &amp; Depreciation'!T286+'Capex &amp; Depreciation'!T287+'Capex &amp; Depreciation'!T288+'Capex &amp; Depreciation'!T289+'Capex &amp; Depreciation'!T290+'Capex &amp; Depreciation'!T291+'Capex &amp; Depreciation'!T292+'Capex &amp; Depreciation'!T293+'Capex &amp; Depreciation'!T294+'Capex &amp; Depreciation'!T295+'Capex &amp; Depreciation'!T296+'Capex &amp; Depreciation'!T297+'Capex &amp; Depreciation'!T298+'Capex &amp; Depreciation'!T299+'Capex &amp; Depreciation'!T303+'Capex &amp; Depreciation'!T304+'Capex &amp; Depreciation'!T305+'Capex &amp; Depreciation'!T306+'Capex &amp; Depreciation'!T307+'Capex &amp; Depreciation'!T308+'Capex &amp; Depreciation'!T309</f>
        <v>33.269705771048592</v>
      </c>
    </row>
    <row r="912" spans="2:20" ht="26.25" customHeight="1" x14ac:dyDescent="0.25">
      <c r="B912" s="64" t="s">
        <v>3439</v>
      </c>
      <c r="C912" s="28" t="s">
        <v>493</v>
      </c>
      <c r="G912" s="159">
        <v>0</v>
      </c>
      <c r="H912" s="159">
        <f>'Working Capital'!H15+'Working Capital'!H19+'Working Capital'!H23+'Working Capital'!H27+'Working Capital'!H31+'Working Capital'!H35+'Working Capital'!H39+'Working Capital'!H43+'Working Capital'!H47+'Working Capital'!H51+'Working Capital'!H55+'Working Capital'!H59+'Working Capital'!H63+'Working Capital'!H67+'Working Capital'!H71+'Working Capital'!H87+'Working Capital'!H91+'Working Capital'!H95+'Working Capital'!H99+'Working Capital'!H103</f>
        <v>27.490975117623886</v>
      </c>
      <c r="I912" s="159">
        <f>'Working Capital'!I15+'Working Capital'!I19+'Working Capital'!I23+'Working Capital'!I27+'Working Capital'!I31+'Working Capital'!I35+'Working Capital'!I39+'Working Capital'!I43+'Working Capital'!I47+'Working Capital'!I51+'Working Capital'!I55+'Working Capital'!I59+'Working Capital'!I63+'Working Capital'!I67+'Working Capital'!I71+'Working Capital'!I87+'Working Capital'!I91+'Working Capital'!I95+'Working Capital'!I99+'Working Capital'!I103</f>
        <v>43.294153716250889</v>
      </c>
      <c r="J912" s="159">
        <f>'Working Capital'!J15+'Working Capital'!J19+'Working Capital'!J23+'Working Capital'!J27+'Working Capital'!J31+'Working Capital'!J35+'Working Capital'!J39+'Working Capital'!J43+'Working Capital'!J47+'Working Capital'!J51+'Working Capital'!J55+'Working Capital'!J59+'Working Capital'!J63+'Working Capital'!J67+'Working Capital'!J71+'Working Capital'!J87+'Working Capital'!J91+'Working Capital'!J95+'Working Capital'!J99+'Working Capital'!J103</f>
        <v>51.750546713360777</v>
      </c>
      <c r="K912" s="159">
        <f>'Working Capital'!K15+'Working Capital'!K19+'Working Capital'!K23+'Working Capital'!K27+'Working Capital'!K31+'Working Capital'!K35+'Working Capital'!K39+'Working Capital'!K43+'Working Capital'!K47+'Working Capital'!K51+'Working Capital'!K55+'Working Capital'!K59+'Working Capital'!K63+'Working Capital'!K67+'Working Capital'!K71+'Working Capital'!K87+'Working Capital'!K91+'Working Capital'!K95+'Working Capital'!K99+'Working Capital'!K103</f>
        <v>66.189731683789972</v>
      </c>
      <c r="L912" s="159">
        <f>'Working Capital'!L15+'Working Capital'!L19+'Working Capital'!L23+'Working Capital'!L27+'Working Capital'!L31+'Working Capital'!L35+'Working Capital'!L39+'Working Capital'!L43+'Working Capital'!L47+'Working Capital'!L51+'Working Capital'!L55+'Working Capital'!L59+'Working Capital'!L63+'Working Capital'!L67+'Working Capital'!L71+'Working Capital'!L87+'Working Capital'!L91+'Working Capital'!L95+'Working Capital'!L99+'Working Capital'!L103</f>
        <v>74.287597870066762</v>
      </c>
      <c r="M912" s="159">
        <f>'Working Capital'!M15+'Working Capital'!M19+'Working Capital'!M23+'Working Capital'!M27+'Working Capital'!M31+'Working Capital'!M35+'Working Capital'!M39+'Working Capital'!M43+'Working Capital'!M47+'Working Capital'!M51+'Working Capital'!M55+'Working Capital'!M59+'Working Capital'!M63+'Working Capital'!M67+'Working Capital'!M71+'Working Capital'!M87+'Working Capital'!M91+'Working Capital'!M95+'Working Capital'!M99+'Working Capital'!M103</f>
        <v>85.016909420475045</v>
      </c>
      <c r="N912" s="159">
        <f>'Working Capital'!N15+'Working Capital'!N19+'Working Capital'!N23+'Working Capital'!N27+'Working Capital'!N31+'Working Capital'!N35+'Working Capital'!N39+'Working Capital'!N43+'Working Capital'!N47+'Working Capital'!N51+'Working Capital'!N55+'Working Capital'!N59+'Working Capital'!N63+'Working Capital'!N67+'Working Capital'!N71+'Working Capital'!N87+'Working Capital'!N91+'Working Capital'!N95+'Working Capital'!N99+'Working Capital'!N103</f>
        <v>89.306278514174039</v>
      </c>
      <c r="O912" s="159">
        <f>'Working Capital'!O15+'Working Capital'!O19+'Working Capital'!O23+'Working Capital'!O27+'Working Capital'!O31+'Working Capital'!O35+'Working Capital'!O39+'Working Capital'!O43+'Working Capital'!O47+'Working Capital'!O51+'Working Capital'!O55+'Working Capital'!O59+'Working Capital'!O63+'Working Capital'!O67+'Working Capital'!O71+'Working Capital'!O87+'Working Capital'!O91+'Working Capital'!O95+'Working Capital'!O99+'Working Capital'!O103</f>
        <v>96.267170558811941</v>
      </c>
      <c r="P912" s="159">
        <f>'Working Capital'!P15+'Working Capital'!P19+'Working Capital'!P23+'Working Capital'!P27+'Working Capital'!P31+'Working Capital'!P35+'Working Capital'!P39+'Working Capital'!P43+'Working Capital'!P47+'Working Capital'!P51+'Working Capital'!P55+'Working Capital'!P59+'Working Capital'!P63+'Working Capital'!P67+'Working Capital'!P71+'Working Capital'!P87+'Working Capital'!P91+'Working Capital'!P95+'Working Capital'!P99+'Working Capital'!P103</f>
        <v>100.53703002976205</v>
      </c>
      <c r="Q912" s="159">
        <f>'Working Capital'!Q15+'Working Capital'!Q19+'Working Capital'!Q23+'Working Capital'!Q27+'Working Capital'!Q31+'Working Capital'!Q35+'Working Capital'!Q39+'Working Capital'!Q43+'Working Capital'!Q47+'Working Capital'!Q51+'Working Capital'!Q55+'Working Capital'!Q59+'Working Capital'!Q63+'Working Capital'!Q67+'Working Capital'!Q71+'Working Capital'!Q87+'Working Capital'!Q91+'Working Capital'!Q95+'Working Capital'!Q99+'Working Capital'!Q103</f>
        <v>107.7013213991665</v>
      </c>
      <c r="R912" s="159">
        <f>'Working Capital'!R15+'Working Capital'!R19+'Working Capital'!R23+'Working Capital'!R27+'Working Capital'!R31+'Working Capital'!R35+'Working Capital'!R39+'Working Capital'!R43+'Working Capital'!R47+'Working Capital'!R51+'Working Capital'!R55+'Working Capital'!R59+'Working Capital'!R63+'Working Capital'!R67+'Working Capital'!R71+'Working Capital'!R87+'Working Capital'!R91+'Working Capital'!R95+'Working Capital'!R99+'Working Capital'!R103</f>
        <v>110.48933504114216</v>
      </c>
      <c r="S912" s="159">
        <f>'Working Capital'!S15+'Working Capital'!S19+'Working Capital'!S23+'Working Capital'!S27+'Working Capital'!S31+'Working Capital'!S35+'Working Capital'!S39+'Working Capital'!S43+'Working Capital'!S47+'Working Capital'!S51+'Working Capital'!S55+'Working Capital'!S59+'Working Capital'!S63+'Working Capital'!S67+'Working Capital'!S71+'Working Capital'!S87+'Working Capital'!S91+'Working Capital'!S95+'Working Capital'!S99+'Working Capital'!S103</f>
        <v>111.31159514938841</v>
      </c>
      <c r="T912" s="159">
        <f>'Working Capital'!T15+'Working Capital'!T19+'Working Capital'!T23+'Working Capital'!T27+'Working Capital'!T31+'Working Capital'!T35+'Working Capital'!T39+'Working Capital'!T43+'Working Capital'!T47+'Working Capital'!T51+'Working Capital'!T55+'Working Capital'!T59+'Working Capital'!T63+'Working Capital'!T67+'Working Capital'!T71+'Working Capital'!T87+'Working Capital'!T91+'Working Capital'!T95+'Working Capital'!T99+'Working Capital'!T103</f>
        <v>114.58166868953194</v>
      </c>
    </row>
    <row r="913" spans="2:20" x14ac:dyDescent="0.25">
      <c r="B913" s="21" t="s">
        <v>3440</v>
      </c>
      <c r="C913" s="28" t="s">
        <v>493</v>
      </c>
      <c r="G913" s="160">
        <f t="shared" ref="G913:T913" si="5">G911+G912</f>
        <v>1023.4327533527071</v>
      </c>
      <c r="H913" s="160">
        <f t="shared" si="5"/>
        <v>1087.7911660613956</v>
      </c>
      <c r="I913" s="160">
        <f t="shared" si="5"/>
        <v>1004.6331594780212</v>
      </c>
      <c r="J913" s="160">
        <f t="shared" si="5"/>
        <v>1297.8937783339231</v>
      </c>
      <c r="K913" s="160">
        <f t="shared" si="5"/>
        <v>1400.4552466171433</v>
      </c>
      <c r="L913" s="160">
        <f t="shared" si="5"/>
        <v>1361.9446827400845</v>
      </c>
      <c r="M913" s="160">
        <f t="shared" si="5"/>
        <v>1215.0891250835411</v>
      </c>
      <c r="N913" s="160">
        <f t="shared" si="5"/>
        <v>1061.7847182347657</v>
      </c>
      <c r="O913" s="160">
        <f t="shared" si="5"/>
        <v>911.14274946669605</v>
      </c>
      <c r="P913" s="160">
        <f t="shared" si="5"/>
        <v>755.76930975716346</v>
      </c>
      <c r="Q913" s="160">
        <f t="shared" si="5"/>
        <v>603.31202184723145</v>
      </c>
      <c r="R913" s="160">
        <f t="shared" si="5"/>
        <v>452.00666051099529</v>
      </c>
      <c r="S913" s="160">
        <f t="shared" si="5"/>
        <v>298.72571188531981</v>
      </c>
      <c r="T913" s="160">
        <f t="shared" si="5"/>
        <v>147.85137446058053</v>
      </c>
    </row>
    <row r="914" spans="2:20" x14ac:dyDescent="0.25">
      <c r="B914" s="23" t="s">
        <v>3441</v>
      </c>
      <c r="C914" s="28" t="s">
        <v>493</v>
      </c>
      <c r="G914" s="29">
        <f>'Working Capital'!G121</f>
        <v>30.847824704577697</v>
      </c>
      <c r="H914" s="159">
        <f>'Working Capital'!H121-H912</f>
        <v>0.51981068748259318</v>
      </c>
      <c r="I914" s="159">
        <f>'Working Capital'!I121-I912</f>
        <v>0.51981068748259673</v>
      </c>
      <c r="J914" s="159">
        <f>'Working Capital'!J121-J912</f>
        <v>0.51981068748259673</v>
      </c>
      <c r="K914" s="159">
        <f>'Working Capital'!K121-K912</f>
        <v>0.51981068748258963</v>
      </c>
      <c r="L914" s="159">
        <f>'Working Capital'!L121-L912</f>
        <v>0.51981068748260384</v>
      </c>
      <c r="M914" s="159">
        <f>'Working Capital'!M121-M912</f>
        <v>0.51981068748260384</v>
      </c>
      <c r="N914" s="159">
        <f>'Working Capital'!N121-N912</f>
        <v>0.51981068748260384</v>
      </c>
      <c r="O914" s="159">
        <f>'Working Capital'!O121-O912</f>
        <v>0.51981068748261805</v>
      </c>
      <c r="P914" s="159">
        <f>'Working Capital'!P121-P912</f>
        <v>0.51981068748260384</v>
      </c>
      <c r="Q914" s="159">
        <f>'Working Capital'!Q121-Q912</f>
        <v>0.51981068748257542</v>
      </c>
      <c r="R914" s="159">
        <f>'Working Capital'!R121-R912</f>
        <v>0</v>
      </c>
      <c r="S914" s="159">
        <f>'Working Capital'!S121-S912</f>
        <v>0</v>
      </c>
      <c r="T914" s="159">
        <f>'Working Capital'!T121-T912</f>
        <v>0</v>
      </c>
    </row>
    <row r="915" spans="2:20" x14ac:dyDescent="0.25">
      <c r="B915" s="23" t="s">
        <v>3442</v>
      </c>
      <c r="C915" s="28" t="s">
        <v>493</v>
      </c>
      <c r="G915" s="29">
        <f>'FSL Output - Without BUMN'!G190</f>
        <v>60.638905050280002</v>
      </c>
      <c r="H915" s="29">
        <f>'FSL Output - Without BUMN'!H190</f>
        <v>31.366562544943211</v>
      </c>
      <c r="I915" s="29">
        <f>'FSL Output - Without BUMN'!I190</f>
        <v>191.0299126301345</v>
      </c>
      <c r="J915" s="29">
        <f>'FSL Output - Without BUMN'!J190</f>
        <v>3</v>
      </c>
      <c r="K915" s="29">
        <f>'FSL Output - Without BUMN'!K190</f>
        <v>3</v>
      </c>
      <c r="L915" s="29">
        <f>'FSL Output - Without BUMN'!L190</f>
        <v>251.56660371850327</v>
      </c>
      <c r="M915" s="29">
        <f>'FSL Output - Without BUMN'!M190</f>
        <v>587.61070268010224</v>
      </c>
      <c r="N915" s="29">
        <f>'FSL Output - Without BUMN'!N190</f>
        <v>939.21953896328387</v>
      </c>
      <c r="O915" s="29">
        <f>'FSL Output - Without BUMN'!O190</f>
        <v>1303.7712868480567</v>
      </c>
      <c r="P915" s="29">
        <f>'FSL Output - Without BUMN'!P190</f>
        <v>1689.1880085653906</v>
      </c>
      <c r="Q915" s="29">
        <f>'FSL Output - Without BUMN'!Q190</f>
        <v>2097.3937688632709</v>
      </c>
      <c r="R915" s="29">
        <f>'FSL Output - Without BUMN'!R190</f>
        <v>2519.670022397589</v>
      </c>
      <c r="S915" s="29">
        <f>'FSL Output - Without BUMN'!S190</f>
        <v>2949.528258896044</v>
      </c>
      <c r="T915" s="29">
        <f>'FSL Output - Without BUMN'!T190</f>
        <v>3398.8708718269595</v>
      </c>
    </row>
    <row r="916" spans="2:20" ht="26.25" customHeight="1" x14ac:dyDescent="0.25">
      <c r="B916" s="64" t="s">
        <v>3443</v>
      </c>
      <c r="C916" s="28" t="s">
        <v>493</v>
      </c>
      <c r="G916" s="159">
        <f>'FSL Output - Without BUMN'!G194-'Capex &amp; Depreciation'!G308-'Capex &amp; Depreciation'!G309</f>
        <v>133.85219044944799</v>
      </c>
      <c r="H916" s="159">
        <f>'FSL Output - Without BUMN'!H194-'Capex &amp; Depreciation'!H308-'Capex &amp; Depreciation'!H309</f>
        <v>133.85219044944799</v>
      </c>
      <c r="I916" s="159">
        <f>'FSL Output - Without BUMN'!I194-'Capex &amp; Depreciation'!I308-'Capex &amp; Depreciation'!I309</f>
        <v>133.85219044944799</v>
      </c>
      <c r="J916" s="159">
        <f>'FSL Output - Without BUMN'!J194-'Capex &amp; Depreciation'!J308-'Capex &amp; Depreciation'!J309</f>
        <v>133.85219044944799</v>
      </c>
      <c r="K916" s="159">
        <f>'FSL Output - Without BUMN'!K194-'Capex &amp; Depreciation'!K308-'Capex &amp; Depreciation'!K309</f>
        <v>133.85219044944799</v>
      </c>
      <c r="L916" s="159">
        <f>'FSL Output - Without BUMN'!L194-'Capex &amp; Depreciation'!L308-'Capex &amp; Depreciation'!L309</f>
        <v>133.85219044944799</v>
      </c>
      <c r="M916" s="159">
        <f>'FSL Output - Without BUMN'!M194-'Capex &amp; Depreciation'!M308-'Capex &amp; Depreciation'!M309</f>
        <v>133.85219044944799</v>
      </c>
      <c r="N916" s="159">
        <f>'FSL Output - Without BUMN'!N194-'Capex &amp; Depreciation'!N308-'Capex &amp; Depreciation'!N309</f>
        <v>133.85219044944799</v>
      </c>
      <c r="O916" s="159">
        <f>'FSL Output - Without BUMN'!O194-'Capex &amp; Depreciation'!O308-'Capex &amp; Depreciation'!O309</f>
        <v>133.85219044944799</v>
      </c>
      <c r="P916" s="159">
        <f>'FSL Output - Without BUMN'!P194-'Capex &amp; Depreciation'!P308-'Capex &amp; Depreciation'!P309</f>
        <v>133.85219044944799</v>
      </c>
      <c r="Q916" s="159">
        <f>'FSL Output - Without BUMN'!Q194-'Capex &amp; Depreciation'!Q308-'Capex &amp; Depreciation'!Q309</f>
        <v>133.85219044944799</v>
      </c>
      <c r="R916" s="159">
        <f>'FSL Output - Without BUMN'!R194-'Capex &amp; Depreciation'!R308-'Capex &amp; Depreciation'!R309</f>
        <v>133.85219044944799</v>
      </c>
      <c r="S916" s="159">
        <f>'FSL Output - Without BUMN'!S194-'Capex &amp; Depreciation'!S308-'Capex &amp; Depreciation'!S309</f>
        <v>133.85219044944799</v>
      </c>
      <c r="T916" s="159">
        <f>'FSL Output - Without BUMN'!T194-'Capex &amp; Depreciation'!T308-'Capex &amp; Depreciation'!T309</f>
        <v>133.85219044944799</v>
      </c>
    </row>
    <row r="917" spans="2:20" ht="26.25" customHeight="1" x14ac:dyDescent="0.25">
      <c r="B917" s="64" t="s">
        <v>3444</v>
      </c>
      <c r="C917" s="28" t="s">
        <v>493</v>
      </c>
      <c r="G917" s="159">
        <f>-('FSL Output - Without BUMN'!G199+'FSL Output - Without BUMN'!G200+'FSL Output - Without BUMN'!G201)</f>
        <v>-224.51846524876001</v>
      </c>
      <c r="H917" s="159">
        <f>-('FSL Output - Without BUMN'!H199+'FSL Output - Without BUMN'!H200+'FSL Output - Without BUMN'!H201)</f>
        <v>-195.18</v>
      </c>
      <c r="I917" s="159">
        <f>-('FSL Output - Without BUMN'!I199+'FSL Output - Without BUMN'!I200+'FSL Output - Without BUMN'!I201)</f>
        <v>-195.18</v>
      </c>
      <c r="J917" s="159">
        <f>-('FSL Output - Without BUMN'!J199+'FSL Output - Without BUMN'!J200+'FSL Output - Without BUMN'!J201)</f>
        <v>-195.18</v>
      </c>
      <c r="K917" s="159">
        <f>-('FSL Output - Without BUMN'!K199+'FSL Output - Without BUMN'!K200+'FSL Output - Without BUMN'!K201)</f>
        <v>-32.53</v>
      </c>
      <c r="L917" s="159">
        <f>-('FSL Output - Without BUMN'!L199+'FSL Output - Without BUMN'!L200+'FSL Output - Without BUMN'!L201)</f>
        <v>-81.325000000000003</v>
      </c>
      <c r="M917" s="159">
        <f>-('FSL Output - Without BUMN'!M199+'FSL Output - Without BUMN'!M200+'FSL Output - Without BUMN'!M201)</f>
        <v>-81.325000000000003</v>
      </c>
      <c r="N917" s="159">
        <f>-('FSL Output - Without BUMN'!N199+'FSL Output - Without BUMN'!N200+'FSL Output - Without BUMN'!N201)</f>
        <v>-74.819000000000003</v>
      </c>
      <c r="O917" s="159">
        <f>-('FSL Output - Without BUMN'!O199+'FSL Output - Without BUMN'!O200+'FSL Output - Without BUMN'!O201)</f>
        <v>-58.554000000000002</v>
      </c>
      <c r="P917" s="159">
        <f>-('FSL Output - Without BUMN'!P199+'FSL Output - Without BUMN'!P200+'FSL Output - Without BUMN'!P201)</f>
        <v>-42.289000000000001</v>
      </c>
      <c r="Q917" s="159">
        <f>-('FSL Output - Without BUMN'!Q199+'FSL Output - Without BUMN'!Q200+'FSL Output - Without BUMN'!Q201)</f>
        <v>-26.024000000000001</v>
      </c>
      <c r="R917" s="159">
        <f>-('FSL Output - Without BUMN'!R199+'FSL Output - Without BUMN'!R200+'FSL Output - Without BUMN'!R201)</f>
        <v>-9.7590000000000003</v>
      </c>
      <c r="S917" s="159">
        <f>-('FSL Output - Without BUMN'!S199+'FSL Output - Without BUMN'!S200+'FSL Output - Without BUMN'!S201)</f>
        <v>0</v>
      </c>
      <c r="T917" s="159">
        <f>-('FSL Output - Without BUMN'!T199+'FSL Output - Without BUMN'!T200+'FSL Output - Without BUMN'!T201)</f>
        <v>0</v>
      </c>
    </row>
    <row r="918" spans="2:20" x14ac:dyDescent="0.25">
      <c r="B918" s="23" t="s">
        <v>3445</v>
      </c>
      <c r="C918" s="28" t="s">
        <v>493</v>
      </c>
      <c r="G918" s="159">
        <f>-'FSL Output - Without BUMN'!G202</f>
        <v>-55.924464057122997</v>
      </c>
      <c r="H918" s="159">
        <f>-'FSL Output - Without BUMN'!H202</f>
        <v>-55.924464057122997</v>
      </c>
      <c r="I918" s="159">
        <f>-'FSL Output - Without BUMN'!I202</f>
        <v>-55.924464057122997</v>
      </c>
      <c r="J918" s="159">
        <f>-'FSL Output - Without BUMN'!J202</f>
        <v>-55.924464057122997</v>
      </c>
      <c r="K918" s="159">
        <f>-'FSL Output - Without BUMN'!K202</f>
        <v>-55.924464057122997</v>
      </c>
      <c r="L918" s="159">
        <f>-'FSL Output - Without BUMN'!L202</f>
        <v>-55.924464057122997</v>
      </c>
      <c r="M918" s="159">
        <f>-'FSL Output - Without BUMN'!M202</f>
        <v>-55.924464057122997</v>
      </c>
      <c r="N918" s="159">
        <f>-'FSL Output - Without BUMN'!N202</f>
        <v>-55.924464057122997</v>
      </c>
      <c r="O918" s="159">
        <f>-'FSL Output - Without BUMN'!O202</f>
        <v>-55.924464057122997</v>
      </c>
      <c r="P918" s="159">
        <f>-'FSL Output - Without BUMN'!P202</f>
        <v>-55.924464057122997</v>
      </c>
      <c r="Q918" s="159">
        <f>-'FSL Output - Without BUMN'!Q202</f>
        <v>-55.924464057122997</v>
      </c>
      <c r="R918" s="159">
        <f>-'FSL Output - Without BUMN'!R202</f>
        <v>-55.924464057122997</v>
      </c>
      <c r="S918" s="159">
        <f>-'FSL Output - Without BUMN'!S202</f>
        <v>-55.924464057122997</v>
      </c>
      <c r="T918" s="159">
        <f>-'FSL Output - Without BUMN'!T202</f>
        <v>-55.924464057122997</v>
      </c>
    </row>
    <row r="919" spans="2:20" x14ac:dyDescent="0.25">
      <c r="B919" s="21" t="s">
        <v>3446</v>
      </c>
      <c r="C919" s="28" t="s">
        <v>493</v>
      </c>
      <c r="G919" s="160">
        <f t="shared" ref="G919:T919" si="6">G913+G914+G915+G916+G917+G918</f>
        <v>968.32874425112982</v>
      </c>
      <c r="H919" s="160">
        <f t="shared" si="6"/>
        <v>1002.4252656861463</v>
      </c>
      <c r="I919" s="160">
        <f t="shared" si="6"/>
        <v>1078.9306091879632</v>
      </c>
      <c r="J919" s="160">
        <f t="shared" si="6"/>
        <v>1184.1613154137306</v>
      </c>
      <c r="K919" s="160">
        <f t="shared" si="6"/>
        <v>1449.3727836969508</v>
      </c>
      <c r="L919" s="160">
        <f t="shared" si="6"/>
        <v>1610.6338235383953</v>
      </c>
      <c r="M919" s="160">
        <f t="shared" si="6"/>
        <v>1799.8223648434507</v>
      </c>
      <c r="N919" s="160">
        <f t="shared" si="6"/>
        <v>2004.6327942778569</v>
      </c>
      <c r="O919" s="160">
        <f t="shared" si="6"/>
        <v>2234.8075733945602</v>
      </c>
      <c r="P919" s="160">
        <f t="shared" si="6"/>
        <v>2481.1158554023614</v>
      </c>
      <c r="Q919" s="160">
        <f t="shared" si="6"/>
        <v>2753.1293277903101</v>
      </c>
      <c r="R919" s="160">
        <f t="shared" si="6"/>
        <v>3039.8454093009095</v>
      </c>
      <c r="S919" s="160">
        <f t="shared" si="6"/>
        <v>3326.1816971736889</v>
      </c>
      <c r="T919" s="160">
        <f t="shared" si="6"/>
        <v>3624.6499726798652</v>
      </c>
    </row>
    <row r="920" spans="2:20" x14ac:dyDescent="0.25">
      <c r="B920" s="21" t="s">
        <v>3447</v>
      </c>
      <c r="C920" s="28" t="s">
        <v>493</v>
      </c>
      <c r="G920" s="160">
        <f>'FSL Output - Without BUMN'!G209+'FSL Output - Without BUMN'!G212</f>
        <v>968.32874425112959</v>
      </c>
      <c r="H920" s="160">
        <f>'FSL Output - Without BUMN'!H209+'FSL Output - Without BUMN'!H212</f>
        <v>1002.4252656861463</v>
      </c>
      <c r="I920" s="160">
        <f>'FSL Output - Without BUMN'!I209+'FSL Output - Without BUMN'!I212</f>
        <v>1078.9306091879632</v>
      </c>
      <c r="J920" s="160">
        <f>'FSL Output - Without BUMN'!J209+'FSL Output - Without BUMN'!J212</f>
        <v>1184.1613154137308</v>
      </c>
      <c r="K920" s="160">
        <f>'FSL Output - Without BUMN'!K209+'FSL Output - Without BUMN'!K212</f>
        <v>1449.3727836969513</v>
      </c>
      <c r="L920" s="160">
        <f>'FSL Output - Without BUMN'!L209+'FSL Output - Without BUMN'!L212</f>
        <v>1610.6338235383951</v>
      </c>
      <c r="M920" s="160">
        <f>'FSL Output - Without BUMN'!M209+'FSL Output - Without BUMN'!M212</f>
        <v>1799.8223648434509</v>
      </c>
      <c r="N920" s="160">
        <f>'FSL Output - Without BUMN'!N209+'FSL Output - Without BUMN'!N212</f>
        <v>2004.6327942778569</v>
      </c>
      <c r="O920" s="160">
        <f>'FSL Output - Without BUMN'!O209+'FSL Output - Without BUMN'!O212</f>
        <v>2234.8075733945598</v>
      </c>
      <c r="P920" s="160">
        <f>'FSL Output - Without BUMN'!P209+'FSL Output - Without BUMN'!P212</f>
        <v>2481.1158554023614</v>
      </c>
      <c r="Q920" s="160">
        <f>'FSL Output - Without BUMN'!Q209+'FSL Output - Without BUMN'!Q212</f>
        <v>2753.1293277903092</v>
      </c>
      <c r="R920" s="160">
        <f>'FSL Output - Without BUMN'!R209+'FSL Output - Without BUMN'!R212</f>
        <v>3039.8454093009091</v>
      </c>
      <c r="S920" s="160">
        <f>'FSL Output - Without BUMN'!S209+'FSL Output - Without BUMN'!S212</f>
        <v>3326.181697173688</v>
      </c>
      <c r="T920" s="160">
        <f>'FSL Output - Without BUMN'!T209+'FSL Output - Without BUMN'!T212</f>
        <v>3624.6499726798647</v>
      </c>
    </row>
    <row r="921" spans="2:20" ht="26.25" customHeight="1" x14ac:dyDescent="0.25">
      <c r="B921" s="64" t="s">
        <v>3448</v>
      </c>
      <c r="C921" s="28" t="s">
        <v>493</v>
      </c>
      <c r="H921" s="161">
        <f t="shared" ref="H921:T921" si="7">ROUND(ABS(H896-H897)+ABS(H898+H899-H900)+ABS(H901+H902+H903-H904)+ABS(H905+H906-H907)+ABS(H908-H909)+ABS(H919-H920),6)</f>
        <v>0</v>
      </c>
      <c r="I921" s="161">
        <f t="shared" si="7"/>
        <v>0</v>
      </c>
      <c r="J921" s="161">
        <f t="shared" si="7"/>
        <v>0</v>
      </c>
      <c r="K921" s="161">
        <f t="shared" si="7"/>
        <v>0</v>
      </c>
      <c r="L921" s="161">
        <f t="shared" si="7"/>
        <v>0</v>
      </c>
      <c r="M921" s="161">
        <f t="shared" si="7"/>
        <v>0</v>
      </c>
      <c r="N921" s="161">
        <f t="shared" si="7"/>
        <v>0</v>
      </c>
      <c r="O921" s="161">
        <f t="shared" si="7"/>
        <v>0</v>
      </c>
      <c r="P921" s="161">
        <f t="shared" si="7"/>
        <v>0</v>
      </c>
      <c r="Q921" s="161">
        <f t="shared" si="7"/>
        <v>0</v>
      </c>
      <c r="R921" s="161">
        <f t="shared" si="7"/>
        <v>0</v>
      </c>
      <c r="S921" s="161">
        <f t="shared" si="7"/>
        <v>0</v>
      </c>
      <c r="T921" s="161">
        <f t="shared" si="7"/>
        <v>0</v>
      </c>
    </row>
    <row r="923" spans="2:20" x14ac:dyDescent="0.25">
      <c r="B923" s="145" t="s">
        <v>3450</v>
      </c>
    </row>
  </sheetData>
  <mergeCells count="29">
    <mergeCell ref="K32:T32"/>
    <mergeCell ref="K33:T33"/>
    <mergeCell ref="K34:T34"/>
    <mergeCell ref="K35:T35"/>
    <mergeCell ref="K27:T27"/>
    <mergeCell ref="K28:T28"/>
    <mergeCell ref="K29:T29"/>
    <mergeCell ref="K30:T30"/>
    <mergeCell ref="K31:T31"/>
    <mergeCell ref="K22:T22"/>
    <mergeCell ref="K23:T23"/>
    <mergeCell ref="K24:T24"/>
    <mergeCell ref="K25:T25"/>
    <mergeCell ref="K26:T26"/>
    <mergeCell ref="K17:T17"/>
    <mergeCell ref="K18:T18"/>
    <mergeCell ref="K19:T19"/>
    <mergeCell ref="K20:T20"/>
    <mergeCell ref="K21:T21"/>
    <mergeCell ref="K12:T12"/>
    <mergeCell ref="K13:T13"/>
    <mergeCell ref="K14:T14"/>
    <mergeCell ref="K15:T15"/>
    <mergeCell ref="K16:T16"/>
    <mergeCell ref="K7:T7"/>
    <mergeCell ref="K8:T8"/>
    <mergeCell ref="K9:T9"/>
    <mergeCell ref="K10:T10"/>
    <mergeCell ref="K11:T11"/>
  </mergeCells>
  <hyperlinks>
    <hyperlink ref="C3" location="'Model Flow'!A1" display="Model Flow" xr:uid="{00000000-0004-0000-0F00-000000000000}"/>
    <hyperlink ref="D3" location="Inputs!A1" display="Inputs" xr:uid="{00000000-0004-0000-0F00-000001000000}"/>
    <hyperlink ref="E3" location="'FS Data Request'!A1" display="FS Request" xr:uid="{00000000-0004-0000-0F00-000002000000}"/>
    <hyperlink ref="F3" location="'Revenue Calculation'!A1" display="Revenue" xr:uid="{00000000-0004-0000-0F00-000003000000}"/>
    <hyperlink ref="G3" location="'Cost Calculation'!A1" display="Costs" xr:uid="{00000000-0004-0000-0F00-000004000000}"/>
    <hyperlink ref="H3" location="'BUMN Synergy Calculation'!A1" display="BUMN Synergy" xr:uid="{00000000-0004-0000-0F00-000005000000}"/>
    <hyperlink ref="I3" location="'Capex &amp; Depreciation'!A1" display="Capex" xr:uid="{00000000-0004-0000-0F00-000006000000}"/>
    <hyperlink ref="J3" location="'Working Capital'!A1" display="Work. cap." xr:uid="{00000000-0004-0000-0F00-000007000000}"/>
    <hyperlink ref="K3" location="Financing!A1" display="Financing" xr:uid="{00000000-0004-0000-0F00-000008000000}"/>
    <hyperlink ref="L3" location="'Funding Requirement'!A1" display="Funding" xr:uid="{00000000-0004-0000-0F00-000009000000}"/>
    <hyperlink ref="M3" location="'FSL Output - Without BUMN'!A1" display="Out: w/o BUMN" xr:uid="{00000000-0004-0000-0F00-00000A000000}"/>
    <hyperlink ref="N3" location="'FSL Output - With BUMN'!A1" display="Out: With BUMN" xr:uid="{00000000-0004-0000-0F00-00000B000000}"/>
    <hyperlink ref="O3" location="'Valuation — Without BUMN'!A1" display="Val: w/o BUMN" xr:uid="{00000000-0004-0000-0F00-00000C000000}"/>
    <hyperlink ref="P3" location="'Valuation — With BUMN'!A1" display="Val: With BUMN" xr:uid="{00000000-0004-0000-0F00-00000D000000}"/>
    <hyperlink ref="Q3" location="'Project Cash Flows'!A1" display="Proj. CF" xr:uid="{00000000-0004-0000-0F00-00000E000000}"/>
    <hyperlink ref="S3" location="'Checks &amp; Reconciliation'!A1" display="Checks" xr:uid="{00000000-0004-0000-0F00-00000F000000}"/>
    <hyperlink ref="T3" location="'Source Data'!A1" display="Source Data" xr:uid="{00000000-0004-0000-0F00-000010000000}"/>
    <hyperlink ref="B8" location="'Project Summary'!B38" display="E1  Teluk Lamong cargodoring &amp; delivery (NPLOG)" xr:uid="{00000000-0004-0000-0F00-000011000000}"/>
    <hyperlink ref="B9" location="'Project Summary'!B72" display="E2  Cigading existing terminal (SGT 2)" xr:uid="{00000000-0004-0000-0F00-000012000000}"/>
    <hyperlink ref="B10" location="'Project Summary'!B105" display="E3  Belawan existing (conveyor &amp; warehouse)" xr:uid="{00000000-0004-0000-0F00-000013000000}"/>
    <hyperlink ref="B11" location="'Project Summary'!B138" display="E4  WIN stevedoring (Cilegon, Makassar, Surabaya, Medan)" xr:uid="{00000000-0004-0000-0F00-000014000000}"/>
    <hyperlink ref="B12" location="'Project Summary'!B170" display="P01  Cigading Wharf 2" xr:uid="{00000000-0004-0000-0F00-000015000000}"/>
    <hyperlink ref="B13" location="'Project Summary'!B206" display="P02  Cigading extended conveyor" xr:uid="{00000000-0004-0000-0F00-000016000000}"/>
    <hyperlink ref="B14" location="'Project Summary'!B242" display="P03  KBS warehouse revitalisation (FSL 49% revenue share)" xr:uid="{00000000-0004-0000-0F00-000017000000}"/>
    <hyperlink ref="B15" location="'Project Summary'!B277" display="P04  Teluk Lamong silo" xr:uid="{00000000-0004-0000-0F00-000018000000}"/>
    <hyperlink ref="B16" location="'Project Summary'!B312" display="P05  Dumai bagging &amp; weighbridge" xr:uid="{00000000-0004-0000-0F00-000019000000}"/>
    <hyperlink ref="B17" location="'Project Summary'!B348" display="P06  Ciwandan expansion (FSL 52% tariff share)" xr:uid="{00000000-0004-0000-0F00-00001A000000}"/>
    <hyperlink ref="B18" location="'Project Summary'!B383" display="P07  Belawan expansion (additional volume)" xr:uid="{00000000-0004-0000-0F00-00001B000000}"/>
    <hyperlink ref="B19" location="'Project Summary'!B418" display="P08  DMS trucking fee - Teluk Lamong" xr:uid="{00000000-0004-0000-0F00-00001C000000}"/>
    <hyperlink ref="B20" location="'Project Summary'!B451" display="P09  DMS trucking fee - Cigading" xr:uid="{00000000-0004-0000-0F00-00001D000000}"/>
    <hyperlink ref="B21" location="'Project Summary'!B484" display="P10  DMS trucking fee - Ciwandan" xr:uid="{00000000-0004-0000-0F00-00001E000000}"/>
    <hyperlink ref="B22" location="'Project Summary'!B517" display="P11  DMS trucking fee - Belawan" xr:uid="{00000000-0004-0000-0F00-00001F000000}"/>
    <hyperlink ref="B23" location="'Project Summary'!B550" display="P12  BUMN synergy - Pelindo Teluk Lamong operatorship" xr:uid="{00000000-0004-0000-0F00-000020000000}"/>
    <hyperlink ref="B24" location="'Project Summary'!B584" display="P13  BUMN synergy - KBS Cigading operatorship" xr:uid="{00000000-0004-0000-0F00-000021000000}"/>
    <hyperlink ref="B25" location="'Project Summary'!B617" display="P14  BUMN synergy - Pelindo Belawan operatorship" xr:uid="{00000000-0004-0000-0F00-000022000000}"/>
    <hyperlink ref="B26" location="'Project Summary'!B650" display="P15  TBM (land lease, warehousing, cargo handling)" xr:uid="{00000000-0004-0000-0F00-000023000000}"/>
    <hyperlink ref="B27" location="'Project Summary'!B685" display="#'Project Summary'.B685" xr:uid="{00000000-0004-0000-0F00-000024000000}"/>
    <hyperlink ref="B28" location="'Project Summary'!B720" display="#'Project Summary'.B720" xr:uid="{00000000-0004-0000-0F00-000025000000}"/>
    <hyperlink ref="B29" location="'Project Summary'!B755" display="#'Project Summary'.B755" xr:uid="{00000000-0004-0000-0F00-000026000000}"/>
    <hyperlink ref="B30" location="'Project Summary'!B790" display="P19  Badas (illustrative - DUMMY inputs)" xr:uid="{00000000-0004-0000-0F00-000027000000}"/>
    <hyperlink ref="B31" location="'Project Summary'!B832" display="#'Project Summary'.B832" xr:uid="{00000000-0004-0000-0F00-000028000000}"/>
    <hyperlink ref="B32" location="'Project Summary'!B839" display="#'Project Summary'.B839" xr:uid="{00000000-0004-0000-0F00-000029000000}"/>
    <hyperlink ref="B33" location="'Project Summary'!B846" display="#'Project Summary'.B846" xr:uid="{00000000-0004-0000-0F00-00002A000000}"/>
    <hyperlink ref="B34" location="'Project Summary'!B853" display="#'Project Summary'.B853" xr:uid="{00000000-0004-0000-0F00-00002B000000}"/>
    <hyperlink ref="B35" location="'Project Summary'!B860" display="#'Project Summary'.B860" xr:uid="{00000000-0004-0000-0F00-00002C000000}"/>
  </hyperlinks>
  <pageMargins left="0.4" right="0.4" top="0.5" bottom="0.5" header="0.511811023622047" footer="0.5"/>
  <pageSetup paperSize="9" fitToHeight="0" orientation="landscape" horizontalDpi="300" verticalDpi="300"/>
  <headerFooter>
    <oddFooter>&amp;L&amp;A&amp;RPage &amp;P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pageSetUpPr fitToPage="1"/>
  </sheetPr>
  <dimension ref="B1:U121"/>
  <sheetViews>
    <sheetView showGridLines="0" zoomScale="85" zoomScaleNormal="85" workbookViewId="0">
      <pane xSplit="2" ySplit="4" topLeftCell="C42" activePane="bottomRight" state="frozen"/>
      <selection pane="topRight" activeCell="C1" sqref="C1"/>
      <selection pane="bottomLeft" activeCell="A5" sqref="A5"/>
      <selection pane="bottomRight"/>
    </sheetView>
  </sheetViews>
  <sheetFormatPr defaultColWidth="8.7109375" defaultRowHeight="15" x14ac:dyDescent="0.25"/>
  <cols>
    <col min="1" max="1" width="1.5703125" customWidth="1"/>
    <col min="2" max="2" width="62" customWidth="1"/>
    <col min="3" max="3" width="10" customWidth="1"/>
    <col min="4" max="6" width="13" customWidth="1"/>
    <col min="7" max="20" width="10.5703125" customWidth="1"/>
    <col min="21" max="21" width="55" customWidth="1"/>
  </cols>
  <sheetData>
    <row r="1" spans="2:20" ht="18" x14ac:dyDescent="0.25">
      <c r="B1" s="13" t="s">
        <v>3152</v>
      </c>
    </row>
    <row r="2" spans="2:20" x14ac:dyDescent="0.25">
      <c r="B2" s="14" t="s">
        <v>3153</v>
      </c>
    </row>
    <row r="3" spans="2:20" x14ac:dyDescent="0.25">
      <c r="B3" s="15" t="s">
        <v>2</v>
      </c>
      <c r="C3" s="17" t="s">
        <v>422</v>
      </c>
      <c r="D3" s="17" t="s">
        <v>4</v>
      </c>
      <c r="E3" s="17" t="s">
        <v>5</v>
      </c>
      <c r="F3" s="17" t="s">
        <v>6</v>
      </c>
      <c r="G3" s="17" t="s">
        <v>7</v>
      </c>
      <c r="H3" s="17" t="s">
        <v>8</v>
      </c>
      <c r="I3" s="17" t="s">
        <v>9</v>
      </c>
      <c r="J3" s="17" t="s">
        <v>10</v>
      </c>
      <c r="K3" s="17" t="s">
        <v>11</v>
      </c>
      <c r="L3" s="17" t="s">
        <v>12</v>
      </c>
      <c r="M3" s="17" t="s">
        <v>13</v>
      </c>
      <c r="N3" s="17" t="s">
        <v>14</v>
      </c>
      <c r="O3" s="17" t="s">
        <v>15</v>
      </c>
      <c r="P3" s="16" t="s">
        <v>3154</v>
      </c>
      <c r="Q3" s="17" t="s">
        <v>17</v>
      </c>
      <c r="R3" s="17" t="s">
        <v>18</v>
      </c>
      <c r="S3" s="17" t="s">
        <v>19</v>
      </c>
      <c r="T3" s="17" t="s">
        <v>20</v>
      </c>
    </row>
    <row r="5" spans="2:20" x14ac:dyDescent="0.25">
      <c r="B5" s="58" t="s">
        <v>3064</v>
      </c>
      <c r="C5" s="19"/>
      <c r="D5" s="19"/>
      <c r="E5" s="19"/>
      <c r="F5" s="19"/>
      <c r="G5" s="19"/>
      <c r="H5" s="19"/>
      <c r="I5" s="19"/>
      <c r="J5" s="19"/>
      <c r="K5" s="19"/>
      <c r="L5" s="19"/>
      <c r="M5" s="19"/>
    </row>
    <row r="6" spans="2:20" x14ac:dyDescent="0.25">
      <c r="B6" s="42" t="s">
        <v>3065</v>
      </c>
    </row>
    <row r="7" spans="2:20" x14ac:dyDescent="0.25">
      <c r="B7" s="23" t="s">
        <v>3066</v>
      </c>
      <c r="C7" s="249">
        <f>Inputs!$E$93</f>
        <v>46387</v>
      </c>
      <c r="D7" s="249"/>
      <c r="E7" s="249"/>
      <c r="F7" s="249"/>
      <c r="G7" s="249"/>
      <c r="H7" s="249"/>
      <c r="I7" s="249"/>
    </row>
    <row r="8" spans="2:20" x14ac:dyDescent="0.25">
      <c r="B8" s="23" t="s">
        <v>3067</v>
      </c>
      <c r="C8" s="250" t="str">
        <f>"IDR bn (USD mn at "&amp;TEXT(Inputs!$E$561,"#,##0")&amp;" IDR per USD, the FY"&amp;Inputs!$E$560&amp;" rate)"</f>
        <v>IDR bn (USD mn at 16,265 IDR per USD, the FY2026 rate)</v>
      </c>
      <c r="D8" s="250"/>
      <c r="E8" s="250"/>
      <c r="F8" s="250"/>
      <c r="G8" s="250"/>
      <c r="H8" s="250"/>
      <c r="I8" s="250"/>
    </row>
    <row r="9" spans="2:20" x14ac:dyDescent="0.25">
      <c r="B9" s="23" t="s">
        <v>3068</v>
      </c>
      <c r="C9" s="250" t="str">
        <f>IF(Inputs!$E$94=1,"Mid-year (FY"&amp;(Inputs!$E$560+1)&amp;" discounted 0.5 years)","Year-end (FY"&amp;(Inputs!$E$560+1)&amp;" discounted 1 year from the valuation date)")</f>
        <v>Year-end (FY2027 discounted 1 year from the valuation date)</v>
      </c>
      <c r="D9" s="250"/>
      <c r="E9" s="250"/>
      <c r="F9" s="250"/>
      <c r="G9" s="250"/>
      <c r="H9" s="250"/>
      <c r="I9" s="250"/>
    </row>
    <row r="10" spans="2:20" x14ac:dyDescent="0.25">
      <c r="B10" s="23" t="s">
        <v>3069</v>
      </c>
      <c r="C10" s="250" t="str">
        <f>"FY"&amp;(Inputs!$E$560+1)&amp;" (FY2024-FY"&amp;Inputs!$E$560&amp;" are before the valuation date and excluded)"</f>
        <v>FY2027 (FY2024-FY2026 are before the valuation date and excluded)</v>
      </c>
      <c r="D10" s="250"/>
      <c r="E10" s="250"/>
      <c r="F10" s="250"/>
      <c r="G10" s="250"/>
      <c r="H10" s="250"/>
      <c r="I10" s="250"/>
    </row>
    <row r="11" spans="2:20" x14ac:dyDescent="0.25">
      <c r="B11" s="23" t="s">
        <v>3070</v>
      </c>
      <c r="C11" s="251">
        <f>Inputs!$E$558</f>
        <v>0.11866512000000001</v>
      </c>
      <c r="D11" s="251"/>
      <c r="E11" s="251"/>
      <c r="F11" s="251"/>
      <c r="G11" s="251"/>
      <c r="H11" s="251"/>
      <c r="I11" s="251"/>
    </row>
    <row r="12" spans="2:20" x14ac:dyDescent="0.25">
      <c r="B12" s="23" t="s">
        <v>3071</v>
      </c>
      <c r="C12" s="251">
        <f>Inputs!$E$559</f>
        <v>0.03</v>
      </c>
      <c r="D12" s="251"/>
      <c r="E12" s="251"/>
      <c r="F12" s="251"/>
      <c r="G12" s="251"/>
      <c r="H12" s="251"/>
      <c r="I12" s="251"/>
    </row>
    <row r="13" spans="2:20" x14ac:dyDescent="0.25">
      <c r="B13" s="23" t="s">
        <v>3072</v>
      </c>
      <c r="C13" s="251">
        <f>Inputs!$E$550</f>
        <v>0.04</v>
      </c>
      <c r="D13" s="251"/>
      <c r="E13" s="251"/>
      <c r="F13" s="251"/>
      <c r="G13" s="251"/>
      <c r="H13" s="251"/>
      <c r="I13" s="251"/>
    </row>
    <row r="14" spans="2:20" x14ac:dyDescent="0.25">
      <c r="B14" s="23" t="s">
        <v>3073</v>
      </c>
      <c r="C14" s="252">
        <f>Inputs!$E$554</f>
        <v>0.22</v>
      </c>
      <c r="D14" s="252"/>
      <c r="E14" s="252"/>
      <c r="F14" s="252"/>
      <c r="G14" s="252"/>
      <c r="H14" s="252"/>
      <c r="I14" s="252"/>
    </row>
    <row r="16" spans="2:20" x14ac:dyDescent="0.25">
      <c r="B16" s="42" t="s">
        <v>3074</v>
      </c>
    </row>
    <row r="17" spans="2:21" x14ac:dyDescent="0.25">
      <c r="B17" s="21" t="s">
        <v>3075</v>
      </c>
      <c r="C17" s="28" t="s">
        <v>493</v>
      </c>
      <c r="D17" s="188">
        <f>$E$67</f>
        <v>4633.2654972130422</v>
      </c>
    </row>
    <row r="18" spans="2:21" x14ac:dyDescent="0.25">
      <c r="B18" s="21" t="s">
        <v>3076</v>
      </c>
      <c r="C18" s="28" t="s">
        <v>493</v>
      </c>
      <c r="D18" s="188">
        <f>$E$74</f>
        <v>3959.7432619574893</v>
      </c>
    </row>
    <row r="19" spans="2:21" x14ac:dyDescent="0.25">
      <c r="B19" s="21" t="s">
        <v>3077</v>
      </c>
      <c r="C19" s="28" t="s">
        <v>806</v>
      </c>
      <c r="D19" s="184">
        <f>$E$75</f>
        <v>243.45178370473343</v>
      </c>
    </row>
    <row r="20" spans="2:21" x14ac:dyDescent="0.25">
      <c r="B20" s="23" t="s">
        <v>3078</v>
      </c>
      <c r="C20" s="28" t="s">
        <v>806</v>
      </c>
      <c r="D20" s="159">
        <f>$E$76</f>
        <v>284.8610819067348</v>
      </c>
    </row>
    <row r="21" spans="2:21" x14ac:dyDescent="0.25">
      <c r="B21" s="23" t="s">
        <v>3079</v>
      </c>
      <c r="C21" s="28" t="s">
        <v>497</v>
      </c>
      <c r="D21" s="189">
        <f>$E$111</f>
        <v>10.290471307339148</v>
      </c>
    </row>
    <row r="22" spans="2:21" x14ac:dyDescent="0.25">
      <c r="B22" s="23" t="s">
        <v>3080</v>
      </c>
      <c r="C22" s="28" t="s">
        <v>292</v>
      </c>
      <c r="D22" s="105">
        <f>$E$112</f>
        <v>0.44962116563291787</v>
      </c>
    </row>
    <row r="23" spans="2:21" x14ac:dyDescent="0.25">
      <c r="B23" s="23" t="s">
        <v>3081</v>
      </c>
      <c r="C23" s="28" t="s">
        <v>493</v>
      </c>
      <c r="D23" s="159">
        <f>-$E$70</f>
        <v>195.18</v>
      </c>
    </row>
    <row r="24" spans="2:21" x14ac:dyDescent="0.25">
      <c r="B24" s="23" t="s">
        <v>3155</v>
      </c>
      <c r="C24" s="28" t="s">
        <v>493</v>
      </c>
      <c r="D24" s="159">
        <f>$E$118</f>
        <v>422.87986702966873</v>
      </c>
    </row>
    <row r="26" spans="2:21" x14ac:dyDescent="0.25">
      <c r="B26" s="145" t="s">
        <v>3083</v>
      </c>
    </row>
    <row r="27" spans="2:21" x14ac:dyDescent="0.25">
      <c r="G27" s="77" t="s">
        <v>1878</v>
      </c>
      <c r="H27" s="77" t="s">
        <v>1879</v>
      </c>
      <c r="I27" s="77" t="s">
        <v>1879</v>
      </c>
      <c r="J27" s="77" t="s">
        <v>1879</v>
      </c>
      <c r="K27" s="77" t="s">
        <v>1879</v>
      </c>
      <c r="L27" s="77" t="s">
        <v>1879</v>
      </c>
      <c r="M27" s="77" t="s">
        <v>1879</v>
      </c>
      <c r="N27" s="77" t="s">
        <v>1879</v>
      </c>
      <c r="O27" s="77" t="s">
        <v>1879</v>
      </c>
      <c r="P27" s="77" t="s">
        <v>1879</v>
      </c>
      <c r="Q27" s="77" t="s">
        <v>1879</v>
      </c>
      <c r="R27" s="77" t="s">
        <v>1879</v>
      </c>
      <c r="S27" s="77" t="s">
        <v>1879</v>
      </c>
      <c r="T27" s="77" t="s">
        <v>1879</v>
      </c>
    </row>
    <row r="28" spans="2:21" x14ac:dyDescent="0.25">
      <c r="B28" s="150" t="s">
        <v>1880</v>
      </c>
      <c r="C28" s="150" t="s">
        <v>466</v>
      </c>
      <c r="D28" s="59" t="s">
        <v>1881</v>
      </c>
      <c r="E28" s="59" t="s">
        <v>468</v>
      </c>
      <c r="F28" s="60"/>
      <c r="G28" s="151">
        <v>2023</v>
      </c>
      <c r="H28" s="152">
        <v>2024</v>
      </c>
      <c r="I28" s="152">
        <v>2025</v>
      </c>
      <c r="J28" s="152">
        <v>2026</v>
      </c>
      <c r="K28" s="152">
        <v>2027</v>
      </c>
      <c r="L28" s="152">
        <v>2028</v>
      </c>
      <c r="M28" s="152">
        <v>2029</v>
      </c>
      <c r="N28" s="152">
        <v>2030</v>
      </c>
      <c r="O28" s="152">
        <v>2031</v>
      </c>
      <c r="P28" s="152">
        <v>2032</v>
      </c>
      <c r="Q28" s="152">
        <v>2033</v>
      </c>
      <c r="R28" s="152">
        <v>2034</v>
      </c>
      <c r="S28" s="152">
        <v>2035</v>
      </c>
      <c r="T28" s="152">
        <v>2036</v>
      </c>
      <c r="U28" s="59" t="s">
        <v>1882</v>
      </c>
    </row>
    <row r="29" spans="2:21" x14ac:dyDescent="0.25">
      <c r="B29" s="58" t="s">
        <v>3156</v>
      </c>
      <c r="C29" s="19"/>
      <c r="D29" s="19"/>
      <c r="E29" s="19"/>
      <c r="F29" s="19"/>
      <c r="G29" s="19"/>
      <c r="H29" s="19"/>
      <c r="I29" s="19"/>
      <c r="J29" s="19"/>
      <c r="K29" s="19"/>
      <c r="L29" s="19"/>
      <c r="M29" s="19"/>
      <c r="N29" s="19"/>
      <c r="O29" s="19"/>
      <c r="P29" s="19"/>
      <c r="Q29" s="19"/>
      <c r="R29" s="19"/>
      <c r="S29" s="19"/>
      <c r="T29" s="19"/>
    </row>
    <row r="30" spans="2:21" x14ac:dyDescent="0.25">
      <c r="B30" s="21" t="s">
        <v>6</v>
      </c>
      <c r="C30" s="28" t="s">
        <v>493</v>
      </c>
      <c r="H30" s="26">
        <f>'FSL Output - With BUMN'!H59</f>
        <v>305.28863657531394</v>
      </c>
      <c r="I30" s="26">
        <f>'FSL Output - With BUMN'!I59</f>
        <v>427.60286647031643</v>
      </c>
      <c r="J30" s="26">
        <f>'FSL Output - With BUMN'!J59</f>
        <v>622.0648862865288</v>
      </c>
      <c r="K30" s="26">
        <f>'FSL Output - With BUMN'!K59</f>
        <v>754.46283287559299</v>
      </c>
      <c r="L30" s="26">
        <f>'FSL Output - With BUMN'!L59</f>
        <v>841.309577025576</v>
      </c>
      <c r="M30" s="26">
        <f>'FSL Output - With BUMN'!M59</f>
        <v>949.09203723101211</v>
      </c>
      <c r="N30" s="26">
        <f>'FSL Output - With BUMN'!N59</f>
        <v>996.70687917243333</v>
      </c>
      <c r="O30" s="26">
        <f>'FSL Output - With BUMN'!O59</f>
        <v>1066.803109570357</v>
      </c>
      <c r="P30" s="26">
        <f>'FSL Output - With BUMN'!P59</f>
        <v>1116.5241172001438</v>
      </c>
      <c r="Q30" s="26">
        <f>'FSL Output - With BUMN'!Q59</f>
        <v>1185.4169371080031</v>
      </c>
      <c r="R30" s="26">
        <f>'FSL Output - With BUMN'!R59</f>
        <v>1210.7769669451768</v>
      </c>
      <c r="S30" s="26">
        <f>'FSL Output - With BUMN'!S59</f>
        <v>1219.4093622958555</v>
      </c>
      <c r="T30" s="26">
        <f>'FSL Output - With BUMN'!T59</f>
        <v>1260.4845163049374</v>
      </c>
    </row>
    <row r="31" spans="2:21" x14ac:dyDescent="0.25">
      <c r="B31" s="21" t="s">
        <v>3085</v>
      </c>
      <c r="C31" s="28" t="s">
        <v>493</v>
      </c>
      <c r="H31" s="26">
        <f>'FSL Output - With BUMN'!H67</f>
        <v>154.23547540286305</v>
      </c>
      <c r="I31" s="26">
        <f>'FSL Output - With BUMN'!I67</f>
        <v>263.55853377872427</v>
      </c>
      <c r="J31" s="26">
        <f>'FSL Output - With BUMN'!J67</f>
        <v>367.49028803120575</v>
      </c>
      <c r="K31" s="26">
        <f>'FSL Output - With BUMN'!K67</f>
        <v>450.24813332977317</v>
      </c>
      <c r="L31" s="26">
        <f>'FSL Output - With BUMN'!L67</f>
        <v>497.66950547804646</v>
      </c>
      <c r="M31" s="26">
        <f>'FSL Output - With BUMN'!M67</f>
        <v>567.1880901466418</v>
      </c>
      <c r="N31" s="26">
        <f>'FSL Output - With BUMN'!N67</f>
        <v>595.36851562758238</v>
      </c>
      <c r="O31" s="26">
        <f>'FSL Output - With BUMN'!O67</f>
        <v>642.91169302368303</v>
      </c>
      <c r="P31" s="26">
        <f>'FSL Output - With BUMN'!P67</f>
        <v>673.87651926544368</v>
      </c>
      <c r="Q31" s="26">
        <f>'FSL Output - With BUMN'!Q67</f>
        <v>721.09913610810815</v>
      </c>
      <c r="R31" s="26">
        <f>'FSL Output - With BUMN'!R67</f>
        <v>742.71674547399266</v>
      </c>
      <c r="S31" s="26">
        <f>'FSL Output - With BUMN'!S67</f>
        <v>738.15263621875317</v>
      </c>
      <c r="T31" s="26">
        <f>'FSL Output - With BUMN'!T67</f>
        <v>761.08029091213029</v>
      </c>
    </row>
    <row r="32" spans="2:21" x14ac:dyDescent="0.25">
      <c r="B32" s="23" t="s">
        <v>2790</v>
      </c>
      <c r="C32" s="28" t="s">
        <v>292</v>
      </c>
      <c r="H32" s="105">
        <f t="shared" ref="H32:T32" si="0">IF(H30=0,0,H31/H30)</f>
        <v>0.50521197622373193</v>
      </c>
      <c r="I32" s="105">
        <f t="shared" si="0"/>
        <v>0.6163628788419736</v>
      </c>
      <c r="J32" s="105">
        <f t="shared" si="0"/>
        <v>0.59075877152457745</v>
      </c>
      <c r="K32" s="105">
        <f t="shared" si="0"/>
        <v>0.59677974011480128</v>
      </c>
      <c r="L32" s="105">
        <f t="shared" si="0"/>
        <v>0.59154147185337125</v>
      </c>
      <c r="M32" s="105">
        <f t="shared" si="0"/>
        <v>0.59761126202409209</v>
      </c>
      <c r="N32" s="105">
        <f t="shared" si="0"/>
        <v>0.59733561397902402</v>
      </c>
      <c r="O32" s="105">
        <f t="shared" si="0"/>
        <v>0.60265262376541862</v>
      </c>
      <c r="P32" s="105">
        <f t="shared" si="0"/>
        <v>0.60354855652853501</v>
      </c>
      <c r="Q32" s="105">
        <f t="shared" si="0"/>
        <v>0.60830844704086506</v>
      </c>
      <c r="R32" s="105">
        <f t="shared" si="0"/>
        <v>0.61342160096412079</v>
      </c>
      <c r="S32" s="105">
        <f t="shared" si="0"/>
        <v>0.60533620541422506</v>
      </c>
      <c r="T32" s="105">
        <f t="shared" si="0"/>
        <v>0.60379979370409742</v>
      </c>
    </row>
    <row r="33" spans="2:20" x14ac:dyDescent="0.25">
      <c r="B33" s="21" t="s">
        <v>3086</v>
      </c>
      <c r="C33" s="28" t="s">
        <v>493</v>
      </c>
      <c r="H33" s="26">
        <f>'FSL Output - With BUMN'!H69</f>
        <v>65.862412993927734</v>
      </c>
      <c r="I33" s="26">
        <f>'FSL Output - With BUMN'!I69</f>
        <v>149.9588485967227</v>
      </c>
      <c r="J33" s="26">
        <f>'FSL Output - With BUMN'!J69</f>
        <v>232.5224841280932</v>
      </c>
      <c r="K33" s="26">
        <f>'FSL Output - With BUMN'!K69</f>
        <v>313.30679164256452</v>
      </c>
      <c r="L33" s="26">
        <f>'FSL Output - With BUMN'!L69</f>
        <v>353.47107541471053</v>
      </c>
      <c r="M33" s="26">
        <f>'FSL Output - With BUMN'!M69</f>
        <v>409.60322093969023</v>
      </c>
      <c r="N33" s="26">
        <f>'FSL Output - With BUMN'!N69</f>
        <v>437.77473968510787</v>
      </c>
      <c r="O33" s="26">
        <f>'FSL Output - With BUMN'!O69</f>
        <v>485.30883221097525</v>
      </c>
      <c r="P33" s="26">
        <f>'FSL Output - With BUMN'!P69</f>
        <v>514.23322008496098</v>
      </c>
      <c r="Q33" s="26">
        <f>'FSL Output - With BUMN'!Q69</f>
        <v>561.47755682877164</v>
      </c>
      <c r="R33" s="26">
        <f>'FSL Output - With BUMN'!R69</f>
        <v>588.62337049578082</v>
      </c>
      <c r="S33" s="26">
        <f>'FSL Output - With BUMN'!S69</f>
        <v>584.04942748483143</v>
      </c>
      <c r="T33" s="26">
        <f>'FSL Output - With BUMN'!T69</f>
        <v>606.93587994724749</v>
      </c>
    </row>
    <row r="35" spans="2:20" x14ac:dyDescent="0.25">
      <c r="B35" s="58" t="s">
        <v>3087</v>
      </c>
      <c r="C35" s="19"/>
      <c r="D35" s="19"/>
      <c r="E35" s="19"/>
      <c r="F35" s="19"/>
      <c r="G35" s="19"/>
      <c r="H35" s="19"/>
      <c r="I35" s="19"/>
      <c r="J35" s="19"/>
      <c r="K35" s="19"/>
      <c r="L35" s="19"/>
      <c r="M35" s="19"/>
      <c r="N35" s="19"/>
      <c r="O35" s="19"/>
      <c r="P35" s="19"/>
      <c r="Q35" s="19"/>
      <c r="R35" s="19"/>
      <c r="S35" s="19"/>
      <c r="T35" s="19"/>
    </row>
    <row r="36" spans="2:20" ht="26.25" customHeight="1" x14ac:dyDescent="0.25">
      <c r="B36" s="64" t="s">
        <v>3088</v>
      </c>
      <c r="C36" s="28" t="s">
        <v>493</v>
      </c>
      <c r="H36" s="159">
        <f>-'FSL Output - With BUMN'!H231</f>
        <v>-19.962283512427824</v>
      </c>
      <c r="I36" s="159">
        <f>-'FSL Output - With BUMN'!I231</f>
        <v>-36.944623657090176</v>
      </c>
      <c r="J36" s="159">
        <f>-'FSL Output - With BUMN'!J231</f>
        <v>-55.219449591529774</v>
      </c>
      <c r="K36" s="159">
        <f>-'FSL Output - With BUMN'!K231</f>
        <v>-70.708869592703536</v>
      </c>
      <c r="L36" s="159">
        <f>-'FSL Output - With BUMN'!L231</f>
        <v>-79.691245471648969</v>
      </c>
      <c r="M36" s="159">
        <f>-'FSL Output - With BUMN'!M231</f>
        <v>-90.372484665026676</v>
      </c>
      <c r="N36" s="159">
        <f>-'FSL Output - With BUMN'!N231</f>
        <v>-96.339211901384616</v>
      </c>
      <c r="O36" s="159">
        <f>-'FSL Output - With BUMN'!O231</f>
        <v>-106.76794308641458</v>
      </c>
      <c r="P36" s="159">
        <f>-'FSL Output - With BUMN'!P231</f>
        <v>-113.1313084186914</v>
      </c>
      <c r="Q36" s="159">
        <f>-'FSL Output - With BUMN'!Q231</f>
        <v>-123.52506250232972</v>
      </c>
      <c r="R36" s="159">
        <f>-'FSL Output - With BUMN'!R231</f>
        <v>-129.49714150907175</v>
      </c>
      <c r="S36" s="159">
        <f>-'FSL Output - With BUMN'!S231</f>
        <v>-128.4908740466629</v>
      </c>
      <c r="T36" s="159">
        <f>-'FSL Output - With BUMN'!T231</f>
        <v>-133.52589358839438</v>
      </c>
    </row>
    <row r="37" spans="2:20" x14ac:dyDescent="0.25">
      <c r="B37" s="21" t="s">
        <v>3089</v>
      </c>
      <c r="C37" s="28" t="s">
        <v>493</v>
      </c>
      <c r="H37" s="160">
        <f t="shared" ref="H37:T37" si="1">H33+H36</f>
        <v>45.90012948149991</v>
      </c>
      <c r="I37" s="160">
        <f t="shared" si="1"/>
        <v>113.01422493963253</v>
      </c>
      <c r="J37" s="160">
        <f t="shared" si="1"/>
        <v>177.30303453656342</v>
      </c>
      <c r="K37" s="160">
        <f t="shared" si="1"/>
        <v>242.59792204986098</v>
      </c>
      <c r="L37" s="160">
        <f t="shared" si="1"/>
        <v>273.77982994306154</v>
      </c>
      <c r="M37" s="160">
        <f t="shared" si="1"/>
        <v>319.23073627466357</v>
      </c>
      <c r="N37" s="160">
        <f t="shared" si="1"/>
        <v>341.43552778372327</v>
      </c>
      <c r="O37" s="160">
        <f t="shared" si="1"/>
        <v>378.54088912456069</v>
      </c>
      <c r="P37" s="160">
        <f t="shared" si="1"/>
        <v>401.10191166626959</v>
      </c>
      <c r="Q37" s="160">
        <f t="shared" si="1"/>
        <v>437.95249432644192</v>
      </c>
      <c r="R37" s="160">
        <f t="shared" si="1"/>
        <v>459.12622898670907</v>
      </c>
      <c r="S37" s="160">
        <f t="shared" si="1"/>
        <v>455.55855343816853</v>
      </c>
      <c r="T37" s="160">
        <f t="shared" si="1"/>
        <v>473.40998635885308</v>
      </c>
    </row>
    <row r="38" spans="2:20" x14ac:dyDescent="0.25">
      <c r="B38" s="23" t="s">
        <v>3090</v>
      </c>
      <c r="C38" s="28" t="s">
        <v>493</v>
      </c>
      <c r="H38" s="29">
        <f>'Capex &amp; Depreciation'!H256</f>
        <v>88.373062408935311</v>
      </c>
      <c r="I38" s="29">
        <f>'Capex &amp; Depreciation'!I256</f>
        <v>113.59968518200155</v>
      </c>
      <c r="J38" s="29">
        <f>'Capex &amp; Depreciation'!J256</f>
        <v>134.96780390311255</v>
      </c>
      <c r="K38" s="29">
        <f>'Capex &amp; Depreciation'!K256</f>
        <v>136.94134168720865</v>
      </c>
      <c r="L38" s="29">
        <f>'Capex &amp; Depreciation'!L256</f>
        <v>144.19843006333596</v>
      </c>
      <c r="M38" s="29">
        <f>'Capex &amp; Depreciation'!M256</f>
        <v>157.58486920695159</v>
      </c>
      <c r="N38" s="29">
        <f>'Capex &amp; Depreciation'!N256</f>
        <v>157.59377594247448</v>
      </c>
      <c r="O38" s="29">
        <f>'Capex &amp; Depreciation'!O256</f>
        <v>157.60286081270777</v>
      </c>
      <c r="P38" s="29">
        <f>'Capex &amp; Depreciation'!P256</f>
        <v>159.64329918048264</v>
      </c>
      <c r="Q38" s="29">
        <f>'Capex &amp; Depreciation'!Q256</f>
        <v>159.62157927933652</v>
      </c>
      <c r="R38" s="29">
        <f>'Capex &amp; Depreciation'!R256</f>
        <v>154.09337497821181</v>
      </c>
      <c r="S38" s="29">
        <f>'Capex &amp; Depreciation'!S256</f>
        <v>154.10320873392178</v>
      </c>
      <c r="T38" s="29">
        <f>'Capex &amp; Depreciation'!T256</f>
        <v>154.14441096488284</v>
      </c>
    </row>
    <row r="39" spans="2:20" x14ac:dyDescent="0.25">
      <c r="B39" s="23" t="s">
        <v>3091</v>
      </c>
      <c r="C39" s="28" t="s">
        <v>493</v>
      </c>
      <c r="H39" s="159">
        <f>-'Capex &amp; Depreciation'!H81</f>
        <v>-125.24050000000001</v>
      </c>
      <c r="I39" s="159">
        <f>-'Capex &amp; Depreciation'!I81</f>
        <v>-14.638500000000001</v>
      </c>
      <c r="J39" s="159">
        <f>-'Capex &amp; Depreciation'!J81</f>
        <v>-419.77202976190472</v>
      </c>
      <c r="K39" s="159">
        <f>-'Capex &amp; Depreciation'!K81</f>
        <v>-225.06362499999994</v>
      </c>
      <c r="L39" s="159">
        <f>-'Capex &amp; Depreciation'!L81</f>
        <v>-97.59</v>
      </c>
      <c r="M39" s="159">
        <f>-'Capex &amp; Depreciation'!M81</f>
        <v>0</v>
      </c>
      <c r="N39" s="159">
        <f>-'Capex &amp; Depreciation'!N81</f>
        <v>0</v>
      </c>
      <c r="O39" s="159">
        <f>-'Capex &amp; Depreciation'!O81</f>
        <v>0</v>
      </c>
      <c r="P39" s="159">
        <f>-'Capex &amp; Depreciation'!P81</f>
        <v>0</v>
      </c>
      <c r="Q39" s="159">
        <f>-'Capex &amp; Depreciation'!Q81</f>
        <v>0</v>
      </c>
      <c r="R39" s="159">
        <f>-'Capex &amp; Depreciation'!R81</f>
        <v>0</v>
      </c>
      <c r="S39" s="159">
        <f>-'Capex &amp; Depreciation'!S81</f>
        <v>0</v>
      </c>
      <c r="T39" s="159">
        <f>-'Capex &amp; Depreciation'!T81</f>
        <v>0</v>
      </c>
    </row>
    <row r="40" spans="2:20" x14ac:dyDescent="0.25">
      <c r="B40" s="23" t="s">
        <v>3092</v>
      </c>
      <c r="C40" s="28" t="s">
        <v>493</v>
      </c>
      <c r="H40" s="159">
        <f>-'Capex &amp; Depreciation'!H210</f>
        <v>0</v>
      </c>
      <c r="I40" s="159">
        <f>-'Capex &amp; Depreciation'!I210</f>
        <v>0</v>
      </c>
      <c r="J40" s="159">
        <f>-'Capex &amp; Depreciation'!J210</f>
        <v>0</v>
      </c>
      <c r="K40" s="159">
        <f>-'Capex &amp; Depreciation'!K210</f>
        <v>0</v>
      </c>
      <c r="L40" s="159">
        <f>-'Capex &amp; Depreciation'!L210</f>
        <v>0</v>
      </c>
      <c r="M40" s="159">
        <f>-'Capex &amp; Depreciation'!M210</f>
        <v>0</v>
      </c>
      <c r="N40" s="159">
        <f>-'Capex &amp; Depreciation'!N210</f>
        <v>0</v>
      </c>
      <c r="O40" s="159">
        <f>-'Capex &amp; Depreciation'!O210</f>
        <v>0</v>
      </c>
      <c r="P40" s="159">
        <f>-'Capex &amp; Depreciation'!P210</f>
        <v>0</v>
      </c>
      <c r="Q40" s="159">
        <f>-'Capex &amp; Depreciation'!Q210</f>
        <v>0</v>
      </c>
      <c r="R40" s="159">
        <f>-'Capex &amp; Depreciation'!R210</f>
        <v>0</v>
      </c>
      <c r="S40" s="159">
        <f>-'Capex &amp; Depreciation'!S210</f>
        <v>0</v>
      </c>
      <c r="T40" s="159">
        <f>-'Capex &amp; Depreciation'!T210</f>
        <v>0</v>
      </c>
    </row>
    <row r="41" spans="2:20" x14ac:dyDescent="0.25">
      <c r="B41" s="23" t="s">
        <v>3093</v>
      </c>
      <c r="C41" s="28" t="s">
        <v>493</v>
      </c>
      <c r="H41" s="159">
        <f>-'Working Capital'!H116</f>
        <v>2.8370388994712172</v>
      </c>
      <c r="I41" s="159">
        <f>-'Working Capital'!I116</f>
        <v>-15.803178598627007</v>
      </c>
      <c r="J41" s="159">
        <f>-'Working Capital'!J116</f>
        <v>-24.174807601681188</v>
      </c>
      <c r="K41" s="159">
        <f>-'Working Capital'!K116</f>
        <v>-15.307458995313795</v>
      </c>
      <c r="L41" s="159">
        <f>-'Working Capital'!L116</f>
        <v>-8.6358287416836532</v>
      </c>
      <c r="M41" s="159">
        <f>-'Working Capital'!M116</f>
        <v>-11.375678781276122</v>
      </c>
      <c r="N41" s="159">
        <f>-'Working Capital'!N116</f>
        <v>-4.9038275714541584</v>
      </c>
      <c r="O41" s="159">
        <f>-'Working Capital'!O116</f>
        <v>-7.5908088648250782</v>
      </c>
      <c r="P41" s="159">
        <f>-'Working Capital'!P116</f>
        <v>-4.8619791690155978</v>
      </c>
      <c r="Q41" s="159">
        <f>-'Working Capital'!Q116</f>
        <v>-7.8802492526095165</v>
      </c>
      <c r="R41" s="159">
        <f>-'Working Capital'!R116</f>
        <v>-2.9473333710221539</v>
      </c>
      <c r="S41" s="159">
        <f>-'Working Capital'!S116</f>
        <v>-0.3286242651282123</v>
      </c>
      <c r="T41" s="159">
        <f>-'Working Capital'!T116</f>
        <v>-3.8276260275482912</v>
      </c>
    </row>
    <row r="42" spans="2:20" x14ac:dyDescent="0.25">
      <c r="B42" s="21" t="s">
        <v>3094</v>
      </c>
      <c r="C42" s="28" t="s">
        <v>493</v>
      </c>
      <c r="G42" s="157"/>
      <c r="H42" s="158">
        <f t="shared" ref="H42:T42" si="2">H37+H38+H39+H40+H41</f>
        <v>11.86973078990642</v>
      </c>
      <c r="I42" s="158">
        <f t="shared" si="2"/>
        <v>196.1722315230071</v>
      </c>
      <c r="J42" s="158">
        <f t="shared" si="2"/>
        <v>-131.67599892390993</v>
      </c>
      <c r="K42" s="158">
        <f t="shared" si="2"/>
        <v>139.16817974175589</v>
      </c>
      <c r="L42" s="158">
        <f t="shared" si="2"/>
        <v>311.75243126471378</v>
      </c>
      <c r="M42" s="158">
        <f t="shared" si="2"/>
        <v>465.43992670033907</v>
      </c>
      <c r="N42" s="158">
        <f t="shared" si="2"/>
        <v>494.12547615474364</v>
      </c>
      <c r="O42" s="158">
        <f t="shared" si="2"/>
        <v>528.55294107244345</v>
      </c>
      <c r="P42" s="158">
        <f t="shared" si="2"/>
        <v>555.8832316777366</v>
      </c>
      <c r="Q42" s="158">
        <f t="shared" si="2"/>
        <v>589.69382435316902</v>
      </c>
      <c r="R42" s="158">
        <f t="shared" si="2"/>
        <v>610.27227059389872</v>
      </c>
      <c r="S42" s="158">
        <f t="shared" si="2"/>
        <v>609.33313790696207</v>
      </c>
      <c r="T42" s="158">
        <f t="shared" si="2"/>
        <v>623.72677129618762</v>
      </c>
    </row>
    <row r="44" spans="2:20" x14ac:dyDescent="0.25">
      <c r="B44" s="58" t="s">
        <v>3095</v>
      </c>
      <c r="C44" s="19"/>
      <c r="D44" s="19"/>
      <c r="E44" s="19"/>
      <c r="F44" s="19"/>
      <c r="G44" s="19"/>
      <c r="H44" s="19"/>
      <c r="I44" s="19"/>
      <c r="J44" s="19"/>
      <c r="K44" s="19"/>
      <c r="L44" s="19"/>
      <c r="M44" s="19"/>
      <c r="N44" s="19"/>
      <c r="O44" s="19"/>
      <c r="P44" s="19"/>
      <c r="Q44" s="19"/>
      <c r="R44" s="19"/>
      <c r="S44" s="19"/>
      <c r="T44" s="19"/>
    </row>
    <row r="45" spans="2:20" x14ac:dyDescent="0.25">
      <c r="B45" s="23" t="s">
        <v>3096</v>
      </c>
      <c r="C45" s="28" t="s">
        <v>1889</v>
      </c>
      <c r="H45" s="153">
        <f>IF('Revenue Calculation'!H7&gt;Inputs!$E$560,1,0)</f>
        <v>0</v>
      </c>
      <c r="I45" s="153">
        <f>IF('Revenue Calculation'!I7&gt;Inputs!$E$560,1,0)</f>
        <v>0</v>
      </c>
      <c r="J45" s="153">
        <f>IF('Revenue Calculation'!J7&gt;Inputs!$E$560,1,0)</f>
        <v>0</v>
      </c>
      <c r="K45" s="153">
        <f>IF('Revenue Calculation'!K7&gt;Inputs!$E$560,1,0)</f>
        <v>1</v>
      </c>
      <c r="L45" s="153">
        <f>IF('Revenue Calculation'!L7&gt;Inputs!$E$560,1,0)</f>
        <v>1</v>
      </c>
      <c r="M45" s="153">
        <f>IF('Revenue Calculation'!M7&gt;Inputs!$E$560,1,0)</f>
        <v>1</v>
      </c>
      <c r="N45" s="153">
        <f>IF('Revenue Calculation'!N7&gt;Inputs!$E$560,1,0)</f>
        <v>1</v>
      </c>
      <c r="O45" s="153">
        <f>IF('Revenue Calculation'!O7&gt;Inputs!$E$560,1,0)</f>
        <v>1</v>
      </c>
      <c r="P45" s="153">
        <f>IF('Revenue Calculation'!P7&gt;Inputs!$E$560,1,0)</f>
        <v>1</v>
      </c>
      <c r="Q45" s="153">
        <f>IF('Revenue Calculation'!Q7&gt;Inputs!$E$560,1,0)</f>
        <v>1</v>
      </c>
      <c r="R45" s="153">
        <f>IF('Revenue Calculation'!R7&gt;Inputs!$E$560,1,0)</f>
        <v>1</v>
      </c>
      <c r="S45" s="153">
        <f>IF('Revenue Calculation'!S7&gt;Inputs!$E$560,1,0)</f>
        <v>1</v>
      </c>
      <c r="T45" s="153">
        <f>IF('Revenue Calculation'!T7&gt;Inputs!$E$560,1,0)</f>
        <v>1</v>
      </c>
    </row>
    <row r="46" spans="2:20" x14ac:dyDescent="0.25">
      <c r="B46" s="23" t="s">
        <v>3097</v>
      </c>
      <c r="C46" s="28" t="s">
        <v>816</v>
      </c>
      <c r="H46" s="165">
        <f>IF(H45=1,'Revenue Calculation'!H7-Inputs!$E$560-IF(Inputs!$E$94=1,0.5,0),0)</f>
        <v>0</v>
      </c>
      <c r="I46" s="165">
        <f>IF(I45=1,'Revenue Calculation'!I7-Inputs!$E$560-IF(Inputs!$E$94=1,0.5,0),0)</f>
        <v>0</v>
      </c>
      <c r="J46" s="165">
        <f>IF(J45=1,'Revenue Calculation'!J7-Inputs!$E$560-IF(Inputs!$E$94=1,0.5,0),0)</f>
        <v>0</v>
      </c>
      <c r="K46" s="165">
        <f>IF(K45=1,'Revenue Calculation'!K7-Inputs!$E$560-IF(Inputs!$E$94=1,0.5,0),0)</f>
        <v>1</v>
      </c>
      <c r="L46" s="165">
        <f>IF(L45=1,'Revenue Calculation'!L7-Inputs!$E$560-IF(Inputs!$E$94=1,0.5,0),0)</f>
        <v>2</v>
      </c>
      <c r="M46" s="165">
        <f>IF(M45=1,'Revenue Calculation'!M7-Inputs!$E$560-IF(Inputs!$E$94=1,0.5,0),0)</f>
        <v>3</v>
      </c>
      <c r="N46" s="165">
        <f>IF(N45=1,'Revenue Calculation'!N7-Inputs!$E$560-IF(Inputs!$E$94=1,0.5,0),0)</f>
        <v>4</v>
      </c>
      <c r="O46" s="165">
        <f>IF(O45=1,'Revenue Calculation'!O7-Inputs!$E$560-IF(Inputs!$E$94=1,0.5,0),0)</f>
        <v>5</v>
      </c>
      <c r="P46" s="165">
        <f>IF(P45=1,'Revenue Calculation'!P7-Inputs!$E$560-IF(Inputs!$E$94=1,0.5,0),0)</f>
        <v>6</v>
      </c>
      <c r="Q46" s="165">
        <f>IF(Q45=1,'Revenue Calculation'!Q7-Inputs!$E$560-IF(Inputs!$E$94=1,0.5,0),0)</f>
        <v>7</v>
      </c>
      <c r="R46" s="165">
        <f>IF(R45=1,'Revenue Calculation'!R7-Inputs!$E$560-IF(Inputs!$E$94=1,0.5,0),0)</f>
        <v>8</v>
      </c>
      <c r="S46" s="165">
        <f>IF(S45=1,'Revenue Calculation'!S7-Inputs!$E$560-IF(Inputs!$E$94=1,0.5,0),0)</f>
        <v>9</v>
      </c>
      <c r="T46" s="165">
        <f>IF(T45=1,'Revenue Calculation'!T7-Inputs!$E$560-IF(Inputs!$E$94=1,0.5,0),0)</f>
        <v>10</v>
      </c>
    </row>
    <row r="47" spans="2:20" x14ac:dyDescent="0.25">
      <c r="B47" s="23" t="s">
        <v>3098</v>
      </c>
      <c r="C47" s="28" t="s">
        <v>497</v>
      </c>
      <c r="H47" s="69">
        <f>IF(H45=1,1/(1+Inputs!$E$558)^H46,0)</f>
        <v>0</v>
      </c>
      <c r="I47" s="69">
        <f>IF(I45=1,1/(1+Inputs!$E$558)^I46,0)</f>
        <v>0</v>
      </c>
      <c r="J47" s="69">
        <f>IF(J45=1,1/(1+Inputs!$E$558)^J46,0)</f>
        <v>0</v>
      </c>
      <c r="K47" s="69">
        <f>IF(K45=1,1/(1+Inputs!$E$558)^K46,0)</f>
        <v>0.89392257085838167</v>
      </c>
      <c r="L47" s="69">
        <f>IF(L45=1,1/(1+Inputs!$E$558)^L46,0)</f>
        <v>0.79909756269005849</v>
      </c>
      <c r="M47" s="69">
        <f>IF(M45=1,1/(1+Inputs!$E$558)^M46,0)</f>
        <v>0.71433134760656392</v>
      </c>
      <c r="N47" s="69">
        <f>IF(N45=1,1/(1+Inputs!$E$558)^N46,0)</f>
        <v>0.63855691469719189</v>
      </c>
      <c r="O47" s="69">
        <f>IF(O45=1,1/(1+Inputs!$E$558)^O46,0)</f>
        <v>0.57082043882551015</v>
      </c>
      <c r="P47" s="69">
        <f>IF(P45=1,1/(1+Inputs!$E$558)^P46,0)</f>
        <v>0.51026927417340961</v>
      </c>
      <c r="Q47" s="69">
        <f>IF(Q45=1,1/(1+Inputs!$E$558)^Q46,0)</f>
        <v>0.45614122139913482</v>
      </c>
      <c r="R47" s="69">
        <f>IF(R45=1,1/(1+Inputs!$E$558)^R46,0)</f>
        <v>0.40775493330759688</v>
      </c>
      <c r="S47" s="69">
        <f>IF(S45=1,1/(1+Inputs!$E$558)^S46,0)</f>
        <v>0.36450133826251496</v>
      </c>
      <c r="T47" s="69">
        <f>IF(T45=1,1/(1+Inputs!$E$558)^T46,0)</f>
        <v>0.325835973380948</v>
      </c>
    </row>
    <row r="48" spans="2:20" x14ac:dyDescent="0.25">
      <c r="B48" s="21" t="s">
        <v>3099</v>
      </c>
      <c r="C48" s="28" t="s">
        <v>493</v>
      </c>
      <c r="H48" s="160">
        <f t="shared" ref="H48:T48" si="3">H42*H45</f>
        <v>0</v>
      </c>
      <c r="I48" s="160">
        <f t="shared" si="3"/>
        <v>0</v>
      </c>
      <c r="J48" s="160">
        <f t="shared" si="3"/>
        <v>0</v>
      </c>
      <c r="K48" s="160">
        <f t="shared" si="3"/>
        <v>139.16817974175589</v>
      </c>
      <c r="L48" s="160">
        <f t="shared" si="3"/>
        <v>311.75243126471378</v>
      </c>
      <c r="M48" s="160">
        <f t="shared" si="3"/>
        <v>465.43992670033907</v>
      </c>
      <c r="N48" s="160">
        <f t="shared" si="3"/>
        <v>494.12547615474364</v>
      </c>
      <c r="O48" s="160">
        <f t="shared" si="3"/>
        <v>528.55294107244345</v>
      </c>
      <c r="P48" s="160">
        <f t="shared" si="3"/>
        <v>555.8832316777366</v>
      </c>
      <c r="Q48" s="160">
        <f t="shared" si="3"/>
        <v>589.69382435316902</v>
      </c>
      <c r="R48" s="160">
        <f t="shared" si="3"/>
        <v>610.27227059389872</v>
      </c>
      <c r="S48" s="160">
        <f t="shared" si="3"/>
        <v>609.33313790696207</v>
      </c>
      <c r="T48" s="160">
        <f t="shared" si="3"/>
        <v>623.72677129618762</v>
      </c>
    </row>
    <row r="49" spans="2:20" x14ac:dyDescent="0.25">
      <c r="B49" s="21" t="s">
        <v>3100</v>
      </c>
      <c r="C49" s="28" t="s">
        <v>493</v>
      </c>
      <c r="G49" s="157"/>
      <c r="H49" s="158">
        <f t="shared" ref="H49:T49" si="4">H42*H47</f>
        <v>0</v>
      </c>
      <c r="I49" s="158">
        <f t="shared" si="4"/>
        <v>0</v>
      </c>
      <c r="J49" s="158">
        <f t="shared" si="4"/>
        <v>0</v>
      </c>
      <c r="K49" s="158">
        <f t="shared" si="4"/>
        <v>124.40557701643178</v>
      </c>
      <c r="L49" s="158">
        <f t="shared" si="4"/>
        <v>249.12060798633277</v>
      </c>
      <c r="M49" s="158">
        <f t="shared" si="4"/>
        <v>332.47833006975355</v>
      </c>
      <c r="N49" s="158">
        <f t="shared" si="4"/>
        <v>315.52723952665394</v>
      </c>
      <c r="O49" s="158">
        <f t="shared" si="4"/>
        <v>301.70882176548616</v>
      </c>
      <c r="P49" s="158">
        <f t="shared" si="4"/>
        <v>283.65013315336796</v>
      </c>
      <c r="Q49" s="158">
        <f t="shared" si="4"/>
        <v>268.98366129198138</v>
      </c>
      <c r="R49" s="158">
        <f t="shared" si="4"/>
        <v>248.8415289954909</v>
      </c>
      <c r="S49" s="158">
        <f t="shared" si="4"/>
        <v>222.10274421478525</v>
      </c>
      <c r="T49" s="158">
        <f t="shared" si="4"/>
        <v>203.23261964904924</v>
      </c>
    </row>
    <row r="50" spans="2:20" x14ac:dyDescent="0.25">
      <c r="B50" s="23" t="s">
        <v>3101</v>
      </c>
      <c r="C50" s="28" t="s">
        <v>493</v>
      </c>
      <c r="H50" s="161">
        <f>IF('Revenue Calculation'!H7&lt;=Inputs!$E$560,ROUND(H49,9),0)</f>
        <v>0</v>
      </c>
      <c r="I50" s="161">
        <f>IF('Revenue Calculation'!I7&lt;=Inputs!$E$560,ROUND(I49,9),0)</f>
        <v>0</v>
      </c>
      <c r="J50" s="161">
        <f>IF('Revenue Calculation'!J7&lt;=Inputs!$E$560,ROUND(J49,9),0)</f>
        <v>0</v>
      </c>
      <c r="K50" s="161">
        <f>IF('Revenue Calculation'!K7&lt;=Inputs!$E$560,ROUND(K49,9),0)</f>
        <v>0</v>
      </c>
      <c r="L50" s="161">
        <f>IF('Revenue Calculation'!L7&lt;=Inputs!$E$560,ROUND(L49,9),0)</f>
        <v>0</v>
      </c>
      <c r="M50" s="161">
        <f>IF('Revenue Calculation'!M7&lt;=Inputs!$E$560,ROUND(M49,9),0)</f>
        <v>0</v>
      </c>
      <c r="N50" s="161">
        <f>IF('Revenue Calculation'!N7&lt;=Inputs!$E$560,ROUND(N49,9),0)</f>
        <v>0</v>
      </c>
      <c r="O50" s="161">
        <f>IF('Revenue Calculation'!O7&lt;=Inputs!$E$560,ROUND(O49,9),0)</f>
        <v>0</v>
      </c>
      <c r="P50" s="161">
        <f>IF('Revenue Calculation'!P7&lt;=Inputs!$E$560,ROUND(P49,9),0)</f>
        <v>0</v>
      </c>
      <c r="Q50" s="161">
        <f>IF('Revenue Calculation'!Q7&lt;=Inputs!$E$560,ROUND(Q49,9),0)</f>
        <v>0</v>
      </c>
      <c r="R50" s="161">
        <f>IF('Revenue Calculation'!R7&lt;=Inputs!$E$560,ROUND(R49,9),0)</f>
        <v>0</v>
      </c>
      <c r="S50" s="161">
        <f>IF('Revenue Calculation'!S7&lt;=Inputs!$E$560,ROUND(S49,9),0)</f>
        <v>0</v>
      </c>
      <c r="T50" s="161">
        <f>IF('Revenue Calculation'!T7&lt;=Inputs!$E$560,ROUND(T49,9),0)</f>
        <v>0</v>
      </c>
    </row>
    <row r="52" spans="2:20" x14ac:dyDescent="0.25">
      <c r="B52" s="58" t="s">
        <v>3102</v>
      </c>
      <c r="C52" s="19"/>
      <c r="D52" s="19"/>
      <c r="E52" s="19"/>
      <c r="F52" s="19"/>
      <c r="G52" s="19"/>
      <c r="H52" s="19"/>
      <c r="I52" s="19"/>
      <c r="J52" s="19"/>
      <c r="K52" s="19"/>
      <c r="L52" s="19"/>
      <c r="M52" s="19"/>
      <c r="N52" s="19"/>
      <c r="O52" s="19"/>
      <c r="P52" s="19"/>
      <c r="Q52" s="19"/>
      <c r="R52" s="19"/>
      <c r="S52" s="19"/>
      <c r="T52" s="19"/>
    </row>
    <row r="53" spans="2:20" ht="26.25" customHeight="1" x14ac:dyDescent="0.25">
      <c r="B53" s="64" t="s">
        <v>3103</v>
      </c>
      <c r="C53" s="28" t="s">
        <v>497</v>
      </c>
      <c r="E53" s="69">
        <f>1/(1+Inputs!$E$558)^(2036-Inputs!$E$560-IF(Inputs!$E$94=1,0.5,0))</f>
        <v>0.325835973380948</v>
      </c>
    </row>
    <row r="54" spans="2:20" x14ac:dyDescent="0.25">
      <c r="B54" s="23" t="s">
        <v>3104</v>
      </c>
      <c r="C54" s="28" t="s">
        <v>493</v>
      </c>
      <c r="E54" s="159">
        <f>'FSL Output - With BUMN'!T67*(1+Inputs!$E$559)</f>
        <v>783.91269963949424</v>
      </c>
    </row>
    <row r="55" spans="2:20" ht="26.25" customHeight="1" x14ac:dyDescent="0.25">
      <c r="B55" s="64" t="s">
        <v>3105</v>
      </c>
      <c r="C55" s="28" t="s">
        <v>493</v>
      </c>
      <c r="E55" s="159">
        <f>Inputs!$E$550*'FSL Output - With BUMN'!T59*(1+Inputs!$E$559)</f>
        <v>51.931962071763422</v>
      </c>
    </row>
    <row r="56" spans="2:20" x14ac:dyDescent="0.25">
      <c r="B56" s="23" t="s">
        <v>3106</v>
      </c>
      <c r="C56" s="28" t="s">
        <v>493</v>
      </c>
      <c r="E56" s="159">
        <f>MAX(0,Inputs!$E$554*($E$54-$E$55))</f>
        <v>161.03576226490077</v>
      </c>
    </row>
    <row r="57" spans="2:20" x14ac:dyDescent="0.25">
      <c r="B57" s="23" t="s">
        <v>3107</v>
      </c>
      <c r="C57" s="28" t="s">
        <v>493</v>
      </c>
      <c r="E57" s="159">
        <f>'Working Capital'!T115*Inputs!$E$559</f>
        <v>4.0694456113587378</v>
      </c>
    </row>
    <row r="58" spans="2:20" x14ac:dyDescent="0.25">
      <c r="B58" s="23" t="s">
        <v>3108</v>
      </c>
      <c r="C58" s="28" t="s">
        <v>493</v>
      </c>
      <c r="E58" s="159">
        <f>$E$54-$E$56-$E$55-$E$57</f>
        <v>566.87552969147123</v>
      </c>
    </row>
    <row r="59" spans="2:20" x14ac:dyDescent="0.25">
      <c r="B59" s="21" t="s">
        <v>3109</v>
      </c>
      <c r="C59" s="28" t="s">
        <v>493</v>
      </c>
      <c r="E59" s="160">
        <f>IF(Inputs!$E$558&gt;Inputs!$E$559,$E$58/(Inputs!$E$558-Inputs!$E$559),0)</f>
        <v>6393.4445663804563</v>
      </c>
    </row>
    <row r="60" spans="2:20" x14ac:dyDescent="0.25">
      <c r="B60" s="23" t="s">
        <v>3110</v>
      </c>
      <c r="C60" s="28" t="s">
        <v>493</v>
      </c>
      <c r="E60" s="159">
        <f>$E$59*$E$53</f>
        <v>2083.2142335437088</v>
      </c>
    </row>
    <row r="61" spans="2:20" x14ac:dyDescent="0.25">
      <c r="B61" s="23" t="s">
        <v>3111</v>
      </c>
      <c r="C61" s="28" t="s">
        <v>497</v>
      </c>
      <c r="E61" s="189">
        <f>IF('FSL Output - With BUMN'!T67&gt;0,$E$59/'FSL Output - With BUMN'!T67,0)</f>
        <v>8.4004863123155094</v>
      </c>
    </row>
    <row r="62" spans="2:20" x14ac:dyDescent="0.25">
      <c r="B62" s="145" t="s">
        <v>3112</v>
      </c>
    </row>
    <row r="64" spans="2:20" x14ac:dyDescent="0.25">
      <c r="B64" s="58" t="s">
        <v>3113</v>
      </c>
      <c r="C64" s="19"/>
      <c r="D64" s="19"/>
      <c r="E64" s="19"/>
      <c r="F64" s="19"/>
      <c r="G64" s="19"/>
      <c r="H64" s="19"/>
      <c r="I64" s="19"/>
      <c r="J64" s="19"/>
      <c r="K64" s="19"/>
      <c r="L64" s="19"/>
      <c r="M64" s="19"/>
      <c r="N64" s="19"/>
      <c r="O64" s="19"/>
      <c r="P64" s="19"/>
      <c r="Q64" s="19"/>
      <c r="R64" s="19"/>
      <c r="S64" s="19"/>
      <c r="T64" s="19"/>
    </row>
    <row r="65" spans="2:20" x14ac:dyDescent="0.25">
      <c r="B65" s="21" t="s">
        <v>3114</v>
      </c>
      <c r="C65" s="28" t="s">
        <v>493</v>
      </c>
      <c r="E65" s="160">
        <f>SUM($H$49:$T$49)</f>
        <v>2550.0512636693334</v>
      </c>
    </row>
    <row r="66" spans="2:20" x14ac:dyDescent="0.25">
      <c r="B66" s="23" t="s">
        <v>3115</v>
      </c>
      <c r="C66" s="28" t="s">
        <v>493</v>
      </c>
      <c r="E66" s="159">
        <f>$E$60</f>
        <v>2083.2142335437088</v>
      </c>
    </row>
    <row r="67" spans="2:20" x14ac:dyDescent="0.25">
      <c r="B67" s="21" t="s">
        <v>3075</v>
      </c>
      <c r="C67" s="28" t="s">
        <v>493</v>
      </c>
      <c r="E67" s="184">
        <f>$E$65+$E$66</f>
        <v>4633.2654972130422</v>
      </c>
    </row>
    <row r="68" spans="2:20" ht="26.25" customHeight="1" x14ac:dyDescent="0.25">
      <c r="B68" s="64" t="s">
        <v>3116</v>
      </c>
      <c r="C68" s="28" t="s">
        <v>493</v>
      </c>
      <c r="E68" s="159">
        <f>INDEX('Funding Requirement'!$G$62:$T$62,1,Inputs!$E$560-2022)-INDEX(Inputs!$G$512:$T$512,1,Inputs!$E$560-2022)</f>
        <v>0.71722726285116778</v>
      </c>
    </row>
    <row r="69" spans="2:20" x14ac:dyDescent="0.25">
      <c r="B69" s="23" t="s">
        <v>3117</v>
      </c>
      <c r="C69" s="28" t="s">
        <v>493</v>
      </c>
      <c r="E69" s="159">
        <f>INDEX('FSL Output - With BUMN'!$G$247:$T$247,1,Inputs!$E$560-2022)</f>
        <v>61</v>
      </c>
    </row>
    <row r="70" spans="2:20" ht="26.25" customHeight="1" x14ac:dyDescent="0.25">
      <c r="B70" s="64" t="s">
        <v>3118</v>
      </c>
      <c r="C70" s="28" t="s">
        <v>493</v>
      </c>
      <c r="E70" s="159">
        <f>-INDEX(Financing!$G$79:$T$79,1,Inputs!$E$560-2022)</f>
        <v>-195.18</v>
      </c>
    </row>
    <row r="71" spans="2:20" x14ac:dyDescent="0.25">
      <c r="B71" s="23" t="s">
        <v>3119</v>
      </c>
      <c r="C71" s="28" t="s">
        <v>493</v>
      </c>
      <c r="E71" s="159">
        <f>-INDEX('FSL Output - With BUMN'!$G$255:$T$255,1,Inputs!$E$560-2022)</f>
        <v>-3.8611135376500001</v>
      </c>
    </row>
    <row r="72" spans="2:20" x14ac:dyDescent="0.25">
      <c r="B72" s="23" t="s">
        <v>3120</v>
      </c>
      <c r="C72" s="28" t="s">
        <v>493</v>
      </c>
      <c r="E72" s="159">
        <f>-INDEX('FSL Output - With BUMN'!$G$256:$T$256,1,Inputs!$E$560-2022)</f>
        <v>-16.26364090081</v>
      </c>
    </row>
    <row r="73" spans="2:20" ht="26.25" customHeight="1" x14ac:dyDescent="0.25">
      <c r="B73" s="64" t="s">
        <v>3121</v>
      </c>
      <c r="C73" s="28" t="s">
        <v>493</v>
      </c>
      <c r="E73" s="159">
        <f>-'Project Cash Flows'!$E$44</f>
        <v>-519.93470807994333</v>
      </c>
    </row>
    <row r="74" spans="2:20" x14ac:dyDescent="0.25">
      <c r="B74" s="21" t="s">
        <v>3076</v>
      </c>
      <c r="C74" s="28" t="s">
        <v>493</v>
      </c>
      <c r="E74" s="184">
        <f>SUM(E67:E73)</f>
        <v>3959.7432619574893</v>
      </c>
    </row>
    <row r="75" spans="2:20" ht="26.25" customHeight="1" x14ac:dyDescent="0.25">
      <c r="B75" s="133" t="s">
        <v>3122</v>
      </c>
      <c r="C75" s="28" t="s">
        <v>806</v>
      </c>
      <c r="E75" s="160">
        <f>$E$74/Inputs!$E$561*1000</f>
        <v>243.45178370473343</v>
      </c>
    </row>
    <row r="76" spans="2:20" x14ac:dyDescent="0.25">
      <c r="B76" s="23" t="s">
        <v>3123</v>
      </c>
      <c r="C76" s="28" t="s">
        <v>806</v>
      </c>
      <c r="E76" s="159">
        <f>$E$67/Inputs!$E$561*1000</f>
        <v>284.8610819067348</v>
      </c>
    </row>
    <row r="77" spans="2:20" x14ac:dyDescent="0.25">
      <c r="B77" s="23" t="s">
        <v>3124</v>
      </c>
      <c r="C77" s="28" t="s">
        <v>493</v>
      </c>
      <c r="E77" s="159">
        <f>INDEX(Financing!$G$14:$T$14,1,Inputs!$E$560-2022)</f>
        <v>195.18</v>
      </c>
    </row>
    <row r="78" spans="2:20" x14ac:dyDescent="0.25">
      <c r="B78" s="145" t="s">
        <v>3125</v>
      </c>
    </row>
    <row r="80" spans="2:20" x14ac:dyDescent="0.25">
      <c r="B80" s="58" t="s">
        <v>3126</v>
      </c>
      <c r="C80" s="19"/>
      <c r="D80" s="19"/>
      <c r="E80" s="19"/>
      <c r="F80" s="19"/>
      <c r="G80" s="19"/>
      <c r="H80" s="19"/>
      <c r="I80" s="19"/>
      <c r="J80" s="19"/>
      <c r="K80" s="19"/>
      <c r="L80" s="19"/>
      <c r="M80" s="19"/>
      <c r="N80" s="19"/>
      <c r="O80" s="19"/>
      <c r="P80" s="19"/>
      <c r="Q80" s="19"/>
      <c r="R80" s="19"/>
      <c r="S80" s="19"/>
      <c r="T80" s="19"/>
    </row>
    <row r="81" spans="2:20" x14ac:dyDescent="0.25">
      <c r="B81" s="145" t="s">
        <v>3127</v>
      </c>
    </row>
    <row r="82" spans="2:20" ht="26.25" customHeight="1" x14ac:dyDescent="0.25">
      <c r="B82" s="64" t="s">
        <v>3128</v>
      </c>
      <c r="C82" s="28" t="s">
        <v>493</v>
      </c>
      <c r="H82" s="159">
        <f>H42-'Project Cash Flows'!H366</f>
        <v>-16.186530402487797</v>
      </c>
      <c r="I82" s="159">
        <f>I42-'Project Cash Flows'!I366</f>
        <v>161.62737789537934</v>
      </c>
      <c r="J82" s="159">
        <f>J42-'Project Cash Flows'!J366</f>
        <v>-150.97695063412152</v>
      </c>
      <c r="K82" s="159">
        <f>K42-'Project Cash Flows'!K366</f>
        <v>91.461690232542864</v>
      </c>
      <c r="L82" s="159">
        <f>L42-'Project Cash Flows'!L366</f>
        <v>262.33425876631304</v>
      </c>
      <c r="M82" s="159">
        <f>M42-'Project Cash Flows'!M366</f>
        <v>413.64844522654181</v>
      </c>
      <c r="N82" s="159">
        <f>N42-'Project Cash Flows'!N366</f>
        <v>440.9074910146627</v>
      </c>
      <c r="O82" s="159">
        <f>O42-'Project Cash Flows'!O366</f>
        <v>474.1379946171528</v>
      </c>
      <c r="P82" s="159">
        <f>P42-'Project Cash Flows'!P366</f>
        <v>498.73602511574967</v>
      </c>
      <c r="Q82" s="159">
        <f>Q42-'Project Cash Flows'!Q366</f>
        <v>531.05672678998667</v>
      </c>
      <c r="R82" s="159">
        <f>R42-'Project Cash Flows'!R366</f>
        <v>550.28106596949806</v>
      </c>
      <c r="S82" s="159">
        <f>S42-'Project Cash Flows'!S366</f>
        <v>547.99267359460077</v>
      </c>
      <c r="T82" s="159">
        <f>T42-'Project Cash Flows'!T366</f>
        <v>560.97593440764581</v>
      </c>
    </row>
    <row r="83" spans="2:20" ht="38.25" customHeight="1" x14ac:dyDescent="0.25">
      <c r="B83" s="64" t="s">
        <v>3129</v>
      </c>
      <c r="C83" s="28" t="s">
        <v>493</v>
      </c>
      <c r="E83" s="159">
        <f>'FSL Output - With BUMN'!T67-MAX(0,Inputs!$E$554*('FSL Output - With BUMN'!T67-Inputs!$E$550*'FSL Output - With BUMN'!T59))-Inputs!$E$550*'FSL Output - With BUMN'!T59</f>
        <v>554.3155100027476</v>
      </c>
    </row>
    <row r="84" spans="2:20" ht="26.25" customHeight="1" x14ac:dyDescent="0.25">
      <c r="B84" s="64" t="s">
        <v>3130</v>
      </c>
      <c r="C84" s="28" t="s">
        <v>493</v>
      </c>
      <c r="E84" s="159">
        <f>$E$83-'Project Cash Flows'!$E$366</f>
        <v>497.78377658914695</v>
      </c>
    </row>
    <row r="85" spans="2:20" x14ac:dyDescent="0.25">
      <c r="B85" s="23" t="s">
        <v>3131</v>
      </c>
      <c r="C85" s="28" t="s">
        <v>493</v>
      </c>
      <c r="E85" s="159">
        <f>'Working Capital'!T115-'Project Cash Flows'!$F$366</f>
        <v>122.97944798214854</v>
      </c>
    </row>
    <row r="86" spans="2:20" ht="26.25" customHeight="1" x14ac:dyDescent="0.25">
      <c r="B86" s="64" t="s">
        <v>3132</v>
      </c>
      <c r="C86" s="28" t="s">
        <v>493</v>
      </c>
      <c r="E86" s="159">
        <f>$E$68+$E$69+$E$70+$E$71+$E$72</f>
        <v>-153.58752717560884</v>
      </c>
    </row>
    <row r="87" spans="2:20" x14ac:dyDescent="0.25">
      <c r="B87" s="77" t="s">
        <v>3133</v>
      </c>
      <c r="H87" s="190">
        <f>Inputs!$E$559+H88</f>
        <v>1.9999999999999997E-2</v>
      </c>
      <c r="I87" s="190">
        <f>Inputs!$E$559+I88</f>
        <v>2.4999999999999998E-2</v>
      </c>
      <c r="J87" s="190">
        <f>Inputs!$E$559+J88</f>
        <v>0.03</v>
      </c>
      <c r="K87" s="190">
        <f>Inputs!$E$559+K88</f>
        <v>3.4999999999999996E-2</v>
      </c>
      <c r="L87" s="190">
        <f>Inputs!$E$559+L88</f>
        <v>0.04</v>
      </c>
    </row>
    <row r="88" spans="2:20" x14ac:dyDescent="0.25">
      <c r="B88" s="63" t="s">
        <v>3134</v>
      </c>
      <c r="H88" s="191">
        <v>-0.01</v>
      </c>
      <c r="I88" s="191">
        <v>-5.0000000000000001E-3</v>
      </c>
      <c r="J88" s="191">
        <v>0</v>
      </c>
      <c r="K88" s="191">
        <v>5.0000000000000001E-3</v>
      </c>
      <c r="L88" s="191">
        <v>0.01</v>
      </c>
    </row>
    <row r="89" spans="2:20" x14ac:dyDescent="0.25">
      <c r="E89" s="190">
        <f>Inputs!$E$558+G89</f>
        <v>9.8665120000000009E-2</v>
      </c>
      <c r="F89" s="192">
        <f>SUMPRODUCT($H$82:$T$82,$H$45:$T$45,1/(1+$E89)^$H$46:$T$46)</f>
        <v>2482.8211423630964</v>
      </c>
      <c r="G89" s="191">
        <v>-0.02</v>
      </c>
      <c r="H89" s="159">
        <f>$F89+IF($E89&gt;H$87,((1+H$87)*$E$84-H$87*$E$85)/($E89-H$87),0)*(1+$E89)^-(2036-Inputs!$E$560-IF(Inputs!$E$94=1,0.5,0))+$E$86</f>
        <v>4835.8992784291604</v>
      </c>
      <c r="I89" s="159">
        <f>$F89+IF($E89&gt;I$87,((1+I$87)*$E$84-I$87*$E$85)/($E89-I$87),0)*(1+$E89)^-(2036-Inputs!$E$560-IF(Inputs!$E$94=1,0.5,0))+$E$86</f>
        <v>5015.9664733949103</v>
      </c>
      <c r="J89" s="159">
        <f>$F89+IF($E89&gt;J$87,((1+J$87)*$E$84-J$87*$E$85)/($E89-J$87),0)*(1+$E89)^-(2036-Inputs!$E$560-IF(Inputs!$E$94=1,0.5,0))+$E$86</f>
        <v>5222.2576369440922</v>
      </c>
      <c r="K89" s="159">
        <f>$F89+IF($E89&gt;K$87,((1+K$87)*$E$84-K$87*$E$85)/($E89-K$87),0)*(1+$E89)^-(2036-Inputs!$E$560-IF(Inputs!$E$94=1,0.5,0))+$E$86</f>
        <v>5460.9513410915133</v>
      </c>
      <c r="L89" s="159">
        <f>$F89+IF($E89&gt;L$87,((1+L$87)*$E$84-L$87*$E$85)/($E89-L$87),0)*(1+$E89)^-(2036-Inputs!$E$560-IF(Inputs!$E$94=1,0.5,0))+$E$86</f>
        <v>5740.3325447526877</v>
      </c>
    </row>
    <row r="90" spans="2:20" x14ac:dyDescent="0.25">
      <c r="E90" s="190">
        <f>Inputs!$E$558+G90</f>
        <v>0.10866512000000002</v>
      </c>
      <c r="F90" s="192">
        <f>SUMPRODUCT($H$82:$T$82,$H$45:$T$45,1/(1+$E90)^$H$46:$T$46)</f>
        <v>2358.5280593917446</v>
      </c>
      <c r="G90" s="191">
        <v>-0.01</v>
      </c>
      <c r="H90" s="159">
        <f>$F90+IF($E90&gt;H$87,((1+H$87)*$E$84-H$87*$E$85)/($E90-H$87),0)*(1+$E90)^-(2036-Inputs!$E$560-IF(Inputs!$E$94=1,0.5,0))+$E$86</f>
        <v>4236.2464867667968</v>
      </c>
      <c r="I90" s="159">
        <f>$F90+IF($E90&gt;I$87,((1+I$87)*$E$84-I$87*$E$85)/($E90-I$87),0)*(1+$E90)^-(2036-Inputs!$E$560-IF(Inputs!$E$94=1,0.5,0))+$E$86</f>
        <v>4365.6256235040964</v>
      </c>
      <c r="J90" s="159">
        <f>$F90+IF($E90&gt;J$87,((1+J$87)*$E$84-J$87*$E$85)/($E90-J$87),0)*(1+$E90)^-(2036-Inputs!$E$560-IF(Inputs!$E$94=1,0.5,0))+$E$86</f>
        <v>4511.4515840353852</v>
      </c>
      <c r="K90" s="159">
        <f>$F90+IF($E90&gt;K$87,((1+K$87)*$E$84-K$87*$E$85)/($E90-K$87),0)*(1+$E90)^-(2036-Inputs!$E$560-IF(Inputs!$E$94=1,0.5,0))+$E$86</f>
        <v>4677.0733394464332</v>
      </c>
      <c r="L90" s="159">
        <f>$F90+IF($E90&gt;L$87,((1+L$87)*$E$84-L$87*$E$85)/($E90-L$87),0)*(1+$E90)^-(2036-Inputs!$E$560-IF(Inputs!$E$94=1,0.5,0))+$E$86</f>
        <v>4866.8153112659056</v>
      </c>
    </row>
    <row r="91" spans="2:20" x14ac:dyDescent="0.25">
      <c r="E91" s="190">
        <f>Inputs!$E$558+G91</f>
        <v>0.11866512000000001</v>
      </c>
      <c r="F91" s="192">
        <f>SUMPRODUCT($H$82:$T$82,$H$45:$T$45,1/(1+$E91)^$H$46:$T$46)</f>
        <v>2242.7011280517099</v>
      </c>
      <c r="G91" s="191">
        <v>0</v>
      </c>
      <c r="H91" s="159">
        <f>$F91+IF($E91&gt;H$87,((1+H$87)*$E$84-H$87*$E$85)/($E91-H$87),0)*(1+$E91)^-(2036-Inputs!$E$560-IF(Inputs!$E$94=1,0.5,0))+$E$86</f>
        <v>3757.7717451417757</v>
      </c>
      <c r="I91" s="159">
        <f>$F91+IF($E91&gt;I$87,((1+I$87)*$E$84-I$87*$E$85)/($E91-I$87),0)*(1+$E91)^-(2036-Inputs!$E$560-IF(Inputs!$E$94=1,0.5,0))+$E$86</f>
        <v>3853.3667156870929</v>
      </c>
      <c r="J91" s="184">
        <f>$F91+IF($E91&gt;J$87,((1+J$87)*$E$84-J$87*$E$85)/($E91-J$87),0)*(1+$E91)^-(2036-Inputs!$E$560-IF(Inputs!$E$94=1,0.5,0))+$E$86</f>
        <v>3959.7432619574897</v>
      </c>
      <c r="K91" s="159">
        <f>$F91+IF($E91&gt;K$87,((1+K$87)*$E$84-K$87*$E$85)/($E91-K$87),0)*(1+$E91)^-(2036-Inputs!$E$560-IF(Inputs!$E$94=1,0.5,0))+$E$86</f>
        <v>4078.8343715095011</v>
      </c>
      <c r="L91" s="159">
        <f>$F91+IF($E91&gt;L$87,((1+L$87)*$E$84-L$87*$E$85)/($E91-L$87),0)*(1+$E91)^-(2036-Inputs!$E$560-IF(Inputs!$E$94=1,0.5,0))+$E$86</f>
        <v>4213.0644790763909</v>
      </c>
    </row>
    <row r="92" spans="2:20" x14ac:dyDescent="0.25">
      <c r="E92" s="190">
        <f>Inputs!$E$558+G92</f>
        <v>0.12866512000000002</v>
      </c>
      <c r="F92" s="192">
        <f>SUMPRODUCT($H$82:$T$82,$H$45:$T$45,1/(1+$E92)^$H$46:$T$46)</f>
        <v>2134.6476041076608</v>
      </c>
      <c r="G92" s="191">
        <v>0.01</v>
      </c>
      <c r="H92" s="159">
        <f>$F92+IF($E92&gt;H$87,((1+H$87)*$E$84-H$87*$E$85)/($E92-H$87),0)*(1+$E92)^-(2036-Inputs!$E$560-IF(Inputs!$E$94=1,0.5,0))+$E$86</f>
        <v>3367.1480256904547</v>
      </c>
      <c r="I92" s="159">
        <f>$F92+IF($E92&gt;I$87,((1+I$87)*$E$84-I$87*$E$85)/($E92-I$87),0)*(1+$E92)^-(2036-Inputs!$E$560-IF(Inputs!$E$94=1,0.5,0))+$E$86</f>
        <v>3439.3909252691892</v>
      </c>
      <c r="J92" s="159">
        <f>$F92+IF($E92&gt;J$87,((1+J$87)*$E$84-J$87*$E$85)/($E92-J$87),0)*(1+$E92)^-(2036-Inputs!$E$560-IF(Inputs!$E$94=1,0.5,0))+$E$86</f>
        <v>3518.9558551235409</v>
      </c>
      <c r="K92" s="159">
        <f>$F92+IF($E92&gt;K$87,((1+K$87)*$E$84-K$87*$E$85)/($E92-K$87),0)*(1+$E92)^-(2036-Inputs!$E$560-IF(Inputs!$E$94=1,0.5,0))+$E$86</f>
        <v>3607.015401741779</v>
      </c>
      <c r="L92" s="159">
        <f>$F92+IF($E92&gt;L$87,((1+L$87)*$E$84-L$87*$E$85)/($E92-L$87),0)*(1+$E92)^-(2036-Inputs!$E$560-IF(Inputs!$E$94=1,0.5,0))+$E$86</f>
        <v>3705.0066494188145</v>
      </c>
    </row>
    <row r="93" spans="2:20" x14ac:dyDescent="0.25">
      <c r="E93" s="190">
        <f>Inputs!$E$558+G93</f>
        <v>0.13866512</v>
      </c>
      <c r="F93" s="192">
        <f>SUMPRODUCT($H$82:$T$82,$H$45:$T$45,1/(1+$E93)^$H$46:$T$46)</f>
        <v>2033.739391930661</v>
      </c>
      <c r="G93" s="191">
        <v>0.02</v>
      </c>
      <c r="H93" s="159">
        <f>$F93+IF($E93&gt;H$87,((1+H$87)*$E$84-H$87*$E$85)/($E93-H$87),0)*(1+$E93)^-(2036-Inputs!$E$560-IF(Inputs!$E$94=1,0.5,0))+$E$86</f>
        <v>3042.2658671881209</v>
      </c>
      <c r="I93" s="159">
        <f>$F93+IF($E93&gt;I$87,((1+I$87)*$E$84-I$87*$E$85)/($E93-I$87),0)*(1+$E93)^-(2036-Inputs!$E$560-IF(Inputs!$E$94=1,0.5,0))+$E$86</f>
        <v>3097.885684908545</v>
      </c>
      <c r="J93" s="159">
        <f>$F93+IF($E93&gt;J$87,((1+J$87)*$E$84-J$87*$E$85)/($E93-J$87),0)*(1+$E93)^-(2036-Inputs!$E$560-IF(Inputs!$E$94=1,0.5,0))+$E$86</f>
        <v>3158.6239636144655</v>
      </c>
      <c r="K93" s="159">
        <f>$F93+IF($E93&gt;K$87,((1+K$87)*$E$84-K$87*$E$85)/($E93-K$87),0)*(1+$E93)^-(2036-Inputs!$E$560-IF(Inputs!$E$94=1,0.5,0))+$E$86</f>
        <v>3225.2213276815874</v>
      </c>
      <c r="L93" s="159">
        <f>$F93+IF($E93&gt;L$87,((1+L$87)*$E$84-L$87*$E$85)/($E93-L$87),0)*(1+$E93)^-(2036-Inputs!$E$560-IF(Inputs!$E$94=1,0.5,0))+$E$86</f>
        <v>3298.568530401632</v>
      </c>
    </row>
    <row r="94" spans="2:20" x14ac:dyDescent="0.25">
      <c r="B94" s="23" t="s">
        <v>3135</v>
      </c>
      <c r="E94" s="161">
        <f>ROUND(J91-$E$74,4)</f>
        <v>0</v>
      </c>
    </row>
    <row r="96" spans="2:20" x14ac:dyDescent="0.25">
      <c r="B96" s="58" t="s">
        <v>3136</v>
      </c>
      <c r="C96" s="19"/>
      <c r="D96" s="19"/>
      <c r="E96" s="19"/>
      <c r="F96" s="19"/>
      <c r="G96" s="19"/>
      <c r="H96" s="19"/>
      <c r="I96" s="19"/>
      <c r="J96" s="19"/>
      <c r="K96" s="19"/>
      <c r="L96" s="19"/>
      <c r="M96" s="19"/>
      <c r="N96" s="19"/>
      <c r="O96" s="19"/>
      <c r="P96" s="19"/>
      <c r="Q96" s="19"/>
      <c r="R96" s="19"/>
      <c r="S96" s="19"/>
      <c r="T96" s="19"/>
    </row>
    <row r="97" spans="2:20" x14ac:dyDescent="0.25">
      <c r="B97" s="23" t="s">
        <v>3137</v>
      </c>
      <c r="C97" s="28" t="s">
        <v>493</v>
      </c>
      <c r="E97" s="29">
        <f>'Project Cash Flows'!$E$36</f>
        <v>1992.3849271304912</v>
      </c>
    </row>
    <row r="98" spans="2:20" x14ac:dyDescent="0.25">
      <c r="B98" s="23" t="s">
        <v>3138</v>
      </c>
      <c r="C98" s="28" t="s">
        <v>493</v>
      </c>
      <c r="E98" s="29">
        <f>'Project Cash Flows'!$E$37</f>
        <v>1205.8684039417722</v>
      </c>
    </row>
    <row r="99" spans="2:20" x14ac:dyDescent="0.25">
      <c r="B99" s="23" t="s">
        <v>3139</v>
      </c>
      <c r="C99" s="28" t="s">
        <v>493</v>
      </c>
      <c r="E99" s="29">
        <f>'Project Cash Flows'!$E$38</f>
        <v>905.09198557457444</v>
      </c>
    </row>
    <row r="100" spans="2:20" x14ac:dyDescent="0.25">
      <c r="B100" s="23" t="s">
        <v>3157</v>
      </c>
      <c r="C100" s="28" t="s">
        <v>493</v>
      </c>
      <c r="E100" s="29">
        <f>'Project Cash Flows'!$E$39</f>
        <v>532.09239808521397</v>
      </c>
    </row>
    <row r="101" spans="2:20" x14ac:dyDescent="0.25">
      <c r="B101" s="23" t="s">
        <v>3141</v>
      </c>
      <c r="C101" s="28" t="s">
        <v>493</v>
      </c>
      <c r="E101" s="29">
        <f>'Project Cash Flows'!$E$40</f>
        <v>0</v>
      </c>
    </row>
    <row r="102" spans="2:20" x14ac:dyDescent="0.25">
      <c r="B102" s="23" t="s">
        <v>3142</v>
      </c>
      <c r="C102" s="28" t="s">
        <v>493</v>
      </c>
      <c r="E102" s="29">
        <f>'Project Cash Flows'!$E$41</f>
        <v>0</v>
      </c>
    </row>
    <row r="103" spans="2:20" x14ac:dyDescent="0.25">
      <c r="B103" s="23" t="s">
        <v>3143</v>
      </c>
      <c r="C103" s="28" t="s">
        <v>493</v>
      </c>
      <c r="E103" s="29">
        <f>'Project Cash Flows'!$E$42</f>
        <v>14.116098408150656</v>
      </c>
    </row>
    <row r="104" spans="2:20" ht="26.25" customHeight="1" x14ac:dyDescent="0.25">
      <c r="B104" s="64" t="s">
        <v>3144</v>
      </c>
      <c r="C104" s="28" t="s">
        <v>493</v>
      </c>
      <c r="E104" s="29">
        <f>'Project Cash Flows'!$E$413</f>
        <v>-16.288315927161026</v>
      </c>
    </row>
    <row r="105" spans="2:20" x14ac:dyDescent="0.25">
      <c r="B105" s="21" t="s">
        <v>3145</v>
      </c>
      <c r="C105" s="28" t="s">
        <v>493</v>
      </c>
      <c r="E105" s="160">
        <f>SUM(E97:E104)</f>
        <v>4633.2654972130413</v>
      </c>
    </row>
    <row r="106" spans="2:20" x14ac:dyDescent="0.25">
      <c r="B106" s="23" t="s">
        <v>3146</v>
      </c>
      <c r="E106" s="161">
        <f>ROUND($E$105-$E$67,4)</f>
        <v>0</v>
      </c>
    </row>
    <row r="107" spans="2:20" x14ac:dyDescent="0.25">
      <c r="B107" s="145" t="s">
        <v>3147</v>
      </c>
    </row>
    <row r="109" spans="2:20" x14ac:dyDescent="0.25">
      <c r="B109" s="58" t="s">
        <v>3158</v>
      </c>
      <c r="C109" s="19"/>
      <c r="D109" s="19"/>
      <c r="E109" s="19"/>
      <c r="F109" s="19"/>
      <c r="G109" s="19"/>
      <c r="H109" s="19"/>
      <c r="I109" s="19"/>
      <c r="J109" s="19"/>
      <c r="K109" s="19"/>
      <c r="L109" s="19"/>
      <c r="M109" s="19"/>
      <c r="N109" s="19"/>
      <c r="O109" s="19"/>
      <c r="P109" s="19"/>
      <c r="Q109" s="19"/>
      <c r="R109" s="19"/>
      <c r="S109" s="19"/>
      <c r="T109" s="19"/>
    </row>
    <row r="110" spans="2:20" x14ac:dyDescent="0.25">
      <c r="B110" s="23" t="s">
        <v>3149</v>
      </c>
      <c r="C110" s="28" t="s">
        <v>493</v>
      </c>
      <c r="E110" s="159">
        <f>IF(Inputs!$E$560+1&lt;=2036,INDEX('FSL Output - With BUMN'!$H$67:$T$67,1,Inputs!$E$560+1-2023),0)</f>
        <v>450.24813332977317</v>
      </c>
    </row>
    <row r="111" spans="2:20" x14ac:dyDescent="0.25">
      <c r="B111" s="23" t="s">
        <v>3150</v>
      </c>
      <c r="C111" s="28" t="s">
        <v>497</v>
      </c>
      <c r="E111" s="189">
        <f>IF($E$110&gt;0,$E$67/$E$110,0)</f>
        <v>10.290471307339148</v>
      </c>
    </row>
    <row r="112" spans="2:20" x14ac:dyDescent="0.25">
      <c r="B112" s="23" t="s">
        <v>3080</v>
      </c>
      <c r="C112" s="28" t="s">
        <v>292</v>
      </c>
      <c r="E112" s="105">
        <f>IF($E$67&lt;&gt;0,$E$60/$E$67,0)</f>
        <v>0.44962116563291787</v>
      </c>
    </row>
    <row r="113" spans="2:20" ht="26.25" customHeight="1" x14ac:dyDescent="0.25">
      <c r="B113" s="64" t="s">
        <v>3151</v>
      </c>
      <c r="C113" s="28" t="s">
        <v>493</v>
      </c>
      <c r="E113" s="159">
        <f>SUMPRODUCT($H$42:$T$42,--('Revenue Calculation'!$H$7:$T$7&lt;=Inputs!$E$560))</f>
        <v>76.365963389003582</v>
      </c>
    </row>
    <row r="114" spans="2:20" x14ac:dyDescent="0.25">
      <c r="B114" s="154" t="s">
        <v>3159</v>
      </c>
    </row>
    <row r="115" spans="2:20" ht="26.25" customHeight="1" x14ac:dyDescent="0.25">
      <c r="B115" s="133" t="s">
        <v>3160</v>
      </c>
      <c r="C115" s="28" t="s">
        <v>493</v>
      </c>
      <c r="H115" s="160">
        <f>H42-'Valuation — Without BUMN'!H42</f>
        <v>0</v>
      </c>
      <c r="I115" s="160">
        <f>I42-'Valuation — Without BUMN'!I42</f>
        <v>0</v>
      </c>
      <c r="J115" s="160">
        <f>J42-'Valuation — Without BUMN'!J42</f>
        <v>29.769760374341644</v>
      </c>
      <c r="K115" s="160">
        <f>K42-'Valuation — Without BUMN'!K42</f>
        <v>47.0638140560892</v>
      </c>
      <c r="L115" s="160">
        <f>L42-'Valuation — Without BUMN'!L42</f>
        <v>49.069527095588853</v>
      </c>
      <c r="M115" s="160">
        <f>M42-'Valuation — Without BUMN'!M42</f>
        <v>50.678691528355159</v>
      </c>
      <c r="N115" s="160">
        <f>N42-'Valuation — Without BUMN'!N42</f>
        <v>52.471601954046776</v>
      </c>
      <c r="O115" s="160">
        <f>O42-'Valuation — Without BUMN'!O42</f>
        <v>54.261880825475828</v>
      </c>
      <c r="P115" s="160">
        <f>P42-'Valuation — Without BUMN'!P42</f>
        <v>56.151492768979153</v>
      </c>
      <c r="Q115" s="160">
        <f>Q42-'Valuation — Without BUMN'!Q42</f>
        <v>57.926929340967604</v>
      </c>
      <c r="R115" s="160">
        <f>R42-'Valuation — Without BUMN'!R42</f>
        <v>59.911915298590088</v>
      </c>
      <c r="S115" s="160">
        <f>S42-'Valuation — Without BUMN'!S42</f>
        <v>59.845386736936007</v>
      </c>
      <c r="T115" s="160">
        <f>T42-'Valuation — Without BUMN'!T42</f>
        <v>60.574750933227961</v>
      </c>
    </row>
    <row r="116" spans="2:20" ht="26.25" customHeight="1" x14ac:dyDescent="0.25">
      <c r="B116" s="133" t="s">
        <v>3161</v>
      </c>
      <c r="C116" s="28" t="s">
        <v>493</v>
      </c>
      <c r="E116" s="160">
        <f>$E$67-'Valuation — Without BUMN'!$E$67</f>
        <v>511.8575764556017</v>
      </c>
    </row>
    <row r="117" spans="2:20" x14ac:dyDescent="0.25">
      <c r="B117" s="23" t="s">
        <v>3162</v>
      </c>
      <c r="E117" s="161">
        <f>ROUND(SUMPRODUCT($H$115:$T$115,$H$47:$T$47)+$E$60-'Valuation — Without BUMN'!$E$60-$E$116,4)</f>
        <v>0</v>
      </c>
    </row>
    <row r="118" spans="2:20" x14ac:dyDescent="0.25">
      <c r="B118" s="21" t="s">
        <v>3163</v>
      </c>
      <c r="C118" s="28" t="s">
        <v>493</v>
      </c>
      <c r="E118" s="160">
        <f>$E$74-'Valuation — Without BUMN'!$E$74</f>
        <v>422.87986702966873</v>
      </c>
    </row>
    <row r="119" spans="2:20" x14ac:dyDescent="0.25">
      <c r="B119" s="23" t="s">
        <v>3164</v>
      </c>
      <c r="C119" s="28" t="s">
        <v>806</v>
      </c>
      <c r="E119" s="159">
        <f>$E$118/Inputs!$E$561*1000</f>
        <v>25.999377007664844</v>
      </c>
    </row>
    <row r="120" spans="2:20" ht="38.25" customHeight="1" x14ac:dyDescent="0.25">
      <c r="B120" s="64" t="s">
        <v>3165</v>
      </c>
      <c r="C120" s="28" t="s">
        <v>493</v>
      </c>
      <c r="E120" s="29">
        <f>'Project Cash Flows'!$E$39</f>
        <v>532.09239808521397</v>
      </c>
    </row>
    <row r="121" spans="2:20" x14ac:dyDescent="0.25">
      <c r="B121" s="145" t="s">
        <v>3166</v>
      </c>
    </row>
  </sheetData>
  <mergeCells count="8">
    <mergeCell ref="C12:I12"/>
    <mergeCell ref="C13:I13"/>
    <mergeCell ref="C14:I14"/>
    <mergeCell ref="C7:I7"/>
    <mergeCell ref="C8:I8"/>
    <mergeCell ref="C9:I9"/>
    <mergeCell ref="C10:I10"/>
    <mergeCell ref="C11:I11"/>
  </mergeCells>
  <hyperlinks>
    <hyperlink ref="C3" location="'Model Flow'!A1" display="Model Flow" xr:uid="{00000000-0004-0000-0D00-000000000000}"/>
    <hyperlink ref="D3" location="Inputs!A1" display="Inputs" xr:uid="{00000000-0004-0000-0D00-000001000000}"/>
    <hyperlink ref="E3" location="'FS Data Request'!A1" display="FS Request" xr:uid="{00000000-0004-0000-0D00-000002000000}"/>
    <hyperlink ref="F3" location="'Revenue Calculation'!A1" display="Revenue" xr:uid="{00000000-0004-0000-0D00-000003000000}"/>
    <hyperlink ref="G3" location="'Cost Calculation'!A1" display="Costs" xr:uid="{00000000-0004-0000-0D00-000004000000}"/>
    <hyperlink ref="H3" location="'BUMN Synergy Calculation'!A1" display="BUMN Synergy" xr:uid="{00000000-0004-0000-0D00-000005000000}"/>
    <hyperlink ref="I3" location="'Capex &amp; Depreciation'!A1" display="Capex" xr:uid="{00000000-0004-0000-0D00-000006000000}"/>
    <hyperlink ref="J3" location="'Working Capital'!A1" display="Work. cap." xr:uid="{00000000-0004-0000-0D00-000007000000}"/>
    <hyperlink ref="K3" location="Financing!A1" display="Financing" xr:uid="{00000000-0004-0000-0D00-000008000000}"/>
    <hyperlink ref="L3" location="'Funding Requirement'!A1" display="Funding" xr:uid="{00000000-0004-0000-0D00-000009000000}"/>
    <hyperlink ref="M3" location="'FSL Output - Without BUMN'!A1" display="Out: w/o BUMN" xr:uid="{00000000-0004-0000-0D00-00000A000000}"/>
    <hyperlink ref="N3" location="'FSL Output - With BUMN'!A1" display="Out: With BUMN" xr:uid="{00000000-0004-0000-0D00-00000B000000}"/>
    <hyperlink ref="O3" location="'Valuation — Without BUMN'!A1" display="Val: w/o BUMN" xr:uid="{00000000-0004-0000-0D00-00000C000000}"/>
    <hyperlink ref="Q3" location="'Project Cash Flows'!A1" display="Proj. CF" xr:uid="{00000000-0004-0000-0D00-00000D000000}"/>
    <hyperlink ref="R3" location="'Project Summary'!A1" display="Proj. Summary" xr:uid="{00000000-0004-0000-0D00-00000E000000}"/>
    <hyperlink ref="S3" location="'Checks &amp; Reconciliation'!A1" display="Checks" xr:uid="{00000000-0004-0000-0D00-00000F000000}"/>
    <hyperlink ref="T3" location="'Source Data'!A1" display="Source Data" xr:uid="{00000000-0004-0000-0D00-000010000000}"/>
  </hyperlinks>
  <pageMargins left="0.4" right="0.4" top="0.5" bottom="0.5" header="0.511811023622047" footer="0.5"/>
  <pageSetup paperSize="9" fitToHeight="0" orientation="landscape" horizontalDpi="300" verticalDpi="300"/>
  <headerFooter>
    <oddFooter>&amp;L&amp;A&amp;RPage &amp;P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2E5C8A"/>
    <pageSetUpPr fitToPage="1"/>
  </sheetPr>
  <dimension ref="B1:U427"/>
  <sheetViews>
    <sheetView showGridLines="0" zoomScale="85" zoomScaleNormal="85"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5703125" customWidth="1"/>
    <col min="2" max="2" width="58" customWidth="1"/>
    <col min="3" max="3" width="14" customWidth="1"/>
    <col min="4" max="4" width="9" customWidth="1"/>
    <col min="5" max="5" width="13" customWidth="1"/>
    <col min="6" max="6" width="12" customWidth="1"/>
    <col min="7" max="12" width="15" customWidth="1"/>
    <col min="13" max="13" width="60" customWidth="1"/>
    <col min="14" max="20" width="10.5703125" customWidth="1"/>
    <col min="21" max="21" width="55" customWidth="1"/>
  </cols>
  <sheetData>
    <row r="1" spans="2:20" ht="18" x14ac:dyDescent="0.25">
      <c r="B1" s="13" t="s">
        <v>3167</v>
      </c>
    </row>
    <row r="2" spans="2:20" x14ac:dyDescent="0.25">
      <c r="B2" s="14" t="s">
        <v>3168</v>
      </c>
    </row>
    <row r="3" spans="2:20" x14ac:dyDescent="0.25">
      <c r="B3" s="15" t="s">
        <v>2</v>
      </c>
      <c r="C3" s="17" t="s">
        <v>422</v>
      </c>
      <c r="D3" s="17" t="s">
        <v>4</v>
      </c>
      <c r="E3" s="17" t="s">
        <v>5</v>
      </c>
      <c r="F3" s="17" t="s">
        <v>6</v>
      </c>
      <c r="G3" s="17" t="s">
        <v>7</v>
      </c>
      <c r="H3" s="17" t="s">
        <v>8</v>
      </c>
      <c r="I3" s="17" t="s">
        <v>9</v>
      </c>
      <c r="J3" s="17" t="s">
        <v>10</v>
      </c>
      <c r="K3" s="17" t="s">
        <v>11</v>
      </c>
      <c r="L3" s="17" t="s">
        <v>12</v>
      </c>
      <c r="M3" s="17" t="s">
        <v>13</v>
      </c>
      <c r="N3" s="17" t="s">
        <v>14</v>
      </c>
      <c r="O3" s="17" t="s">
        <v>15</v>
      </c>
      <c r="P3" s="17" t="s">
        <v>16</v>
      </c>
      <c r="Q3" s="16" t="s">
        <v>3169</v>
      </c>
      <c r="R3" s="17" t="s">
        <v>18</v>
      </c>
      <c r="S3" s="17" t="s">
        <v>19</v>
      </c>
      <c r="T3" s="17" t="s">
        <v>20</v>
      </c>
    </row>
    <row r="5" spans="2:20" x14ac:dyDescent="0.25">
      <c r="B5" s="58" t="s">
        <v>3170</v>
      </c>
      <c r="C5" s="19"/>
      <c r="D5" s="19"/>
      <c r="E5" s="19"/>
      <c r="F5" s="19"/>
      <c r="G5" s="19"/>
      <c r="H5" s="19"/>
      <c r="I5" s="19"/>
      <c r="J5" s="19"/>
      <c r="K5" s="19"/>
      <c r="L5" s="19"/>
      <c r="M5" s="19"/>
      <c r="N5" s="19"/>
      <c r="O5" s="19"/>
      <c r="P5" s="19"/>
      <c r="Q5" s="19"/>
      <c r="R5" s="19"/>
      <c r="S5" s="19"/>
      <c r="T5" s="19"/>
    </row>
    <row r="6" spans="2:20" ht="36" customHeight="1" x14ac:dyDescent="0.25">
      <c r="B6" s="25" t="s">
        <v>3171</v>
      </c>
      <c r="C6" s="25" t="s">
        <v>504</v>
      </c>
      <c r="D6" s="25" t="s">
        <v>3172</v>
      </c>
      <c r="E6" s="25" t="s">
        <v>3173</v>
      </c>
      <c r="F6" s="25" t="s">
        <v>3174</v>
      </c>
      <c r="G6" s="25" t="s">
        <v>3175</v>
      </c>
      <c r="H6" s="25" t="s">
        <v>3176</v>
      </c>
      <c r="I6" s="25" t="s">
        <v>3177</v>
      </c>
      <c r="J6" s="25" t="s">
        <v>3178</v>
      </c>
      <c r="K6" s="25" t="s">
        <v>3179</v>
      </c>
      <c r="L6" s="25" t="s">
        <v>3180</v>
      </c>
      <c r="M6" s="25" t="s">
        <v>3181</v>
      </c>
      <c r="N6" s="60"/>
      <c r="O6" s="60"/>
      <c r="P6" s="60"/>
      <c r="Q6" s="60"/>
      <c r="R6" s="60"/>
      <c r="S6" s="60"/>
      <c r="T6" s="60"/>
    </row>
    <row r="7" spans="2:20" x14ac:dyDescent="0.25">
      <c r="B7" s="23" t="s">
        <v>515</v>
      </c>
      <c r="C7" s="70" t="s">
        <v>516</v>
      </c>
      <c r="D7" s="37">
        <f>Inputs!$H$60</f>
        <v>1</v>
      </c>
      <c r="E7" s="193">
        <f>IF(Inputs!$H$60=1,SUMPRODUCT($H$63:$T$63,$H$52:$T$52)+T64*$E$53,"-")</f>
        <v>1124.4287688697959</v>
      </c>
      <c r="F7" s="39">
        <f>Inputs!$E$531</f>
        <v>0.65</v>
      </c>
      <c r="G7" s="194">
        <f t="shared" ref="G7:G29" si="0">IF(ISNUMBER(E7),E7*F7,E7)</f>
        <v>730.8786997653674</v>
      </c>
      <c r="H7" s="195" t="str">
        <f t="shared" ref="H7:K10" si="1">"Not meaningful"</f>
        <v>Not meaningful</v>
      </c>
      <c r="I7" s="195" t="str">
        <f t="shared" si="1"/>
        <v>Not meaningful</v>
      </c>
      <c r="J7" s="196" t="str">
        <f t="shared" si="1"/>
        <v>Not meaningful</v>
      </c>
      <c r="K7" s="194" t="str">
        <f t="shared" si="1"/>
        <v>Not meaningful</v>
      </c>
      <c r="L7" s="15" t="s">
        <v>3182</v>
      </c>
      <c r="M7" s="28" t="s">
        <v>3183</v>
      </c>
    </row>
    <row r="8" spans="2:20" x14ac:dyDescent="0.25">
      <c r="B8" s="23" t="s">
        <v>525</v>
      </c>
      <c r="C8" s="70" t="s">
        <v>516</v>
      </c>
      <c r="D8" s="37">
        <f>Inputs!$H$61</f>
        <v>1</v>
      </c>
      <c r="E8" s="193">
        <f>IF(Inputs!$H$61=1,SUMPRODUCT($H$76:$T$76,$H$52:$T$52)+T77*$E$53,"-")</f>
        <v>413.09053316016059</v>
      </c>
      <c r="F8" s="39">
        <f>Inputs!$E$532</f>
        <v>1</v>
      </c>
      <c r="G8" s="194">
        <f t="shared" si="0"/>
        <v>413.09053316016059</v>
      </c>
      <c r="H8" s="195" t="str">
        <f t="shared" si="1"/>
        <v>Not meaningful</v>
      </c>
      <c r="I8" s="195" t="str">
        <f t="shared" si="1"/>
        <v>Not meaningful</v>
      </c>
      <c r="J8" s="196" t="str">
        <f t="shared" si="1"/>
        <v>Not meaningful</v>
      </c>
      <c r="K8" s="194" t="str">
        <f t="shared" si="1"/>
        <v>Not meaningful</v>
      </c>
      <c r="L8" s="15" t="s">
        <v>3182</v>
      </c>
      <c r="M8" s="28" t="s">
        <v>3184</v>
      </c>
    </row>
    <row r="9" spans="2:20" x14ac:dyDescent="0.25">
      <c r="B9" s="23" t="s">
        <v>528</v>
      </c>
      <c r="C9" s="70" t="s">
        <v>516</v>
      </c>
      <c r="D9" s="37">
        <f>Inputs!$H$62</f>
        <v>1</v>
      </c>
      <c r="E9" s="193">
        <f>IF(Inputs!$H$62=1,SUMPRODUCT($H$89:$T$89,$H$52:$T$52)+T90*$E$53,"-")</f>
        <v>253.23251095656514</v>
      </c>
      <c r="F9" s="39">
        <f>Inputs!$E$533</f>
        <v>1</v>
      </c>
      <c r="G9" s="194">
        <f t="shared" si="0"/>
        <v>253.23251095656514</v>
      </c>
      <c r="H9" s="195" t="str">
        <f t="shared" si="1"/>
        <v>Not meaningful</v>
      </c>
      <c r="I9" s="195" t="str">
        <f t="shared" si="1"/>
        <v>Not meaningful</v>
      </c>
      <c r="J9" s="196" t="str">
        <f t="shared" si="1"/>
        <v>Not meaningful</v>
      </c>
      <c r="K9" s="194" t="str">
        <f t="shared" si="1"/>
        <v>Not meaningful</v>
      </c>
      <c r="L9" s="15" t="s">
        <v>3182</v>
      </c>
      <c r="M9" s="28" t="s">
        <v>3185</v>
      </c>
    </row>
    <row r="10" spans="2:20" x14ac:dyDescent="0.25">
      <c r="B10" s="23" t="s">
        <v>531</v>
      </c>
      <c r="C10" s="70" t="s">
        <v>516</v>
      </c>
      <c r="D10" s="37">
        <f>Inputs!$H$63</f>
        <v>1</v>
      </c>
      <c r="E10" s="193">
        <f>IF(Inputs!$H$63=1,SUMPRODUCT($H$102:$T$102,$H$52:$T$52)+T103*$E$53,"-")</f>
        <v>201.63311414396929</v>
      </c>
      <c r="F10" s="39">
        <f>Inputs!$E$534</f>
        <v>1</v>
      </c>
      <c r="G10" s="194">
        <f t="shared" si="0"/>
        <v>201.63311414396929</v>
      </c>
      <c r="H10" s="195" t="str">
        <f t="shared" si="1"/>
        <v>Not meaningful</v>
      </c>
      <c r="I10" s="195" t="str">
        <f t="shared" si="1"/>
        <v>Not meaningful</v>
      </c>
      <c r="J10" s="196" t="str">
        <f t="shared" si="1"/>
        <v>Not meaningful</v>
      </c>
      <c r="K10" s="194" t="str">
        <f t="shared" si="1"/>
        <v>Not meaningful</v>
      </c>
      <c r="L10" s="15" t="s">
        <v>3182</v>
      </c>
      <c r="M10" s="28" t="s">
        <v>3185</v>
      </c>
    </row>
    <row r="11" spans="2:20" x14ac:dyDescent="0.25">
      <c r="B11" s="23" t="s">
        <v>534</v>
      </c>
      <c r="C11" s="70" t="s">
        <v>535</v>
      </c>
      <c r="D11" s="37">
        <f>Inputs!$H$64</f>
        <v>1</v>
      </c>
      <c r="E11" s="193">
        <f>IF(Inputs!$H$64=1,SUMPRODUCT($H$115:$T$115,$H$52:$T$52)+T116*$E$53,"not included")</f>
        <v>934.96369621477447</v>
      </c>
      <c r="F11" s="39">
        <f>Inputs!$E$532</f>
        <v>1</v>
      </c>
      <c r="G11" s="194">
        <f t="shared" si="0"/>
        <v>934.96369621477447</v>
      </c>
      <c r="H11" s="195">
        <f>IF(Inputs!$H$64=1,IF(AND(COUNTIF($G$117:$T$117,"&lt;0")&gt;0,COUNTIF($G$117:$T$117,"&gt;0")&gt;0),IF(SUM($G$117:$T$117)&lt;=0,"Not meaningful",IFERROR(IF(ABS(XIRR($G$117:$T$117,$G$50:$T$50))&gt;10,"Not meaningful",XIRR($G$117:$T$117,$G$50:$T$50)),"Not meaningful")),"Not meaningful"),"not included")</f>
        <v>0.32247799038887037</v>
      </c>
      <c r="I11" s="195" t="str">
        <f>IF(Inputs!$H$64=1,IF(AND(COUNTIF(INDEX($G$117:$T$117,1,Inputs!$E$560-2021):T$117,"&lt;0")&gt;0,COUNTIF(INDEX($G$117:$T$117,1,Inputs!$E$560-2021):T$117,"&gt;0")&gt;0),IF(SUM(INDEX($G$117:$T$117,1,Inputs!$E$560-2021):T$117)&lt;=0,"Not meaningful",IFERROR(IF(ABS(XIRR(INDEX($G$117:$T$117,1,Inputs!$E$560-2021):T$117,INDEX($G$50:$T$50,1,Inputs!$E$560-2021):T$50))&gt;10,"Not meaningful",XIRR(INDEX($G$117:$T$117,1,Inputs!$E$560-2021):T$117,INDEX($G$50:$T$50,1,Inputs!$E$560-2021):T$50)),"Not meaningful")),"Not meaningful"),"not included")</f>
        <v>Not meaningful</v>
      </c>
      <c r="J11" s="196">
        <f>IF(Inputs!$H$64=1,IF((9999-SUMPRODUCT(MAX(($G$117:$T$117&lt;0)*(9999-$G$49:$T$49))))=9999,"Not meaningful",IF(SUMPRODUCT(MAX(($G$118:$T$118&lt;0)*$G$49:$T$49))&gt;=2036,"&gt; FY2036",SUMPRODUCT(MAX(($G$118:$T$118&lt;0)*$G$49:$T$49))-(9999-SUMPRODUCT(MAX(($G$117:$T$117&lt;0)*(9999-$G$49:$T$49))))+1+(-INDEX($G$118:$T$118,1,SUMPRODUCT(MAX(($G$118:$T$118&lt;0)*$G$49:$T$49))-2022))/INDEX($H$115:$T$115,1,SUMPRODUCT(MAX(($G$118:$T$118&lt;0)*$G$49:$T$49))-2022))),"not included")</f>
        <v>5.3539737559900722</v>
      </c>
      <c r="K11" s="194">
        <f>IF(Inputs!$H$64=1,MAX(0,-MIN($G$118:$T$118)),"not included")</f>
        <v>199.22133149156559</v>
      </c>
      <c r="L11" s="15" t="s">
        <v>3186</v>
      </c>
      <c r="M11" s="28" t="s">
        <v>3187</v>
      </c>
    </row>
    <row r="12" spans="2:20" x14ac:dyDescent="0.25">
      <c r="B12" s="23" t="s">
        <v>539</v>
      </c>
      <c r="C12" s="70" t="s">
        <v>535</v>
      </c>
      <c r="D12" s="37">
        <f>Inputs!$H$65</f>
        <v>1</v>
      </c>
      <c r="E12" s="193">
        <f>IF(Inputs!$H$65=1,SUMPRODUCT($H$128:$T$128,$H$52:$T$52)+T129*$E$53,"not included")</f>
        <v>270.90470772699769</v>
      </c>
      <c r="F12" s="39">
        <f>Inputs!$E$532</f>
        <v>1</v>
      </c>
      <c r="G12" s="194">
        <f t="shared" si="0"/>
        <v>270.90470772699769</v>
      </c>
      <c r="H12" s="195">
        <f>IF(Inputs!$H$65=1,IF(AND(COUNTIF($G$130:$T$130,"&lt;0")&gt;0,COUNTIF($G$130:$T$130,"&gt;0")&gt;0),IF(SUM($G$130:$T$130)&lt;=0,"Not meaningful",IFERROR(IF(ABS(XIRR($G$130:$T$130,$G$50:$T$50))&gt;10,"Not meaningful",XIRR($G$130:$T$130,$G$50:$T$50)),"Not meaningful")),"Not meaningful"),"not included")</f>
        <v>0.22154718041419977</v>
      </c>
      <c r="I12" s="195" t="str">
        <f>IF(Inputs!$H$65=1,IF(AND(COUNTIF(INDEX($G$130:$T$130,1,Inputs!$E$560-2021):T$130,"&lt;0")&gt;0,COUNTIF(INDEX($G$130:$T$130,1,Inputs!$E$560-2021):T$130,"&gt;0")&gt;0),IF(SUM(INDEX($G$130:$T$130,1,Inputs!$E$560-2021):T$130)&lt;=0,"Not meaningful",IFERROR(IF(ABS(XIRR(INDEX($G$130:$T$130,1,Inputs!$E$560-2021):T$130,INDEX($G$50:$T$50,1,Inputs!$E$560-2021):T$50))&gt;10,"Not meaningful",XIRR(INDEX($G$130:$T$130,1,Inputs!$E$560-2021):T$130,INDEX($G$50:$T$50,1,Inputs!$E$560-2021):T$50)),"Not meaningful")),"Not meaningful"),"not included")</f>
        <v>Not meaningful</v>
      </c>
      <c r="J12" s="196">
        <f>IF(Inputs!$H$65=1,IF((9999-SUMPRODUCT(MAX(($G$130:$T$130&lt;0)*(9999-$G$49:$T$49))))=9999,"Not meaningful",IF(SUMPRODUCT(MAX(($G$131:$T$131&lt;0)*$G$49:$T$49))&gt;=2036,"&gt; FY2036",SUMPRODUCT(MAX(($G$131:$T$131&lt;0)*$G$49:$T$49))-(9999-SUMPRODUCT(MAX(($G$130:$T$130&lt;0)*(9999-$G$49:$T$49))))+1+(-INDEX($G$131:$T$131,1,SUMPRODUCT(MAX(($G$131:$T$131&lt;0)*$G$49:$T$49))-2022))/INDEX($H$128:$T$128,1,SUMPRODUCT(MAX(($G$131:$T$131&lt;0)*$G$49:$T$49))-2022))),"not included")</f>
        <v>7.2107891470755572</v>
      </c>
      <c r="K12" s="194">
        <f>IF(Inputs!$H$65=1,MAX(0,-MIN($G$131:$T$131)),"not included")</f>
        <v>123.42960292814443</v>
      </c>
      <c r="L12" s="15" t="s">
        <v>3186</v>
      </c>
      <c r="M12" s="28" t="s">
        <v>3188</v>
      </c>
    </row>
    <row r="13" spans="2:20" x14ac:dyDescent="0.25">
      <c r="B13" s="23" t="s">
        <v>542</v>
      </c>
      <c r="C13" s="70" t="s">
        <v>543</v>
      </c>
      <c r="D13" s="37">
        <f>Inputs!$H$66</f>
        <v>1</v>
      </c>
      <c r="E13" s="193">
        <f>IF(Inputs!$H$66=1,SUMPRODUCT($H$141:$T$141,$H$52:$T$52)+T142*$E$53,"not included")</f>
        <v>171.12518722945146</v>
      </c>
      <c r="F13" s="39">
        <f>Inputs!$E$532</f>
        <v>1</v>
      </c>
      <c r="G13" s="194">
        <f t="shared" si="0"/>
        <v>171.12518722945146</v>
      </c>
      <c r="H13" s="195">
        <f>IF(Inputs!$H$66=1,IF(AND(COUNTIF($G$143:$T$143,"&lt;0")&gt;0,COUNTIF($G$143:$T$143,"&gt;0")&gt;0),IF(SUM($G$143:$T$143)&lt;=0,"Not meaningful",IFERROR(IF(ABS(XIRR($G$143:$T$143,$G$50:$T$50))&gt;10,"Not meaningful",XIRR($G$143:$T$143,$G$50:$T$50)),"Not meaningful")),"Not meaningful"),"not included")</f>
        <v>2.9802322387695314E-9</v>
      </c>
      <c r="I13" s="195" t="str">
        <f>IF(Inputs!$H$66=1,IF(AND(COUNTIF(INDEX($G$143:$T$143,1,Inputs!$E$560-2021):T$143,"&lt;0")&gt;0,COUNTIF(INDEX($G$143:$T$143,1,Inputs!$E$560-2021):T$143,"&gt;0")&gt;0),IF(SUM(INDEX($G$143:$T$143,1,Inputs!$E$560-2021):T$143)&lt;=0,"Not meaningful",IFERROR(IF(ABS(XIRR(INDEX($G$143:$T$143,1,Inputs!$E$560-2021):T$143,INDEX($G$50:$T$50,1,Inputs!$E$560-2021):T$50))&gt;10,"Not meaningful",XIRR(INDEX($G$143:$T$143,1,Inputs!$E$560-2021):T$143,INDEX($G$50:$T$50,1,Inputs!$E$560-2021):T$50)),"Not meaningful")),"Not meaningful"),"not included")</f>
        <v>Not meaningful</v>
      </c>
      <c r="J13" s="196">
        <f>IF(Inputs!$H$66=1,IF((9999-SUMPRODUCT(MAX(($G$143:$T$143&lt;0)*(9999-$G$49:$T$49))))=9999,"Not meaningful",IF(SUMPRODUCT(MAX(($G$144:$T$144&lt;0)*$G$49:$T$49))&gt;=2036,"&gt; FY2036",SUMPRODUCT(MAX(($G$144:$T$144&lt;0)*$G$49:$T$49))-(9999-SUMPRODUCT(MAX(($G$143:$T$143&lt;0)*(9999-$G$49:$T$49))))+1+(-INDEX($G$144:$T$144,1,SUMPRODUCT(MAX(($G$144:$T$144&lt;0)*$G$49:$T$49))-2022))/INDEX($H$141:$T$141,1,SUMPRODUCT(MAX(($G$144:$T$144&lt;0)*$G$49:$T$49))-2022))),"not included")</f>
        <v>6.8964919481341784</v>
      </c>
      <c r="K13" s="194">
        <f>IF(Inputs!$H$66=1,MAX(0,-MIN($G$144:$T$144)),"not included")</f>
        <v>97.990000000000052</v>
      </c>
      <c r="L13" s="15" t="s">
        <v>3186</v>
      </c>
      <c r="M13" s="28" t="s">
        <v>3189</v>
      </c>
    </row>
    <row r="14" spans="2:20" x14ac:dyDescent="0.25">
      <c r="B14" s="23" t="s">
        <v>547</v>
      </c>
      <c r="C14" s="70" t="s">
        <v>543</v>
      </c>
      <c r="D14" s="37">
        <f>Inputs!$H$67</f>
        <v>1</v>
      </c>
      <c r="E14" s="193">
        <f>IF(Inputs!$H$67=1,SUMPRODUCT($H$154:$T$154,$H$52:$T$52)+T155*$E$53,"not included")</f>
        <v>99.491203584522466</v>
      </c>
      <c r="F14" s="39">
        <f>Inputs!$E$531</f>
        <v>0.65</v>
      </c>
      <c r="G14" s="194">
        <f t="shared" si="0"/>
        <v>64.669282329939605</v>
      </c>
      <c r="H14" s="195">
        <f>IF(Inputs!$H$67=1,IF(AND(COUNTIF($G$156:$T$156,"&lt;0")&gt;0,COUNTIF($G$156:$T$156,"&gt;0")&gt;0),IF(SUM($G$156:$T$156)&lt;=0,"Not meaningful",IFERROR(IF(ABS(XIRR($G$156:$T$156,$G$50:$T$50))&gt;10,"Not meaningful",XIRR($G$156:$T$156,$G$50:$T$50)),"Not meaningful")),"Not meaningful"),"not included")</f>
        <v>2.9802322387695314E-9</v>
      </c>
      <c r="I14" s="195" t="str">
        <f>IF(Inputs!$H$67=1,IF(AND(COUNTIF(INDEX($G$156:$T$156,1,Inputs!$E$560-2021):T$156,"&lt;0")&gt;0,COUNTIF(INDEX($G$156:$T$156,1,Inputs!$E$560-2021):T$156,"&gt;0")&gt;0),IF(SUM(INDEX($G$156:$T$156,1,Inputs!$E$560-2021):T$156)&lt;=0,"Not meaningful",IFERROR(IF(ABS(XIRR(INDEX($G$156:$T$156,1,Inputs!$E$560-2021):T$156,INDEX($G$50:$T$50,1,Inputs!$E$560-2021):T$50))&gt;10,"Not meaningful",XIRR(INDEX($G$156:$T$156,1,Inputs!$E$560-2021):T$156,INDEX($G$50:$T$50,1,Inputs!$E$560-2021):T$50)),"Not meaningful")),"Not meaningful"),"not included")</f>
        <v>Not meaningful</v>
      </c>
      <c r="J14" s="196">
        <f>IF(Inputs!$H$67=1,IF((9999-SUMPRODUCT(MAX(($G$156:$T$156&lt;0)*(9999-$G$49:$T$49))))=9999,"Not meaningful",IF(SUMPRODUCT(MAX(($G$157:$T$157&lt;0)*$G$49:$T$49))&gt;=2036,"&gt; FY2036",SUMPRODUCT(MAX(($G$157:$T$157&lt;0)*$G$49:$T$49))-(9999-SUMPRODUCT(MAX(($G$156:$T$156&lt;0)*(9999-$G$49:$T$49))))+1+(-INDEX($G$157:$T$157,1,SUMPRODUCT(MAX(($G$157:$T$157&lt;0)*$G$49:$T$49))-2022))/INDEX($H$154:$T$154,1,SUMPRODUCT(MAX(($G$157:$T$157&lt;0)*$G$49:$T$49))-2022))),"not included")</f>
        <v>6.6008236864890817</v>
      </c>
      <c r="K14" s="194">
        <f>IF(Inputs!$H$67=1,MAX(0,-MIN($G$157:$T$157)),"not included")</f>
        <v>61.193749999999952</v>
      </c>
      <c r="L14" s="15" t="s">
        <v>3186</v>
      </c>
      <c r="M14" s="28"/>
    </row>
    <row r="15" spans="2:20" x14ac:dyDescent="0.25">
      <c r="B15" s="23" t="s">
        <v>550</v>
      </c>
      <c r="C15" s="70" t="s">
        <v>543</v>
      </c>
      <c r="D15" s="37">
        <f>Inputs!$H$68</f>
        <v>1</v>
      </c>
      <c r="E15" s="193">
        <f>IF(Inputs!$H$68=1,SUMPRODUCT($H$167:$T$167,$H$52:$T$52)+T168*$E$53,"not included")</f>
        <v>187.50658422819535</v>
      </c>
      <c r="F15" s="39">
        <f>Inputs!$E$535</f>
        <v>1</v>
      </c>
      <c r="G15" s="194">
        <f t="shared" si="0"/>
        <v>187.50658422819535</v>
      </c>
      <c r="H15" s="195">
        <f>IF(Inputs!$H$68=1,IF(AND(COUNTIF($G$169:$T$169,"&lt;0")&gt;0,COUNTIF($G$169:$T$169,"&gt;0")&gt;0),IF(SUM($G$169:$T$169)&lt;=0,"Not meaningful",IFERROR(IF(ABS(XIRR($G$169:$T$169,$G$50:$T$50))&gt;10,"Not meaningful",XIRR($G$169:$T$169,$G$50:$T$50)),"Not meaningful")),"Not meaningful"),"not included")</f>
        <v>2.9802322387695314E-9</v>
      </c>
      <c r="I15" s="195" t="str">
        <f>IF(Inputs!$H$68=1,IF(AND(COUNTIF(INDEX($G$169:$T$169,1,Inputs!$E$560-2021):T$169,"&lt;0")&gt;0,COUNTIF(INDEX($G$169:$T$169,1,Inputs!$E$560-2021):T$169,"&gt;0")&gt;0),IF(SUM(INDEX($G$169:$T$169,1,Inputs!$E$560-2021):T$169)&lt;=0,"Not meaningful",IFERROR(IF(ABS(XIRR(INDEX($G$169:$T$169,1,Inputs!$E$560-2021):T$169,INDEX($G$50:$T$50,1,Inputs!$E$560-2021):T$50))&gt;10,"Not meaningful",XIRR(INDEX($G$169:$T$169,1,Inputs!$E$560-2021):T$169,INDEX($G$50:$T$50,1,Inputs!$E$560-2021):T$50)),"Not meaningful")),"Not meaningful"),"not included")</f>
        <v>Not meaningful</v>
      </c>
      <c r="J15" s="196">
        <f>IF(Inputs!$H$68=1,IF((9999-SUMPRODUCT(MAX(($G$169:$T$169&lt;0)*(9999-$G$49:$T$49))))=9999,"Not meaningful",IF(SUMPRODUCT(MAX(($G$170:$T$170&lt;0)*$G$49:$T$49))&gt;=2036,"&gt; FY2036",SUMPRODUCT(MAX(($G$170:$T$170&lt;0)*$G$49:$T$49))-(9999-SUMPRODUCT(MAX(($G$169:$T$169&lt;0)*(9999-$G$49:$T$49))))+1+(-INDEX($G$170:$T$170,1,SUMPRODUCT(MAX(($G$170:$T$170&lt;0)*$G$49:$T$49))-2022))/INDEX($H$167:$T$167,1,SUMPRODUCT(MAX(($G$170:$T$170&lt;0)*$G$49:$T$49))-2022))),"not included")</f>
        <v>5.3128921815205867</v>
      </c>
      <c r="K15" s="194">
        <f>IF(Inputs!$H$68=1,MAX(0,-MIN($G$170:$T$170)),"not included")</f>
        <v>89.365957627532325</v>
      </c>
      <c r="L15" s="15" t="s">
        <v>3186</v>
      </c>
      <c r="M15" s="28"/>
    </row>
    <row r="16" spans="2:20" x14ac:dyDescent="0.25">
      <c r="B16" s="23" t="s">
        <v>555</v>
      </c>
      <c r="C16" s="70" t="s">
        <v>543</v>
      </c>
      <c r="D16" s="37">
        <f>Inputs!$H$69</f>
        <v>1</v>
      </c>
      <c r="E16" s="193">
        <f>IF(Inputs!$H$69=1,SUMPRODUCT($H$180:$T$180,$H$52:$T$52)+T181*$E$53,"not included")</f>
        <v>457.70156997017023</v>
      </c>
      <c r="F16" s="39">
        <f>Inputs!$E$536</f>
        <v>1</v>
      </c>
      <c r="G16" s="194">
        <f t="shared" si="0"/>
        <v>457.70156997017023</v>
      </c>
      <c r="H16" s="195">
        <f>IF(Inputs!$H$69=1,IF(AND(COUNTIF($G$182:$T$182,"&lt;0")&gt;0,COUNTIF($G$182:$T$182,"&gt;0")&gt;0),IF(SUM($G$182:$T$182)&lt;=0,"Not meaningful",IFERROR(IF(ABS(XIRR($G$182:$T$182,$G$50:$T$50))&gt;10,"Not meaningful",XIRR($G$182:$T$182,$G$50:$T$50)),"Not meaningful")),"Not meaningful"),"not included")</f>
        <v>2.9802322387695314E-9</v>
      </c>
      <c r="I16" s="195">
        <f>IF(Inputs!$H$69=1,IF(AND(COUNTIF(INDEX($G$182:$T$182,1,Inputs!$E$560-2021):T$182,"&lt;0")&gt;0,COUNTIF(INDEX($G$182:$T$182,1,Inputs!$E$560-2021):T$182,"&gt;0")&gt;0),IF(SUM(INDEX($G$182:$T$182,1,Inputs!$E$560-2021):T$182)&lt;=0,"Not meaningful",IFERROR(IF(ABS(XIRR(INDEX($G$182:$T$182,1,Inputs!$E$560-2021):T$182,INDEX($G$50:$T$50,1,Inputs!$E$560-2021):T$50))&gt;10,"Not meaningful",XIRR(INDEX($G$182:$T$182,1,Inputs!$E$560-2021):T$182,INDEX($G$50:$T$50,1,Inputs!$E$560-2021):T$50)),"Not meaningful")),"Not meaningful"),"not included")</f>
        <v>0.85818659067153935</v>
      </c>
      <c r="J16" s="196">
        <f>IF(Inputs!$H$69=1,IF((9999-SUMPRODUCT(MAX(($G$182:$T$182&lt;0)*(9999-$G$49:$T$49))))=9999,"Not meaningful",IF(SUMPRODUCT(MAX(($G$183:$T$183&lt;0)*$G$49:$T$49))&gt;=2036,"&gt; FY2036",SUMPRODUCT(MAX(($G$183:$T$183&lt;0)*$G$49:$T$49))-(9999-SUMPRODUCT(MAX(($G$182:$T$182&lt;0)*(9999-$G$49:$T$49))))+1+(-INDEX($G$183:$T$183,1,SUMPRODUCT(MAX(($G$183:$T$183&lt;0)*$G$49:$T$49))-2022))/INDEX($H$180:$T$180,1,SUMPRODUCT(MAX(($G$183:$T$183&lt;0)*$G$49:$T$49))-2022))),"not included")</f>
        <v>4.6048911441534965</v>
      </c>
      <c r="K16" s="194">
        <f>IF(Inputs!$H$69=1,MAX(0,-MIN($G$183:$T$183)),"not included")</f>
        <v>81.725000000000051</v>
      </c>
      <c r="L16" s="15" t="s">
        <v>3186</v>
      </c>
      <c r="M16" s="28" t="s">
        <v>3190</v>
      </c>
    </row>
    <row r="17" spans="2:13" x14ac:dyDescent="0.25">
      <c r="B17" s="23" t="s">
        <v>559</v>
      </c>
      <c r="C17" s="70" t="s">
        <v>543</v>
      </c>
      <c r="D17" s="37">
        <f>Inputs!$H$70</f>
        <v>1</v>
      </c>
      <c r="E17" s="193">
        <f>IF(Inputs!$H$70=1,SUMPRODUCT($H$193:$T$193,$H$52:$T$52)+T194*$E$53,"not included")</f>
        <v>-34.068728740804488</v>
      </c>
      <c r="F17" s="39">
        <f>Inputs!$E$533</f>
        <v>1</v>
      </c>
      <c r="G17" s="194">
        <f t="shared" si="0"/>
        <v>-34.068728740804488</v>
      </c>
      <c r="H17" s="195" t="str">
        <f>IF(Inputs!$H$70=1,IF(AND(COUNTIF($G$195:$T$195,"&lt;0")&gt;0,COUNTIF($G$195:$T$195,"&gt;0")&gt;0),IF(SUM($G$195:$T$195)&lt;=0,"Not meaningful",IFERROR(IF(ABS(XIRR($G$195:$T$195,$G$50:$T$50))&gt;10,"Not meaningful",XIRR($G$195:$T$195,$G$50:$T$50)),"Not meaningful")),"Not meaningful"),"not included")</f>
        <v>Not meaningful</v>
      </c>
      <c r="I17" s="195">
        <f>IF(Inputs!$H$70=1,IF(AND(COUNTIF(INDEX($G$195:$T$195,1,Inputs!$E$560-2021):T$195,"&lt;0")&gt;0,COUNTIF(INDEX($G$195:$T$195,1,Inputs!$E$560-2021):T$195,"&gt;0")&gt;0),IF(SUM(INDEX($G$195:$T$195,1,Inputs!$E$560-2021):T$195)&lt;=0,"Not meaningful",IFERROR(IF(ABS(XIRR(INDEX($G$195:$T$195,1,Inputs!$E$560-2021):T$195,INDEX($G$50:$T$50,1,Inputs!$E$560-2021):T$50))&gt;10,"Not meaningful",XIRR(INDEX($G$195:$T$195,1,Inputs!$E$560-2021):T$195,INDEX($G$50:$T$50,1,Inputs!$E$560-2021):T$50)),"Not meaningful")),"Not meaningful"),"not included")</f>
        <v>8.2212656736373908E-3</v>
      </c>
      <c r="J17" s="196" t="str">
        <f>IF(Inputs!$H$70=1,IF((9999-SUMPRODUCT(MAX(($G$195:$T$195&lt;0)*(9999-$G$49:$T$49))))=9999,"Not meaningful",IF(SUMPRODUCT(MAX(($G$196:$T$196&lt;0)*$G$49:$T$49))&gt;=2036,"&gt; FY2036",SUMPRODUCT(MAX(($G$196:$T$196&lt;0)*$G$49:$T$49))-(9999-SUMPRODUCT(MAX(($G$195:$T$195&lt;0)*(9999-$G$49:$T$49))))+1+(-INDEX($G$196:$T$196,1,SUMPRODUCT(MAX(($G$196:$T$196&lt;0)*$G$49:$T$49))-2022))/INDEX($H$193:$T$193,1,SUMPRODUCT(MAX(($G$196:$T$196&lt;0)*$G$49:$T$49))-2022))),"not included")</f>
        <v>&gt; FY2036</v>
      </c>
      <c r="K17" s="194">
        <f>IF(Inputs!$H$70=1,MAX(0,-MIN($G$196:$T$196)),"not included")</f>
        <v>222.02204242461221</v>
      </c>
      <c r="L17" s="15" t="s">
        <v>3186</v>
      </c>
      <c r="M17" s="28" t="s">
        <v>3191</v>
      </c>
    </row>
    <row r="18" spans="2:13" x14ac:dyDescent="0.25">
      <c r="B18" s="23" t="s">
        <v>562</v>
      </c>
      <c r="C18" s="70" t="s">
        <v>543</v>
      </c>
      <c r="D18" s="37">
        <f>Inputs!$H$71</f>
        <v>1</v>
      </c>
      <c r="E18" s="193">
        <f>IF(Inputs!$H$71=1,SUMPRODUCT($H$206:$T$206,$H$52:$T$52)+T207*$E$53,"not included")</f>
        <v>5.3365172347108505</v>
      </c>
      <c r="F18" s="39">
        <f>Inputs!$E$531</f>
        <v>0.65</v>
      </c>
      <c r="G18" s="194">
        <f t="shared" si="0"/>
        <v>3.4687362025620527</v>
      </c>
      <c r="H18" s="195" t="str">
        <f>IF(Inputs!$H$71=1,"Not meaningful","not included")</f>
        <v>Not meaningful</v>
      </c>
      <c r="I18" s="195" t="str">
        <f>IF(Inputs!$H$71=1,"Not meaningful","not included")</f>
        <v>Not meaningful</v>
      </c>
      <c r="J18" s="196" t="str">
        <f>IF(Inputs!$H$71=1,"Not meaningful","not included")</f>
        <v>Not meaningful</v>
      </c>
      <c r="K18" s="194" t="str">
        <f>IF(Inputs!$H$71=1,"Not meaningful","not included")</f>
        <v>Not meaningful</v>
      </c>
      <c r="L18" s="15" t="s">
        <v>3182</v>
      </c>
      <c r="M18" s="28" t="s">
        <v>3192</v>
      </c>
    </row>
    <row r="19" spans="2:13" x14ac:dyDescent="0.25">
      <c r="B19" s="23" t="s">
        <v>565</v>
      </c>
      <c r="C19" s="70" t="s">
        <v>543</v>
      </c>
      <c r="D19" s="37">
        <f>Inputs!$H$72</f>
        <v>1</v>
      </c>
      <c r="E19" s="193">
        <f>IF(Inputs!$H$72=1,SUMPRODUCT($H$219:$T$219,$H$52:$T$52)+T220*$E$53,"not included")</f>
        <v>10.914604072390402</v>
      </c>
      <c r="F19" s="39">
        <f>Inputs!$E$532</f>
        <v>1</v>
      </c>
      <c r="G19" s="194">
        <f t="shared" si="0"/>
        <v>10.914604072390402</v>
      </c>
      <c r="H19" s="195" t="str">
        <f>IF(Inputs!$H$72=1,"Not meaningful","not included")</f>
        <v>Not meaningful</v>
      </c>
      <c r="I19" s="195" t="str">
        <f>IF(Inputs!$H$72=1,"Not meaningful","not included")</f>
        <v>Not meaningful</v>
      </c>
      <c r="J19" s="196" t="str">
        <f>IF(Inputs!$H$72=1,"Not meaningful","not included")</f>
        <v>Not meaningful</v>
      </c>
      <c r="K19" s="194" t="str">
        <f>IF(Inputs!$H$72=1,"Not meaningful","not included")</f>
        <v>Not meaningful</v>
      </c>
      <c r="L19" s="15" t="s">
        <v>3182</v>
      </c>
      <c r="M19" s="28" t="s">
        <v>3193</v>
      </c>
    </row>
    <row r="20" spans="2:13" x14ac:dyDescent="0.25">
      <c r="B20" s="23" t="s">
        <v>568</v>
      </c>
      <c r="C20" s="70" t="s">
        <v>543</v>
      </c>
      <c r="D20" s="37">
        <f>Inputs!$H$73</f>
        <v>1</v>
      </c>
      <c r="E20" s="193">
        <f>IF(Inputs!$H$73=1,SUMPRODUCT($H$232:$T$232,$H$52:$T$52)+T233*$E$53,"not included")</f>
        <v>3.8165408515806636</v>
      </c>
      <c r="F20" s="39">
        <f>Inputs!$E$536</f>
        <v>1</v>
      </c>
      <c r="G20" s="194">
        <f t="shared" si="0"/>
        <v>3.8165408515806636</v>
      </c>
      <c r="H20" s="195" t="str">
        <f>IF(Inputs!$H$73=1,"Not meaningful","not included")</f>
        <v>Not meaningful</v>
      </c>
      <c r="I20" s="195" t="str">
        <f>IF(Inputs!$H$73=1,"Not meaningful","not included")</f>
        <v>Not meaningful</v>
      </c>
      <c r="J20" s="196" t="str">
        <f>IF(Inputs!$H$73=1,"Not meaningful","not included")</f>
        <v>Not meaningful</v>
      </c>
      <c r="K20" s="194" t="str">
        <f>IF(Inputs!$H$73=1,"Not meaningful","not included")</f>
        <v>Not meaningful</v>
      </c>
      <c r="L20" s="15" t="s">
        <v>3182</v>
      </c>
      <c r="M20" s="28" t="s">
        <v>3193</v>
      </c>
    </row>
    <row r="21" spans="2:13" x14ac:dyDescent="0.25">
      <c r="B21" s="23" t="s">
        <v>570</v>
      </c>
      <c r="C21" s="70" t="s">
        <v>543</v>
      </c>
      <c r="D21" s="37">
        <f>Inputs!$H$74</f>
        <v>1</v>
      </c>
      <c r="E21" s="193">
        <f>IF(Inputs!$H$74=1,SUMPRODUCT($H$245:$T$245,$H$52:$T$52)+T246*$E$53,"not included")</f>
        <v>3.2685071443575842</v>
      </c>
      <c r="F21" s="39">
        <f>Inputs!$E$533</f>
        <v>1</v>
      </c>
      <c r="G21" s="194">
        <f t="shared" si="0"/>
        <v>3.2685071443575842</v>
      </c>
      <c r="H21" s="195" t="str">
        <f>IF(Inputs!$H$74=1,"Not meaningful","not included")</f>
        <v>Not meaningful</v>
      </c>
      <c r="I21" s="195" t="str">
        <f>IF(Inputs!$H$74=1,"Not meaningful","not included")</f>
        <v>Not meaningful</v>
      </c>
      <c r="J21" s="196" t="str">
        <f>IF(Inputs!$H$74=1,"Not meaningful","not included")</f>
        <v>Not meaningful</v>
      </c>
      <c r="K21" s="194" t="str">
        <f>IF(Inputs!$H$74=1,"Not meaningful","not included")</f>
        <v>Not meaningful</v>
      </c>
      <c r="L21" s="15" t="s">
        <v>3182</v>
      </c>
      <c r="M21" s="28" t="s">
        <v>3193</v>
      </c>
    </row>
    <row r="22" spans="2:13" x14ac:dyDescent="0.25">
      <c r="B22" s="23" t="s">
        <v>572</v>
      </c>
      <c r="C22" s="70" t="s">
        <v>573</v>
      </c>
      <c r="D22" s="37">
        <f>Inputs!$H$75</f>
        <v>1</v>
      </c>
      <c r="E22" s="193">
        <f>IF(Inputs!$H$75=1,SUMPRODUCT($H$258:$T$258,$H$52:$T$52)+T259*$E$53,"not included")</f>
        <v>256.27124768223746</v>
      </c>
      <c r="F22" s="39">
        <f>Inputs!$E$531</f>
        <v>0.65</v>
      </c>
      <c r="G22" s="194">
        <f t="shared" si="0"/>
        <v>166.57631099345434</v>
      </c>
      <c r="H22" s="195" t="str">
        <f>IF(Inputs!$H$75=1,"Not meaningful","not included")</f>
        <v>Not meaningful</v>
      </c>
      <c r="I22" s="195" t="str">
        <f>IF(Inputs!$H$75=1,"Not meaningful","not included")</f>
        <v>Not meaningful</v>
      </c>
      <c r="J22" s="196" t="str">
        <f>IF(Inputs!$H$75=1,"Not meaningful","not included")</f>
        <v>Not meaningful</v>
      </c>
      <c r="K22" s="194" t="str">
        <f>IF(Inputs!$H$75=1,"Not meaningful","not included")</f>
        <v>Not meaningful</v>
      </c>
      <c r="L22" s="15" t="s">
        <v>3182</v>
      </c>
      <c r="M22" s="28" t="s">
        <v>3194</v>
      </c>
    </row>
    <row r="23" spans="2:13" x14ac:dyDescent="0.25">
      <c r="B23" s="23" t="s">
        <v>576</v>
      </c>
      <c r="C23" s="70" t="s">
        <v>573</v>
      </c>
      <c r="D23" s="37">
        <f>Inputs!$H$76</f>
        <v>1</v>
      </c>
      <c r="E23" s="193">
        <f>IF(Inputs!$H$76=1,SUMPRODUCT($H$271:$T$271,$H$52:$T$52)+T272*$E$53,"not included")</f>
        <v>217.51833035468769</v>
      </c>
      <c r="F23" s="39">
        <f>Inputs!$E$532</f>
        <v>1</v>
      </c>
      <c r="G23" s="194">
        <f t="shared" si="0"/>
        <v>217.51833035468769</v>
      </c>
      <c r="H23" s="195" t="str">
        <f>IF(Inputs!$H$76=1,"Not meaningful","not included")</f>
        <v>Not meaningful</v>
      </c>
      <c r="I23" s="195" t="str">
        <f>IF(Inputs!$H$76=1,"Not meaningful","not included")</f>
        <v>Not meaningful</v>
      </c>
      <c r="J23" s="196" t="str">
        <f>IF(Inputs!$H$76=1,"Not meaningful","not included")</f>
        <v>Not meaningful</v>
      </c>
      <c r="K23" s="194" t="str">
        <f>IF(Inputs!$H$76=1,"Not meaningful","not included")</f>
        <v>Not meaningful</v>
      </c>
      <c r="L23" s="15" t="s">
        <v>3182</v>
      </c>
      <c r="M23" s="28" t="s">
        <v>3195</v>
      </c>
    </row>
    <row r="24" spans="2:13" x14ac:dyDescent="0.25">
      <c r="B24" s="23" t="s">
        <v>579</v>
      </c>
      <c r="C24" s="70" t="s">
        <v>573</v>
      </c>
      <c r="D24" s="37">
        <f>Inputs!$H$77</f>
        <v>1</v>
      </c>
      <c r="E24" s="193">
        <f>IF(Inputs!$H$77=1,SUMPRODUCT($H$284:$T$284,$H$52:$T$52)+T285*$E$53,"not included")</f>
        <v>58.302820048288865</v>
      </c>
      <c r="F24" s="39">
        <f>Inputs!$E$533</f>
        <v>1</v>
      </c>
      <c r="G24" s="194">
        <f t="shared" si="0"/>
        <v>58.302820048288865</v>
      </c>
      <c r="H24" s="195" t="str">
        <f>IF(Inputs!$H$77=1,"Not meaningful","not included")</f>
        <v>Not meaningful</v>
      </c>
      <c r="I24" s="195" t="str">
        <f>IF(Inputs!$H$77=1,"Not meaningful","not included")</f>
        <v>Not meaningful</v>
      </c>
      <c r="J24" s="196" t="str">
        <f>IF(Inputs!$H$77=1,"Not meaningful","not included")</f>
        <v>Not meaningful</v>
      </c>
      <c r="K24" s="194" t="str">
        <f>IF(Inputs!$H$77=1,"Not meaningful","not included")</f>
        <v>Not meaningful</v>
      </c>
      <c r="L24" s="15" t="s">
        <v>3182</v>
      </c>
      <c r="M24" s="28" t="s">
        <v>3195</v>
      </c>
    </row>
    <row r="25" spans="2:13" x14ac:dyDescent="0.25">
      <c r="B25" s="23" t="s">
        <v>581</v>
      </c>
      <c r="C25" s="70" t="s">
        <v>582</v>
      </c>
      <c r="D25" s="37">
        <f>Inputs!$H$78</f>
        <v>0</v>
      </c>
      <c r="E25" s="193" t="str">
        <f>IF(Inputs!$H$78=1,SUMPRODUCT($H$297:$T$297,$H$52:$T$52)+T298*$E$53,"not included")</f>
        <v>not included</v>
      </c>
      <c r="F25" s="39">
        <f>Inputs!$E$537</f>
        <v>1</v>
      </c>
      <c r="G25" s="194" t="str">
        <f t="shared" si="0"/>
        <v>not included</v>
      </c>
      <c r="H25" s="195" t="str">
        <f>IF(Inputs!$H$78=1,IF(AND(COUNTIF($G$299:$T$299,"&lt;0")&gt;0,COUNTIF($G$299:$T$299,"&gt;0")&gt;0),IF(SUM($G$299:$T$299)&lt;=0,"Not meaningful",IFERROR(IF(ABS(XIRR($G$299:$T$299,$G$50:$T$50))&gt;10,"Not meaningful",XIRR($G$299:$T$299,$G$50:$T$50)),"Not meaningful")),"Not meaningful"),"not included")</f>
        <v>not included</v>
      </c>
      <c r="I25" s="195" t="str">
        <f>IF(Inputs!$H$78=1,IF(AND(COUNTIF(INDEX($G$299:$T$299,1,Inputs!$E$560-2021):T$299,"&lt;0")&gt;0,COUNTIF(INDEX($G$299:$T$299,1,Inputs!$E$560-2021):T$299,"&gt;0")&gt;0),IF(SUM(INDEX($G$299:$T$299,1,Inputs!$E$560-2021):T$299)&lt;=0,"Not meaningful",IFERROR(IF(ABS(XIRR(INDEX($G$299:$T$299,1,Inputs!$E$560-2021):T$299,INDEX($G$50:$T$50,1,Inputs!$E$560-2021):T$50))&gt;10,"Not meaningful",XIRR(INDEX($G$299:$T$299,1,Inputs!$E$560-2021):T$299,INDEX($G$50:$T$50,1,Inputs!$E$560-2021):T$50)),"Not meaningful")),"Not meaningful"),"not included")</f>
        <v>not included</v>
      </c>
      <c r="J25" s="196" t="str">
        <f>IF(Inputs!$H$78=1,IF((9999-SUMPRODUCT(MAX(($G$299:$T$299&lt;0)*(9999-$G$49:$T$49))))=9999,"Not meaningful",IF(SUMPRODUCT(MAX(($G$300:$T$300&lt;0)*$G$49:$T$49))&gt;=2036,"&gt; FY2036",SUMPRODUCT(MAX(($G$300:$T$300&lt;0)*$G$49:$T$49))-(9999-SUMPRODUCT(MAX(($G$299:$T$299&lt;0)*(9999-$G$49:$T$49))))+1+(-INDEX($G$300:$T$300,1,SUMPRODUCT(MAX(($G$300:$T$300&lt;0)*$G$49:$T$49))-2022))/INDEX($H$297:$T$297,1,SUMPRODUCT(MAX(($G$300:$T$300&lt;0)*$G$49:$T$49))-2022))),"not included")</f>
        <v>not included</v>
      </c>
      <c r="K25" s="194" t="str">
        <f>IF(Inputs!$H$78=1,MAX(0,-MIN($G$300:$T$300)),"not included")</f>
        <v>not included</v>
      </c>
      <c r="L25" s="15" t="s">
        <v>3186</v>
      </c>
      <c r="M25" s="28" t="s">
        <v>3196</v>
      </c>
    </row>
    <row r="26" spans="2:13" x14ac:dyDescent="0.25">
      <c r="B26" s="23" t="str">
        <f>"P16  "&amp;Inputs!$E$605</f>
        <v>P16  Lampung</v>
      </c>
      <c r="C26" s="70" t="s">
        <v>444</v>
      </c>
      <c r="D26" s="37">
        <f>Inputs!$H$79</f>
        <v>0</v>
      </c>
      <c r="E26" s="193" t="str">
        <f>IF(Inputs!$H$79=1,SUMPRODUCT($H$310:$T$310,$H$52:$T$52)+T311*$E$53,IF(Inputs!$E$634=0,"inputs pending","not included"))</f>
        <v>inputs pending</v>
      </c>
      <c r="F26" s="195" t="str">
        <f>IF(ISNUMBER(Inputs!$E$606),Inputs!$E$606,"not set")</f>
        <v>not set</v>
      </c>
      <c r="G26" s="194" t="str">
        <f t="shared" si="0"/>
        <v>inputs pending</v>
      </c>
      <c r="H26" s="195" t="str">
        <f>IF(Inputs!$H$79=1,IF(AND(COUNTIF($G$312:$T$312,"&lt;0")&gt;0,COUNTIF($G$312:$T$312,"&gt;0")&gt;0),IF(SUM($G$312:$T$312)&lt;=0,"Not meaningful",IFERROR(IF(ABS(XIRR($G$312:$T$312,$G$50:$T$50))&gt;10,"Not meaningful",XIRR($G$312:$T$312,$G$50:$T$50)),"Not meaningful")),"Not meaningful"),IF(Inputs!$E$634=0,"inputs pending","not included"))</f>
        <v>inputs pending</v>
      </c>
      <c r="I26" s="195" t="str">
        <f>IF(Inputs!$H$79=1,IF(AND(COUNTIF(INDEX($G$312:$T$312,1,Inputs!$E$560-2021):T$312,"&lt;0")&gt;0,COUNTIF(INDEX($G$312:$T$312,1,Inputs!$E$560-2021):T$312,"&gt;0")&gt;0),IF(SUM(INDEX($G$312:$T$312,1,Inputs!$E$560-2021):T$312)&lt;=0,"Not meaningful",IFERROR(IF(ABS(XIRR(INDEX($G$312:$T$312,1,Inputs!$E$560-2021):T$312,INDEX($G$50:$T$50,1,Inputs!$E$560-2021):T$50))&gt;10,"Not meaningful",XIRR(INDEX($G$312:$T$312,1,Inputs!$E$560-2021):T$312,INDEX($G$50:$T$50,1,Inputs!$E$560-2021):T$50)),"Not meaningful")),"Not meaningful"),IF(Inputs!$E$634=0,"inputs pending","not included"))</f>
        <v>inputs pending</v>
      </c>
      <c r="J26" s="196" t="str">
        <f>IF(Inputs!$H$79=1,IF((9999-SUMPRODUCT(MAX(($G$312:$T$312&lt;0)*(9999-$G$49:$T$49))))=9999,"Not meaningful",IF(SUMPRODUCT(MAX(($G$313:$T$313&lt;0)*$G$49:$T$49))&gt;=2036,"&gt; FY2036",SUMPRODUCT(MAX(($G$313:$T$313&lt;0)*$G$49:$T$49))-(9999-SUMPRODUCT(MAX(($G$312:$T$312&lt;0)*(9999-$G$49:$T$49))))+1+(-INDEX($G$313:$T$313,1,SUMPRODUCT(MAX(($G$313:$T$313&lt;0)*$G$49:$T$49))-2022))/INDEX($H$310:$T$310,1,SUMPRODUCT(MAX(($G$313:$T$313&lt;0)*$G$49:$T$49))-2022))),IF(Inputs!$E$634=0,"inputs pending","not included"))</f>
        <v>inputs pending</v>
      </c>
      <c r="K26" s="194" t="str">
        <f>IF(Inputs!$H$79=1,MAX(0,-MIN($G$313:$T$313)),IF(Inputs!$E$634=0,"inputs pending","not included"))</f>
        <v>inputs pending</v>
      </c>
      <c r="L26" s="15" t="s">
        <v>3186</v>
      </c>
      <c r="M26" s="28"/>
    </row>
    <row r="27" spans="2:13" x14ac:dyDescent="0.25">
      <c r="B27" s="23" t="str">
        <f>"P17  "&amp;Inputs!$E$639</f>
        <v>P17  Pipeline Project 2</v>
      </c>
      <c r="C27" s="70" t="s">
        <v>444</v>
      </c>
      <c r="D27" s="37">
        <f>Inputs!$H$80</f>
        <v>0</v>
      </c>
      <c r="E27" s="193" t="str">
        <f>IF(Inputs!$H$80=1,SUMPRODUCT($H$323:$T$323,$H$52:$T$52)+T324*$E$53,IF(Inputs!$E$668=0,"inputs pending","not included"))</f>
        <v>inputs pending</v>
      </c>
      <c r="F27" s="195" t="str">
        <f>IF(ISNUMBER(Inputs!$E$640),Inputs!$E$640,"not set")</f>
        <v>not set</v>
      </c>
      <c r="G27" s="194" t="str">
        <f t="shared" si="0"/>
        <v>inputs pending</v>
      </c>
      <c r="H27" s="195" t="str">
        <f>IF(Inputs!$H$80=1,IF(AND(COUNTIF($G$325:$T$325,"&lt;0")&gt;0,COUNTIF($G$325:$T$325,"&gt;0")&gt;0),IF(SUM($G$325:$T$325)&lt;=0,"Not meaningful",IFERROR(IF(ABS(XIRR($G$325:$T$325,$G$50:$T$50))&gt;10,"Not meaningful",XIRR($G$325:$T$325,$G$50:$T$50)),"Not meaningful")),"Not meaningful"),IF(Inputs!$E$668=0,"inputs pending","not included"))</f>
        <v>inputs pending</v>
      </c>
      <c r="I27" s="195" t="str">
        <f>IF(Inputs!$H$80=1,IF(AND(COUNTIF(INDEX($G$325:$T$325,1,Inputs!$E$560-2021):T$325,"&lt;0")&gt;0,COUNTIF(INDEX($G$325:$T$325,1,Inputs!$E$560-2021):T$325,"&gt;0")&gt;0),IF(SUM(INDEX($G$325:$T$325,1,Inputs!$E$560-2021):T$325)&lt;=0,"Not meaningful",IFERROR(IF(ABS(XIRR(INDEX($G$325:$T$325,1,Inputs!$E$560-2021):T$325,INDEX($G$50:$T$50,1,Inputs!$E$560-2021):T$50))&gt;10,"Not meaningful",XIRR(INDEX($G$325:$T$325,1,Inputs!$E$560-2021):T$325,INDEX($G$50:$T$50,1,Inputs!$E$560-2021):T$50)),"Not meaningful")),"Not meaningful"),IF(Inputs!$E$668=0,"inputs pending","not included"))</f>
        <v>inputs pending</v>
      </c>
      <c r="J27" s="196" t="str">
        <f>IF(Inputs!$H$80=1,IF((9999-SUMPRODUCT(MAX(($G$325:$T$325&lt;0)*(9999-$G$49:$T$49))))=9999,"Not meaningful",IF(SUMPRODUCT(MAX(($G$326:$T$326&lt;0)*$G$49:$T$49))&gt;=2036,"&gt; FY2036",SUMPRODUCT(MAX(($G$326:$T$326&lt;0)*$G$49:$T$49))-(9999-SUMPRODUCT(MAX(($G$325:$T$325&lt;0)*(9999-$G$49:$T$49))))+1+(-INDEX($G$326:$T$326,1,SUMPRODUCT(MAX(($G$326:$T$326&lt;0)*$G$49:$T$49))-2022))/INDEX($H$323:$T$323,1,SUMPRODUCT(MAX(($G$326:$T$326&lt;0)*$G$49:$T$49))-2022))),IF(Inputs!$E$668=0,"inputs pending","not included"))</f>
        <v>inputs pending</v>
      </c>
      <c r="K27" s="194" t="str">
        <f>IF(Inputs!$H$80=1,MAX(0,-MIN($G$326:$T$326)),IF(Inputs!$E$668=0,"inputs pending","not included"))</f>
        <v>inputs pending</v>
      </c>
      <c r="L27" s="15" t="s">
        <v>3186</v>
      </c>
      <c r="M27" s="28"/>
    </row>
    <row r="28" spans="2:13" x14ac:dyDescent="0.25">
      <c r="B28" s="23" t="str">
        <f>"P18  "&amp;Inputs!$E$673</f>
        <v>P18  Pipeline Project 3</v>
      </c>
      <c r="C28" s="70" t="s">
        <v>444</v>
      </c>
      <c r="D28" s="37">
        <f>Inputs!$H$81</f>
        <v>0</v>
      </c>
      <c r="E28" s="193" t="str">
        <f>IF(Inputs!$H$81=1,SUMPRODUCT($H$336:$T$336,$H$52:$T$52)+T337*$E$53,IF(Inputs!$E$702=0,"inputs pending","not included"))</f>
        <v>inputs pending</v>
      </c>
      <c r="F28" s="195" t="str">
        <f>IF(ISNUMBER(Inputs!$E$674),Inputs!$E$674,"not set")</f>
        <v>not set</v>
      </c>
      <c r="G28" s="194" t="str">
        <f t="shared" si="0"/>
        <v>inputs pending</v>
      </c>
      <c r="H28" s="195" t="str">
        <f>IF(Inputs!$H$81=1,IF(AND(COUNTIF($G$338:$T$338,"&lt;0")&gt;0,COUNTIF($G$338:$T$338,"&gt;0")&gt;0),IF(SUM($G$338:$T$338)&lt;=0,"Not meaningful",IFERROR(IF(ABS(XIRR($G$338:$T$338,$G$50:$T$50))&gt;10,"Not meaningful",XIRR($G$338:$T$338,$G$50:$T$50)),"Not meaningful")),"Not meaningful"),IF(Inputs!$E$702=0,"inputs pending","not included"))</f>
        <v>inputs pending</v>
      </c>
      <c r="I28" s="195" t="str">
        <f>IF(Inputs!$H$81=1,IF(AND(COUNTIF(INDEX($G$338:$T$338,1,Inputs!$E$560-2021):T$338,"&lt;0")&gt;0,COUNTIF(INDEX($G$338:$T$338,1,Inputs!$E$560-2021):T$338,"&gt;0")&gt;0),IF(SUM(INDEX($G$338:$T$338,1,Inputs!$E$560-2021):T$338)&lt;=0,"Not meaningful",IFERROR(IF(ABS(XIRR(INDEX($G$338:$T$338,1,Inputs!$E$560-2021):T$338,INDEX($G$50:$T$50,1,Inputs!$E$560-2021):T$50))&gt;10,"Not meaningful",XIRR(INDEX($G$338:$T$338,1,Inputs!$E$560-2021):T$338,INDEX($G$50:$T$50,1,Inputs!$E$560-2021):T$50)),"Not meaningful")),"Not meaningful"),IF(Inputs!$E$702=0,"inputs pending","not included"))</f>
        <v>inputs pending</v>
      </c>
      <c r="J28" s="196" t="str">
        <f>IF(Inputs!$H$81=1,IF((9999-SUMPRODUCT(MAX(($G$338:$T$338&lt;0)*(9999-$G$49:$T$49))))=9999,"Not meaningful",IF(SUMPRODUCT(MAX(($G$339:$T$339&lt;0)*$G$49:$T$49))&gt;=2036,"&gt; FY2036",SUMPRODUCT(MAX(($G$339:$T$339&lt;0)*$G$49:$T$49))-(9999-SUMPRODUCT(MAX(($G$338:$T$338&lt;0)*(9999-$G$49:$T$49))))+1+(-INDEX($G$339:$T$339,1,SUMPRODUCT(MAX(($G$339:$T$339&lt;0)*$G$49:$T$49))-2022))/INDEX($H$336:$T$336,1,SUMPRODUCT(MAX(($G$339:$T$339&lt;0)*$G$49:$T$49))-2022))),IF(Inputs!$E$702=0,"inputs pending","not included"))</f>
        <v>inputs pending</v>
      </c>
      <c r="K28" s="194" t="str">
        <f>IF(Inputs!$H$81=1,MAX(0,-MIN($G$339:$T$339)),IF(Inputs!$E$702=0,"inputs pending","not included"))</f>
        <v>inputs pending</v>
      </c>
      <c r="L28" s="15" t="s">
        <v>3186</v>
      </c>
      <c r="M28" s="28"/>
    </row>
    <row r="29" spans="2:13" ht="26.25" customHeight="1" x14ac:dyDescent="0.25">
      <c r="B29" s="23" t="s">
        <v>594</v>
      </c>
      <c r="C29" s="75" t="s">
        <v>595</v>
      </c>
      <c r="D29" s="37">
        <f>Inputs!$H$82</f>
        <v>1</v>
      </c>
      <c r="E29" s="197">
        <f>IF(Inputs!$H$82=1,SUMPRODUCT($H$349:$T$349,$H$52:$T$52)+T350*$E$53,"not valued (see E)")</f>
        <v>14.116098408150656</v>
      </c>
      <c r="F29" s="39">
        <f>Inputs!$E$569</f>
        <v>1</v>
      </c>
      <c r="G29" s="194">
        <f t="shared" si="0"/>
        <v>14.116098408150656</v>
      </c>
      <c r="H29" s="195">
        <f>IF(Inputs!$H$82=1,IF(AND(COUNTIF($G$351:$T$351,"&lt;0")&gt;0,COUNTIF($G$351:$T$351,"&gt;0")&gt;0),IF(SUM($G$351:$T$351)&lt;=0,"Not meaningful",IFERROR(IF(ABS(XIRR($G$351:$T$351,$G$50:$T$50))&gt;10,"Not meaningful",XIRR($G$351:$T$351,$G$50:$T$50)),"Not meaningful")),"Not meaningful"),"not valued (see E)")</f>
        <v>2.9802322387695314E-9</v>
      </c>
      <c r="I29" s="195">
        <f>IF(Inputs!$H$82=1,IF(AND(COUNTIF(INDEX($G$351:$T$351,1,Inputs!$E$560-2021):T$351,"&lt;0")&gt;0,COUNTIF(INDEX($G$351:$T$351,1,Inputs!$E$560-2021):T$351,"&gt;0")&gt;0),IF(SUM(INDEX($G$351:$T$351,1,Inputs!$E$560-2021):T$351)&lt;=0,"Not meaningful",IFERROR(IF(ABS(XIRR(INDEX($G$351:$T$351,1,Inputs!$E$560-2021):T$351,INDEX($G$50:$T$50,1,Inputs!$E$560-2021):T$50))&gt;10,"Not meaningful",XIRR(INDEX($G$351:$T$351,1,Inputs!$E$560-2021):T$351,INDEX($G$50:$T$50,1,Inputs!$E$560-2021):T$50)),"Not meaningful")),"Not meaningful"),"not valued (see E)")</f>
        <v>0.13550329804420469</v>
      </c>
      <c r="J29" s="196">
        <f>IF(Inputs!$H$82=1,IF((9999-SUMPRODUCT(MAX(($G$351:$T$351&lt;0)*(9999-$G$49:$T$49))))=9999,"Not meaningful",IF(SUMPRODUCT(MAX(($G$352:$T$352&lt;0)*$G$49:$T$49))&gt;=2036,"&gt; FY2036",SUMPRODUCT(MAX(($G$352:$T$352&lt;0)*$G$49:$T$49))-(9999-SUMPRODUCT(MAX(($G$351:$T$351&lt;0)*(9999-$G$49:$T$49))))+1+(-INDEX($G$352:$T$352,1,SUMPRODUCT(MAX(($G$352:$T$352&lt;0)*$G$49:$T$49))-2022))/INDEX($H$349:$T$349,1,SUMPRODUCT(MAX(($G$352:$T$352&lt;0)*$G$49:$T$49))-2022))),"not valued (see E)")</f>
        <v>9.9532284857526889</v>
      </c>
      <c r="K29" s="194">
        <f>IF(Inputs!$H$82=1,MAX(0,-MIN($G$352:$T$352)),"not valued (see E)")</f>
        <v>164.15</v>
      </c>
      <c r="L29" s="195">
        <f>IF(Inputs!$H$82=1,$E$382,"not valued (see E)")</f>
        <v>2.9802322387695314E-9</v>
      </c>
      <c r="M29" s="28" t="s">
        <v>3197</v>
      </c>
    </row>
    <row r="30" spans="2:13" x14ac:dyDescent="0.25">
      <c r="B30" s="21" t="s">
        <v>3198</v>
      </c>
      <c r="E30" s="160">
        <f>SUM(E7:E29)</f>
        <v>4649.5538131402018</v>
      </c>
      <c r="G30" s="160">
        <f>SUM(G7:G29)</f>
        <v>4129.6191050602583</v>
      </c>
    </row>
    <row r="31" spans="2:13" ht="26.25" customHeight="1" x14ac:dyDescent="0.25">
      <c r="B31" s="198" t="s">
        <v>3199</v>
      </c>
      <c r="C31" s="70" t="s">
        <v>3200</v>
      </c>
      <c r="E31" s="194">
        <f>$E$379</f>
        <v>14.116098408150656</v>
      </c>
      <c r="H31" s="195">
        <f>$E$380</f>
        <v>2.9802322387695314E-9</v>
      </c>
      <c r="I31" s="195">
        <f>$E$381</f>
        <v>0.13550329804420469</v>
      </c>
      <c r="J31" s="196">
        <f>$E$383</f>
        <v>9.9532284857526889</v>
      </c>
      <c r="K31" s="194">
        <f>$E$384</f>
        <v>164.15</v>
      </c>
      <c r="L31" s="195">
        <f>$E$382</f>
        <v>2.9802322387695314E-9</v>
      </c>
      <c r="M31" s="199" t="s">
        <v>3201</v>
      </c>
    </row>
    <row r="32" spans="2:13" x14ac:dyDescent="0.25">
      <c r="B32" s="145" t="s">
        <v>3202</v>
      </c>
    </row>
    <row r="33" spans="2:21" x14ac:dyDescent="0.25">
      <c r="B33" s="145" t="s">
        <v>3203</v>
      </c>
    </row>
    <row r="35" spans="2:21" x14ac:dyDescent="0.25">
      <c r="B35" s="154" t="s">
        <v>3204</v>
      </c>
    </row>
    <row r="36" spans="2:21" x14ac:dyDescent="0.25">
      <c r="B36" s="23" t="s">
        <v>3205</v>
      </c>
      <c r="C36" s="28" t="s">
        <v>493</v>
      </c>
      <c r="E36" s="159">
        <f>N($E$7)+N($E$8)+N($E$9)+N($E$10)</f>
        <v>1992.3849271304912</v>
      </c>
    </row>
    <row r="37" spans="2:21" x14ac:dyDescent="0.25">
      <c r="B37" s="23" t="s">
        <v>3206</v>
      </c>
      <c r="C37" s="28" t="s">
        <v>493</v>
      </c>
      <c r="E37" s="159">
        <f>N($E$11)+N($E$12)</f>
        <v>1205.8684039417722</v>
      </c>
    </row>
    <row r="38" spans="2:21" x14ac:dyDescent="0.25">
      <c r="B38" s="23" t="s">
        <v>3207</v>
      </c>
      <c r="C38" s="28" t="s">
        <v>493</v>
      </c>
      <c r="E38" s="159">
        <f>N($E$13)+N($E$14)+N($E$15)+N($E$16)+N($E$17)+N($E$18)+N($E$19)+N($E$20)+N($E$21)</f>
        <v>905.09198557457444</v>
      </c>
    </row>
    <row r="39" spans="2:21" x14ac:dyDescent="0.25">
      <c r="B39" s="23" t="s">
        <v>3208</v>
      </c>
      <c r="C39" s="28" t="s">
        <v>493</v>
      </c>
      <c r="E39" s="159">
        <f>N($E$22)+N($E$23)+N($E$24)</f>
        <v>532.09239808521397</v>
      </c>
    </row>
    <row r="40" spans="2:21" x14ac:dyDescent="0.25">
      <c r="B40" s="23" t="s">
        <v>3209</v>
      </c>
      <c r="C40" s="28" t="s">
        <v>493</v>
      </c>
      <c r="E40" s="159">
        <f>N($E$25)</f>
        <v>0</v>
      </c>
    </row>
    <row r="41" spans="2:21" x14ac:dyDescent="0.25">
      <c r="B41" s="23" t="s">
        <v>3210</v>
      </c>
      <c r="C41" s="28" t="s">
        <v>493</v>
      </c>
      <c r="E41" s="159">
        <f>N($E$26)+N($E$27)+N($E$28)</f>
        <v>0</v>
      </c>
    </row>
    <row r="42" spans="2:21" x14ac:dyDescent="0.25">
      <c r="B42" s="23" t="s">
        <v>3211</v>
      </c>
      <c r="C42" s="28" t="s">
        <v>493</v>
      </c>
      <c r="E42" s="159">
        <f>N($E$29)</f>
        <v>14.116098408150656</v>
      </c>
    </row>
    <row r="43" spans="2:21" ht="26.25" customHeight="1" x14ac:dyDescent="0.25">
      <c r="B43" s="64" t="s">
        <v>3212</v>
      </c>
      <c r="C43" s="28" t="s">
        <v>493</v>
      </c>
      <c r="E43" s="159">
        <f>(1-Inputs!$E$531)*N($E$7)+(1-Inputs!$E$531)*N($E$14)+(1-Inputs!$E$531)*N($E$18)+(1-IF(ISNUMBER(Inputs!$E$606),Inputs!$E$606,1))*N($E$26)+(1-IF(ISNUMBER(Inputs!$E$640),Inputs!$E$640,1))*N($E$27)+(1-IF(ISNUMBER(Inputs!$E$674),Inputs!$E$674,1))*N($E$28)+(1-Inputs!$E$569)*N($E$29)</f>
        <v>430.23977139116022</v>
      </c>
    </row>
    <row r="44" spans="2:21" ht="26.25" customHeight="1" x14ac:dyDescent="0.25">
      <c r="B44" s="64" t="s">
        <v>3213</v>
      </c>
      <c r="C44" s="28" t="s">
        <v>493</v>
      </c>
      <c r="E44" s="159">
        <f>(1-Inputs!$E$531)*N($E$7)+(1-Inputs!$E$531)*N($E$14)+(1-Inputs!$E$531)*N($E$18)+(1-Inputs!$E$531)*N($E$22)+(1-IF(ISNUMBER(Inputs!$E$606),Inputs!$E$606,1))*N($E$26)+(1-IF(ISNUMBER(Inputs!$E$640),Inputs!$E$640,1))*N($E$27)+(1-IF(ISNUMBER(Inputs!$E$674),Inputs!$E$674,1))*N($E$28)+(1-Inputs!$E$569)*N($E$29)</f>
        <v>519.93470807994333</v>
      </c>
    </row>
    <row r="46" spans="2:21" x14ac:dyDescent="0.25">
      <c r="B46" s="58" t="s">
        <v>3214</v>
      </c>
      <c r="C46" s="19"/>
      <c r="D46" s="19"/>
      <c r="E46" s="19"/>
      <c r="F46" s="19"/>
      <c r="G46" s="19"/>
      <c r="H46" s="19"/>
      <c r="I46" s="19"/>
      <c r="J46" s="19"/>
      <c r="K46" s="19"/>
      <c r="L46" s="19"/>
      <c r="M46" s="19"/>
      <c r="N46" s="19"/>
      <c r="O46" s="19"/>
      <c r="P46" s="19"/>
      <c r="Q46" s="19"/>
      <c r="R46" s="19"/>
      <c r="S46" s="19"/>
      <c r="T46" s="19"/>
    </row>
    <row r="47" spans="2:21" x14ac:dyDescent="0.25">
      <c r="G47" s="77" t="s">
        <v>611</v>
      </c>
      <c r="H47" s="77" t="s">
        <v>1879</v>
      </c>
      <c r="I47" s="77" t="s">
        <v>1879</v>
      </c>
      <c r="J47" s="77" t="s">
        <v>1879</v>
      </c>
      <c r="K47" s="77" t="s">
        <v>1879</v>
      </c>
      <c r="L47" s="77" t="s">
        <v>1879</v>
      </c>
      <c r="M47" s="77" t="s">
        <v>1879</v>
      </c>
      <c r="N47" s="77" t="s">
        <v>1879</v>
      </c>
      <c r="O47" s="77" t="s">
        <v>1879</v>
      </c>
      <c r="P47" s="77" t="s">
        <v>1879</v>
      </c>
      <c r="Q47" s="77" t="s">
        <v>1879</v>
      </c>
      <c r="R47" s="77" t="s">
        <v>1879</v>
      </c>
      <c r="S47" s="77" t="s">
        <v>1879</v>
      </c>
      <c r="T47" s="77" t="s">
        <v>1879</v>
      </c>
    </row>
    <row r="48" spans="2:21" x14ac:dyDescent="0.25">
      <c r="B48" s="150" t="s">
        <v>493</v>
      </c>
      <c r="C48" s="150" t="s">
        <v>466</v>
      </c>
      <c r="D48" s="59" t="s">
        <v>1881</v>
      </c>
      <c r="E48" s="59" t="s">
        <v>468</v>
      </c>
      <c r="F48" s="60"/>
      <c r="G48" s="151">
        <v>2023</v>
      </c>
      <c r="H48" s="152">
        <v>2024</v>
      </c>
      <c r="I48" s="152">
        <v>2025</v>
      </c>
      <c r="J48" s="152">
        <v>2026</v>
      </c>
      <c r="K48" s="152">
        <v>2027</v>
      </c>
      <c r="L48" s="152">
        <v>2028</v>
      </c>
      <c r="M48" s="152">
        <v>2029</v>
      </c>
      <c r="N48" s="152">
        <v>2030</v>
      </c>
      <c r="O48" s="152">
        <v>2031</v>
      </c>
      <c r="P48" s="152">
        <v>2032</v>
      </c>
      <c r="Q48" s="152">
        <v>2033</v>
      </c>
      <c r="R48" s="152">
        <v>2034</v>
      </c>
      <c r="S48" s="152">
        <v>2035</v>
      </c>
      <c r="T48" s="152">
        <v>2036</v>
      </c>
      <c r="U48" s="59" t="s">
        <v>1882</v>
      </c>
    </row>
    <row r="49" spans="2:20" x14ac:dyDescent="0.25">
      <c r="B49" s="23" t="s">
        <v>3215</v>
      </c>
      <c r="C49" s="28" t="s">
        <v>490</v>
      </c>
      <c r="G49" s="45">
        <v>2023</v>
      </c>
      <c r="H49" s="37">
        <f>'Revenue Calculation'!H7</f>
        <v>2024</v>
      </c>
      <c r="I49" s="37">
        <f>'Revenue Calculation'!I7</f>
        <v>2025</v>
      </c>
      <c r="J49" s="37">
        <f>'Revenue Calculation'!J7</f>
        <v>2026</v>
      </c>
      <c r="K49" s="37">
        <f>'Revenue Calculation'!K7</f>
        <v>2027</v>
      </c>
      <c r="L49" s="37">
        <f>'Revenue Calculation'!L7</f>
        <v>2028</v>
      </c>
      <c r="M49" s="37">
        <f>'Revenue Calculation'!M7</f>
        <v>2029</v>
      </c>
      <c r="N49" s="37">
        <f>'Revenue Calculation'!N7</f>
        <v>2030</v>
      </c>
      <c r="O49" s="37">
        <f>'Revenue Calculation'!O7</f>
        <v>2031</v>
      </c>
      <c r="P49" s="37">
        <f>'Revenue Calculation'!P7</f>
        <v>2032</v>
      </c>
      <c r="Q49" s="37">
        <f>'Revenue Calculation'!Q7</f>
        <v>2033</v>
      </c>
      <c r="R49" s="37">
        <f>'Revenue Calculation'!R7</f>
        <v>2034</v>
      </c>
      <c r="S49" s="37">
        <f>'Revenue Calculation'!S7</f>
        <v>2035</v>
      </c>
      <c r="T49" s="37">
        <f>'Revenue Calculation'!T7</f>
        <v>2036</v>
      </c>
    </row>
    <row r="50" spans="2:20" ht="26.25" customHeight="1" x14ac:dyDescent="0.25">
      <c r="B50" s="64" t="s">
        <v>3216</v>
      </c>
      <c r="C50" s="28" t="s">
        <v>613</v>
      </c>
      <c r="G50" s="187">
        <f>DATE(2023,12,31)</f>
        <v>45291</v>
      </c>
      <c r="H50" s="187">
        <f>IF(Inputs!$E$94=1,DATE('Revenue Calculation'!H7,6,30),DATE('Revenue Calculation'!H7,12,31))</f>
        <v>45657</v>
      </c>
      <c r="I50" s="187">
        <f>IF(Inputs!$E$94=1,DATE('Revenue Calculation'!I7,6,30),DATE('Revenue Calculation'!I7,12,31))</f>
        <v>46022</v>
      </c>
      <c r="J50" s="187">
        <f>IF(Inputs!$E$94=1,DATE('Revenue Calculation'!J7,6,30),DATE('Revenue Calculation'!J7,12,31))</f>
        <v>46387</v>
      </c>
      <c r="K50" s="187">
        <f>IF(Inputs!$E$94=1,DATE('Revenue Calculation'!K7,6,30),DATE('Revenue Calculation'!K7,12,31))</f>
        <v>46752</v>
      </c>
      <c r="L50" s="187">
        <f>IF(Inputs!$E$94=1,DATE('Revenue Calculation'!L7,6,30),DATE('Revenue Calculation'!L7,12,31))</f>
        <v>47118</v>
      </c>
      <c r="M50" s="187">
        <f>IF(Inputs!$E$94=1,DATE('Revenue Calculation'!M7,6,30),DATE('Revenue Calculation'!M7,12,31))</f>
        <v>47483</v>
      </c>
      <c r="N50" s="187">
        <f>IF(Inputs!$E$94=1,DATE('Revenue Calculation'!N7,6,30),DATE('Revenue Calculation'!N7,12,31))</f>
        <v>47848</v>
      </c>
      <c r="O50" s="187">
        <f>IF(Inputs!$E$94=1,DATE('Revenue Calculation'!O7,6,30),DATE('Revenue Calculation'!O7,12,31))</f>
        <v>48213</v>
      </c>
      <c r="P50" s="187">
        <f>IF(Inputs!$E$94=1,DATE('Revenue Calculation'!P7,6,30),DATE('Revenue Calculation'!P7,12,31))</f>
        <v>48579</v>
      </c>
      <c r="Q50" s="187">
        <f>IF(Inputs!$E$94=1,DATE('Revenue Calculation'!Q7,6,30),DATE('Revenue Calculation'!Q7,12,31))</f>
        <v>48944</v>
      </c>
      <c r="R50" s="187">
        <f>IF(Inputs!$E$94=1,DATE('Revenue Calculation'!R7,6,30),DATE('Revenue Calculation'!R7,12,31))</f>
        <v>49309</v>
      </c>
      <c r="S50" s="187">
        <f>IF(Inputs!$E$94=1,DATE('Revenue Calculation'!S7,6,30),DATE('Revenue Calculation'!S7,12,31))</f>
        <v>49674</v>
      </c>
      <c r="T50" s="187">
        <f>IF(Inputs!$E$94=1,DATE('Revenue Calculation'!T7,6,30),DATE('Revenue Calculation'!T7,12,31))</f>
        <v>50040</v>
      </c>
    </row>
    <row r="51" spans="2:20" x14ac:dyDescent="0.25">
      <c r="B51" s="23" t="s">
        <v>3217</v>
      </c>
      <c r="C51" s="28" t="s">
        <v>1889</v>
      </c>
      <c r="H51" s="153">
        <f>IF('Revenue Calculation'!H7&gt;Inputs!$E$560,1,0)</f>
        <v>0</v>
      </c>
      <c r="I51" s="153">
        <f>IF('Revenue Calculation'!I7&gt;Inputs!$E$560,1,0)</f>
        <v>0</v>
      </c>
      <c r="J51" s="153">
        <f>IF('Revenue Calculation'!J7&gt;Inputs!$E$560,1,0)</f>
        <v>0</v>
      </c>
      <c r="K51" s="153">
        <f>IF('Revenue Calculation'!K7&gt;Inputs!$E$560,1,0)</f>
        <v>1</v>
      </c>
      <c r="L51" s="153">
        <f>IF('Revenue Calculation'!L7&gt;Inputs!$E$560,1,0)</f>
        <v>1</v>
      </c>
      <c r="M51" s="153">
        <f>IF('Revenue Calculation'!M7&gt;Inputs!$E$560,1,0)</f>
        <v>1</v>
      </c>
      <c r="N51" s="153">
        <f>IF('Revenue Calculation'!N7&gt;Inputs!$E$560,1,0)</f>
        <v>1</v>
      </c>
      <c r="O51" s="153">
        <f>IF('Revenue Calculation'!O7&gt;Inputs!$E$560,1,0)</f>
        <v>1</v>
      </c>
      <c r="P51" s="153">
        <f>IF('Revenue Calculation'!P7&gt;Inputs!$E$560,1,0)</f>
        <v>1</v>
      </c>
      <c r="Q51" s="153">
        <f>IF('Revenue Calculation'!Q7&gt;Inputs!$E$560,1,0)</f>
        <v>1</v>
      </c>
      <c r="R51" s="153">
        <f>IF('Revenue Calculation'!R7&gt;Inputs!$E$560,1,0)</f>
        <v>1</v>
      </c>
      <c r="S51" s="153">
        <f>IF('Revenue Calculation'!S7&gt;Inputs!$E$560,1,0)</f>
        <v>1</v>
      </c>
      <c r="T51" s="153">
        <f>IF('Revenue Calculation'!T7&gt;Inputs!$E$560,1,0)</f>
        <v>1</v>
      </c>
    </row>
    <row r="52" spans="2:20" ht="26.25" customHeight="1" x14ac:dyDescent="0.25">
      <c r="B52" s="64" t="s">
        <v>3218</v>
      </c>
      <c r="C52" s="28" t="s">
        <v>497</v>
      </c>
      <c r="H52" s="69">
        <f>IF(H51=1,1/(1+Inputs!$E$558)^('Revenue Calculation'!H7-Inputs!$E$560-IF(Inputs!$E$94=1,0.5,0)),0)</f>
        <v>0</v>
      </c>
      <c r="I52" s="69">
        <f>IF(I51=1,1/(1+Inputs!$E$558)^('Revenue Calculation'!I7-Inputs!$E$560-IF(Inputs!$E$94=1,0.5,0)),0)</f>
        <v>0</v>
      </c>
      <c r="J52" s="69">
        <f>IF(J51=1,1/(1+Inputs!$E$558)^('Revenue Calculation'!J7-Inputs!$E$560-IF(Inputs!$E$94=1,0.5,0)),0)</f>
        <v>0</v>
      </c>
      <c r="K52" s="69">
        <f>IF(K51=1,1/(1+Inputs!$E$558)^('Revenue Calculation'!K7-Inputs!$E$560-IF(Inputs!$E$94=1,0.5,0)),0)</f>
        <v>0.89392257085838167</v>
      </c>
      <c r="L52" s="69">
        <f>IF(L51=1,1/(1+Inputs!$E$558)^('Revenue Calculation'!L7-Inputs!$E$560-IF(Inputs!$E$94=1,0.5,0)),0)</f>
        <v>0.79909756269005849</v>
      </c>
      <c r="M52" s="69">
        <f>IF(M51=1,1/(1+Inputs!$E$558)^('Revenue Calculation'!M7-Inputs!$E$560-IF(Inputs!$E$94=1,0.5,0)),0)</f>
        <v>0.71433134760656392</v>
      </c>
      <c r="N52" s="69">
        <f>IF(N51=1,1/(1+Inputs!$E$558)^('Revenue Calculation'!N7-Inputs!$E$560-IF(Inputs!$E$94=1,0.5,0)),0)</f>
        <v>0.63855691469719189</v>
      </c>
      <c r="O52" s="69">
        <f>IF(O51=1,1/(1+Inputs!$E$558)^('Revenue Calculation'!O7-Inputs!$E$560-IF(Inputs!$E$94=1,0.5,0)),0)</f>
        <v>0.57082043882551015</v>
      </c>
      <c r="P52" s="69">
        <f>IF(P51=1,1/(1+Inputs!$E$558)^('Revenue Calculation'!P7-Inputs!$E$560-IF(Inputs!$E$94=1,0.5,0)),0)</f>
        <v>0.51026927417340961</v>
      </c>
      <c r="Q52" s="69">
        <f>IF(Q51=1,1/(1+Inputs!$E$558)^('Revenue Calculation'!Q7-Inputs!$E$560-IF(Inputs!$E$94=1,0.5,0)),0)</f>
        <v>0.45614122139913482</v>
      </c>
      <c r="R52" s="69">
        <f>IF(R51=1,1/(1+Inputs!$E$558)^('Revenue Calculation'!R7-Inputs!$E$560-IF(Inputs!$E$94=1,0.5,0)),0)</f>
        <v>0.40775493330759688</v>
      </c>
      <c r="S52" s="69">
        <f>IF(S51=1,1/(1+Inputs!$E$558)^('Revenue Calculation'!S7-Inputs!$E$560-IF(Inputs!$E$94=1,0.5,0)),0)</f>
        <v>0.36450133826251496</v>
      </c>
      <c r="T52" s="69">
        <f>IF(T51=1,1/(1+Inputs!$E$558)^('Revenue Calculation'!T7-Inputs!$E$560-IF(Inputs!$E$94=1,0.5,0)),0)</f>
        <v>0.325835973380948</v>
      </c>
    </row>
    <row r="53" spans="2:20" x14ac:dyDescent="0.25">
      <c r="B53" s="23" t="s">
        <v>3219</v>
      </c>
      <c r="C53" s="28" t="s">
        <v>497</v>
      </c>
      <c r="E53" s="69">
        <f>1/(1+Inputs!$E$558)^(2036-Inputs!$E$560-IF(Inputs!$E$94=1,0.5,0))</f>
        <v>0.325835973380948</v>
      </c>
    </row>
    <row r="54" spans="2:20" x14ac:dyDescent="0.25">
      <c r="B54" s="154" t="s">
        <v>3220</v>
      </c>
    </row>
    <row r="55" spans="2:20" x14ac:dyDescent="0.25">
      <c r="B55" s="23" t="s">
        <v>3221</v>
      </c>
      <c r="C55" s="28" t="s">
        <v>493</v>
      </c>
      <c r="H55" s="29">
        <f>'Cost Calculation'!H35</f>
        <v>112.51080244855501</v>
      </c>
      <c r="I55" s="29">
        <f>'Cost Calculation'!I35</f>
        <v>115.41883561941721</v>
      </c>
      <c r="J55" s="29">
        <f>'Cost Calculation'!J35</f>
        <v>118.36383160699631</v>
      </c>
      <c r="K55" s="29">
        <f>'Cost Calculation'!K35</f>
        <v>121.38841320277953</v>
      </c>
      <c r="L55" s="29">
        <f>'Cost Calculation'!L35</f>
        <v>124.47119210545617</v>
      </c>
      <c r="M55" s="29">
        <f>'Cost Calculation'!M35</f>
        <v>133.031319370061</v>
      </c>
      <c r="N55" s="29">
        <f>'Cost Calculation'!N35</f>
        <v>136.39298944534369</v>
      </c>
      <c r="O55" s="29">
        <f>'Cost Calculation'!O35</f>
        <v>139.81677161447988</v>
      </c>
      <c r="P55" s="29">
        <f>'Cost Calculation'!P35</f>
        <v>149.40440839784441</v>
      </c>
      <c r="Q55" s="29">
        <f>'Cost Calculation'!Q35</f>
        <v>153.13459076972811</v>
      </c>
      <c r="R55" s="29">
        <f>'Cost Calculation'!R35</f>
        <v>156.93054468427476</v>
      </c>
      <c r="S55" s="29">
        <f>'Cost Calculation'!S35</f>
        <v>160.79147255842341</v>
      </c>
      <c r="T55" s="29">
        <f>'Cost Calculation'!T35</f>
        <v>164.71638441861828</v>
      </c>
    </row>
    <row r="56" spans="2:20" x14ac:dyDescent="0.25">
      <c r="B56" s="23" t="s">
        <v>3222</v>
      </c>
      <c r="C56" s="28" t="s">
        <v>493</v>
      </c>
      <c r="H56" s="159">
        <f>'Cost Calculation'!H35-'Capex &amp; Depreciation'!H231</f>
        <v>70.770020272642711</v>
      </c>
      <c r="I56" s="159">
        <f>'Cost Calculation'!I35-'Capex &amp; Depreciation'!I231</f>
        <v>73.672579313635111</v>
      </c>
      <c r="J56" s="159">
        <f>'Cost Calculation'!J35-'Capex &amp; Depreciation'!J231</f>
        <v>75.611991688747025</v>
      </c>
      <c r="K56" s="159">
        <f>'Cost Calculation'!K35-'Capex &amp; Depreciation'!K231</f>
        <v>78.630877999813691</v>
      </c>
      <c r="L56" s="159">
        <f>'Cost Calculation'!L35-'Capex &amp; Depreciation'!L231</f>
        <v>81.707847712079456</v>
      </c>
      <c r="M56" s="159">
        <f>'Cost Calculation'!M35-'Capex &amp; Depreciation'!M231</f>
        <v>89.262049602465197</v>
      </c>
      <c r="N56" s="159">
        <f>'Cost Calculation'!N35-'Capex &amp; Depreciation'!N231</f>
        <v>92.617675796044423</v>
      </c>
      <c r="O56" s="159">
        <f>'Cost Calculation'!O35-'Capex &amp; Depreciation'!O231</f>
        <v>96.035293205843075</v>
      </c>
      <c r="P56" s="159">
        <f>'Cost Calculation'!P35-'Capex &amp; Depreciation'!P231</f>
        <v>104.61664193468332</v>
      </c>
      <c r="Q56" s="159">
        <f>'Cost Calculation'!Q35-'Capex &amp; Depreciation'!Q231</f>
        <v>108.34041049095224</v>
      </c>
      <c r="R56" s="159">
        <f>'Cost Calculation'!R35-'Capex &amp; Depreciation'!R231</f>
        <v>112.12982231357182</v>
      </c>
      <c r="S56" s="159">
        <f>'Cost Calculation'!S35-'Capex &amp; Depreciation'!S231</f>
        <v>115.98407725395487</v>
      </c>
      <c r="T56" s="159">
        <f>'Cost Calculation'!T35-'Capex &amp; Depreciation'!T231</f>
        <v>119.9021827217088</v>
      </c>
    </row>
    <row r="57" spans="2:20" x14ac:dyDescent="0.25">
      <c r="B57" s="23" t="s">
        <v>3223</v>
      </c>
      <c r="C57" s="28" t="s">
        <v>493</v>
      </c>
      <c r="H57" s="159">
        <f>0</f>
        <v>0</v>
      </c>
      <c r="I57" s="159">
        <f>0</f>
        <v>0</v>
      </c>
      <c r="J57" s="159">
        <f>0</f>
        <v>0</v>
      </c>
      <c r="K57" s="159">
        <f>0</f>
        <v>0</v>
      </c>
      <c r="L57" s="159">
        <f>0</f>
        <v>0</v>
      </c>
      <c r="M57" s="159">
        <f>0</f>
        <v>0</v>
      </c>
      <c r="N57" s="159">
        <f>0</f>
        <v>0</v>
      </c>
      <c r="O57" s="159">
        <f>0</f>
        <v>0</v>
      </c>
      <c r="P57" s="159">
        <f>0</f>
        <v>0</v>
      </c>
      <c r="Q57" s="159">
        <f>0</f>
        <v>0</v>
      </c>
      <c r="R57" s="159">
        <f>0</f>
        <v>0</v>
      </c>
      <c r="S57" s="159">
        <f>0</f>
        <v>0</v>
      </c>
      <c r="T57" s="159">
        <f>0</f>
        <v>0</v>
      </c>
    </row>
    <row r="58" spans="2:20" x14ac:dyDescent="0.25">
      <c r="B58" s="23" t="s">
        <v>3224</v>
      </c>
      <c r="C58" s="28" t="s">
        <v>493</v>
      </c>
      <c r="H58" s="159">
        <f>Inputs!H522*MAX(0,H56-H57)</f>
        <v>15.569404459981396</v>
      </c>
      <c r="I58" s="159">
        <f>Inputs!I522*MAX(0,I56-I57)</f>
        <v>16.207967448999725</v>
      </c>
      <c r="J58" s="159">
        <f>Inputs!J522*MAX(0,J56-J57)</f>
        <v>16.634638171524347</v>
      </c>
      <c r="K58" s="159">
        <f>Inputs!K522*MAX(0,K56-K57)</f>
        <v>17.298793159959011</v>
      </c>
      <c r="L58" s="159">
        <f>Inputs!L522*MAX(0,L56-L57)</f>
        <v>17.975726496657479</v>
      </c>
      <c r="M58" s="159">
        <f>Inputs!M522*MAX(0,M56-M57)</f>
        <v>19.637650912542345</v>
      </c>
      <c r="N58" s="159">
        <f>Inputs!N522*MAX(0,N56-N57)</f>
        <v>20.375888675129772</v>
      </c>
      <c r="O58" s="159">
        <f>Inputs!O522*MAX(0,O56-O57)</f>
        <v>21.127764505285477</v>
      </c>
      <c r="P58" s="159">
        <f>Inputs!P522*MAX(0,P56-P57)</f>
        <v>23.015661225630328</v>
      </c>
      <c r="Q58" s="159">
        <f>Inputs!Q522*MAX(0,Q56-Q57)</f>
        <v>23.834890308009491</v>
      </c>
      <c r="R58" s="159">
        <f>Inputs!R522*MAX(0,R56-R57)</f>
        <v>24.6685609089858</v>
      </c>
      <c r="S58" s="159">
        <f>Inputs!S522*MAX(0,S56-S57)</f>
        <v>25.516496995870071</v>
      </c>
      <c r="T58" s="159">
        <f>Inputs!T522*MAX(0,T56-T57)</f>
        <v>26.378480198775936</v>
      </c>
    </row>
    <row r="59" spans="2:20" x14ac:dyDescent="0.25">
      <c r="B59" s="23" t="s">
        <v>3225</v>
      </c>
      <c r="C59" s="28" t="s">
        <v>493</v>
      </c>
      <c r="H59" s="159">
        <f t="shared" ref="H59:T59" si="2">H56-H57-H58</f>
        <v>55.200615812661312</v>
      </c>
      <c r="I59" s="159">
        <f t="shared" si="2"/>
        <v>57.464611864635387</v>
      </c>
      <c r="J59" s="159">
        <f t="shared" si="2"/>
        <v>58.977353517222681</v>
      </c>
      <c r="K59" s="159">
        <f t="shared" si="2"/>
        <v>61.33208483985468</v>
      </c>
      <c r="L59" s="159">
        <f t="shared" si="2"/>
        <v>63.732121215421977</v>
      </c>
      <c r="M59" s="159">
        <f t="shared" si="2"/>
        <v>69.624398689922856</v>
      </c>
      <c r="N59" s="159">
        <f t="shared" si="2"/>
        <v>72.241787120914651</v>
      </c>
      <c r="O59" s="159">
        <f t="shared" si="2"/>
        <v>74.907528700557606</v>
      </c>
      <c r="P59" s="159">
        <f t="shared" si="2"/>
        <v>81.60098070905299</v>
      </c>
      <c r="Q59" s="159">
        <f t="shared" si="2"/>
        <v>84.505520182942746</v>
      </c>
      <c r="R59" s="159">
        <f t="shared" si="2"/>
        <v>87.461261404586025</v>
      </c>
      <c r="S59" s="159">
        <f t="shared" si="2"/>
        <v>90.467580258084794</v>
      </c>
      <c r="T59" s="159">
        <f t="shared" si="2"/>
        <v>93.523702522932865</v>
      </c>
    </row>
    <row r="60" spans="2:20" x14ac:dyDescent="0.25">
      <c r="B60" s="23" t="s">
        <v>3226</v>
      </c>
      <c r="C60" s="28" t="s">
        <v>493</v>
      </c>
      <c r="H60" s="159">
        <f>-Inputs!H522*MAX(0,H56)</f>
        <v>-15.569404459981396</v>
      </c>
      <c r="I60" s="159">
        <f>-Inputs!I522*MAX(0,I56)</f>
        <v>-16.207967448999725</v>
      </c>
      <c r="J60" s="159">
        <f>-Inputs!J522*MAX(0,J56)</f>
        <v>-16.634638171524347</v>
      </c>
      <c r="K60" s="159">
        <f>-Inputs!K522*MAX(0,K56)</f>
        <v>-17.298793159959011</v>
      </c>
      <c r="L60" s="159">
        <f>-Inputs!L522*MAX(0,L56)</f>
        <v>-17.975726496657479</v>
      </c>
      <c r="M60" s="159">
        <f>-Inputs!M522*MAX(0,M56)</f>
        <v>-19.637650912542345</v>
      </c>
      <c r="N60" s="159">
        <f>-Inputs!N522*MAX(0,N56)</f>
        <v>-20.375888675129772</v>
      </c>
      <c r="O60" s="159">
        <f>-Inputs!O522*MAX(0,O56)</f>
        <v>-21.127764505285477</v>
      </c>
      <c r="P60" s="159">
        <f>-Inputs!P522*MAX(0,P56)</f>
        <v>-23.015661225630328</v>
      </c>
      <c r="Q60" s="159">
        <f>-Inputs!Q522*MAX(0,Q56)</f>
        <v>-23.834890308009491</v>
      </c>
      <c r="R60" s="159">
        <f>-Inputs!R522*MAX(0,R56)</f>
        <v>-24.6685609089858</v>
      </c>
      <c r="S60" s="159">
        <f>-Inputs!S522*MAX(0,S56)</f>
        <v>-25.516496995870071</v>
      </c>
      <c r="T60" s="159">
        <f>-Inputs!T522*MAX(0,T56)</f>
        <v>-26.378480198775936</v>
      </c>
    </row>
    <row r="61" spans="2:20" x14ac:dyDescent="0.25">
      <c r="B61" s="23" t="s">
        <v>3227</v>
      </c>
      <c r="C61" s="28" t="s">
        <v>493</v>
      </c>
      <c r="H61" s="159">
        <f>-'Capex &amp; Depreciation'!H258</f>
        <v>0</v>
      </c>
      <c r="I61" s="159">
        <f>-'Capex &amp; Depreciation'!I258</f>
        <v>0</v>
      </c>
      <c r="J61" s="159">
        <f>-'Capex &amp; Depreciation'!J258</f>
        <v>0</v>
      </c>
      <c r="K61" s="159">
        <f>-'Capex &amp; Depreciation'!K258</f>
        <v>0</v>
      </c>
      <c r="L61" s="159">
        <f>-'Capex &amp; Depreciation'!L258</f>
        <v>0</v>
      </c>
      <c r="M61" s="159">
        <f>-'Capex &amp; Depreciation'!M258</f>
        <v>0</v>
      </c>
      <c r="N61" s="159">
        <f>-'Capex &amp; Depreciation'!N258</f>
        <v>0</v>
      </c>
      <c r="O61" s="159">
        <f>-'Capex &amp; Depreciation'!O258</f>
        <v>0</v>
      </c>
      <c r="P61" s="159">
        <f>-'Capex &amp; Depreciation'!P258</f>
        <v>0</v>
      </c>
      <c r="Q61" s="159">
        <f>-'Capex &amp; Depreciation'!Q258</f>
        <v>0</v>
      </c>
      <c r="R61" s="159">
        <f>-'Capex &amp; Depreciation'!R258</f>
        <v>0</v>
      </c>
      <c r="S61" s="159">
        <f>-'Capex &amp; Depreciation'!S258</f>
        <v>0</v>
      </c>
      <c r="T61" s="159">
        <f>-'Capex &amp; Depreciation'!T258</f>
        <v>0</v>
      </c>
    </row>
    <row r="62" spans="2:20" x14ac:dyDescent="0.25">
      <c r="B62" s="23" t="s">
        <v>3228</v>
      </c>
      <c r="C62" s="28" t="s">
        <v>493</v>
      </c>
      <c r="H62" s="159">
        <f>-('Working Capital'!H15-'Working Capital'!G15)</f>
        <v>-16.780651724590133</v>
      </c>
      <c r="I62" s="159">
        <f>-('Working Capital'!I15-'Working Capital'!H15)</f>
        <v>-0.51128637719529735</v>
      </c>
      <c r="J62" s="159">
        <f>-('Working Capital'!J15-'Working Capital'!I15)</f>
        <v>-0.47511730909546657</v>
      </c>
      <c r="K62" s="159">
        <f>-('Working Capital'!K15-'Working Capital'!J15)</f>
        <v>-0.48862845910261044</v>
      </c>
      <c r="L62" s="159">
        <f>-('Working Capital'!L15-'Working Capital'!K15)</f>
        <v>-0.4493436713884158</v>
      </c>
      <c r="M62" s="159">
        <f>-('Working Capital'!M15-'Working Capital'!L15)</f>
        <v>-1.2330119004508937</v>
      </c>
      <c r="N62" s="159">
        <f>-('Working Capital'!N15-'Working Capital'!M15)</f>
        <v>-0.5452287421150217</v>
      </c>
      <c r="O62" s="159">
        <f>-('Working Capital'!O15-'Working Capital'!N15)</f>
        <v>-0.55837782528538327</v>
      </c>
      <c r="P62" s="159">
        <f>-('Working Capital'!P15-'Working Capital'!O15)</f>
        <v>-1.2638207735796811</v>
      </c>
      <c r="Q62" s="159">
        <f>-('Working Capital'!Q15-'Working Capital'!P15)</f>
        <v>-0.66903949873394808</v>
      </c>
      <c r="R62" s="159">
        <f>-('Working Capital'!R15-'Working Capital'!Q15)</f>
        <v>-0.62234936804262375</v>
      </c>
      <c r="S62" s="159">
        <f>-('Working Capital'!S15-'Working Capital'!R15)</f>
        <v>-0.63697449034733467</v>
      </c>
      <c r="T62" s="159">
        <f>-('Working Capital'!T15-'Working Capital'!S15)</f>
        <v>-0.5838027581227081</v>
      </c>
    </row>
    <row r="63" spans="2:20" ht="26.25" customHeight="1" x14ac:dyDescent="0.25">
      <c r="B63" s="133" t="s">
        <v>3229</v>
      </c>
      <c r="C63" s="28" t="s">
        <v>493</v>
      </c>
      <c r="H63" s="160">
        <f t="shared" ref="H63:T63" si="3">H55+H60+H61+H62</f>
        <v>80.160746263983484</v>
      </c>
      <c r="I63" s="160">
        <f t="shared" si="3"/>
        <v>98.699581793222194</v>
      </c>
      <c r="J63" s="160">
        <f t="shared" si="3"/>
        <v>101.2540761263765</v>
      </c>
      <c r="K63" s="160">
        <f t="shared" si="3"/>
        <v>103.6009915837179</v>
      </c>
      <c r="L63" s="160">
        <f t="shared" si="3"/>
        <v>106.04612193741028</v>
      </c>
      <c r="M63" s="160">
        <f t="shared" si="3"/>
        <v>112.16065655706777</v>
      </c>
      <c r="N63" s="160">
        <f t="shared" si="3"/>
        <v>115.47187202809889</v>
      </c>
      <c r="O63" s="160">
        <f t="shared" si="3"/>
        <v>118.130629283909</v>
      </c>
      <c r="P63" s="160">
        <f t="shared" si="3"/>
        <v>125.1249263986344</v>
      </c>
      <c r="Q63" s="160">
        <f t="shared" si="3"/>
        <v>128.63066096298465</v>
      </c>
      <c r="R63" s="160">
        <f t="shared" si="3"/>
        <v>131.63963440724635</v>
      </c>
      <c r="S63" s="160">
        <f t="shared" si="3"/>
        <v>134.63800107220598</v>
      </c>
      <c r="T63" s="160">
        <f t="shared" si="3"/>
        <v>137.75410146171961</v>
      </c>
    </row>
    <row r="64" spans="2:20" x14ac:dyDescent="0.25">
      <c r="B64" s="23" t="s">
        <v>3230</v>
      </c>
      <c r="C64" s="28" t="s">
        <v>493</v>
      </c>
      <c r="E64" s="159">
        <f>'Cost Calculation'!T35-MAX(0,Inputs!$E$554*('Cost Calculation'!T35-Inputs!$E$550*'Revenue Calculation'!T41))-Inputs!$E$550*'Revenue Calculation'!T41</f>
        <v>121.09600889626688</v>
      </c>
      <c r="F64" s="29">
        <f>'Working Capital'!T15</f>
        <v>24.817632898049517</v>
      </c>
      <c r="H64" s="159">
        <f>IF('Revenue Calculation'!H7=2036,IF(Inputs!$E$558&gt;Inputs!$E$559,((1+Inputs!$E$559)*$E$64-Inputs!$E$559*$F$64)/(Inputs!$E$558-Inputs!$E$559),0),0)</f>
        <v>0</v>
      </c>
      <c r="I64" s="159">
        <f>IF('Revenue Calculation'!I7=2036,IF(Inputs!$E$558&gt;Inputs!$E$559,((1+Inputs!$E$559)*$E$64-Inputs!$E$559*$F$64)/(Inputs!$E$558-Inputs!$E$559),0),0)</f>
        <v>0</v>
      </c>
      <c r="J64" s="159">
        <f>IF('Revenue Calculation'!J7=2036,IF(Inputs!$E$558&gt;Inputs!$E$559,((1+Inputs!$E$559)*$E$64-Inputs!$E$559*$F$64)/(Inputs!$E$558-Inputs!$E$559),0),0)</f>
        <v>0</v>
      </c>
      <c r="K64" s="159">
        <f>IF('Revenue Calculation'!K7=2036,IF(Inputs!$E$558&gt;Inputs!$E$559,((1+Inputs!$E$559)*$E$64-Inputs!$E$559*$F$64)/(Inputs!$E$558-Inputs!$E$559),0),0)</f>
        <v>0</v>
      </c>
      <c r="L64" s="159">
        <f>IF('Revenue Calculation'!L7=2036,IF(Inputs!$E$558&gt;Inputs!$E$559,((1+Inputs!$E$559)*$E$64-Inputs!$E$559*$F$64)/(Inputs!$E$558-Inputs!$E$559),0),0)</f>
        <v>0</v>
      </c>
      <c r="M64" s="159">
        <f>IF('Revenue Calculation'!M7=2036,IF(Inputs!$E$558&gt;Inputs!$E$559,((1+Inputs!$E$559)*$E$64-Inputs!$E$559*$F$64)/(Inputs!$E$558-Inputs!$E$559),0),0)</f>
        <v>0</v>
      </c>
      <c r="N64" s="159">
        <f>IF('Revenue Calculation'!N7=2036,IF(Inputs!$E$558&gt;Inputs!$E$559,((1+Inputs!$E$559)*$E$64-Inputs!$E$559*$F$64)/(Inputs!$E$558-Inputs!$E$559),0),0)</f>
        <v>0</v>
      </c>
      <c r="O64" s="159">
        <f>IF('Revenue Calculation'!O7=2036,IF(Inputs!$E$558&gt;Inputs!$E$559,((1+Inputs!$E$559)*$E$64-Inputs!$E$559*$F$64)/(Inputs!$E$558-Inputs!$E$559),0),0)</f>
        <v>0</v>
      </c>
      <c r="P64" s="159">
        <f>IF('Revenue Calculation'!P7=2036,IF(Inputs!$E$558&gt;Inputs!$E$559,((1+Inputs!$E$559)*$E$64-Inputs!$E$559*$F$64)/(Inputs!$E$558-Inputs!$E$559),0),0)</f>
        <v>0</v>
      </c>
      <c r="Q64" s="159">
        <f>IF('Revenue Calculation'!Q7=2036,IF(Inputs!$E$558&gt;Inputs!$E$559,((1+Inputs!$E$559)*$E$64-Inputs!$E$559*$F$64)/(Inputs!$E$558-Inputs!$E$559),0),0)</f>
        <v>0</v>
      </c>
      <c r="R64" s="159">
        <f>IF('Revenue Calculation'!R7=2036,IF(Inputs!$E$558&gt;Inputs!$E$559,((1+Inputs!$E$559)*$E$64-Inputs!$E$559*$F$64)/(Inputs!$E$558-Inputs!$E$559),0),0)</f>
        <v>0</v>
      </c>
      <c r="S64" s="159">
        <f>IF('Revenue Calculation'!S7=2036,IF(Inputs!$E$558&gt;Inputs!$E$559,((1+Inputs!$E$559)*$E$64-Inputs!$E$559*$F$64)/(Inputs!$E$558-Inputs!$E$559),0),0)</f>
        <v>0</v>
      </c>
      <c r="T64" s="159">
        <f>IF('Revenue Calculation'!T7=2036,IF(Inputs!$E$558&gt;Inputs!$E$559,((1+Inputs!$E$559)*$E$64-Inputs!$E$559*$F$64)/(Inputs!$E$558-Inputs!$E$559),0),0)</f>
        <v>1398.3442437816966</v>
      </c>
    </row>
    <row r="65" spans="2:20" x14ac:dyDescent="0.25">
      <c r="B65" s="23" t="s">
        <v>3231</v>
      </c>
      <c r="C65" s="28" t="s">
        <v>493</v>
      </c>
      <c r="G65" s="159">
        <v>0</v>
      </c>
      <c r="H65" s="159">
        <f t="shared" ref="H65:T65" si="4">H63+H64</f>
        <v>80.160746263983484</v>
      </c>
      <c r="I65" s="159">
        <f t="shared" si="4"/>
        <v>98.699581793222194</v>
      </c>
      <c r="J65" s="159">
        <f t="shared" si="4"/>
        <v>101.2540761263765</v>
      </c>
      <c r="K65" s="159">
        <f t="shared" si="4"/>
        <v>103.6009915837179</v>
      </c>
      <c r="L65" s="159">
        <f t="shared" si="4"/>
        <v>106.04612193741028</v>
      </c>
      <c r="M65" s="159">
        <f t="shared" si="4"/>
        <v>112.16065655706777</v>
      </c>
      <c r="N65" s="159">
        <f t="shared" si="4"/>
        <v>115.47187202809889</v>
      </c>
      <c r="O65" s="159">
        <f t="shared" si="4"/>
        <v>118.130629283909</v>
      </c>
      <c r="P65" s="159">
        <f t="shared" si="4"/>
        <v>125.1249263986344</v>
      </c>
      <c r="Q65" s="159">
        <f t="shared" si="4"/>
        <v>128.63066096298465</v>
      </c>
      <c r="R65" s="159">
        <f t="shared" si="4"/>
        <v>131.63963440724635</v>
      </c>
      <c r="S65" s="159">
        <f t="shared" si="4"/>
        <v>134.63800107220598</v>
      </c>
      <c r="T65" s="159">
        <f t="shared" si="4"/>
        <v>1536.0983452434161</v>
      </c>
    </row>
    <row r="66" spans="2:20" x14ac:dyDescent="0.25">
      <c r="B66" s="23" t="s">
        <v>3232</v>
      </c>
      <c r="C66" s="28" t="s">
        <v>493</v>
      </c>
      <c r="G66" s="159">
        <f>G65</f>
        <v>0</v>
      </c>
      <c r="H66" s="159">
        <f t="shared" ref="H66:T66" si="5">G66+H63</f>
        <v>80.160746263983484</v>
      </c>
      <c r="I66" s="159">
        <f t="shared" si="5"/>
        <v>178.86032805720566</v>
      </c>
      <c r="J66" s="159">
        <f t="shared" si="5"/>
        <v>280.11440418358217</v>
      </c>
      <c r="K66" s="159">
        <f t="shared" si="5"/>
        <v>383.71539576730004</v>
      </c>
      <c r="L66" s="159">
        <f t="shared" si="5"/>
        <v>489.76151770471029</v>
      </c>
      <c r="M66" s="159">
        <f t="shared" si="5"/>
        <v>601.92217426177808</v>
      </c>
      <c r="N66" s="159">
        <f t="shared" si="5"/>
        <v>717.394046289877</v>
      </c>
      <c r="O66" s="159">
        <f t="shared" si="5"/>
        <v>835.524675573786</v>
      </c>
      <c r="P66" s="159">
        <f t="shared" si="5"/>
        <v>960.64960197242044</v>
      </c>
      <c r="Q66" s="159">
        <f t="shared" si="5"/>
        <v>1089.2802629354051</v>
      </c>
      <c r="R66" s="159">
        <f t="shared" si="5"/>
        <v>1220.9198973426514</v>
      </c>
      <c r="S66" s="159">
        <f t="shared" si="5"/>
        <v>1355.5578984148574</v>
      </c>
      <c r="T66" s="159">
        <f t="shared" si="5"/>
        <v>1493.3119998765769</v>
      </c>
    </row>
    <row r="67" spans="2:20" x14ac:dyDescent="0.25">
      <c r="B67" s="154" t="s">
        <v>3233</v>
      </c>
    </row>
    <row r="68" spans="2:20" x14ac:dyDescent="0.25">
      <c r="B68" s="23" t="s">
        <v>3221</v>
      </c>
      <c r="C68" s="28" t="s">
        <v>493</v>
      </c>
      <c r="H68" s="29">
        <f>'Cost Calculation'!H66</f>
        <v>16.08358626895334</v>
      </c>
      <c r="I68" s="29">
        <f>'Cost Calculation'!I66</f>
        <v>22.990159643645946</v>
      </c>
      <c r="J68" s="29">
        <f>'Cost Calculation'!J66</f>
        <v>23.489049398333776</v>
      </c>
      <c r="K68" s="29">
        <f>'Cost Calculation'!K66</f>
        <v>33.869600093109888</v>
      </c>
      <c r="L68" s="29">
        <f>'Cost Calculation'!L66</f>
        <v>34.707654283038423</v>
      </c>
      <c r="M68" s="29">
        <f>'Cost Calculation'!M66</f>
        <v>41.791519284822982</v>
      </c>
      <c r="N68" s="29">
        <f>'Cost Calculation'!N66</f>
        <v>42.844413446069453</v>
      </c>
      <c r="O68" s="29">
        <f>'Cost Calculation'!O66</f>
        <v>48.302998805302892</v>
      </c>
      <c r="P68" s="29">
        <f>'Cost Calculation'!P66</f>
        <v>49.491538753686854</v>
      </c>
      <c r="Q68" s="29">
        <f>'Cost Calculation'!Q66</f>
        <v>55.668943968324257</v>
      </c>
      <c r="R68" s="29">
        <f>'Cost Calculation'!R66</f>
        <v>57.083053389697362</v>
      </c>
      <c r="S68" s="29">
        <f>'Cost Calculation'!S66</f>
        <v>58.523549091194738</v>
      </c>
      <c r="T68" s="29">
        <f>'Cost Calculation'!T66</f>
        <v>59.990323899866681</v>
      </c>
    </row>
    <row r="69" spans="2:20" x14ac:dyDescent="0.25">
      <c r="B69" s="23" t="s">
        <v>3222</v>
      </c>
      <c r="C69" s="28" t="s">
        <v>493</v>
      </c>
      <c r="H69" s="159">
        <f>'Cost Calculation'!H66-'Capex &amp; Depreciation'!H232</f>
        <v>-24.875239335289663</v>
      </c>
      <c r="I69" s="159">
        <f>'Cost Calculation'!I66-'Capex &amp; Depreciation'!I232</f>
        <v>-17.971258935505318</v>
      </c>
      <c r="J69" s="159">
        <f>'Cost Calculation'!J66-'Capex &amp; Depreciation'!J232</f>
        <v>-18.475014015223913</v>
      </c>
      <c r="K69" s="159">
        <f>'Cost Calculation'!K66-'Capex &amp; Depreciation'!K232</f>
        <v>-8.0971610515423507</v>
      </c>
      <c r="L69" s="159">
        <f>'Cost Calculation'!L66-'Capex &amp; Depreciation'!L232</f>
        <v>-7.261858547330263</v>
      </c>
      <c r="M69" s="159">
        <f>'Cost Calculation'!M66-'Capex &amp; Depreciation'!M232</f>
        <v>-1.1808002649764759</v>
      </c>
      <c r="N69" s="159">
        <f>'Cost Calculation'!N66-'Capex &amp; Depreciation'!N232</f>
        <v>-0.13076895754939954</v>
      </c>
      <c r="O69" s="159">
        <f>'Cost Calculation'!O66-'Capex &amp; Depreciation'!O232</f>
        <v>5.3248962907882671</v>
      </c>
      <c r="P69" s="159">
        <f>'Cost Calculation'!P66-'Capex &amp; Depreciation'!P232</f>
        <v>5.510457726058533</v>
      </c>
      <c r="Q69" s="159">
        <f>'Cost Calculation'!Q66-'Capex &amp; Depreciation'!Q232</f>
        <v>11.684824857319974</v>
      </c>
      <c r="R69" s="159">
        <f>'Cost Calculation'!R66-'Capex &amp; Depreciation'!R232</f>
        <v>13.09583543364959</v>
      </c>
      <c r="S69" s="159">
        <f>'Cost Calculation'!S66-'Capex &amp; Depreciation'!S232</f>
        <v>14.533170313202611</v>
      </c>
      <c r="T69" s="159">
        <f>'Cost Calculation'!T66-'Capex &amp; Depreciation'!T232</f>
        <v>15.996721083491309</v>
      </c>
    </row>
    <row r="70" spans="2:20" x14ac:dyDescent="0.25">
      <c r="B70" s="23" t="s">
        <v>3234</v>
      </c>
      <c r="C70" s="28" t="s">
        <v>493</v>
      </c>
      <c r="H70" s="29">
        <f>Financing!H22</f>
        <v>5.4709055176610004</v>
      </c>
      <c r="I70" s="29">
        <f>Financing!I22</f>
        <v>1.9421714587696599</v>
      </c>
      <c r="J70" s="29">
        <f>Financing!J22</f>
        <v>1.9421714587696484</v>
      </c>
      <c r="K70" s="29">
        <f>Financing!K22</f>
        <v>0.96310420284193521</v>
      </c>
      <c r="L70" s="29">
        <f>Financing!L22</f>
        <v>0</v>
      </c>
      <c r="M70" s="29">
        <f>Financing!M22</f>
        <v>0</v>
      </c>
      <c r="N70" s="29">
        <f>Financing!N22</f>
        <v>0</v>
      </c>
      <c r="O70" s="29">
        <f>Financing!O22</f>
        <v>0</v>
      </c>
      <c r="P70" s="29">
        <f>Financing!P22</f>
        <v>0</v>
      </c>
      <c r="Q70" s="29">
        <f>Financing!Q22</f>
        <v>0</v>
      </c>
      <c r="R70" s="29">
        <f>Financing!R22</f>
        <v>0</v>
      </c>
      <c r="S70" s="29">
        <f>Financing!S22</f>
        <v>0</v>
      </c>
      <c r="T70" s="29">
        <f>Financing!T22</f>
        <v>0</v>
      </c>
    </row>
    <row r="71" spans="2:20" x14ac:dyDescent="0.25">
      <c r="B71" s="23" t="s">
        <v>3224</v>
      </c>
      <c r="C71" s="28" t="s">
        <v>493</v>
      </c>
      <c r="H71" s="159">
        <f>Inputs!H522*MAX(0,H69-H70)</f>
        <v>0</v>
      </c>
      <c r="I71" s="159">
        <f>Inputs!I522*MAX(0,I69-I70)</f>
        <v>0</v>
      </c>
      <c r="J71" s="159">
        <f>Inputs!J522*MAX(0,J69-J70)</f>
        <v>0</v>
      </c>
      <c r="K71" s="159">
        <f>Inputs!K522*MAX(0,K69-K70)</f>
        <v>0</v>
      </c>
      <c r="L71" s="159">
        <f>Inputs!L522*MAX(0,L69-L70)</f>
        <v>0</v>
      </c>
      <c r="M71" s="159">
        <f>Inputs!M522*MAX(0,M69-M70)</f>
        <v>0</v>
      </c>
      <c r="N71" s="159">
        <f>Inputs!N522*MAX(0,N69-N70)</f>
        <v>0</v>
      </c>
      <c r="O71" s="159">
        <f>Inputs!O522*MAX(0,O69-O70)</f>
        <v>1.1714771839734188</v>
      </c>
      <c r="P71" s="159">
        <f>Inputs!P522*MAX(0,P69-P70)</f>
        <v>1.2123006997328774</v>
      </c>
      <c r="Q71" s="159">
        <f>Inputs!Q522*MAX(0,Q69-Q70)</f>
        <v>2.5706614686103944</v>
      </c>
      <c r="R71" s="159">
        <f>Inputs!R522*MAX(0,R69-R70)</f>
        <v>2.88108379540291</v>
      </c>
      <c r="S71" s="159">
        <f>Inputs!S522*MAX(0,S69-S70)</f>
        <v>3.1972974689045746</v>
      </c>
      <c r="T71" s="159">
        <f>Inputs!T522*MAX(0,T69-T70)</f>
        <v>3.5192786383680881</v>
      </c>
    </row>
    <row r="72" spans="2:20" x14ac:dyDescent="0.25">
      <c r="B72" s="23" t="s">
        <v>3225</v>
      </c>
      <c r="C72" s="28" t="s">
        <v>493</v>
      </c>
      <c r="H72" s="159">
        <f t="shared" ref="H72:T72" si="6">H69-H70-H71</f>
        <v>-30.346144852950665</v>
      </c>
      <c r="I72" s="159">
        <f t="shared" si="6"/>
        <v>-19.913430394274979</v>
      </c>
      <c r="J72" s="159">
        <f t="shared" si="6"/>
        <v>-20.417185473993563</v>
      </c>
      <c r="K72" s="159">
        <f t="shared" si="6"/>
        <v>-9.0602652543842854</v>
      </c>
      <c r="L72" s="159">
        <f t="shared" si="6"/>
        <v>-7.261858547330263</v>
      </c>
      <c r="M72" s="159">
        <f t="shared" si="6"/>
        <v>-1.1808002649764759</v>
      </c>
      <c r="N72" s="159">
        <f t="shared" si="6"/>
        <v>-0.13076895754939954</v>
      </c>
      <c r="O72" s="159">
        <f t="shared" si="6"/>
        <v>4.153419106814848</v>
      </c>
      <c r="P72" s="159">
        <f t="shared" si="6"/>
        <v>4.2981570263256561</v>
      </c>
      <c r="Q72" s="159">
        <f t="shared" si="6"/>
        <v>9.1141633887095796</v>
      </c>
      <c r="R72" s="159">
        <f t="shared" si="6"/>
        <v>10.21475163824668</v>
      </c>
      <c r="S72" s="159">
        <f t="shared" si="6"/>
        <v>11.335872844298036</v>
      </c>
      <c r="T72" s="159">
        <f t="shared" si="6"/>
        <v>12.47744244512322</v>
      </c>
    </row>
    <row r="73" spans="2:20" x14ac:dyDescent="0.25">
      <c r="B73" s="23" t="s">
        <v>3226</v>
      </c>
      <c r="C73" s="28" t="s">
        <v>493</v>
      </c>
      <c r="H73" s="159">
        <f>-Inputs!H522*MAX(0,H69)</f>
        <v>0</v>
      </c>
      <c r="I73" s="159">
        <f>-Inputs!I522*MAX(0,I69)</f>
        <v>0</v>
      </c>
      <c r="J73" s="159">
        <f>-Inputs!J522*MAX(0,J69)</f>
        <v>0</v>
      </c>
      <c r="K73" s="159">
        <f>-Inputs!K522*MAX(0,K69)</f>
        <v>0</v>
      </c>
      <c r="L73" s="159">
        <f>-Inputs!L522*MAX(0,L69)</f>
        <v>0</v>
      </c>
      <c r="M73" s="159">
        <f>-Inputs!M522*MAX(0,M69)</f>
        <v>0</v>
      </c>
      <c r="N73" s="159">
        <f>-Inputs!N522*MAX(0,N69)</f>
        <v>0</v>
      </c>
      <c r="O73" s="159">
        <f>-Inputs!O522*MAX(0,O69)</f>
        <v>-1.1714771839734188</v>
      </c>
      <c r="P73" s="159">
        <f>-Inputs!P522*MAX(0,P69)</f>
        <v>-1.2123006997328774</v>
      </c>
      <c r="Q73" s="159">
        <f>-Inputs!Q522*MAX(0,Q69)</f>
        <v>-2.5706614686103944</v>
      </c>
      <c r="R73" s="159">
        <f>-Inputs!R522*MAX(0,R69)</f>
        <v>-2.88108379540291</v>
      </c>
      <c r="S73" s="159">
        <f>-Inputs!S522*MAX(0,S69)</f>
        <v>-3.1972974689045746</v>
      </c>
      <c r="T73" s="159">
        <f>-Inputs!T522*MAX(0,T69)</f>
        <v>-3.5192786383680881</v>
      </c>
    </row>
    <row r="74" spans="2:20" x14ac:dyDescent="0.25">
      <c r="B74" s="23" t="s">
        <v>3227</v>
      </c>
      <c r="C74" s="28" t="s">
        <v>493</v>
      </c>
      <c r="H74" s="159">
        <f>-'Capex &amp; Depreciation'!H259</f>
        <v>0</v>
      </c>
      <c r="I74" s="159">
        <f>-'Capex &amp; Depreciation'!I259</f>
        <v>0</v>
      </c>
      <c r="J74" s="159">
        <f>-'Capex &amp; Depreciation'!J259</f>
        <v>0</v>
      </c>
      <c r="K74" s="159">
        <f>-'Capex &amp; Depreciation'!K259</f>
        <v>0</v>
      </c>
      <c r="L74" s="159">
        <f>-'Capex &amp; Depreciation'!L259</f>
        <v>0</v>
      </c>
      <c r="M74" s="159">
        <f>-'Capex &amp; Depreciation'!M259</f>
        <v>0</v>
      </c>
      <c r="N74" s="159">
        <f>-'Capex &amp; Depreciation'!N259</f>
        <v>0</v>
      </c>
      <c r="O74" s="159">
        <f>-'Capex &amp; Depreciation'!O259</f>
        <v>0</v>
      </c>
      <c r="P74" s="159">
        <f>-'Capex &amp; Depreciation'!P259</f>
        <v>0</v>
      </c>
      <c r="Q74" s="159">
        <f>-'Capex &amp; Depreciation'!Q259</f>
        <v>0</v>
      </c>
      <c r="R74" s="159">
        <f>-'Capex &amp; Depreciation'!R259</f>
        <v>0</v>
      </c>
      <c r="S74" s="159">
        <f>-'Capex &amp; Depreciation'!S259</f>
        <v>0</v>
      </c>
      <c r="T74" s="159">
        <f>-'Capex &amp; Depreciation'!T259</f>
        <v>0</v>
      </c>
    </row>
    <row r="75" spans="2:20" x14ac:dyDescent="0.25">
      <c r="B75" s="23" t="s">
        <v>3228</v>
      </c>
      <c r="C75" s="28" t="s">
        <v>493</v>
      </c>
      <c r="H75" s="159">
        <f>-('Working Capital'!H19-'Working Capital'!G19)</f>
        <v>-3.6528880698987152</v>
      </c>
      <c r="I75" s="159">
        <f>-('Working Capital'!I19-'Working Capital'!H19)</f>
        <v>-0.91975161756008372</v>
      </c>
      <c r="J75" s="159">
        <f>-('Working Capital'!J19-'Working Capital'!I19)</f>
        <v>-0.12333379337025452</v>
      </c>
      <c r="K75" s="159">
        <f>-('Working Capital'!K19-'Working Capital'!J19)</f>
        <v>-1.3425641425815975</v>
      </c>
      <c r="L75" s="159">
        <f>-('Working Capital'!L19-'Working Capital'!K19)</f>
        <v>-0.15153438954916254</v>
      </c>
      <c r="M75" s="159">
        <f>-('Working Capital'!M19-'Working Capital'!L19)</f>
        <v>-0.95934800400139242</v>
      </c>
      <c r="N75" s="159">
        <f>-('Working Capital'!N19-'Working Capital'!M19)</f>
        <v>-0.20008626463069668</v>
      </c>
      <c r="O75" s="159">
        <f>-('Working Capital'!O19-'Working Capital'!N19)</f>
        <v>-0.74596702038152163</v>
      </c>
      <c r="P75" s="159">
        <f>-('Working Capital'!P19-'Working Capital'!O19)</f>
        <v>-0.20098298344776744</v>
      </c>
      <c r="Q75" s="159">
        <f>-('Working Capital'!Q19-'Working Capital'!P19)</f>
        <v>-0.86309117188458551</v>
      </c>
      <c r="R75" s="159">
        <f>-('Working Capital'!R19-'Working Capital'!Q19)</f>
        <v>-0.25617532451898661</v>
      </c>
      <c r="S75" s="159">
        <f>-('Working Capital'!S19-'Working Capital'!R19)</f>
        <v>-0.26262816692577573</v>
      </c>
      <c r="T75" s="159">
        <f>-('Working Capital'!T19-'Working Capital'!S19)</f>
        <v>-0.24202462709469508</v>
      </c>
    </row>
    <row r="76" spans="2:20" ht="26.25" customHeight="1" x14ac:dyDescent="0.25">
      <c r="B76" s="133" t="s">
        <v>3229</v>
      </c>
      <c r="C76" s="28" t="s">
        <v>493</v>
      </c>
      <c r="H76" s="160">
        <f t="shared" ref="H76:T76" si="7">H68+H73+H74+H75</f>
        <v>12.430698199054625</v>
      </c>
      <c r="I76" s="160">
        <f t="shared" si="7"/>
        <v>22.070408026085861</v>
      </c>
      <c r="J76" s="160">
        <f t="shared" si="7"/>
        <v>23.365715604963523</v>
      </c>
      <c r="K76" s="160">
        <f t="shared" si="7"/>
        <v>32.527035950528287</v>
      </c>
      <c r="L76" s="160">
        <f t="shared" si="7"/>
        <v>34.55611989348926</v>
      </c>
      <c r="M76" s="160">
        <f t="shared" si="7"/>
        <v>40.832171280821591</v>
      </c>
      <c r="N76" s="160">
        <f t="shared" si="7"/>
        <v>42.644327181438754</v>
      </c>
      <c r="O76" s="160">
        <f t="shared" si="7"/>
        <v>46.385554600947955</v>
      </c>
      <c r="P76" s="160">
        <f t="shared" si="7"/>
        <v>48.078255070506209</v>
      </c>
      <c r="Q76" s="160">
        <f t="shared" si="7"/>
        <v>52.235191327829277</v>
      </c>
      <c r="R76" s="160">
        <f t="shared" si="7"/>
        <v>53.945794269775469</v>
      </c>
      <c r="S76" s="160">
        <f t="shared" si="7"/>
        <v>55.063623455364393</v>
      </c>
      <c r="T76" s="160">
        <f t="shared" si="7"/>
        <v>56.229020634403902</v>
      </c>
    </row>
    <row r="77" spans="2:20" x14ac:dyDescent="0.25">
      <c r="B77" s="23" t="s">
        <v>3230</v>
      </c>
      <c r="C77" s="28" t="s">
        <v>493</v>
      </c>
      <c r="E77" s="159">
        <f>'Cost Calculation'!T66-MAX(0,Inputs!$E$554*('Cost Calculation'!T66-Inputs!$E$550*'Revenue Calculation'!T47))-Inputs!$E$550*'Revenue Calculation'!T47</f>
        <v>43.820992522203454</v>
      </c>
      <c r="F77" s="29">
        <f>'Working Capital'!T19</f>
        <v>9.9203755758452346</v>
      </c>
      <c r="H77" s="159">
        <f>IF('Revenue Calculation'!H7=2036,IF(Inputs!$E$558&gt;Inputs!$E$559,((1+Inputs!$E$559)*$E$77-Inputs!$E$559*$F$77)/(Inputs!$E$558-Inputs!$E$559),0),0)</f>
        <v>0</v>
      </c>
      <c r="I77" s="159">
        <f>IF('Revenue Calculation'!I7=2036,IF(Inputs!$E$558&gt;Inputs!$E$559,((1+Inputs!$E$559)*$E$77-Inputs!$E$559*$F$77)/(Inputs!$E$558-Inputs!$E$559),0),0)</f>
        <v>0</v>
      </c>
      <c r="J77" s="159">
        <f>IF('Revenue Calculation'!J7=2036,IF(Inputs!$E$558&gt;Inputs!$E$559,((1+Inputs!$E$559)*$E$77-Inputs!$E$559*$F$77)/(Inputs!$E$558-Inputs!$E$559),0),0)</f>
        <v>0</v>
      </c>
      <c r="K77" s="159">
        <f>IF('Revenue Calculation'!K7=2036,IF(Inputs!$E$558&gt;Inputs!$E$559,((1+Inputs!$E$559)*$E$77-Inputs!$E$559*$F$77)/(Inputs!$E$558-Inputs!$E$559),0),0)</f>
        <v>0</v>
      </c>
      <c r="L77" s="159">
        <f>IF('Revenue Calculation'!L7=2036,IF(Inputs!$E$558&gt;Inputs!$E$559,((1+Inputs!$E$559)*$E$77-Inputs!$E$559*$F$77)/(Inputs!$E$558-Inputs!$E$559),0),0)</f>
        <v>0</v>
      </c>
      <c r="M77" s="159">
        <f>IF('Revenue Calculation'!M7=2036,IF(Inputs!$E$558&gt;Inputs!$E$559,((1+Inputs!$E$559)*$E$77-Inputs!$E$559*$F$77)/(Inputs!$E$558-Inputs!$E$559),0),0)</f>
        <v>0</v>
      </c>
      <c r="N77" s="159">
        <f>IF('Revenue Calculation'!N7=2036,IF(Inputs!$E$558&gt;Inputs!$E$559,((1+Inputs!$E$559)*$E$77-Inputs!$E$559*$F$77)/(Inputs!$E$558-Inputs!$E$559),0),0)</f>
        <v>0</v>
      </c>
      <c r="O77" s="159">
        <f>IF('Revenue Calculation'!O7=2036,IF(Inputs!$E$558&gt;Inputs!$E$559,((1+Inputs!$E$559)*$E$77-Inputs!$E$559*$F$77)/(Inputs!$E$558-Inputs!$E$559),0),0)</f>
        <v>0</v>
      </c>
      <c r="P77" s="159">
        <f>IF('Revenue Calculation'!P7=2036,IF(Inputs!$E$558&gt;Inputs!$E$559,((1+Inputs!$E$559)*$E$77-Inputs!$E$559*$F$77)/(Inputs!$E$558-Inputs!$E$559),0),0)</f>
        <v>0</v>
      </c>
      <c r="Q77" s="159">
        <f>IF('Revenue Calculation'!Q7=2036,IF(Inputs!$E$558&gt;Inputs!$E$559,((1+Inputs!$E$559)*$E$77-Inputs!$E$559*$F$77)/(Inputs!$E$558-Inputs!$E$559),0),0)</f>
        <v>0</v>
      </c>
      <c r="R77" s="159">
        <f>IF('Revenue Calculation'!R7=2036,IF(Inputs!$E$558&gt;Inputs!$E$559,((1+Inputs!$E$559)*$E$77-Inputs!$E$559*$F$77)/(Inputs!$E$558-Inputs!$E$559),0),0)</f>
        <v>0</v>
      </c>
      <c r="S77" s="159">
        <f>IF('Revenue Calculation'!S7=2036,IF(Inputs!$E$558&gt;Inputs!$E$559,((1+Inputs!$E$559)*$E$77-Inputs!$E$559*$F$77)/(Inputs!$E$558-Inputs!$E$559),0),0)</f>
        <v>0</v>
      </c>
      <c r="T77" s="159">
        <f>IF('Revenue Calculation'!T7=2036,IF(Inputs!$E$558&gt;Inputs!$E$559,((1+Inputs!$E$559)*$E$77-Inputs!$E$559*$F$77)/(Inputs!$E$558-Inputs!$E$559),0),0)</f>
        <v>505.70067497336265</v>
      </c>
    </row>
    <row r="78" spans="2:20" x14ac:dyDescent="0.25">
      <c r="B78" s="23" t="s">
        <v>3231</v>
      </c>
      <c r="C78" s="28" t="s">
        <v>493</v>
      </c>
      <c r="G78" s="159">
        <v>0</v>
      </c>
      <c r="H78" s="159">
        <f t="shared" ref="H78:T78" si="8">H76+H77</f>
        <v>12.430698199054625</v>
      </c>
      <c r="I78" s="159">
        <f t="shared" si="8"/>
        <v>22.070408026085861</v>
      </c>
      <c r="J78" s="159">
        <f t="shared" si="8"/>
        <v>23.365715604963523</v>
      </c>
      <c r="K78" s="159">
        <f t="shared" si="8"/>
        <v>32.527035950528287</v>
      </c>
      <c r="L78" s="159">
        <f t="shared" si="8"/>
        <v>34.55611989348926</v>
      </c>
      <c r="M78" s="159">
        <f t="shared" si="8"/>
        <v>40.832171280821591</v>
      </c>
      <c r="N78" s="159">
        <f t="shared" si="8"/>
        <v>42.644327181438754</v>
      </c>
      <c r="O78" s="159">
        <f t="shared" si="8"/>
        <v>46.385554600947955</v>
      </c>
      <c r="P78" s="159">
        <f t="shared" si="8"/>
        <v>48.078255070506209</v>
      </c>
      <c r="Q78" s="159">
        <f t="shared" si="8"/>
        <v>52.235191327829277</v>
      </c>
      <c r="R78" s="159">
        <f t="shared" si="8"/>
        <v>53.945794269775469</v>
      </c>
      <c r="S78" s="159">
        <f t="shared" si="8"/>
        <v>55.063623455364393</v>
      </c>
      <c r="T78" s="159">
        <f t="shared" si="8"/>
        <v>561.92969560776658</v>
      </c>
    </row>
    <row r="79" spans="2:20" x14ac:dyDescent="0.25">
      <c r="B79" s="23" t="s">
        <v>3232</v>
      </c>
      <c r="C79" s="28" t="s">
        <v>493</v>
      </c>
      <c r="G79" s="159">
        <f>G78</f>
        <v>0</v>
      </c>
      <c r="H79" s="159">
        <f t="shared" ref="H79:T79" si="9">G79+H76</f>
        <v>12.430698199054625</v>
      </c>
      <c r="I79" s="159">
        <f t="shared" si="9"/>
        <v>34.501106225140489</v>
      </c>
      <c r="J79" s="159">
        <f t="shared" si="9"/>
        <v>57.866821830104016</v>
      </c>
      <c r="K79" s="159">
        <f t="shared" si="9"/>
        <v>90.393857780632302</v>
      </c>
      <c r="L79" s="159">
        <f t="shared" si="9"/>
        <v>124.94997767412156</v>
      </c>
      <c r="M79" s="159">
        <f t="shared" si="9"/>
        <v>165.78214895494315</v>
      </c>
      <c r="N79" s="159">
        <f t="shared" si="9"/>
        <v>208.42647613638189</v>
      </c>
      <c r="O79" s="159">
        <f t="shared" si="9"/>
        <v>254.81203073732985</v>
      </c>
      <c r="P79" s="159">
        <f t="shared" si="9"/>
        <v>302.89028580783605</v>
      </c>
      <c r="Q79" s="159">
        <f t="shared" si="9"/>
        <v>355.12547713566534</v>
      </c>
      <c r="R79" s="159">
        <f t="shared" si="9"/>
        <v>409.07127140544083</v>
      </c>
      <c r="S79" s="159">
        <f t="shared" si="9"/>
        <v>464.13489486080522</v>
      </c>
      <c r="T79" s="159">
        <f t="shared" si="9"/>
        <v>520.36391549520908</v>
      </c>
    </row>
    <row r="80" spans="2:20" x14ac:dyDescent="0.25">
      <c r="B80" s="154" t="s">
        <v>3235</v>
      </c>
    </row>
    <row r="81" spans="2:20" x14ac:dyDescent="0.25">
      <c r="B81" s="23" t="s">
        <v>3221</v>
      </c>
      <c r="C81" s="28" t="s">
        <v>493</v>
      </c>
      <c r="H81" s="29">
        <f>'Cost Calculation'!H94</f>
        <v>11.145605163950723</v>
      </c>
      <c r="I81" s="29">
        <f>'Cost Calculation'!I94</f>
        <v>11.396081462434829</v>
      </c>
      <c r="J81" s="29">
        <f>'Cost Calculation'!J94</f>
        <v>22.763433603256672</v>
      </c>
      <c r="K81" s="29">
        <f>'Cost Calculation'!K94</f>
        <v>23.380356577007031</v>
      </c>
      <c r="L81" s="29">
        <f>'Cost Calculation'!L94</f>
        <v>25.066127513165085</v>
      </c>
      <c r="M81" s="29">
        <f>'Cost Calculation'!M94</f>
        <v>26.862920884312228</v>
      </c>
      <c r="N81" s="29">
        <f>'Cost Calculation'!N94</f>
        <v>28.777768449416026</v>
      </c>
      <c r="O81" s="29">
        <f>'Cost Calculation'!O94</f>
        <v>30.81813898034336</v>
      </c>
      <c r="P81" s="29">
        <f>'Cost Calculation'!P94</f>
        <v>32.991965157430215</v>
      </c>
      <c r="Q81" s="29">
        <f>'Cost Calculation'!Q94</f>
        <v>35.307672111664424</v>
      </c>
      <c r="R81" s="29">
        <f>'Cost Calculation'!R94</f>
        <v>37.774207714001157</v>
      </c>
      <c r="S81" s="29">
        <f>'Cost Calculation'!S94</f>
        <v>40.401074718454119</v>
      </c>
      <c r="T81" s="29">
        <f>'Cost Calculation'!T94</f>
        <v>43.198364872109067</v>
      </c>
    </row>
    <row r="82" spans="2:20" x14ac:dyDescent="0.25">
      <c r="B82" s="23" t="s">
        <v>3222</v>
      </c>
      <c r="C82" s="28" t="s">
        <v>493</v>
      </c>
      <c r="H82" s="159">
        <f>'Cost Calculation'!H94-'Capex &amp; Depreciation'!H233</f>
        <v>5.9116309505207232</v>
      </c>
      <c r="I82" s="159">
        <f>'Cost Calculation'!I94-'Capex &amp; Depreciation'!I233</f>
        <v>6.162107249004829</v>
      </c>
      <c r="J82" s="159">
        <f>'Cost Calculation'!J94-'Capex &amp; Depreciation'!J233</f>
        <v>20.146446496541671</v>
      </c>
      <c r="K82" s="159">
        <f>'Cost Calculation'!K94-'Capex &amp; Depreciation'!K233</f>
        <v>23.380356577007031</v>
      </c>
      <c r="L82" s="159">
        <f>'Cost Calculation'!L94-'Capex &amp; Depreciation'!L233</f>
        <v>25.066127513165085</v>
      </c>
      <c r="M82" s="159">
        <f>'Cost Calculation'!M94-'Capex &amp; Depreciation'!M233</f>
        <v>26.862920884312228</v>
      </c>
      <c r="N82" s="159">
        <f>'Cost Calculation'!N94-'Capex &amp; Depreciation'!N233</f>
        <v>28.777768449416026</v>
      </c>
      <c r="O82" s="159">
        <f>'Cost Calculation'!O94-'Capex &amp; Depreciation'!O233</f>
        <v>30.81813898034336</v>
      </c>
      <c r="P82" s="159">
        <f>'Cost Calculation'!P94-'Capex &amp; Depreciation'!P233</f>
        <v>32.991965157430215</v>
      </c>
      <c r="Q82" s="159">
        <f>'Cost Calculation'!Q94-'Capex &amp; Depreciation'!Q233</f>
        <v>35.307672111664424</v>
      </c>
      <c r="R82" s="159">
        <f>'Cost Calculation'!R94-'Capex &amp; Depreciation'!R233</f>
        <v>37.774207714001157</v>
      </c>
      <c r="S82" s="159">
        <f>'Cost Calculation'!S94-'Capex &amp; Depreciation'!S233</f>
        <v>40.401074718454119</v>
      </c>
      <c r="T82" s="159">
        <f>'Cost Calculation'!T94-'Capex &amp; Depreciation'!T233</f>
        <v>43.198364872109067</v>
      </c>
    </row>
    <row r="83" spans="2:20" x14ac:dyDescent="0.25">
      <c r="B83" s="23" t="s">
        <v>3223</v>
      </c>
      <c r="C83" s="28" t="s">
        <v>493</v>
      </c>
      <c r="H83" s="159">
        <f>0</f>
        <v>0</v>
      </c>
      <c r="I83" s="159">
        <f>0</f>
        <v>0</v>
      </c>
      <c r="J83" s="159">
        <f>0</f>
        <v>0</v>
      </c>
      <c r="K83" s="159">
        <f>0</f>
        <v>0</v>
      </c>
      <c r="L83" s="159">
        <f>0</f>
        <v>0</v>
      </c>
      <c r="M83" s="159">
        <f>0</f>
        <v>0</v>
      </c>
      <c r="N83" s="159">
        <f>0</f>
        <v>0</v>
      </c>
      <c r="O83" s="159">
        <f>0</f>
        <v>0</v>
      </c>
      <c r="P83" s="159">
        <f>0</f>
        <v>0</v>
      </c>
      <c r="Q83" s="159">
        <f>0</f>
        <v>0</v>
      </c>
      <c r="R83" s="159">
        <f>0</f>
        <v>0</v>
      </c>
      <c r="S83" s="159">
        <f>0</f>
        <v>0</v>
      </c>
      <c r="T83" s="159">
        <f>0</f>
        <v>0</v>
      </c>
    </row>
    <row r="84" spans="2:20" x14ac:dyDescent="0.25">
      <c r="B84" s="23" t="s">
        <v>3224</v>
      </c>
      <c r="C84" s="28" t="s">
        <v>493</v>
      </c>
      <c r="H84" s="159">
        <f>Inputs!H522*MAX(0,H82-H83)</f>
        <v>1.300558809114559</v>
      </c>
      <c r="I84" s="159">
        <f>Inputs!I522*MAX(0,I82-I83)</f>
        <v>1.3556635947810625</v>
      </c>
      <c r="J84" s="159">
        <f>Inputs!J522*MAX(0,J82-J83)</f>
        <v>4.4322182292391679</v>
      </c>
      <c r="K84" s="159">
        <f>Inputs!K522*MAX(0,K82-K83)</f>
        <v>5.1436784469415473</v>
      </c>
      <c r="L84" s="159">
        <f>Inputs!L522*MAX(0,L82-L83)</f>
        <v>5.5145480528963189</v>
      </c>
      <c r="M84" s="159">
        <f>Inputs!M522*MAX(0,M82-M83)</f>
        <v>5.9098425945486905</v>
      </c>
      <c r="N84" s="159">
        <f>Inputs!N522*MAX(0,N82-N83)</f>
        <v>6.331109058871526</v>
      </c>
      <c r="O84" s="159">
        <f>Inputs!O522*MAX(0,O82-O83)</f>
        <v>6.779990575675539</v>
      </c>
      <c r="P84" s="159">
        <f>Inputs!P522*MAX(0,P82-P83)</f>
        <v>7.2582323346346476</v>
      </c>
      <c r="Q84" s="159">
        <f>Inputs!Q522*MAX(0,Q82-Q83)</f>
        <v>7.7676878645661729</v>
      </c>
      <c r="R84" s="159">
        <f>Inputs!R522*MAX(0,R82-R83)</f>
        <v>8.3103256970802555</v>
      </c>
      <c r="S84" s="159">
        <f>Inputs!S522*MAX(0,S82-S83)</f>
        <v>8.8882364380599057</v>
      </c>
      <c r="T84" s="159">
        <f>Inputs!T522*MAX(0,T82-T83)</f>
        <v>9.5036402718639952</v>
      </c>
    </row>
    <row r="85" spans="2:20" x14ac:dyDescent="0.25">
      <c r="B85" s="23" t="s">
        <v>3225</v>
      </c>
      <c r="C85" s="28" t="s">
        <v>493</v>
      </c>
      <c r="H85" s="159">
        <f t="shared" ref="H85:T85" si="10">H82-H83-H84</f>
        <v>4.6110721414061642</v>
      </c>
      <c r="I85" s="159">
        <f t="shared" si="10"/>
        <v>4.8064436542237665</v>
      </c>
      <c r="J85" s="159">
        <f t="shared" si="10"/>
        <v>15.714228267302502</v>
      </c>
      <c r="K85" s="159">
        <f t="shared" si="10"/>
        <v>18.236678130065485</v>
      </c>
      <c r="L85" s="159">
        <f t="shared" si="10"/>
        <v>19.551579460268766</v>
      </c>
      <c r="M85" s="159">
        <f t="shared" si="10"/>
        <v>20.953078289763539</v>
      </c>
      <c r="N85" s="159">
        <f t="shared" si="10"/>
        <v>22.4466593905445</v>
      </c>
      <c r="O85" s="159">
        <f t="shared" si="10"/>
        <v>24.038148404667822</v>
      </c>
      <c r="P85" s="159">
        <f t="shared" si="10"/>
        <v>25.733732822795567</v>
      </c>
      <c r="Q85" s="159">
        <f t="shared" si="10"/>
        <v>27.53998424709825</v>
      </c>
      <c r="R85" s="159">
        <f t="shared" si="10"/>
        <v>29.463882016920902</v>
      </c>
      <c r="S85" s="159">
        <f t="shared" si="10"/>
        <v>31.512838280394213</v>
      </c>
      <c r="T85" s="159">
        <f t="shared" si="10"/>
        <v>33.694724600245074</v>
      </c>
    </row>
    <row r="86" spans="2:20" x14ac:dyDescent="0.25">
      <c r="B86" s="23" t="s">
        <v>3226</v>
      </c>
      <c r="C86" s="28" t="s">
        <v>493</v>
      </c>
      <c r="H86" s="159">
        <f>-Inputs!H522*MAX(0,H82)</f>
        <v>-1.300558809114559</v>
      </c>
      <c r="I86" s="159">
        <f>-Inputs!I522*MAX(0,I82)</f>
        <v>-1.3556635947810625</v>
      </c>
      <c r="J86" s="159">
        <f>-Inputs!J522*MAX(0,J82)</f>
        <v>-4.4322182292391679</v>
      </c>
      <c r="K86" s="159">
        <f>-Inputs!K522*MAX(0,K82)</f>
        <v>-5.1436784469415473</v>
      </c>
      <c r="L86" s="159">
        <f>-Inputs!L522*MAX(0,L82)</f>
        <v>-5.5145480528963189</v>
      </c>
      <c r="M86" s="159">
        <f>-Inputs!M522*MAX(0,M82)</f>
        <v>-5.9098425945486905</v>
      </c>
      <c r="N86" s="159">
        <f>-Inputs!N522*MAX(0,N82)</f>
        <v>-6.331109058871526</v>
      </c>
      <c r="O86" s="159">
        <f>-Inputs!O522*MAX(0,O82)</f>
        <v>-6.779990575675539</v>
      </c>
      <c r="P86" s="159">
        <f>-Inputs!P522*MAX(0,P82)</f>
        <v>-7.2582323346346476</v>
      </c>
      <c r="Q86" s="159">
        <f>-Inputs!Q522*MAX(0,Q82)</f>
        <v>-7.7676878645661729</v>
      </c>
      <c r="R86" s="159">
        <f>-Inputs!R522*MAX(0,R82)</f>
        <v>-8.3103256970802555</v>
      </c>
      <c r="S86" s="159">
        <f>-Inputs!S522*MAX(0,S82)</f>
        <v>-8.8882364380599057</v>
      </c>
      <c r="T86" s="159">
        <f>-Inputs!T522*MAX(0,T82)</f>
        <v>-9.5036402718639952</v>
      </c>
    </row>
    <row r="87" spans="2:20" x14ac:dyDescent="0.25">
      <c r="B87" s="23" t="s">
        <v>3227</v>
      </c>
      <c r="C87" s="28" t="s">
        <v>493</v>
      </c>
      <c r="H87" s="159">
        <f>-'Capex &amp; Depreciation'!H260</f>
        <v>0</v>
      </c>
      <c r="I87" s="159">
        <f>-'Capex &amp; Depreciation'!I260</f>
        <v>0</v>
      </c>
      <c r="J87" s="159">
        <f>-'Capex &amp; Depreciation'!J260</f>
        <v>0</v>
      </c>
      <c r="K87" s="159">
        <f>-'Capex &amp; Depreciation'!K260</f>
        <v>0</v>
      </c>
      <c r="L87" s="159">
        <f>-'Capex &amp; Depreciation'!L260</f>
        <v>0</v>
      </c>
      <c r="M87" s="159">
        <f>-'Capex &amp; Depreciation'!M260</f>
        <v>0</v>
      </c>
      <c r="N87" s="159">
        <f>-'Capex &amp; Depreciation'!N260</f>
        <v>0</v>
      </c>
      <c r="O87" s="159">
        <f>-'Capex &amp; Depreciation'!O260</f>
        <v>0</v>
      </c>
      <c r="P87" s="159">
        <f>-'Capex &amp; Depreciation'!P260</f>
        <v>0</v>
      </c>
      <c r="Q87" s="159">
        <f>-'Capex &amp; Depreciation'!Q260</f>
        <v>0</v>
      </c>
      <c r="R87" s="159">
        <f>-'Capex &amp; Depreciation'!R260</f>
        <v>0</v>
      </c>
      <c r="S87" s="159">
        <f>-'Capex &amp; Depreciation'!S260</f>
        <v>0</v>
      </c>
      <c r="T87" s="159">
        <f>-'Capex &amp; Depreciation'!T260</f>
        <v>0</v>
      </c>
    </row>
    <row r="88" spans="2:20" x14ac:dyDescent="0.25">
      <c r="B88" s="23" t="s">
        <v>3228</v>
      </c>
      <c r="C88" s="28" t="s">
        <v>493</v>
      </c>
      <c r="H88" s="159">
        <f>-('Working Capital'!H23-'Working Capital'!G23)</f>
        <v>-2.0769761407634366</v>
      </c>
      <c r="I88" s="159">
        <f>-('Working Capital'!I23-'Working Capital'!H23)</f>
        <v>-6.0871613352100784E-2</v>
      </c>
      <c r="J88" s="159">
        <f>-('Working Capital'!J23-'Working Capital'!I23)</f>
        <v>-1.4371797141087157</v>
      </c>
      <c r="K88" s="159">
        <f>-('Working Capital'!K23-'Working Capital'!J23)</f>
        <v>-0.10140984872735137</v>
      </c>
      <c r="L88" s="159">
        <f>-('Working Capital'!L23-'Working Capital'!K23)</f>
        <v>-0.2258195829284606</v>
      </c>
      <c r="M88" s="159">
        <f>-('Working Capital'!M23-'Working Capital'!L23)</f>
        <v>-0.26204341954332122</v>
      </c>
      <c r="N88" s="159">
        <f>-('Working Capital'!N23-'Working Capital'!M23)</f>
        <v>-0.26711287194401034</v>
      </c>
      <c r="O88" s="159">
        <f>-('Working Capital'!O23-'Working Capital'!N23)</f>
        <v>-0.28384887768273703</v>
      </c>
      <c r="P88" s="159">
        <f>-('Working Capital'!P23-'Working Capital'!O23)</f>
        <v>-0.28791292810202673</v>
      </c>
      <c r="Q88" s="159">
        <f>-('Working Capital'!Q23-'Working Capital'!P23)</f>
        <v>-0.33419794068688979</v>
      </c>
      <c r="R88" s="159">
        <f>-('Working Capital'!R23-'Working Capital'!Q23)</f>
        <v>-0.34052743677805175</v>
      </c>
      <c r="S88" s="159">
        <f>-('Working Capital'!S23-'Working Capital'!R23)</f>
        <v>-0.36180235430506968</v>
      </c>
      <c r="T88" s="159">
        <f>-('Working Capital'!T23-'Working Capital'!S23)</f>
        <v>-0.3668391987598465</v>
      </c>
    </row>
    <row r="89" spans="2:20" ht="26.25" customHeight="1" x14ac:dyDescent="0.25">
      <c r="B89" s="133" t="s">
        <v>3229</v>
      </c>
      <c r="C89" s="28" t="s">
        <v>493</v>
      </c>
      <c r="H89" s="160">
        <f t="shared" ref="H89:T89" si="11">H81+H86+H87+H88</f>
        <v>7.7680702140727274</v>
      </c>
      <c r="I89" s="160">
        <f t="shared" si="11"/>
        <v>9.9795462543016651</v>
      </c>
      <c r="J89" s="160">
        <f t="shared" si="11"/>
        <v>16.894035659908788</v>
      </c>
      <c r="K89" s="160">
        <f t="shared" si="11"/>
        <v>18.135268281338135</v>
      </c>
      <c r="L89" s="160">
        <f t="shared" si="11"/>
        <v>19.325759877340303</v>
      </c>
      <c r="M89" s="160">
        <f t="shared" si="11"/>
        <v>20.691034870220218</v>
      </c>
      <c r="N89" s="160">
        <f t="shared" si="11"/>
        <v>22.179546518600489</v>
      </c>
      <c r="O89" s="160">
        <f t="shared" si="11"/>
        <v>23.754299526985086</v>
      </c>
      <c r="P89" s="160">
        <f t="shared" si="11"/>
        <v>25.445819894693539</v>
      </c>
      <c r="Q89" s="160">
        <f t="shared" si="11"/>
        <v>27.205786306411362</v>
      </c>
      <c r="R89" s="160">
        <f t="shared" si="11"/>
        <v>29.123354580142852</v>
      </c>
      <c r="S89" s="160">
        <f t="shared" si="11"/>
        <v>31.151035926089143</v>
      </c>
      <c r="T89" s="160">
        <f t="shared" si="11"/>
        <v>33.327885401485226</v>
      </c>
    </row>
    <row r="90" spans="2:20" x14ac:dyDescent="0.25">
      <c r="B90" s="23" t="s">
        <v>3230</v>
      </c>
      <c r="C90" s="28" t="s">
        <v>493</v>
      </c>
      <c r="E90" s="159">
        <f>'Cost Calculation'!T94-MAX(0,Inputs!$E$554*('Cost Calculation'!T94-Inputs!$E$550*'Revenue Calculation'!T53))-Inputs!$E$550*'Revenue Calculation'!T53</f>
        <v>31.781650681094323</v>
      </c>
      <c r="F90" s="29">
        <f>'Working Capital'!T23</f>
        <v>6.4065419276820181</v>
      </c>
      <c r="H90" s="159">
        <f>IF('Revenue Calculation'!H7=2036,IF(Inputs!$E$558&gt;Inputs!$E$559,((1+Inputs!$E$559)*$E$90-Inputs!$E$559*$F$90)/(Inputs!$E$558-Inputs!$E$559),0),0)</f>
        <v>0</v>
      </c>
      <c r="I90" s="159">
        <f>IF('Revenue Calculation'!I7=2036,IF(Inputs!$E$558&gt;Inputs!$E$559,((1+Inputs!$E$559)*$E$90-Inputs!$E$559*$F$90)/(Inputs!$E$558-Inputs!$E$559),0),0)</f>
        <v>0</v>
      </c>
      <c r="J90" s="159">
        <f>IF('Revenue Calculation'!J7=2036,IF(Inputs!$E$558&gt;Inputs!$E$559,((1+Inputs!$E$559)*$E$90-Inputs!$E$559*$F$90)/(Inputs!$E$558-Inputs!$E$559),0),0)</f>
        <v>0</v>
      </c>
      <c r="K90" s="159">
        <f>IF('Revenue Calculation'!K7=2036,IF(Inputs!$E$558&gt;Inputs!$E$559,((1+Inputs!$E$559)*$E$90-Inputs!$E$559*$F$90)/(Inputs!$E$558-Inputs!$E$559),0),0)</f>
        <v>0</v>
      </c>
      <c r="L90" s="159">
        <f>IF('Revenue Calculation'!L7=2036,IF(Inputs!$E$558&gt;Inputs!$E$559,((1+Inputs!$E$559)*$E$90-Inputs!$E$559*$F$90)/(Inputs!$E$558-Inputs!$E$559),0),0)</f>
        <v>0</v>
      </c>
      <c r="M90" s="159">
        <f>IF('Revenue Calculation'!M7=2036,IF(Inputs!$E$558&gt;Inputs!$E$559,((1+Inputs!$E$559)*$E$90-Inputs!$E$559*$F$90)/(Inputs!$E$558-Inputs!$E$559),0),0)</f>
        <v>0</v>
      </c>
      <c r="N90" s="159">
        <f>IF('Revenue Calculation'!N7=2036,IF(Inputs!$E$558&gt;Inputs!$E$559,((1+Inputs!$E$559)*$E$90-Inputs!$E$559*$F$90)/(Inputs!$E$558-Inputs!$E$559),0),0)</f>
        <v>0</v>
      </c>
      <c r="O90" s="159">
        <f>IF('Revenue Calculation'!O7=2036,IF(Inputs!$E$558&gt;Inputs!$E$559,((1+Inputs!$E$559)*$E$90-Inputs!$E$559*$F$90)/(Inputs!$E$558-Inputs!$E$559),0),0)</f>
        <v>0</v>
      </c>
      <c r="P90" s="159">
        <f>IF('Revenue Calculation'!P7=2036,IF(Inputs!$E$558&gt;Inputs!$E$559,((1+Inputs!$E$559)*$E$90-Inputs!$E$559*$F$90)/(Inputs!$E$558-Inputs!$E$559),0),0)</f>
        <v>0</v>
      </c>
      <c r="Q90" s="159">
        <f>IF('Revenue Calculation'!Q7=2036,IF(Inputs!$E$558&gt;Inputs!$E$559,((1+Inputs!$E$559)*$E$90-Inputs!$E$559*$F$90)/(Inputs!$E$558-Inputs!$E$559),0),0)</f>
        <v>0</v>
      </c>
      <c r="R90" s="159">
        <f>IF('Revenue Calculation'!R7=2036,IF(Inputs!$E$558&gt;Inputs!$E$559,((1+Inputs!$E$559)*$E$90-Inputs!$E$559*$F$90)/(Inputs!$E$558-Inputs!$E$559),0),0)</f>
        <v>0</v>
      </c>
      <c r="S90" s="159">
        <f>IF('Revenue Calculation'!S7=2036,IF(Inputs!$E$558&gt;Inputs!$E$559,((1+Inputs!$E$559)*$E$90-Inputs!$E$559*$F$90)/(Inputs!$E$558-Inputs!$E$559),0),0)</f>
        <v>0</v>
      </c>
      <c r="T90" s="159">
        <f>IF('Revenue Calculation'!T7=2036,IF(Inputs!$E$558&gt;Inputs!$E$559,((1+Inputs!$E$559)*$E$90-Inputs!$E$559*$F$90)/(Inputs!$E$558-Inputs!$E$559),0),0)</f>
        <v>367.03163480404345</v>
      </c>
    </row>
    <row r="91" spans="2:20" x14ac:dyDescent="0.25">
      <c r="B91" s="23" t="s">
        <v>3231</v>
      </c>
      <c r="C91" s="28" t="s">
        <v>493</v>
      </c>
      <c r="G91" s="159">
        <v>0</v>
      </c>
      <c r="H91" s="159">
        <f t="shared" ref="H91:T91" si="12">H89+H90</f>
        <v>7.7680702140727274</v>
      </c>
      <c r="I91" s="159">
        <f t="shared" si="12"/>
        <v>9.9795462543016651</v>
      </c>
      <c r="J91" s="159">
        <f t="shared" si="12"/>
        <v>16.894035659908788</v>
      </c>
      <c r="K91" s="159">
        <f t="shared" si="12"/>
        <v>18.135268281338135</v>
      </c>
      <c r="L91" s="159">
        <f t="shared" si="12"/>
        <v>19.325759877340303</v>
      </c>
      <c r="M91" s="159">
        <f t="shared" si="12"/>
        <v>20.691034870220218</v>
      </c>
      <c r="N91" s="159">
        <f t="shared" si="12"/>
        <v>22.179546518600489</v>
      </c>
      <c r="O91" s="159">
        <f t="shared" si="12"/>
        <v>23.754299526985086</v>
      </c>
      <c r="P91" s="159">
        <f t="shared" si="12"/>
        <v>25.445819894693539</v>
      </c>
      <c r="Q91" s="159">
        <f t="shared" si="12"/>
        <v>27.205786306411362</v>
      </c>
      <c r="R91" s="159">
        <f t="shared" si="12"/>
        <v>29.123354580142852</v>
      </c>
      <c r="S91" s="159">
        <f t="shared" si="12"/>
        <v>31.151035926089143</v>
      </c>
      <c r="T91" s="159">
        <f t="shared" si="12"/>
        <v>400.35952020552867</v>
      </c>
    </row>
    <row r="92" spans="2:20" x14ac:dyDescent="0.25">
      <c r="B92" s="23" t="s">
        <v>3232</v>
      </c>
      <c r="C92" s="28" t="s">
        <v>493</v>
      </c>
      <c r="G92" s="159">
        <f>G91</f>
        <v>0</v>
      </c>
      <c r="H92" s="159">
        <f t="shared" ref="H92:T92" si="13">G92+H89</f>
        <v>7.7680702140727274</v>
      </c>
      <c r="I92" s="159">
        <f t="shared" si="13"/>
        <v>17.747616468374392</v>
      </c>
      <c r="J92" s="159">
        <f t="shared" si="13"/>
        <v>34.641652128283184</v>
      </c>
      <c r="K92" s="159">
        <f t="shared" si="13"/>
        <v>52.776920409621319</v>
      </c>
      <c r="L92" s="159">
        <f t="shared" si="13"/>
        <v>72.102680286961629</v>
      </c>
      <c r="M92" s="159">
        <f t="shared" si="13"/>
        <v>92.79371515718185</v>
      </c>
      <c r="N92" s="159">
        <f t="shared" si="13"/>
        <v>114.97326167578234</v>
      </c>
      <c r="O92" s="159">
        <f t="shared" si="13"/>
        <v>138.72756120276742</v>
      </c>
      <c r="P92" s="159">
        <f t="shared" si="13"/>
        <v>164.17338109746095</v>
      </c>
      <c r="Q92" s="159">
        <f t="shared" si="13"/>
        <v>191.37916740387232</v>
      </c>
      <c r="R92" s="159">
        <f t="shared" si="13"/>
        <v>220.50252198401517</v>
      </c>
      <c r="S92" s="159">
        <f t="shared" si="13"/>
        <v>251.65355791010433</v>
      </c>
      <c r="T92" s="159">
        <f t="shared" si="13"/>
        <v>284.98144331158954</v>
      </c>
    </row>
    <row r="93" spans="2:20" x14ac:dyDescent="0.25">
      <c r="B93" s="154" t="s">
        <v>3236</v>
      </c>
    </row>
    <row r="94" spans="2:20" x14ac:dyDescent="0.25">
      <c r="B94" s="23" t="s">
        <v>3221</v>
      </c>
      <c r="C94" s="28" t="s">
        <v>493</v>
      </c>
      <c r="H94" s="29">
        <f>'Cost Calculation'!H131</f>
        <v>14.495481521403958</v>
      </c>
      <c r="I94" s="29">
        <f>'Cost Calculation'!I131</f>
        <v>13.9457566433103</v>
      </c>
      <c r="J94" s="29">
        <f>'Cost Calculation'!J131</f>
        <v>16.725265380831338</v>
      </c>
      <c r="K94" s="29">
        <f>'Cost Calculation'!K131</f>
        <v>18.431080713474763</v>
      </c>
      <c r="L94" s="29">
        <f>'Cost Calculation'!L131</f>
        <v>20.282633943941626</v>
      </c>
      <c r="M94" s="29">
        <f>'Cost Calculation'!M131</f>
        <v>22.29191986426342</v>
      </c>
      <c r="N94" s="29">
        <f>'Cost Calculation'!N131</f>
        <v>24.471909119642945</v>
      </c>
      <c r="O94" s="29">
        <f>'Cost Calculation'!O131</f>
        <v>26.836627291295855</v>
      </c>
      <c r="P94" s="29">
        <f>'Cost Calculation'!P131</f>
        <v>29.401240381388735</v>
      </c>
      <c r="Q94" s="29">
        <f>'Cost Calculation'!Q131</f>
        <v>32.182147218382731</v>
      </c>
      <c r="R94" s="29">
        <f>'Cost Calculation'!R131</f>
        <v>31.202778490080913</v>
      </c>
      <c r="S94" s="29">
        <f>'Cost Calculation'!S131</f>
        <v>32.930632855251332</v>
      </c>
      <c r="T94" s="29">
        <f>'Cost Calculation'!T131</f>
        <v>34.748092220611589</v>
      </c>
    </row>
    <row r="95" spans="2:20" x14ac:dyDescent="0.25">
      <c r="B95" s="23" t="s">
        <v>3222</v>
      </c>
      <c r="C95" s="28" t="s">
        <v>493</v>
      </c>
      <c r="H95" s="159">
        <f>'Cost Calculation'!H131-'Capex &amp; Depreciation'!H234</f>
        <v>14.056001106053959</v>
      </c>
      <c r="I95" s="159">
        <f>'Cost Calculation'!I131-'Capex &amp; Depreciation'!I234</f>
        <v>13.506276227960301</v>
      </c>
      <c r="J95" s="159">
        <f>'Cost Calculation'!J131-'Capex &amp; Depreciation'!J234</f>
        <v>16.285784965481337</v>
      </c>
      <c r="K95" s="159">
        <f>'Cost Calculation'!K131-'Capex &amp; Depreciation'!K234</f>
        <v>17.991600298124762</v>
      </c>
      <c r="L95" s="159">
        <f>'Cost Calculation'!L131-'Capex &amp; Depreciation'!L234</f>
        <v>19.843153528591625</v>
      </c>
      <c r="M95" s="159">
        <f>'Cost Calculation'!M131-'Capex &amp; Depreciation'!M234</f>
        <v>21.852439448913419</v>
      </c>
      <c r="N95" s="159">
        <f>'Cost Calculation'!N131-'Capex &amp; Depreciation'!N234</f>
        <v>24.032428704292943</v>
      </c>
      <c r="O95" s="159">
        <f>'Cost Calculation'!O131-'Capex &amp; Depreciation'!O234</f>
        <v>26.397146875945854</v>
      </c>
      <c r="P95" s="159">
        <f>'Cost Calculation'!P131-'Capex &amp; Depreciation'!P234</f>
        <v>28.961759966038734</v>
      </c>
      <c r="Q95" s="159">
        <f>'Cost Calculation'!Q131-'Capex &amp; Depreciation'!Q234</f>
        <v>31.74266680303273</v>
      </c>
      <c r="R95" s="159">
        <f>'Cost Calculation'!R131-'Capex &amp; Depreciation'!R234</f>
        <v>30.763298074730912</v>
      </c>
      <c r="S95" s="159">
        <f>'Cost Calculation'!S131-'Capex &amp; Depreciation'!S234</f>
        <v>32.491152439901335</v>
      </c>
      <c r="T95" s="159">
        <f>'Cost Calculation'!T131-'Capex &amp; Depreciation'!T234</f>
        <v>34.308611805261592</v>
      </c>
    </row>
    <row r="96" spans="2:20" x14ac:dyDescent="0.25">
      <c r="B96" s="23" t="s">
        <v>3223</v>
      </c>
      <c r="C96" s="28" t="s">
        <v>493</v>
      </c>
      <c r="H96" s="159">
        <f>0</f>
        <v>0</v>
      </c>
      <c r="I96" s="159">
        <f>0</f>
        <v>0</v>
      </c>
      <c r="J96" s="159">
        <f>0</f>
        <v>0</v>
      </c>
      <c r="K96" s="159">
        <f>0</f>
        <v>0</v>
      </c>
      <c r="L96" s="159">
        <f>0</f>
        <v>0</v>
      </c>
      <c r="M96" s="159">
        <f>0</f>
        <v>0</v>
      </c>
      <c r="N96" s="159">
        <f>0</f>
        <v>0</v>
      </c>
      <c r="O96" s="159">
        <f>0</f>
        <v>0</v>
      </c>
      <c r="P96" s="159">
        <f>0</f>
        <v>0</v>
      </c>
      <c r="Q96" s="159">
        <f>0</f>
        <v>0</v>
      </c>
      <c r="R96" s="159">
        <f>0</f>
        <v>0</v>
      </c>
      <c r="S96" s="159">
        <f>0</f>
        <v>0</v>
      </c>
      <c r="T96" s="159">
        <f>0</f>
        <v>0</v>
      </c>
    </row>
    <row r="97" spans="2:20" x14ac:dyDescent="0.25">
      <c r="B97" s="23" t="s">
        <v>3224</v>
      </c>
      <c r="C97" s="28" t="s">
        <v>493</v>
      </c>
      <c r="H97" s="159">
        <f>Inputs!H522*MAX(0,H95-H96)</f>
        <v>3.0923202433318711</v>
      </c>
      <c r="I97" s="159">
        <f>Inputs!I522*MAX(0,I95-I96)</f>
        <v>2.9713807701512662</v>
      </c>
      <c r="J97" s="159">
        <f>Inputs!J522*MAX(0,J95-J96)</f>
        <v>3.582872692405894</v>
      </c>
      <c r="K97" s="159">
        <f>Inputs!K522*MAX(0,K95-K96)</f>
        <v>3.9581520655874476</v>
      </c>
      <c r="L97" s="159">
        <f>Inputs!L522*MAX(0,L95-L96)</f>
        <v>4.3654937762901573</v>
      </c>
      <c r="M97" s="159">
        <f>Inputs!M522*MAX(0,M95-M96)</f>
        <v>4.8075366787609521</v>
      </c>
      <c r="N97" s="159">
        <f>Inputs!N522*MAX(0,N95-N96)</f>
        <v>5.2871343149444474</v>
      </c>
      <c r="O97" s="159">
        <f>Inputs!O522*MAX(0,O95-O96)</f>
        <v>5.8073723127080878</v>
      </c>
      <c r="P97" s="159">
        <f>Inputs!P522*MAX(0,P95-P96)</f>
        <v>6.3715871925285219</v>
      </c>
      <c r="Q97" s="159">
        <f>Inputs!Q522*MAX(0,Q95-Q96)</f>
        <v>6.9833866966672007</v>
      </c>
      <c r="R97" s="159">
        <f>Inputs!R522*MAX(0,R95-R96)</f>
        <v>6.7679255764408008</v>
      </c>
      <c r="S97" s="159">
        <f>Inputs!S522*MAX(0,S95-S96)</f>
        <v>7.1480535367782938</v>
      </c>
      <c r="T97" s="159">
        <f>Inputs!T522*MAX(0,T95-T96)</f>
        <v>7.5478945971575504</v>
      </c>
    </row>
    <row r="98" spans="2:20" x14ac:dyDescent="0.25">
      <c r="B98" s="23" t="s">
        <v>3225</v>
      </c>
      <c r="C98" s="28" t="s">
        <v>493</v>
      </c>
      <c r="H98" s="159">
        <f t="shared" ref="H98:T98" si="14">H95-H96-H97</f>
        <v>10.963680862722088</v>
      </c>
      <c r="I98" s="159">
        <f t="shared" si="14"/>
        <v>10.534895457809036</v>
      </c>
      <c r="J98" s="159">
        <f t="shared" si="14"/>
        <v>12.702912273075443</v>
      </c>
      <c r="K98" s="159">
        <f t="shared" si="14"/>
        <v>14.033448232537314</v>
      </c>
      <c r="L98" s="159">
        <f t="shared" si="14"/>
        <v>15.477659752301467</v>
      </c>
      <c r="M98" s="159">
        <f t="shared" si="14"/>
        <v>17.044902770152468</v>
      </c>
      <c r="N98" s="159">
        <f t="shared" si="14"/>
        <v>18.745294389348494</v>
      </c>
      <c r="O98" s="159">
        <f t="shared" si="14"/>
        <v>20.589774563237768</v>
      </c>
      <c r="P98" s="159">
        <f t="shared" si="14"/>
        <v>22.590172773510211</v>
      </c>
      <c r="Q98" s="159">
        <f t="shared" si="14"/>
        <v>24.75928010636553</v>
      </c>
      <c r="R98" s="159">
        <f t="shared" si="14"/>
        <v>23.995372498290109</v>
      </c>
      <c r="S98" s="159">
        <f t="shared" si="14"/>
        <v>25.343098903123042</v>
      </c>
      <c r="T98" s="159">
        <f t="shared" si="14"/>
        <v>26.76071720810404</v>
      </c>
    </row>
    <row r="99" spans="2:20" x14ac:dyDescent="0.25">
      <c r="B99" s="23" t="s">
        <v>3226</v>
      </c>
      <c r="C99" s="28" t="s">
        <v>493</v>
      </c>
      <c r="H99" s="159">
        <f>-Inputs!H522*MAX(0,H95)</f>
        <v>-3.0923202433318711</v>
      </c>
      <c r="I99" s="159">
        <f>-Inputs!I522*MAX(0,I95)</f>
        <v>-2.9713807701512662</v>
      </c>
      <c r="J99" s="159">
        <f>-Inputs!J522*MAX(0,J95)</f>
        <v>-3.582872692405894</v>
      </c>
      <c r="K99" s="159">
        <f>-Inputs!K522*MAX(0,K95)</f>
        <v>-3.9581520655874476</v>
      </c>
      <c r="L99" s="159">
        <f>-Inputs!L522*MAX(0,L95)</f>
        <v>-4.3654937762901573</v>
      </c>
      <c r="M99" s="159">
        <f>-Inputs!M522*MAX(0,M95)</f>
        <v>-4.8075366787609521</v>
      </c>
      <c r="N99" s="159">
        <f>-Inputs!N522*MAX(0,N95)</f>
        <v>-5.2871343149444474</v>
      </c>
      <c r="O99" s="159">
        <f>-Inputs!O522*MAX(0,O95)</f>
        <v>-5.8073723127080878</v>
      </c>
      <c r="P99" s="159">
        <f>-Inputs!P522*MAX(0,P95)</f>
        <v>-6.3715871925285219</v>
      </c>
      <c r="Q99" s="159">
        <f>-Inputs!Q522*MAX(0,Q95)</f>
        <v>-6.9833866966672007</v>
      </c>
      <c r="R99" s="159">
        <f>-Inputs!R522*MAX(0,R95)</f>
        <v>-6.7679255764408008</v>
      </c>
      <c r="S99" s="159">
        <f>-Inputs!S522*MAX(0,S95)</f>
        <v>-7.1480535367782938</v>
      </c>
      <c r="T99" s="159">
        <f>-Inputs!T522*MAX(0,T95)</f>
        <v>-7.5478945971575504</v>
      </c>
    </row>
    <row r="100" spans="2:20" x14ac:dyDescent="0.25">
      <c r="B100" s="23" t="s">
        <v>3227</v>
      </c>
      <c r="C100" s="28" t="s">
        <v>493</v>
      </c>
      <c r="H100" s="159">
        <f>-'Capex &amp; Depreciation'!H261</f>
        <v>0</v>
      </c>
      <c r="I100" s="159">
        <f>-'Capex &amp; Depreciation'!I261</f>
        <v>0</v>
      </c>
      <c r="J100" s="159">
        <f>-'Capex &amp; Depreciation'!J261</f>
        <v>0</v>
      </c>
      <c r="K100" s="159">
        <f>-'Capex &amp; Depreciation'!K261</f>
        <v>0</v>
      </c>
      <c r="L100" s="159">
        <f>-'Capex &amp; Depreciation'!L261</f>
        <v>0</v>
      </c>
      <c r="M100" s="159">
        <f>-'Capex &amp; Depreciation'!M261</f>
        <v>0</v>
      </c>
      <c r="N100" s="159">
        <f>-'Capex &amp; Depreciation'!N261</f>
        <v>0</v>
      </c>
      <c r="O100" s="159">
        <f>-'Capex &amp; Depreciation'!O261</f>
        <v>0</v>
      </c>
      <c r="P100" s="159">
        <f>-'Capex &amp; Depreciation'!P261</f>
        <v>0</v>
      </c>
      <c r="Q100" s="159">
        <f>-'Capex &amp; Depreciation'!Q261</f>
        <v>0</v>
      </c>
      <c r="R100" s="159">
        <f>-'Capex &amp; Depreciation'!R261</f>
        <v>0</v>
      </c>
      <c r="S100" s="159">
        <f>-'Capex &amp; Depreciation'!S261</f>
        <v>0</v>
      </c>
      <c r="T100" s="159">
        <f>-'Capex &amp; Depreciation'!T261</f>
        <v>0</v>
      </c>
    </row>
    <row r="101" spans="2:20" x14ac:dyDescent="0.25">
      <c r="B101" s="23" t="s">
        <v>3228</v>
      </c>
      <c r="C101" s="28" t="s">
        <v>493</v>
      </c>
      <c r="H101" s="159">
        <f>-('Working Capital'!H27-'Working Capital'!G27)</f>
        <v>-4.9804591823715993</v>
      </c>
      <c r="I101" s="159">
        <f>-('Working Capital'!I27-'Working Capital'!H27)</f>
        <v>0.95801156651475772</v>
      </c>
      <c r="J101" s="159">
        <f>-('Working Capital'!J27-'Working Capital'!I27)</f>
        <v>-9.1906820990845794E-2</v>
      </c>
      <c r="K101" s="159">
        <f>-('Working Capital'!K27-'Working Capital'!J27)</f>
        <v>-0.34217935321945703</v>
      </c>
      <c r="L101" s="159">
        <f>-('Working Capital'!L27-'Working Capital'!K27)</f>
        <v>-0.35675538544286223</v>
      </c>
      <c r="M101" s="159">
        <f>-('Working Capital'!M27-'Working Capital'!L27)</f>
        <v>-0.41312527636512275</v>
      </c>
      <c r="N101" s="159">
        <f>-('Working Capital'!N27-'Working Capital'!M27)</f>
        <v>-0.43234553188959701</v>
      </c>
      <c r="O101" s="159">
        <f>-('Working Capital'!O27-'Working Capital'!N27)</f>
        <v>-0.46735795666955582</v>
      </c>
      <c r="P101" s="159">
        <f>-('Working Capital'!P27-'Working Capital'!O27)</f>
        <v>-0.48706609036189885</v>
      </c>
      <c r="Q101" s="159">
        <f>-('Working Capital'!Q27-'Working Capital'!P27)</f>
        <v>-0.56416888974526103</v>
      </c>
      <c r="R101" s="159">
        <f>-('Working Capital'!R27-'Working Capital'!Q27)</f>
        <v>0.57503058048016076</v>
      </c>
      <c r="S101" s="159">
        <f>-('Working Capital'!S27-'Working Capital'!R27)</f>
        <v>-0.33021883389200202</v>
      </c>
      <c r="T101" s="159">
        <f>-('Working Capital'!T27-'Working Capital'!S27)</f>
        <v>-0.32680757517758607</v>
      </c>
    </row>
    <row r="102" spans="2:20" ht="26.25" customHeight="1" x14ac:dyDescent="0.25">
      <c r="B102" s="133" t="s">
        <v>3229</v>
      </c>
      <c r="C102" s="28" t="s">
        <v>493</v>
      </c>
      <c r="H102" s="160">
        <f t="shared" ref="H102:T102" si="15">H94+H99+H100+H101</f>
        <v>6.4227020957004877</v>
      </c>
      <c r="I102" s="160">
        <f t="shared" si="15"/>
        <v>11.932387439673791</v>
      </c>
      <c r="J102" s="160">
        <f t="shared" si="15"/>
        <v>13.050485867434599</v>
      </c>
      <c r="K102" s="160">
        <f t="shared" si="15"/>
        <v>14.130749294667858</v>
      </c>
      <c r="L102" s="160">
        <f t="shared" si="15"/>
        <v>15.560384782208605</v>
      </c>
      <c r="M102" s="160">
        <f t="shared" si="15"/>
        <v>17.071257909137344</v>
      </c>
      <c r="N102" s="160">
        <f t="shared" si="15"/>
        <v>18.752429272808904</v>
      </c>
      <c r="O102" s="160">
        <f t="shared" si="15"/>
        <v>20.56189702191821</v>
      </c>
      <c r="P102" s="160">
        <f t="shared" si="15"/>
        <v>22.542587098498313</v>
      </c>
      <c r="Q102" s="160">
        <f t="shared" si="15"/>
        <v>24.63459163197027</v>
      </c>
      <c r="R102" s="160">
        <f t="shared" si="15"/>
        <v>25.009883494120274</v>
      </c>
      <c r="S102" s="160">
        <f t="shared" si="15"/>
        <v>25.452360484581039</v>
      </c>
      <c r="T102" s="160">
        <f t="shared" si="15"/>
        <v>26.873390048276452</v>
      </c>
    </row>
    <row r="103" spans="2:20" x14ac:dyDescent="0.25">
      <c r="B103" s="23" t="s">
        <v>3230</v>
      </c>
      <c r="C103" s="28" t="s">
        <v>493</v>
      </c>
      <c r="E103" s="159">
        <f>'Cost Calculation'!T131-MAX(0,Inputs!$E$554*('Cost Calculation'!T131-Inputs!$E$550*'Revenue Calculation'!T92))-Inputs!$E$550*'Revenue Calculation'!T92</f>
        <v>23.906540123097979</v>
      </c>
      <c r="F103" s="29">
        <f>'Working Capital'!T27</f>
        <v>7.2593487491308695</v>
      </c>
      <c r="H103" s="159">
        <f>IF('Revenue Calculation'!H7=2036,IF(Inputs!$E$558&gt;Inputs!$E$559,((1+Inputs!$E$559)*$E$103-Inputs!$E$559*$F$103)/(Inputs!$E$558-Inputs!$E$559),0),0)</f>
        <v>0</v>
      </c>
      <c r="I103" s="159">
        <f>IF('Revenue Calculation'!I7=2036,IF(Inputs!$E$558&gt;Inputs!$E$559,((1+Inputs!$E$559)*$E$103-Inputs!$E$559*$F$103)/(Inputs!$E$558-Inputs!$E$559),0),0)</f>
        <v>0</v>
      </c>
      <c r="J103" s="159">
        <f>IF('Revenue Calculation'!J7=2036,IF(Inputs!$E$558&gt;Inputs!$E$559,((1+Inputs!$E$559)*$E$103-Inputs!$E$559*$F$103)/(Inputs!$E$558-Inputs!$E$559),0),0)</f>
        <v>0</v>
      </c>
      <c r="K103" s="159">
        <f>IF('Revenue Calculation'!K7=2036,IF(Inputs!$E$558&gt;Inputs!$E$559,((1+Inputs!$E$559)*$E$103-Inputs!$E$559*$F$103)/(Inputs!$E$558-Inputs!$E$559),0),0)</f>
        <v>0</v>
      </c>
      <c r="L103" s="159">
        <f>IF('Revenue Calculation'!L7=2036,IF(Inputs!$E$558&gt;Inputs!$E$559,((1+Inputs!$E$559)*$E$103-Inputs!$E$559*$F$103)/(Inputs!$E$558-Inputs!$E$559),0),0)</f>
        <v>0</v>
      </c>
      <c r="M103" s="159">
        <f>IF('Revenue Calculation'!M7=2036,IF(Inputs!$E$558&gt;Inputs!$E$559,((1+Inputs!$E$559)*$E$103-Inputs!$E$559*$F$103)/(Inputs!$E$558-Inputs!$E$559),0),0)</f>
        <v>0</v>
      </c>
      <c r="N103" s="159">
        <f>IF('Revenue Calculation'!N7=2036,IF(Inputs!$E$558&gt;Inputs!$E$559,((1+Inputs!$E$559)*$E$103-Inputs!$E$559*$F$103)/(Inputs!$E$558-Inputs!$E$559),0),0)</f>
        <v>0</v>
      </c>
      <c r="O103" s="159">
        <f>IF('Revenue Calculation'!O7=2036,IF(Inputs!$E$558&gt;Inputs!$E$559,((1+Inputs!$E$559)*$E$103-Inputs!$E$559*$F$103)/(Inputs!$E$558-Inputs!$E$559),0),0)</f>
        <v>0</v>
      </c>
      <c r="P103" s="159">
        <f>IF('Revenue Calculation'!P7=2036,IF(Inputs!$E$558&gt;Inputs!$E$559,((1+Inputs!$E$559)*$E$103-Inputs!$E$559*$F$103)/(Inputs!$E$558-Inputs!$E$559),0),0)</f>
        <v>0</v>
      </c>
      <c r="Q103" s="159">
        <f>IF('Revenue Calculation'!Q7=2036,IF(Inputs!$E$558&gt;Inputs!$E$559,((1+Inputs!$E$559)*$E$103-Inputs!$E$559*$F$103)/(Inputs!$E$558-Inputs!$E$559),0),0)</f>
        <v>0</v>
      </c>
      <c r="R103" s="159">
        <f>IF('Revenue Calculation'!R7=2036,IF(Inputs!$E$558&gt;Inputs!$E$559,((1+Inputs!$E$559)*$E$103-Inputs!$E$559*$F$103)/(Inputs!$E$558-Inputs!$E$559),0),0)</f>
        <v>0</v>
      </c>
      <c r="S103" s="159">
        <f>IF('Revenue Calculation'!S7=2036,IF(Inputs!$E$558&gt;Inputs!$E$559,((1+Inputs!$E$559)*$E$103-Inputs!$E$559*$F$103)/(Inputs!$E$558-Inputs!$E$559),0),0)</f>
        <v>0</v>
      </c>
      <c r="T103" s="159">
        <f>IF('Revenue Calculation'!T7=2036,IF(Inputs!$E$558&gt;Inputs!$E$559,((1+Inputs!$E$559)*$E$103-Inputs!$E$559*$F$103)/(Inputs!$E$558-Inputs!$E$559),0),0)</f>
        <v>275.25994285370604</v>
      </c>
    </row>
    <row r="104" spans="2:20" x14ac:dyDescent="0.25">
      <c r="B104" s="23" t="s">
        <v>3231</v>
      </c>
      <c r="C104" s="28" t="s">
        <v>493</v>
      </c>
      <c r="G104" s="159">
        <v>0</v>
      </c>
      <c r="H104" s="159">
        <f t="shared" ref="H104:T104" si="16">H102+H103</f>
        <v>6.4227020957004877</v>
      </c>
      <c r="I104" s="159">
        <f t="shared" si="16"/>
        <v>11.932387439673791</v>
      </c>
      <c r="J104" s="159">
        <f t="shared" si="16"/>
        <v>13.050485867434599</v>
      </c>
      <c r="K104" s="159">
        <f t="shared" si="16"/>
        <v>14.130749294667858</v>
      </c>
      <c r="L104" s="159">
        <f t="shared" si="16"/>
        <v>15.560384782208605</v>
      </c>
      <c r="M104" s="159">
        <f t="shared" si="16"/>
        <v>17.071257909137344</v>
      </c>
      <c r="N104" s="159">
        <f t="shared" si="16"/>
        <v>18.752429272808904</v>
      </c>
      <c r="O104" s="159">
        <f t="shared" si="16"/>
        <v>20.56189702191821</v>
      </c>
      <c r="P104" s="159">
        <f t="shared" si="16"/>
        <v>22.542587098498313</v>
      </c>
      <c r="Q104" s="159">
        <f t="shared" si="16"/>
        <v>24.63459163197027</v>
      </c>
      <c r="R104" s="159">
        <f t="shared" si="16"/>
        <v>25.009883494120274</v>
      </c>
      <c r="S104" s="159">
        <f t="shared" si="16"/>
        <v>25.452360484581039</v>
      </c>
      <c r="T104" s="159">
        <f t="shared" si="16"/>
        <v>302.1333329019825</v>
      </c>
    </row>
    <row r="105" spans="2:20" x14ac:dyDescent="0.25">
      <c r="B105" s="23" t="s">
        <v>3232</v>
      </c>
      <c r="C105" s="28" t="s">
        <v>493</v>
      </c>
      <c r="G105" s="159">
        <f>G104</f>
        <v>0</v>
      </c>
      <c r="H105" s="159">
        <f t="shared" ref="H105:T105" si="17">G105+H102</f>
        <v>6.4227020957004877</v>
      </c>
      <c r="I105" s="159">
        <f t="shared" si="17"/>
        <v>18.35508953537428</v>
      </c>
      <c r="J105" s="159">
        <f t="shared" si="17"/>
        <v>31.405575402808878</v>
      </c>
      <c r="K105" s="159">
        <f t="shared" si="17"/>
        <v>45.536324697476736</v>
      </c>
      <c r="L105" s="159">
        <f t="shared" si="17"/>
        <v>61.096709479685344</v>
      </c>
      <c r="M105" s="159">
        <f t="shared" si="17"/>
        <v>78.167967388822689</v>
      </c>
      <c r="N105" s="159">
        <f t="shared" si="17"/>
        <v>96.920396661631599</v>
      </c>
      <c r="O105" s="159">
        <f t="shared" si="17"/>
        <v>117.48229368354981</v>
      </c>
      <c r="P105" s="159">
        <f t="shared" si="17"/>
        <v>140.02488078204811</v>
      </c>
      <c r="Q105" s="159">
        <f t="shared" si="17"/>
        <v>164.65947241401838</v>
      </c>
      <c r="R105" s="159">
        <f t="shared" si="17"/>
        <v>189.66935590813864</v>
      </c>
      <c r="S105" s="159">
        <f t="shared" si="17"/>
        <v>215.12171639271969</v>
      </c>
      <c r="T105" s="159">
        <f t="shared" si="17"/>
        <v>241.99510644099615</v>
      </c>
    </row>
    <row r="106" spans="2:20" x14ac:dyDescent="0.25">
      <c r="B106" s="154" t="s">
        <v>3237</v>
      </c>
    </row>
    <row r="107" spans="2:20" x14ac:dyDescent="0.25">
      <c r="B107" s="23" t="s">
        <v>3221</v>
      </c>
      <c r="C107" s="28" t="s">
        <v>493</v>
      </c>
      <c r="H107" s="29">
        <f>'Cost Calculation'!H137</f>
        <v>0</v>
      </c>
      <c r="I107" s="29">
        <f>'Cost Calculation'!I137</f>
        <v>70.734824560572875</v>
      </c>
      <c r="J107" s="29">
        <f>'Cost Calculation'!J137</f>
        <v>72.626252031453888</v>
      </c>
      <c r="K107" s="29">
        <f>'Cost Calculation'!K137</f>
        <v>91.585871521869862</v>
      </c>
      <c r="L107" s="29">
        <f>'Cost Calculation'!L137</f>
        <v>94.069966413450956</v>
      </c>
      <c r="M107" s="29">
        <f>'Cost Calculation'!M137</f>
        <v>107.44925471796563</v>
      </c>
      <c r="N107" s="29">
        <f>'Cost Calculation'!N137</f>
        <v>110.37226239724762</v>
      </c>
      <c r="O107" s="29">
        <f>'Cost Calculation'!O137</f>
        <v>120.95189543019339</v>
      </c>
      <c r="P107" s="29">
        <f>'Cost Calculation'!P137</f>
        <v>124.23835121391286</v>
      </c>
      <c r="Q107" s="29">
        <f>'Cost Calculation'!Q137</f>
        <v>136.13505765217883</v>
      </c>
      <c r="R107" s="29">
        <f>'Cost Calculation'!R137</f>
        <v>139.83015211368379</v>
      </c>
      <c r="S107" s="29">
        <f>'Cost Calculation'!S137</f>
        <v>143.61051007748895</v>
      </c>
      <c r="T107" s="29">
        <f>'Cost Calculation'!T137</f>
        <v>147.47713105837235</v>
      </c>
    </row>
    <row r="108" spans="2:20" x14ac:dyDescent="0.25">
      <c r="B108" s="23" t="s">
        <v>3222</v>
      </c>
      <c r="C108" s="28" t="s">
        <v>493</v>
      </c>
      <c r="H108" s="159">
        <f>'Cost Calculation'!H137-'Capex &amp; Depreciation'!H235</f>
        <v>0</v>
      </c>
      <c r="I108" s="159">
        <f>'Cost Calculation'!I137-'Capex &amp; Depreciation'!I235</f>
        <v>52.936288697450891</v>
      </c>
      <c r="J108" s="159">
        <f>'Cost Calculation'!J137-'Capex &amp; Depreciation'!J235</f>
        <v>54.827716168331904</v>
      </c>
      <c r="K108" s="159">
        <f>'Cost Calculation'!K137-'Capex &amp; Depreciation'!K235</f>
        <v>73.787335658747878</v>
      </c>
      <c r="L108" s="159">
        <f>'Cost Calculation'!L137-'Capex &amp; Depreciation'!L235</f>
        <v>76.271430550328972</v>
      </c>
      <c r="M108" s="159">
        <f>'Cost Calculation'!M137-'Capex &amp; Depreciation'!M235</f>
        <v>89.650718854843646</v>
      </c>
      <c r="N108" s="159">
        <f>'Cost Calculation'!N137-'Capex &amp; Depreciation'!N235</f>
        <v>92.57372653412564</v>
      </c>
      <c r="O108" s="159">
        <f>'Cost Calculation'!O137-'Capex &amp; Depreciation'!O235</f>
        <v>103.1533595670714</v>
      </c>
      <c r="P108" s="159">
        <f>'Cost Calculation'!P137-'Capex &amp; Depreciation'!P235</f>
        <v>106.43981535079088</v>
      </c>
      <c r="Q108" s="159">
        <f>'Cost Calculation'!Q137-'Capex &amp; Depreciation'!Q235</f>
        <v>118.33652178905685</v>
      </c>
      <c r="R108" s="159">
        <f>'Cost Calculation'!R137-'Capex &amp; Depreciation'!R235</f>
        <v>122.03161625056181</v>
      </c>
      <c r="S108" s="159">
        <f>'Cost Calculation'!S137-'Capex &amp; Depreciation'!S235</f>
        <v>125.81197421436697</v>
      </c>
      <c r="T108" s="159">
        <f>'Cost Calculation'!T137-'Capex &amp; Depreciation'!T235</f>
        <v>129.67859519525038</v>
      </c>
    </row>
    <row r="109" spans="2:20" x14ac:dyDescent="0.25">
      <c r="B109" s="23" t="s">
        <v>3234</v>
      </c>
      <c r="C109" s="28" t="s">
        <v>493</v>
      </c>
      <c r="H109" s="29">
        <f>Financing!H23</f>
        <v>0</v>
      </c>
      <c r="I109" s="29">
        <f>Financing!I23</f>
        <v>13.331278719</v>
      </c>
      <c r="J109" s="29">
        <f>Financing!J23</f>
        <v>13.331278719000011</v>
      </c>
      <c r="K109" s="29">
        <f>Financing!K23</f>
        <v>6.6108532825726085</v>
      </c>
      <c r="L109" s="29">
        <f>Financing!L23</f>
        <v>0</v>
      </c>
      <c r="M109" s="29">
        <f>Financing!M23</f>
        <v>0</v>
      </c>
      <c r="N109" s="29">
        <f>Financing!N23</f>
        <v>0</v>
      </c>
      <c r="O109" s="29">
        <f>Financing!O23</f>
        <v>0</v>
      </c>
      <c r="P109" s="29">
        <f>Financing!P23</f>
        <v>0</v>
      </c>
      <c r="Q109" s="29">
        <f>Financing!Q23</f>
        <v>0</v>
      </c>
      <c r="R109" s="29">
        <f>Financing!R23</f>
        <v>0</v>
      </c>
      <c r="S109" s="29">
        <f>Financing!S23</f>
        <v>0</v>
      </c>
      <c r="T109" s="29">
        <f>Financing!T23</f>
        <v>0</v>
      </c>
    </row>
    <row r="110" spans="2:20" x14ac:dyDescent="0.25">
      <c r="B110" s="23" t="s">
        <v>3224</v>
      </c>
      <c r="C110" s="28" t="s">
        <v>493</v>
      </c>
      <c r="H110" s="159">
        <f>Inputs!H522*MAX(0,H108-H109)</f>
        <v>0</v>
      </c>
      <c r="I110" s="159">
        <f>Inputs!I522*MAX(0,I108-I109)</f>
        <v>8.7131021952591965</v>
      </c>
      <c r="J110" s="159">
        <f>Inputs!J522*MAX(0,J108-J109)</f>
        <v>9.1292162388530169</v>
      </c>
      <c r="K110" s="159">
        <f>Inputs!K522*MAX(0,K108-K109)</f>
        <v>14.778826122758559</v>
      </c>
      <c r="L110" s="159">
        <f>Inputs!L522*MAX(0,L108-L109)</f>
        <v>16.779714721072374</v>
      </c>
      <c r="M110" s="159">
        <f>Inputs!M522*MAX(0,M108-M109)</f>
        <v>19.723158148065604</v>
      </c>
      <c r="N110" s="159">
        <f>Inputs!N522*MAX(0,N108-N109)</f>
        <v>20.366219837507639</v>
      </c>
      <c r="O110" s="159">
        <f>Inputs!O522*MAX(0,O108-O109)</f>
        <v>22.693739104755711</v>
      </c>
      <c r="P110" s="159">
        <f>Inputs!P522*MAX(0,P108-P109)</f>
        <v>23.416759377173992</v>
      </c>
      <c r="Q110" s="159">
        <f>Inputs!Q522*MAX(0,Q108-Q109)</f>
        <v>26.034034793592507</v>
      </c>
      <c r="R110" s="159">
        <f>Inputs!R522*MAX(0,R108-R109)</f>
        <v>26.846955575123598</v>
      </c>
      <c r="S110" s="159">
        <f>Inputs!S522*MAX(0,S108-S109)</f>
        <v>27.678634327160733</v>
      </c>
      <c r="T110" s="159">
        <f>Inputs!T522*MAX(0,T108-T109)</f>
        <v>28.529290942955082</v>
      </c>
    </row>
    <row r="111" spans="2:20" x14ac:dyDescent="0.25">
      <c r="B111" s="23" t="s">
        <v>3225</v>
      </c>
      <c r="C111" s="28" t="s">
        <v>493</v>
      </c>
      <c r="H111" s="159">
        <f t="shared" ref="H111:T111" si="18">H108-H109-H110</f>
        <v>0</v>
      </c>
      <c r="I111" s="159">
        <f t="shared" si="18"/>
        <v>30.891907783191698</v>
      </c>
      <c r="J111" s="159">
        <f t="shared" si="18"/>
        <v>32.367221210478874</v>
      </c>
      <c r="K111" s="159">
        <f t="shared" si="18"/>
        <v>52.397656253416713</v>
      </c>
      <c r="L111" s="159">
        <f t="shared" si="18"/>
        <v>59.491715829256599</v>
      </c>
      <c r="M111" s="159">
        <f t="shared" si="18"/>
        <v>69.927560706778038</v>
      </c>
      <c r="N111" s="159">
        <f t="shared" si="18"/>
        <v>72.207506696617997</v>
      </c>
      <c r="O111" s="159">
        <f t="shared" si="18"/>
        <v>80.459620462315698</v>
      </c>
      <c r="P111" s="159">
        <f t="shared" si="18"/>
        <v>83.023055973616891</v>
      </c>
      <c r="Q111" s="159">
        <f t="shared" si="18"/>
        <v>92.302486995464335</v>
      </c>
      <c r="R111" s="159">
        <f t="shared" si="18"/>
        <v>95.184660675438209</v>
      </c>
      <c r="S111" s="159">
        <f t="shared" si="18"/>
        <v>98.133339887206233</v>
      </c>
      <c r="T111" s="159">
        <f t="shared" si="18"/>
        <v>101.14930425229529</v>
      </c>
    </row>
    <row r="112" spans="2:20" x14ac:dyDescent="0.25">
      <c r="B112" s="23" t="s">
        <v>3226</v>
      </c>
      <c r="C112" s="28" t="s">
        <v>493</v>
      </c>
      <c r="H112" s="159">
        <f>-Inputs!H522*MAX(0,H108)</f>
        <v>0</v>
      </c>
      <c r="I112" s="159">
        <f>-Inputs!I522*MAX(0,I108)</f>
        <v>-11.645983513439196</v>
      </c>
      <c r="J112" s="159">
        <f>-Inputs!J522*MAX(0,J108)</f>
        <v>-12.062097557033018</v>
      </c>
      <c r="K112" s="159">
        <f>-Inputs!K522*MAX(0,K108)</f>
        <v>-16.233213844924535</v>
      </c>
      <c r="L112" s="159">
        <f>-Inputs!L522*MAX(0,L108)</f>
        <v>-16.779714721072374</v>
      </c>
      <c r="M112" s="159">
        <f>-Inputs!M522*MAX(0,M108)</f>
        <v>-19.723158148065604</v>
      </c>
      <c r="N112" s="159">
        <f>-Inputs!N522*MAX(0,N108)</f>
        <v>-20.366219837507639</v>
      </c>
      <c r="O112" s="159">
        <f>-Inputs!O522*MAX(0,O108)</f>
        <v>-22.693739104755711</v>
      </c>
      <c r="P112" s="159">
        <f>-Inputs!P522*MAX(0,P108)</f>
        <v>-23.416759377173992</v>
      </c>
      <c r="Q112" s="159">
        <f>-Inputs!Q522*MAX(0,Q108)</f>
        <v>-26.034034793592507</v>
      </c>
      <c r="R112" s="159">
        <f>-Inputs!R522*MAX(0,R108)</f>
        <v>-26.846955575123598</v>
      </c>
      <c r="S112" s="159">
        <f>-Inputs!S522*MAX(0,S108)</f>
        <v>-27.678634327160733</v>
      </c>
      <c r="T112" s="159">
        <f>-Inputs!T522*MAX(0,T108)</f>
        <v>-28.529290942955082</v>
      </c>
    </row>
    <row r="113" spans="2:20" x14ac:dyDescent="0.25">
      <c r="B113" s="23" t="s">
        <v>3227</v>
      </c>
      <c r="C113" s="28" t="s">
        <v>493</v>
      </c>
      <c r="H113" s="159">
        <f>-'Capex &amp; Depreciation'!H262</f>
        <v>-37.409500000000008</v>
      </c>
      <c r="I113" s="159">
        <f>-'Capex &amp; Depreciation'!I262</f>
        <v>-8.1325000000000003</v>
      </c>
      <c r="J113" s="159">
        <f>-'Capex &amp; Depreciation'!J262</f>
        <v>0</v>
      </c>
      <c r="K113" s="159">
        <f>-'Capex &amp; Depreciation'!K262</f>
        <v>0</v>
      </c>
      <c r="L113" s="159">
        <f>-'Capex &amp; Depreciation'!L262</f>
        <v>0</v>
      </c>
      <c r="M113" s="159">
        <f>-'Capex &amp; Depreciation'!M262</f>
        <v>0</v>
      </c>
      <c r="N113" s="159">
        <f>-'Capex &amp; Depreciation'!N262</f>
        <v>0</v>
      </c>
      <c r="O113" s="159">
        <f>-'Capex &amp; Depreciation'!O262</f>
        <v>0</v>
      </c>
      <c r="P113" s="159">
        <f>-'Capex &amp; Depreciation'!P262</f>
        <v>0</v>
      </c>
      <c r="Q113" s="159">
        <f>-'Capex &amp; Depreciation'!Q262</f>
        <v>0</v>
      </c>
      <c r="R113" s="159">
        <f>-'Capex &amp; Depreciation'!R262</f>
        <v>0</v>
      </c>
      <c r="S113" s="159">
        <f>-'Capex &amp; Depreciation'!S262</f>
        <v>0</v>
      </c>
      <c r="T113" s="159">
        <f>-'Capex &amp; Depreciation'!T262</f>
        <v>0</v>
      </c>
    </row>
    <row r="114" spans="2:20" x14ac:dyDescent="0.25">
      <c r="B114" s="23" t="s">
        <v>3228</v>
      </c>
      <c r="C114" s="28" t="s">
        <v>493</v>
      </c>
      <c r="H114" s="159">
        <f>-('Working Capital'!H31-'Working Capital'!G31)</f>
        <v>0</v>
      </c>
      <c r="I114" s="159">
        <f>-('Working Capital'!I31-'Working Capital'!H31)</f>
        <v>-11.585208569417038</v>
      </c>
      <c r="J114" s="159">
        <f>-('Working Capital'!J31-'Working Capital'!I31)</f>
        <v>-0.32860141330693438</v>
      </c>
      <c r="K114" s="159">
        <f>-('Working Capital'!K31-'Working Capital'!J31)</f>
        <v>-2.9612337321688447</v>
      </c>
      <c r="L114" s="159">
        <f>-('Working Capital'!L31-'Working Capital'!K31)</f>
        <v>-0.38279302552167493</v>
      </c>
      <c r="M114" s="159">
        <f>-('Working Capital'!M31-'Working Capital'!L31)</f>
        <v>-2.1479953335235162</v>
      </c>
      <c r="N114" s="159">
        <f>-('Working Capital'!N31-'Working Capital'!M31)</f>
        <v>-0.49747880093674368</v>
      </c>
      <c r="O114" s="159">
        <f>-('Working Capital'!O31-'Working Capital'!N31)</f>
        <v>-1.6803014187144711</v>
      </c>
      <c r="P114" s="159">
        <f>-('Working Capital'!P31-'Working Capital'!O31)</f>
        <v>-0.50435494520661805</v>
      </c>
      <c r="Q114" s="159">
        <f>-('Working Capital'!Q31-'Working Capital'!P31)</f>
        <v>-1.9445707802918228</v>
      </c>
      <c r="R114" s="159">
        <f>-('Working Capital'!R31-'Working Capital'!Q31)</f>
        <v>-0.62900705004711455</v>
      </c>
      <c r="S114" s="159">
        <f>-('Working Capital'!S31-'Working Capital'!R31)</f>
        <v>-0.6457740288188063</v>
      </c>
      <c r="T114" s="159">
        <f>-('Working Capital'!T31-'Working Capital'!S31)</f>
        <v>-0.59742348464862616</v>
      </c>
    </row>
    <row r="115" spans="2:20" ht="26.25" customHeight="1" x14ac:dyDescent="0.25">
      <c r="B115" s="133" t="s">
        <v>3229</v>
      </c>
      <c r="C115" s="28" t="s">
        <v>493</v>
      </c>
      <c r="H115" s="160">
        <f t="shared" ref="H115:T115" si="19">H107+H112+H113+H114</f>
        <v>-37.409500000000008</v>
      </c>
      <c r="I115" s="160">
        <f t="shared" si="19"/>
        <v>39.371132477716642</v>
      </c>
      <c r="J115" s="160">
        <f t="shared" si="19"/>
        <v>60.235553061113933</v>
      </c>
      <c r="K115" s="160">
        <f t="shared" si="19"/>
        <v>72.391423944776477</v>
      </c>
      <c r="L115" s="160">
        <f t="shared" si="19"/>
        <v>76.907458666856897</v>
      </c>
      <c r="M115" s="160">
        <f t="shared" si="19"/>
        <v>85.578101236376511</v>
      </c>
      <c r="N115" s="160">
        <f t="shared" si="19"/>
        <v>89.508563758803234</v>
      </c>
      <c r="O115" s="160">
        <f t="shared" si="19"/>
        <v>96.577854906723218</v>
      </c>
      <c r="P115" s="160">
        <f t="shared" si="19"/>
        <v>100.31723689153226</v>
      </c>
      <c r="Q115" s="160">
        <f t="shared" si="19"/>
        <v>108.15645207829449</v>
      </c>
      <c r="R115" s="160">
        <f t="shared" si="19"/>
        <v>112.35418948851307</v>
      </c>
      <c r="S115" s="160">
        <f t="shared" si="19"/>
        <v>115.28610172150941</v>
      </c>
      <c r="T115" s="160">
        <f t="shared" si="19"/>
        <v>118.35041663076863</v>
      </c>
    </row>
    <row r="116" spans="2:20" x14ac:dyDescent="0.25">
      <c r="B116" s="23" t="s">
        <v>3230</v>
      </c>
      <c r="C116" s="28" t="s">
        <v>493</v>
      </c>
      <c r="E116" s="159">
        <f>'Cost Calculation'!T137-MAX(0,Inputs!$E$554*('Cost Calculation'!T137-Inputs!$E$550*'Revenue Calculation'!T99))-Inputs!$E$550*'Revenue Calculation'!T99</f>
        <v>108.60671261464402</v>
      </c>
      <c r="F116" s="29">
        <f>'Working Capital'!T31</f>
        <v>23.904742582602211</v>
      </c>
      <c r="H116" s="159">
        <f>IF('Revenue Calculation'!H7=2036,IF(Inputs!$E$558&gt;Inputs!$E$559,((1+Inputs!$E$559)*$E$116-Inputs!$E$559*$F$116)/(Inputs!$E$558-Inputs!$E$559),0),0)</f>
        <v>0</v>
      </c>
      <c r="I116" s="159">
        <f>IF('Revenue Calculation'!I7=2036,IF(Inputs!$E$558&gt;Inputs!$E$559,((1+Inputs!$E$559)*$E$116-Inputs!$E$559*$F$116)/(Inputs!$E$558-Inputs!$E$559),0),0)</f>
        <v>0</v>
      </c>
      <c r="J116" s="159">
        <f>IF('Revenue Calculation'!J7=2036,IF(Inputs!$E$558&gt;Inputs!$E$559,((1+Inputs!$E$559)*$E$116-Inputs!$E$559*$F$116)/(Inputs!$E$558-Inputs!$E$559),0),0)</f>
        <v>0</v>
      </c>
      <c r="K116" s="159">
        <f>IF('Revenue Calculation'!K7=2036,IF(Inputs!$E$558&gt;Inputs!$E$559,((1+Inputs!$E$559)*$E$116-Inputs!$E$559*$F$116)/(Inputs!$E$558-Inputs!$E$559),0),0)</f>
        <v>0</v>
      </c>
      <c r="L116" s="159">
        <f>IF('Revenue Calculation'!L7=2036,IF(Inputs!$E$558&gt;Inputs!$E$559,((1+Inputs!$E$559)*$E$116-Inputs!$E$559*$F$116)/(Inputs!$E$558-Inputs!$E$559),0),0)</f>
        <v>0</v>
      </c>
      <c r="M116" s="159">
        <f>IF('Revenue Calculation'!M7=2036,IF(Inputs!$E$558&gt;Inputs!$E$559,((1+Inputs!$E$559)*$E$116-Inputs!$E$559*$F$116)/(Inputs!$E$558-Inputs!$E$559),0),0)</f>
        <v>0</v>
      </c>
      <c r="N116" s="159">
        <f>IF('Revenue Calculation'!N7=2036,IF(Inputs!$E$558&gt;Inputs!$E$559,((1+Inputs!$E$559)*$E$116-Inputs!$E$559*$F$116)/(Inputs!$E$558-Inputs!$E$559),0),0)</f>
        <v>0</v>
      </c>
      <c r="O116" s="159">
        <f>IF('Revenue Calculation'!O7=2036,IF(Inputs!$E$558&gt;Inputs!$E$559,((1+Inputs!$E$559)*$E$116-Inputs!$E$559*$F$116)/(Inputs!$E$558-Inputs!$E$559),0),0)</f>
        <v>0</v>
      </c>
      <c r="P116" s="159">
        <f>IF('Revenue Calculation'!P7=2036,IF(Inputs!$E$558&gt;Inputs!$E$559,((1+Inputs!$E$559)*$E$116-Inputs!$E$559*$F$116)/(Inputs!$E$558-Inputs!$E$559),0),0)</f>
        <v>0</v>
      </c>
      <c r="Q116" s="159">
        <f>IF('Revenue Calculation'!Q7=2036,IF(Inputs!$E$558&gt;Inputs!$E$559,((1+Inputs!$E$559)*$E$116-Inputs!$E$559*$F$116)/(Inputs!$E$558-Inputs!$E$559),0),0)</f>
        <v>0</v>
      </c>
      <c r="R116" s="159">
        <f>IF('Revenue Calculation'!R7=2036,IF(Inputs!$E$558&gt;Inputs!$E$559,((1+Inputs!$E$559)*$E$116-Inputs!$E$559*$F$116)/(Inputs!$E$558-Inputs!$E$559),0),0)</f>
        <v>0</v>
      </c>
      <c r="S116" s="159">
        <f>IF('Revenue Calculation'!S7=2036,IF(Inputs!$E$558&gt;Inputs!$E$559,((1+Inputs!$E$559)*$E$116-Inputs!$E$559*$F$116)/(Inputs!$E$558-Inputs!$E$559),0),0)</f>
        <v>0</v>
      </c>
      <c r="T116" s="159">
        <f>IF('Revenue Calculation'!T7=2036,IF(Inputs!$E$558&gt;Inputs!$E$559,((1+Inputs!$E$559)*$E$116-Inputs!$E$559*$F$116)/(Inputs!$E$558-Inputs!$E$559),0),0)</f>
        <v>1253.5681642973614</v>
      </c>
    </row>
    <row r="117" spans="2:20" x14ac:dyDescent="0.25">
      <c r="B117" s="23" t="s">
        <v>3231</v>
      </c>
      <c r="C117" s="28" t="s">
        <v>493</v>
      </c>
      <c r="G117" s="159">
        <f>-'Capex &amp; Depreciation'!$E$87*Inputs!$H$64</f>
        <v>-161.81183149156558</v>
      </c>
      <c r="H117" s="159">
        <f t="shared" ref="H117:T117" si="20">H115+H116</f>
        <v>-37.409500000000008</v>
      </c>
      <c r="I117" s="159">
        <f t="shared" si="20"/>
        <v>39.371132477716642</v>
      </c>
      <c r="J117" s="159">
        <f t="shared" si="20"/>
        <v>60.235553061113933</v>
      </c>
      <c r="K117" s="159">
        <f t="shared" si="20"/>
        <v>72.391423944776477</v>
      </c>
      <c r="L117" s="159">
        <f t="shared" si="20"/>
        <v>76.907458666856897</v>
      </c>
      <c r="M117" s="159">
        <f t="shared" si="20"/>
        <v>85.578101236376511</v>
      </c>
      <c r="N117" s="159">
        <f t="shared" si="20"/>
        <v>89.508563758803234</v>
      </c>
      <c r="O117" s="159">
        <f t="shared" si="20"/>
        <v>96.577854906723218</v>
      </c>
      <c r="P117" s="159">
        <f t="shared" si="20"/>
        <v>100.31723689153226</v>
      </c>
      <c r="Q117" s="159">
        <f t="shared" si="20"/>
        <v>108.15645207829449</v>
      </c>
      <c r="R117" s="159">
        <f t="shared" si="20"/>
        <v>112.35418948851307</v>
      </c>
      <c r="S117" s="159">
        <f t="shared" si="20"/>
        <v>115.28610172150941</v>
      </c>
      <c r="T117" s="159">
        <f t="shared" si="20"/>
        <v>1371.91858092813</v>
      </c>
    </row>
    <row r="118" spans="2:20" x14ac:dyDescent="0.25">
      <c r="B118" s="23" t="s">
        <v>3232</v>
      </c>
      <c r="C118" s="28" t="s">
        <v>493</v>
      </c>
      <c r="G118" s="159">
        <f>G117</f>
        <v>-161.81183149156558</v>
      </c>
      <c r="H118" s="159">
        <f t="shared" ref="H118:T118" si="21">G118+H115</f>
        <v>-199.22133149156559</v>
      </c>
      <c r="I118" s="159">
        <f t="shared" si="21"/>
        <v>-159.85019901384896</v>
      </c>
      <c r="J118" s="159">
        <f t="shared" si="21"/>
        <v>-99.614645952735032</v>
      </c>
      <c r="K118" s="159">
        <f t="shared" si="21"/>
        <v>-27.223222007958555</v>
      </c>
      <c r="L118" s="159">
        <f t="shared" si="21"/>
        <v>49.684236658898342</v>
      </c>
      <c r="M118" s="159">
        <f t="shared" si="21"/>
        <v>135.26233789527487</v>
      </c>
      <c r="N118" s="159">
        <f t="shared" si="21"/>
        <v>224.7709016540781</v>
      </c>
      <c r="O118" s="159">
        <f t="shared" si="21"/>
        <v>321.34875656080135</v>
      </c>
      <c r="P118" s="159">
        <f t="shared" si="21"/>
        <v>421.66599345233362</v>
      </c>
      <c r="Q118" s="159">
        <f t="shared" si="21"/>
        <v>529.8224455306281</v>
      </c>
      <c r="R118" s="159">
        <f t="shared" si="21"/>
        <v>642.17663501914114</v>
      </c>
      <c r="S118" s="159">
        <f t="shared" si="21"/>
        <v>757.4627367406506</v>
      </c>
      <c r="T118" s="159">
        <f t="shared" si="21"/>
        <v>875.81315337141928</v>
      </c>
    </row>
    <row r="119" spans="2:20" x14ac:dyDescent="0.25">
      <c r="B119" s="154" t="s">
        <v>3238</v>
      </c>
    </row>
    <row r="120" spans="2:20" x14ac:dyDescent="0.25">
      <c r="B120" s="23" t="s">
        <v>3221</v>
      </c>
      <c r="C120" s="28" t="s">
        <v>493</v>
      </c>
      <c r="H120" s="29">
        <f>'Cost Calculation'!H141</f>
        <v>0</v>
      </c>
      <c r="I120" s="29">
        <f>'Cost Calculation'!I141</f>
        <v>29.072875849343145</v>
      </c>
      <c r="J120" s="29">
        <f>'Cost Calculation'!J141</f>
        <v>29.909685528568144</v>
      </c>
      <c r="K120" s="29">
        <f>'Cost Calculation'!K141</f>
        <v>30.768256417257938</v>
      </c>
      <c r="L120" s="29">
        <f>'Cost Calculation'!L141</f>
        <v>31.649037758068953</v>
      </c>
      <c r="M120" s="29">
        <f>'Cost Calculation'!M141</f>
        <v>32.55247987208535</v>
      </c>
      <c r="N120" s="29">
        <f>'Cost Calculation'!N141</f>
        <v>33.479033436081849</v>
      </c>
      <c r="O120" s="29">
        <f>'Cost Calculation'!O141</f>
        <v>34.429148692119327</v>
      </c>
      <c r="P120" s="29">
        <f>'Cost Calculation'!P141</f>
        <v>35.403274584642901</v>
      </c>
      <c r="Q120" s="29">
        <f>'Cost Calculation'!Q141</f>
        <v>36.401857819936353</v>
      </c>
      <c r="R120" s="29">
        <f>'Cost Calculation'!R141</f>
        <v>37.425341842451843</v>
      </c>
      <c r="S120" s="29">
        <f>'Cost Calculation'!S141</f>
        <v>38.474165722176963</v>
      </c>
      <c r="T120" s="29">
        <f>'Cost Calculation'!T141</f>
        <v>39.54876294682294</v>
      </c>
    </row>
    <row r="121" spans="2:20" x14ac:dyDescent="0.25">
      <c r="B121" s="23" t="s">
        <v>3222</v>
      </c>
      <c r="C121" s="28" t="s">
        <v>493</v>
      </c>
      <c r="H121" s="159">
        <f>'Cost Calculation'!H141-'Capex &amp; Depreciation'!H236</f>
        <v>0</v>
      </c>
      <c r="I121" s="159">
        <f>'Cost Calculation'!I141-'Capex &amp; Depreciation'!I236</f>
        <v>21.652856044176946</v>
      </c>
      <c r="J121" s="159">
        <f>'Cost Calculation'!J141-'Capex &amp; Depreciation'!J236</f>
        <v>22.489665723401945</v>
      </c>
      <c r="K121" s="159">
        <f>'Cost Calculation'!K141-'Capex &amp; Depreciation'!K236</f>
        <v>23.348236612091739</v>
      </c>
      <c r="L121" s="159">
        <f>'Cost Calculation'!L141-'Capex &amp; Depreciation'!L236</f>
        <v>24.229017952902755</v>
      </c>
      <c r="M121" s="159">
        <f>'Cost Calculation'!M141-'Capex &amp; Depreciation'!M236</f>
        <v>25.132460066919151</v>
      </c>
      <c r="N121" s="159">
        <f>'Cost Calculation'!N141-'Capex &amp; Depreciation'!N236</f>
        <v>26.059013630915651</v>
      </c>
      <c r="O121" s="159">
        <f>'Cost Calculation'!O141-'Capex &amp; Depreciation'!O236</f>
        <v>27.009128886953128</v>
      </c>
      <c r="P121" s="159">
        <f>'Cost Calculation'!P141-'Capex &amp; Depreciation'!P236</f>
        <v>27.983254779476702</v>
      </c>
      <c r="Q121" s="159">
        <f>'Cost Calculation'!Q141-'Capex &amp; Depreciation'!Q236</f>
        <v>28.981838014770155</v>
      </c>
      <c r="R121" s="159">
        <f>'Cost Calculation'!R141-'Capex &amp; Depreciation'!R236</f>
        <v>30.005322037285644</v>
      </c>
      <c r="S121" s="159">
        <f>'Cost Calculation'!S141-'Capex &amp; Depreciation'!S236</f>
        <v>31.054145917010764</v>
      </c>
      <c r="T121" s="159">
        <f>'Cost Calculation'!T141-'Capex &amp; Depreciation'!T236</f>
        <v>32.128743141656741</v>
      </c>
    </row>
    <row r="122" spans="2:20" x14ac:dyDescent="0.25">
      <c r="B122" s="23" t="s">
        <v>3223</v>
      </c>
      <c r="C122" s="28" t="s">
        <v>493</v>
      </c>
      <c r="H122" s="159">
        <f>0</f>
        <v>0</v>
      </c>
      <c r="I122" s="159">
        <f>0</f>
        <v>0</v>
      </c>
      <c r="J122" s="159">
        <f>0</f>
        <v>0</v>
      </c>
      <c r="K122" s="159">
        <f>0</f>
        <v>0</v>
      </c>
      <c r="L122" s="159">
        <f>0</f>
        <v>0</v>
      </c>
      <c r="M122" s="159">
        <f>0</f>
        <v>0</v>
      </c>
      <c r="N122" s="159">
        <f>0</f>
        <v>0</v>
      </c>
      <c r="O122" s="159">
        <f>0</f>
        <v>0</v>
      </c>
      <c r="P122" s="159">
        <f>0</f>
        <v>0</v>
      </c>
      <c r="Q122" s="159">
        <f>0</f>
        <v>0</v>
      </c>
      <c r="R122" s="159">
        <f>0</f>
        <v>0</v>
      </c>
      <c r="S122" s="159">
        <f>0</f>
        <v>0</v>
      </c>
      <c r="T122" s="159">
        <f>0</f>
        <v>0</v>
      </c>
    </row>
    <row r="123" spans="2:20" x14ac:dyDescent="0.25">
      <c r="B123" s="23" t="s">
        <v>3224</v>
      </c>
      <c r="C123" s="28" t="s">
        <v>493</v>
      </c>
      <c r="H123" s="159">
        <f>Inputs!H522*MAX(0,H121-H122)</f>
        <v>0</v>
      </c>
      <c r="I123" s="159">
        <f>Inputs!I522*MAX(0,I121-I122)</f>
        <v>4.7636283297189284</v>
      </c>
      <c r="J123" s="159">
        <f>Inputs!J522*MAX(0,J121-J122)</f>
        <v>4.947726459148428</v>
      </c>
      <c r="K123" s="159">
        <f>Inputs!K522*MAX(0,K121-K122)</f>
        <v>5.1366120546601826</v>
      </c>
      <c r="L123" s="159">
        <f>Inputs!L522*MAX(0,L121-L122)</f>
        <v>5.3303839496386063</v>
      </c>
      <c r="M123" s="159">
        <f>Inputs!M522*MAX(0,M121-M122)</f>
        <v>5.5291412147222134</v>
      </c>
      <c r="N123" s="159">
        <f>Inputs!N522*MAX(0,N121-N122)</f>
        <v>5.7329829988014431</v>
      </c>
      <c r="O123" s="159">
        <f>Inputs!O522*MAX(0,O121-O122)</f>
        <v>5.9420083551296878</v>
      </c>
      <c r="P123" s="159">
        <f>Inputs!P522*MAX(0,P121-P122)</f>
        <v>6.1563160514848745</v>
      </c>
      <c r="Q123" s="159">
        <f>Inputs!Q522*MAX(0,Q121-Q122)</f>
        <v>6.3760043632494341</v>
      </c>
      <c r="R123" s="159">
        <f>Inputs!R522*MAX(0,R121-R122)</f>
        <v>6.6011708482028419</v>
      </c>
      <c r="S123" s="159">
        <f>Inputs!S522*MAX(0,S121-S122)</f>
        <v>6.8319121017423683</v>
      </c>
      <c r="T123" s="159">
        <f>Inputs!T522*MAX(0,T121-T122)</f>
        <v>7.0683234911644828</v>
      </c>
    </row>
    <row r="124" spans="2:20" x14ac:dyDescent="0.25">
      <c r="B124" s="23" t="s">
        <v>3225</v>
      </c>
      <c r="C124" s="28" t="s">
        <v>493</v>
      </c>
      <c r="H124" s="159">
        <f t="shared" ref="H124:T124" si="22">H121-H122-H123</f>
        <v>0</v>
      </c>
      <c r="I124" s="159">
        <f t="shared" si="22"/>
        <v>16.889227714458016</v>
      </c>
      <c r="J124" s="159">
        <f t="shared" si="22"/>
        <v>17.541939264253518</v>
      </c>
      <c r="K124" s="159">
        <f t="shared" si="22"/>
        <v>18.211624557431556</v>
      </c>
      <c r="L124" s="159">
        <f t="shared" si="22"/>
        <v>18.898634003264149</v>
      </c>
      <c r="M124" s="159">
        <f t="shared" si="22"/>
        <v>19.603318852196939</v>
      </c>
      <c r="N124" s="159">
        <f t="shared" si="22"/>
        <v>20.326030632114207</v>
      </c>
      <c r="O124" s="159">
        <f t="shared" si="22"/>
        <v>21.067120531823441</v>
      </c>
      <c r="P124" s="159">
        <f t="shared" si="22"/>
        <v>21.826938727991827</v>
      </c>
      <c r="Q124" s="159">
        <f t="shared" si="22"/>
        <v>22.605833651520719</v>
      </c>
      <c r="R124" s="159">
        <f t="shared" si="22"/>
        <v>23.404151189082803</v>
      </c>
      <c r="S124" s="159">
        <f t="shared" si="22"/>
        <v>24.222233815268396</v>
      </c>
      <c r="T124" s="159">
        <f t="shared" si="22"/>
        <v>25.060419650492257</v>
      </c>
    </row>
    <row r="125" spans="2:20" x14ac:dyDescent="0.25">
      <c r="B125" s="23" t="s">
        <v>3226</v>
      </c>
      <c r="C125" s="28" t="s">
        <v>493</v>
      </c>
      <c r="H125" s="159">
        <f>-Inputs!H522*MAX(0,H121)</f>
        <v>0</v>
      </c>
      <c r="I125" s="159">
        <f>-Inputs!I522*MAX(0,I121)</f>
        <v>-4.7636283297189284</v>
      </c>
      <c r="J125" s="159">
        <f>-Inputs!J522*MAX(0,J121)</f>
        <v>-4.947726459148428</v>
      </c>
      <c r="K125" s="159">
        <f>-Inputs!K522*MAX(0,K121)</f>
        <v>-5.1366120546601826</v>
      </c>
      <c r="L125" s="159">
        <f>-Inputs!L522*MAX(0,L121)</f>
        <v>-5.3303839496386063</v>
      </c>
      <c r="M125" s="159">
        <f>-Inputs!M522*MAX(0,M121)</f>
        <v>-5.5291412147222134</v>
      </c>
      <c r="N125" s="159">
        <f>-Inputs!N522*MAX(0,N121)</f>
        <v>-5.7329829988014431</v>
      </c>
      <c r="O125" s="159">
        <f>-Inputs!O522*MAX(0,O121)</f>
        <v>-5.9420083551296878</v>
      </c>
      <c r="P125" s="159">
        <f>-Inputs!P522*MAX(0,P121)</f>
        <v>-6.1563160514848745</v>
      </c>
      <c r="Q125" s="159">
        <f>-Inputs!Q522*MAX(0,Q121)</f>
        <v>-6.3760043632494341</v>
      </c>
      <c r="R125" s="159">
        <f>-Inputs!R522*MAX(0,R121)</f>
        <v>-6.6011708482028419</v>
      </c>
      <c r="S125" s="159">
        <f>-Inputs!S522*MAX(0,S121)</f>
        <v>-6.8319121017423683</v>
      </c>
      <c r="T125" s="159">
        <f>-Inputs!T522*MAX(0,T121)</f>
        <v>-7.0683234911644828</v>
      </c>
    </row>
    <row r="126" spans="2:20" x14ac:dyDescent="0.25">
      <c r="B126" s="23" t="s">
        <v>3227</v>
      </c>
      <c r="C126" s="28" t="s">
        <v>493</v>
      </c>
      <c r="H126" s="159">
        <f>-'Capex &amp; Depreciation'!H263</f>
        <v>-87.831000000000003</v>
      </c>
      <c r="I126" s="159">
        <f>-'Capex &amp; Depreciation'!I263</f>
        <v>-6.5060000000000002</v>
      </c>
      <c r="J126" s="159">
        <f>-'Capex &amp; Depreciation'!J263</f>
        <v>0</v>
      </c>
      <c r="K126" s="159">
        <f>-'Capex &amp; Depreciation'!K263</f>
        <v>0</v>
      </c>
      <c r="L126" s="159">
        <f>-'Capex &amp; Depreciation'!L263</f>
        <v>0</v>
      </c>
      <c r="M126" s="159">
        <f>-'Capex &amp; Depreciation'!M263</f>
        <v>0</v>
      </c>
      <c r="N126" s="159">
        <f>-'Capex &amp; Depreciation'!N263</f>
        <v>0</v>
      </c>
      <c r="O126" s="159">
        <f>-'Capex &amp; Depreciation'!O263</f>
        <v>0</v>
      </c>
      <c r="P126" s="159">
        <f>-'Capex &amp; Depreciation'!P263</f>
        <v>0</v>
      </c>
      <c r="Q126" s="159">
        <f>-'Capex &amp; Depreciation'!Q263</f>
        <v>0</v>
      </c>
      <c r="R126" s="159">
        <f>-'Capex &amp; Depreciation'!R263</f>
        <v>0</v>
      </c>
      <c r="S126" s="159">
        <f>-'Capex &amp; Depreciation'!S263</f>
        <v>0</v>
      </c>
      <c r="T126" s="159">
        <f>-'Capex &amp; Depreciation'!T263</f>
        <v>0</v>
      </c>
    </row>
    <row r="127" spans="2:20" x14ac:dyDescent="0.25">
      <c r="B127" s="23" t="s">
        <v>3228</v>
      </c>
      <c r="C127" s="28" t="s">
        <v>493</v>
      </c>
      <c r="H127" s="159">
        <f>-('Working Capital'!H35-'Working Capital'!G35)</f>
        <v>0</v>
      </c>
      <c r="I127" s="159">
        <f>-('Working Capital'!I35-'Working Capital'!H35)</f>
        <v>-3.6840719876172452</v>
      </c>
      <c r="J127" s="159">
        <f>-('Working Capital'!J35-'Working Capital'!I35)</f>
        <v>-0.10761449418287672</v>
      </c>
      <c r="K127" s="159">
        <f>-('Working Capital'!K35-'Working Capital'!J35)</f>
        <v>-0.11056815523477681</v>
      </c>
      <c r="L127" s="159">
        <f>-('Working Capital'!L35-'Working Capital'!K35)</f>
        <v>-0.10262142920026207</v>
      </c>
      <c r="M127" s="159">
        <f>-('Working Capital'!M35-'Working Capital'!L35)</f>
        <v>-0.12766450605952517</v>
      </c>
      <c r="N127" s="159">
        <f>-('Working Capital'!N35-'Working Capital'!M35)</f>
        <v>-0.11986491589491877</v>
      </c>
      <c r="O127" s="159">
        <f>-('Working Capital'!O35-'Working Capital'!N35)</f>
        <v>-0.12311278817623705</v>
      </c>
      <c r="P127" s="159">
        <f>-('Working Capital'!P35-'Working Capital'!O35)</f>
        <v>-0.11413647487060175</v>
      </c>
      <c r="Q127" s="159">
        <f>-('Working Capital'!Q35-'Working Capital'!P35)</f>
        <v>-0.14213866808887055</v>
      </c>
      <c r="R127" s="159">
        <f>-('Working Capital'!R35-'Working Capital'!Q35)</f>
        <v>-0.13331777144968182</v>
      </c>
      <c r="S127" s="159">
        <f>-('Working Capital'!S35-'Working Capital'!R35)</f>
        <v>-0.13687637334940561</v>
      </c>
      <c r="T127" s="159">
        <f>-('Working Capital'!T35-'Working Capital'!S35)</f>
        <v>-0.12673755150944821</v>
      </c>
    </row>
    <row r="128" spans="2:20" ht="26.25" customHeight="1" x14ac:dyDescent="0.25">
      <c r="B128" s="133" t="s">
        <v>3229</v>
      </c>
      <c r="C128" s="28" t="s">
        <v>493</v>
      </c>
      <c r="H128" s="160">
        <f t="shared" ref="H128:T128" si="23">H120+H125+H126+H127</f>
        <v>-87.831000000000003</v>
      </c>
      <c r="I128" s="160">
        <f t="shared" si="23"/>
        <v>14.11917553200697</v>
      </c>
      <c r="J128" s="160">
        <f t="shared" si="23"/>
        <v>24.854344575236841</v>
      </c>
      <c r="K128" s="160">
        <f t="shared" si="23"/>
        <v>25.521076207362977</v>
      </c>
      <c r="L128" s="160">
        <f t="shared" si="23"/>
        <v>26.216032379230086</v>
      </c>
      <c r="M128" s="160">
        <f t="shared" si="23"/>
        <v>26.895674151303613</v>
      </c>
      <c r="N128" s="160">
        <f t="shared" si="23"/>
        <v>27.626185521385487</v>
      </c>
      <c r="O128" s="160">
        <f t="shared" si="23"/>
        <v>28.364027548813404</v>
      </c>
      <c r="P128" s="160">
        <f t="shared" si="23"/>
        <v>29.132822058287424</v>
      </c>
      <c r="Q128" s="160">
        <f t="shared" si="23"/>
        <v>29.883714788598049</v>
      </c>
      <c r="R128" s="160">
        <f t="shared" si="23"/>
        <v>30.690853222799319</v>
      </c>
      <c r="S128" s="160">
        <f t="shared" si="23"/>
        <v>31.505377247085189</v>
      </c>
      <c r="T128" s="160">
        <f t="shared" si="23"/>
        <v>32.353701904149005</v>
      </c>
    </row>
    <row r="129" spans="2:20" x14ac:dyDescent="0.25">
      <c r="B129" s="23" t="s">
        <v>3230</v>
      </c>
      <c r="C129" s="28" t="s">
        <v>493</v>
      </c>
      <c r="E129" s="159">
        <f>'Cost Calculation'!T141-MAX(0,Inputs!$E$554*('Cost Calculation'!T141-Inputs!$E$550*'Revenue Calculation'!T104))-Inputs!$E$550*'Revenue Calculation'!T104</f>
        <v>29.48761005037391</v>
      </c>
      <c r="F129" s="29">
        <f>'Working Capital'!T35</f>
        <v>5.0287251156338497</v>
      </c>
      <c r="H129" s="159">
        <f>IF('Revenue Calculation'!H7=2036,IF(Inputs!$E$558&gt;Inputs!$E$559,((1+Inputs!$E$559)*$E$129-Inputs!$E$559*$F$129)/(Inputs!$E$558-Inputs!$E$559),0),0)</f>
        <v>0</v>
      </c>
      <c r="I129" s="159">
        <f>IF('Revenue Calculation'!I7=2036,IF(Inputs!$E$558&gt;Inputs!$E$559,((1+Inputs!$E$559)*$E$129-Inputs!$E$559*$F$129)/(Inputs!$E$558-Inputs!$E$559),0),0)</f>
        <v>0</v>
      </c>
      <c r="J129" s="159">
        <f>IF('Revenue Calculation'!J7=2036,IF(Inputs!$E$558&gt;Inputs!$E$559,((1+Inputs!$E$559)*$E$129-Inputs!$E$559*$F$129)/(Inputs!$E$558-Inputs!$E$559),0),0)</f>
        <v>0</v>
      </c>
      <c r="K129" s="159">
        <f>IF('Revenue Calculation'!K7=2036,IF(Inputs!$E$558&gt;Inputs!$E$559,((1+Inputs!$E$559)*$E$129-Inputs!$E$559*$F$129)/(Inputs!$E$558-Inputs!$E$559),0),0)</f>
        <v>0</v>
      </c>
      <c r="L129" s="159">
        <f>IF('Revenue Calculation'!L7=2036,IF(Inputs!$E$558&gt;Inputs!$E$559,((1+Inputs!$E$559)*$E$129-Inputs!$E$559*$F$129)/(Inputs!$E$558-Inputs!$E$559),0),0)</f>
        <v>0</v>
      </c>
      <c r="M129" s="159">
        <f>IF('Revenue Calculation'!M7=2036,IF(Inputs!$E$558&gt;Inputs!$E$559,((1+Inputs!$E$559)*$E$129-Inputs!$E$559*$F$129)/(Inputs!$E$558-Inputs!$E$559),0),0)</f>
        <v>0</v>
      </c>
      <c r="N129" s="159">
        <f>IF('Revenue Calculation'!N7=2036,IF(Inputs!$E$558&gt;Inputs!$E$559,((1+Inputs!$E$559)*$E$129-Inputs!$E$559*$F$129)/(Inputs!$E$558-Inputs!$E$559),0),0)</f>
        <v>0</v>
      </c>
      <c r="O129" s="159">
        <f>IF('Revenue Calculation'!O7=2036,IF(Inputs!$E$558&gt;Inputs!$E$559,((1+Inputs!$E$559)*$E$129-Inputs!$E$559*$F$129)/(Inputs!$E$558-Inputs!$E$559),0),0)</f>
        <v>0</v>
      </c>
      <c r="P129" s="159">
        <f>IF('Revenue Calculation'!P7=2036,IF(Inputs!$E$558&gt;Inputs!$E$559,((1+Inputs!$E$559)*$E$129-Inputs!$E$559*$F$129)/(Inputs!$E$558-Inputs!$E$559),0),0)</f>
        <v>0</v>
      </c>
      <c r="Q129" s="159">
        <f>IF('Revenue Calculation'!Q7=2036,IF(Inputs!$E$558&gt;Inputs!$E$559,((1+Inputs!$E$559)*$E$129-Inputs!$E$559*$F$129)/(Inputs!$E$558-Inputs!$E$559),0),0)</f>
        <v>0</v>
      </c>
      <c r="R129" s="159">
        <f>IF('Revenue Calculation'!R7=2036,IF(Inputs!$E$558&gt;Inputs!$E$559,((1+Inputs!$E$559)*$E$129-Inputs!$E$559*$F$129)/(Inputs!$E$558-Inputs!$E$559),0),0)</f>
        <v>0</v>
      </c>
      <c r="S129" s="159">
        <f>IF('Revenue Calculation'!S7=2036,IF(Inputs!$E$558&gt;Inputs!$E$559,((1+Inputs!$E$559)*$E$129-Inputs!$E$559*$F$129)/(Inputs!$E$558-Inputs!$E$559),0),0)</f>
        <v>0</v>
      </c>
      <c r="T129" s="159">
        <f>IF('Revenue Calculation'!T7=2036,IF(Inputs!$E$558&gt;Inputs!$E$559,((1+Inputs!$E$559)*$E$129-Inputs!$E$559*$F$129)/(Inputs!$E$558-Inputs!$E$559),0),0)</f>
        <v>340.84853884386672</v>
      </c>
    </row>
    <row r="130" spans="2:20" x14ac:dyDescent="0.25">
      <c r="B130" s="23" t="s">
        <v>3231</v>
      </c>
      <c r="C130" s="28" t="s">
        <v>493</v>
      </c>
      <c r="G130" s="159">
        <f>-'Capex &amp; Depreciation'!$E$94*Inputs!$H$65</f>
        <v>-35.59860292814443</v>
      </c>
      <c r="H130" s="159">
        <f t="shared" ref="H130:T130" si="24">H128+H129</f>
        <v>-87.831000000000003</v>
      </c>
      <c r="I130" s="159">
        <f t="shared" si="24"/>
        <v>14.11917553200697</v>
      </c>
      <c r="J130" s="159">
        <f t="shared" si="24"/>
        <v>24.854344575236841</v>
      </c>
      <c r="K130" s="159">
        <f t="shared" si="24"/>
        <v>25.521076207362977</v>
      </c>
      <c r="L130" s="159">
        <f t="shared" si="24"/>
        <v>26.216032379230086</v>
      </c>
      <c r="M130" s="159">
        <f t="shared" si="24"/>
        <v>26.895674151303613</v>
      </c>
      <c r="N130" s="159">
        <f t="shared" si="24"/>
        <v>27.626185521385487</v>
      </c>
      <c r="O130" s="159">
        <f t="shared" si="24"/>
        <v>28.364027548813404</v>
      </c>
      <c r="P130" s="159">
        <f t="shared" si="24"/>
        <v>29.132822058287424</v>
      </c>
      <c r="Q130" s="159">
        <f t="shared" si="24"/>
        <v>29.883714788598049</v>
      </c>
      <c r="R130" s="159">
        <f t="shared" si="24"/>
        <v>30.690853222799319</v>
      </c>
      <c r="S130" s="159">
        <f t="shared" si="24"/>
        <v>31.505377247085189</v>
      </c>
      <c r="T130" s="159">
        <f t="shared" si="24"/>
        <v>373.2022407480157</v>
      </c>
    </row>
    <row r="131" spans="2:20" x14ac:dyDescent="0.25">
      <c r="B131" s="23" t="s">
        <v>3232</v>
      </c>
      <c r="C131" s="28" t="s">
        <v>493</v>
      </c>
      <c r="G131" s="159">
        <f>G130</f>
        <v>-35.59860292814443</v>
      </c>
      <c r="H131" s="159">
        <f t="shared" ref="H131:T131" si="25">G131+H128</f>
        <v>-123.42960292814443</v>
      </c>
      <c r="I131" s="159">
        <f t="shared" si="25"/>
        <v>-109.31042739613747</v>
      </c>
      <c r="J131" s="159">
        <f t="shared" si="25"/>
        <v>-84.456082820900633</v>
      </c>
      <c r="K131" s="159">
        <f t="shared" si="25"/>
        <v>-58.935006613537652</v>
      </c>
      <c r="L131" s="159">
        <f t="shared" si="25"/>
        <v>-32.718974234307566</v>
      </c>
      <c r="M131" s="159">
        <f t="shared" si="25"/>
        <v>-5.8233000830039536</v>
      </c>
      <c r="N131" s="159">
        <f t="shared" si="25"/>
        <v>21.802885438381534</v>
      </c>
      <c r="O131" s="159">
        <f t="shared" si="25"/>
        <v>50.166912987194934</v>
      </c>
      <c r="P131" s="159">
        <f t="shared" si="25"/>
        <v>79.29973504548235</v>
      </c>
      <c r="Q131" s="159">
        <f t="shared" si="25"/>
        <v>109.18344983408039</v>
      </c>
      <c r="R131" s="159">
        <f t="shared" si="25"/>
        <v>139.87430305687971</v>
      </c>
      <c r="S131" s="159">
        <f t="shared" si="25"/>
        <v>171.3796803039649</v>
      </c>
      <c r="T131" s="159">
        <f t="shared" si="25"/>
        <v>203.73338220811391</v>
      </c>
    </row>
    <row r="132" spans="2:20" x14ac:dyDescent="0.25">
      <c r="B132" s="154" t="s">
        <v>3239</v>
      </c>
    </row>
    <row r="133" spans="2:20" x14ac:dyDescent="0.25">
      <c r="B133" s="23" t="s">
        <v>3221</v>
      </c>
      <c r="C133" s="28" t="s">
        <v>493</v>
      </c>
      <c r="H133" s="29">
        <f>'Cost Calculation'!H145</f>
        <v>0</v>
      </c>
      <c r="I133" s="29">
        <f>'Cost Calculation'!I145</f>
        <v>0</v>
      </c>
      <c r="J133" s="29">
        <f>'Cost Calculation'!J145</f>
        <v>0</v>
      </c>
      <c r="K133" s="29">
        <f>'Cost Calculation'!K145</f>
        <v>21.209512799999999</v>
      </c>
      <c r="L133" s="29">
        <f>'Cost Calculation'!L145</f>
        <v>21.845798184</v>
      </c>
      <c r="M133" s="29">
        <f>'Cost Calculation'!M145</f>
        <v>22.501172129520004</v>
      </c>
      <c r="N133" s="29">
        <f>'Cost Calculation'!N145</f>
        <v>23.176207293405596</v>
      </c>
      <c r="O133" s="29">
        <f>'Cost Calculation'!O145</f>
        <v>23.871493512207774</v>
      </c>
      <c r="P133" s="29">
        <f>'Cost Calculation'!P145</f>
        <v>24.587638317574005</v>
      </c>
      <c r="Q133" s="29">
        <f>'Cost Calculation'!Q145</f>
        <v>25.325267467101231</v>
      </c>
      <c r="R133" s="29">
        <f>'Cost Calculation'!R145</f>
        <v>26.085025491114259</v>
      </c>
      <c r="S133" s="29">
        <f>'Cost Calculation'!S145</f>
        <v>26.867576255847695</v>
      </c>
      <c r="T133" s="29">
        <f>'Cost Calculation'!T145</f>
        <v>27.673603543523122</v>
      </c>
    </row>
    <row r="134" spans="2:20" x14ac:dyDescent="0.25">
      <c r="B134" s="23" t="s">
        <v>3222</v>
      </c>
      <c r="C134" s="28" t="s">
        <v>493</v>
      </c>
      <c r="H134" s="159">
        <f>'Cost Calculation'!H145-'Capex &amp; Depreciation'!H237</f>
        <v>0</v>
      </c>
      <c r="I134" s="159">
        <f>'Cost Calculation'!I145-'Capex &amp; Depreciation'!I237</f>
        <v>0</v>
      </c>
      <c r="J134" s="159">
        <f>'Cost Calculation'!J145-'Capex &amp; Depreciation'!J237</f>
        <v>0</v>
      </c>
      <c r="K134" s="159">
        <f>'Cost Calculation'!K145-'Capex &amp; Depreciation'!K237</f>
        <v>21.209512799999999</v>
      </c>
      <c r="L134" s="159">
        <f>'Cost Calculation'!L145-'Capex &amp; Depreciation'!L237</f>
        <v>21.845798184</v>
      </c>
      <c r="M134" s="159">
        <f>'Cost Calculation'!M145-'Capex &amp; Depreciation'!M237</f>
        <v>22.501172129520004</v>
      </c>
      <c r="N134" s="159">
        <f>'Cost Calculation'!N145-'Capex &amp; Depreciation'!N237</f>
        <v>23.176207293405596</v>
      </c>
      <c r="O134" s="159">
        <f>'Cost Calculation'!O145-'Capex &amp; Depreciation'!O237</f>
        <v>23.871493512207774</v>
      </c>
      <c r="P134" s="159">
        <f>'Cost Calculation'!P145-'Capex &amp; Depreciation'!P237</f>
        <v>24.587638317574005</v>
      </c>
      <c r="Q134" s="159">
        <f>'Cost Calculation'!Q145-'Capex &amp; Depreciation'!Q237</f>
        <v>25.325267467101231</v>
      </c>
      <c r="R134" s="159">
        <f>'Cost Calculation'!R145-'Capex &amp; Depreciation'!R237</f>
        <v>26.085025491114259</v>
      </c>
      <c r="S134" s="159">
        <f>'Cost Calculation'!S145-'Capex &amp; Depreciation'!S237</f>
        <v>26.867576255847695</v>
      </c>
      <c r="T134" s="159">
        <f>'Cost Calculation'!T145-'Capex &amp; Depreciation'!T237</f>
        <v>27.673603543523122</v>
      </c>
    </row>
    <row r="135" spans="2:20" x14ac:dyDescent="0.25">
      <c r="B135" s="23" t="s">
        <v>3223</v>
      </c>
      <c r="C135" s="28" t="s">
        <v>493</v>
      </c>
      <c r="H135" s="159">
        <f>0</f>
        <v>0</v>
      </c>
      <c r="I135" s="159">
        <f>0</f>
        <v>0</v>
      </c>
      <c r="J135" s="159">
        <f>0</f>
        <v>0</v>
      </c>
      <c r="K135" s="159">
        <f>0</f>
        <v>0</v>
      </c>
      <c r="L135" s="159">
        <f>0</f>
        <v>0</v>
      </c>
      <c r="M135" s="159">
        <f>0</f>
        <v>0</v>
      </c>
      <c r="N135" s="159">
        <f>0</f>
        <v>0</v>
      </c>
      <c r="O135" s="159">
        <f>0</f>
        <v>0</v>
      </c>
      <c r="P135" s="159">
        <f>0</f>
        <v>0</v>
      </c>
      <c r="Q135" s="159">
        <f>0</f>
        <v>0</v>
      </c>
      <c r="R135" s="159">
        <f>0</f>
        <v>0</v>
      </c>
      <c r="S135" s="159">
        <f>0</f>
        <v>0</v>
      </c>
      <c r="T135" s="159">
        <f>0</f>
        <v>0</v>
      </c>
    </row>
    <row r="136" spans="2:20" x14ac:dyDescent="0.25">
      <c r="B136" s="23" t="s">
        <v>3224</v>
      </c>
      <c r="C136" s="28" t="s">
        <v>493</v>
      </c>
      <c r="H136" s="159">
        <f>Inputs!H522*MAX(0,H134-H135)</f>
        <v>0</v>
      </c>
      <c r="I136" s="159">
        <f>Inputs!I522*MAX(0,I134-I135)</f>
        <v>0</v>
      </c>
      <c r="J136" s="159">
        <f>Inputs!J522*MAX(0,J134-J135)</f>
        <v>0</v>
      </c>
      <c r="K136" s="159">
        <f>Inputs!K522*MAX(0,K134-K135)</f>
        <v>4.6660928159999999</v>
      </c>
      <c r="L136" s="159">
        <f>Inputs!L522*MAX(0,L134-L135)</f>
        <v>4.8060756004799998</v>
      </c>
      <c r="M136" s="159">
        <f>Inputs!M522*MAX(0,M134-M135)</f>
        <v>4.9502578684944005</v>
      </c>
      <c r="N136" s="159">
        <f>Inputs!N522*MAX(0,N134-N135)</f>
        <v>5.0987656045492313</v>
      </c>
      <c r="O136" s="159">
        <f>Inputs!O522*MAX(0,O134-O135)</f>
        <v>5.2517285726857104</v>
      </c>
      <c r="P136" s="159">
        <f>Inputs!P522*MAX(0,P134-P135)</f>
        <v>5.4092804298662811</v>
      </c>
      <c r="Q136" s="159">
        <f>Inputs!Q522*MAX(0,Q134-Q135)</f>
        <v>5.5715588427622711</v>
      </c>
      <c r="R136" s="159">
        <f>Inputs!R522*MAX(0,R134-R135)</f>
        <v>5.7387056080451373</v>
      </c>
      <c r="S136" s="159">
        <f>Inputs!S522*MAX(0,S134-S135)</f>
        <v>5.9108667762864933</v>
      </c>
      <c r="T136" s="159">
        <f>Inputs!T522*MAX(0,T134-T135)</f>
        <v>6.0881927795750865</v>
      </c>
    </row>
    <row r="137" spans="2:20" x14ac:dyDescent="0.25">
      <c r="B137" s="23" t="s">
        <v>3225</v>
      </c>
      <c r="C137" s="28" t="s">
        <v>493</v>
      </c>
      <c r="H137" s="159">
        <f t="shared" ref="H137:T137" si="26">H134-H135-H136</f>
        <v>0</v>
      </c>
      <c r="I137" s="159">
        <f t="shared" si="26"/>
        <v>0</v>
      </c>
      <c r="J137" s="159">
        <f t="shared" si="26"/>
        <v>0</v>
      </c>
      <c r="K137" s="159">
        <f t="shared" si="26"/>
        <v>16.543419984</v>
      </c>
      <c r="L137" s="159">
        <f t="shared" si="26"/>
        <v>17.03972258352</v>
      </c>
      <c r="M137" s="159">
        <f t="shared" si="26"/>
        <v>17.550914261025603</v>
      </c>
      <c r="N137" s="159">
        <f t="shared" si="26"/>
        <v>18.077441688856364</v>
      </c>
      <c r="O137" s="159">
        <f t="shared" si="26"/>
        <v>18.619764939522064</v>
      </c>
      <c r="P137" s="159">
        <f t="shared" si="26"/>
        <v>19.178357887707723</v>
      </c>
      <c r="Q137" s="159">
        <f t="shared" si="26"/>
        <v>19.753708624338959</v>
      </c>
      <c r="R137" s="159">
        <f t="shared" si="26"/>
        <v>20.346319883069121</v>
      </c>
      <c r="S137" s="159">
        <f t="shared" si="26"/>
        <v>20.956709479561201</v>
      </c>
      <c r="T137" s="159">
        <f t="shared" si="26"/>
        <v>21.585410763948033</v>
      </c>
    </row>
    <row r="138" spans="2:20" x14ac:dyDescent="0.25">
      <c r="B138" s="23" t="s">
        <v>3226</v>
      </c>
      <c r="C138" s="28" t="s">
        <v>493</v>
      </c>
      <c r="H138" s="159">
        <f>-Inputs!H522*MAX(0,H134)</f>
        <v>0</v>
      </c>
      <c r="I138" s="159">
        <f>-Inputs!I522*MAX(0,I134)</f>
        <v>0</v>
      </c>
      <c r="J138" s="159">
        <f>-Inputs!J522*MAX(0,J134)</f>
        <v>0</v>
      </c>
      <c r="K138" s="159">
        <f>-Inputs!K522*MAX(0,K134)</f>
        <v>-4.6660928159999999</v>
      </c>
      <c r="L138" s="159">
        <f>-Inputs!L522*MAX(0,L134)</f>
        <v>-4.8060756004799998</v>
      </c>
      <c r="M138" s="159">
        <f>-Inputs!M522*MAX(0,M134)</f>
        <v>-4.9502578684944005</v>
      </c>
      <c r="N138" s="159">
        <f>-Inputs!N522*MAX(0,N134)</f>
        <v>-5.0987656045492313</v>
      </c>
      <c r="O138" s="159">
        <f>-Inputs!O522*MAX(0,O134)</f>
        <v>-5.2517285726857104</v>
      </c>
      <c r="P138" s="159">
        <f>-Inputs!P522*MAX(0,P134)</f>
        <v>-5.4092804298662811</v>
      </c>
      <c r="Q138" s="159">
        <f>-Inputs!Q522*MAX(0,Q134)</f>
        <v>-5.5715588427622711</v>
      </c>
      <c r="R138" s="159">
        <f>-Inputs!R522*MAX(0,R134)</f>
        <v>-5.7387056080451373</v>
      </c>
      <c r="S138" s="159">
        <f>-Inputs!S522*MAX(0,S134)</f>
        <v>-5.9108667762864933</v>
      </c>
      <c r="T138" s="159">
        <f>-Inputs!T522*MAX(0,T134)</f>
        <v>-6.0881927795750865</v>
      </c>
    </row>
    <row r="139" spans="2:20" x14ac:dyDescent="0.25">
      <c r="B139" s="23" t="s">
        <v>3227</v>
      </c>
      <c r="C139" s="28" t="s">
        <v>493</v>
      </c>
      <c r="H139" s="159">
        <f>-'Capex &amp; Depreciation'!H264</f>
        <v>0</v>
      </c>
      <c r="I139" s="159">
        <f>-'Capex &amp; Depreciation'!I264</f>
        <v>0</v>
      </c>
      <c r="J139" s="159">
        <f>-'Capex &amp; Depreciation'!J264</f>
        <v>-97.990000000000052</v>
      </c>
      <c r="K139" s="159">
        <f>-'Capex &amp; Depreciation'!K264</f>
        <v>0</v>
      </c>
      <c r="L139" s="159">
        <f>-'Capex &amp; Depreciation'!L264</f>
        <v>0</v>
      </c>
      <c r="M139" s="159">
        <f>-'Capex &amp; Depreciation'!M264</f>
        <v>0</v>
      </c>
      <c r="N139" s="159">
        <f>-'Capex &amp; Depreciation'!N264</f>
        <v>0</v>
      </c>
      <c r="O139" s="159">
        <f>-'Capex &amp; Depreciation'!O264</f>
        <v>0</v>
      </c>
      <c r="P139" s="159">
        <f>-'Capex &amp; Depreciation'!P264</f>
        <v>0</v>
      </c>
      <c r="Q139" s="159">
        <f>-'Capex &amp; Depreciation'!Q264</f>
        <v>0</v>
      </c>
      <c r="R139" s="159">
        <f>-'Capex &amp; Depreciation'!R264</f>
        <v>0</v>
      </c>
      <c r="S139" s="159">
        <f>-'Capex &amp; Depreciation'!S264</f>
        <v>0</v>
      </c>
      <c r="T139" s="159">
        <f>-'Capex &amp; Depreciation'!T264</f>
        <v>0</v>
      </c>
    </row>
    <row r="140" spans="2:20" x14ac:dyDescent="0.25">
      <c r="B140" s="23" t="s">
        <v>3228</v>
      </c>
      <c r="C140" s="28" t="s">
        <v>493</v>
      </c>
      <c r="H140" s="159">
        <f>-('Working Capital'!H39-'Working Capital'!G39)</f>
        <v>0</v>
      </c>
      <c r="I140" s="159">
        <f>-('Working Capital'!I39-'Working Capital'!H39)</f>
        <v>0</v>
      </c>
      <c r="J140" s="159">
        <f>-('Working Capital'!J39-'Working Capital'!I39)</f>
        <v>0</v>
      </c>
      <c r="K140" s="159">
        <f>-('Working Capital'!K39-'Working Capital'!J39)</f>
        <v>-6.1013666958904107</v>
      </c>
      <c r="L140" s="159">
        <f>-('Working Capital'!L39-'Working Capital'!K39)</f>
        <v>-0.16587048804401494</v>
      </c>
      <c r="M140" s="159">
        <f>-('Working Capital'!M39-'Working Capital'!L39)</f>
        <v>-0.20570274373571173</v>
      </c>
      <c r="N140" s="159">
        <f>-('Working Capital'!N39-'Working Capital'!M39)</f>
        <v>-0.19418819783010388</v>
      </c>
      <c r="O140" s="159">
        <f>-('Working Capital'!O39-'Working Capital'!N39)</f>
        <v>-0.2000138437650083</v>
      </c>
      <c r="P140" s="159">
        <f>-('Working Capital'!P39-'Working Capital'!O39)</f>
        <v>-0.18668869561253842</v>
      </c>
      <c r="Q140" s="159">
        <f>-('Working Capital'!Q39-'Working Capital'!P39)</f>
        <v>-0.23152025031571632</v>
      </c>
      <c r="R140" s="159">
        <f>-('Working Capital'!R39-'Working Capital'!Q39)</f>
        <v>-0.21856052745580268</v>
      </c>
      <c r="S140" s="159">
        <f>-('Working Capital'!S39-'Working Capital'!R39)</f>
        <v>-0.22511734327948307</v>
      </c>
      <c r="T140" s="159">
        <f>-('Working Capital'!T39-'Working Capital'!S39)</f>
        <v>-0.2101197716393175</v>
      </c>
    </row>
    <row r="141" spans="2:20" ht="26.25" customHeight="1" x14ac:dyDescent="0.25">
      <c r="B141" s="133" t="s">
        <v>3229</v>
      </c>
      <c r="C141" s="28" t="s">
        <v>493</v>
      </c>
      <c r="H141" s="160">
        <f t="shared" ref="H141:T141" si="27">H133+H138+H139+H140</f>
        <v>0</v>
      </c>
      <c r="I141" s="160">
        <f t="shared" si="27"/>
        <v>0</v>
      </c>
      <c r="J141" s="160">
        <f t="shared" si="27"/>
        <v>-97.990000000000052</v>
      </c>
      <c r="K141" s="160">
        <f t="shared" si="27"/>
        <v>10.442053288109589</v>
      </c>
      <c r="L141" s="160">
        <f t="shared" si="27"/>
        <v>16.873852095475986</v>
      </c>
      <c r="M141" s="160">
        <f t="shared" si="27"/>
        <v>17.34521151728989</v>
      </c>
      <c r="N141" s="160">
        <f t="shared" si="27"/>
        <v>17.883253491026259</v>
      </c>
      <c r="O141" s="160">
        <f t="shared" si="27"/>
        <v>18.419751095757057</v>
      </c>
      <c r="P141" s="160">
        <f t="shared" si="27"/>
        <v>18.991669192095184</v>
      </c>
      <c r="Q141" s="160">
        <f t="shared" si="27"/>
        <v>19.522188374023244</v>
      </c>
      <c r="R141" s="160">
        <f t="shared" si="27"/>
        <v>20.127759355613318</v>
      </c>
      <c r="S141" s="160">
        <f t="shared" si="27"/>
        <v>20.731592136281719</v>
      </c>
      <c r="T141" s="160">
        <f t="shared" si="27"/>
        <v>21.375290992308717</v>
      </c>
    </row>
    <row r="142" spans="2:20" x14ac:dyDescent="0.25">
      <c r="B142" s="23" t="s">
        <v>3230</v>
      </c>
      <c r="C142" s="28" t="s">
        <v>493</v>
      </c>
      <c r="E142" s="159">
        <f>'Cost Calculation'!T145-MAX(0,Inputs!$E$554*('Cost Calculation'!T145-Inputs!$E$550*'Revenue Calculation'!T111))-Inputs!$E$550*'Revenue Calculation'!T111</f>
        <v>19.426869687553232</v>
      </c>
      <c r="F142" s="29">
        <f>'Working Capital'!T39</f>
        <v>7.9391485575681076</v>
      </c>
      <c r="H142" s="159">
        <f>IF('Revenue Calculation'!H7=2036,IF(Inputs!$E$558&gt;Inputs!$E$559,((1+Inputs!$E$559)*$E$142-Inputs!$E$559*$F$142)/(Inputs!$E$558-Inputs!$E$559),0),0)</f>
        <v>0</v>
      </c>
      <c r="I142" s="159">
        <f>IF('Revenue Calculation'!I7=2036,IF(Inputs!$E$558&gt;Inputs!$E$559,((1+Inputs!$E$559)*$E$142-Inputs!$E$559*$F$142)/(Inputs!$E$558-Inputs!$E$559),0),0)</f>
        <v>0</v>
      </c>
      <c r="J142" s="159">
        <f>IF('Revenue Calculation'!J7=2036,IF(Inputs!$E$558&gt;Inputs!$E$559,((1+Inputs!$E$559)*$E$142-Inputs!$E$559*$F$142)/(Inputs!$E$558-Inputs!$E$559),0),0)</f>
        <v>0</v>
      </c>
      <c r="K142" s="159">
        <f>IF('Revenue Calculation'!K7=2036,IF(Inputs!$E$558&gt;Inputs!$E$559,((1+Inputs!$E$559)*$E$142-Inputs!$E$559*$F$142)/(Inputs!$E$558-Inputs!$E$559),0),0)</f>
        <v>0</v>
      </c>
      <c r="L142" s="159">
        <f>IF('Revenue Calculation'!L7=2036,IF(Inputs!$E$558&gt;Inputs!$E$559,((1+Inputs!$E$559)*$E$142-Inputs!$E$559*$F$142)/(Inputs!$E$558-Inputs!$E$559),0),0)</f>
        <v>0</v>
      </c>
      <c r="M142" s="159">
        <f>IF('Revenue Calculation'!M7=2036,IF(Inputs!$E$558&gt;Inputs!$E$559,((1+Inputs!$E$559)*$E$142-Inputs!$E$559*$F$142)/(Inputs!$E$558-Inputs!$E$559),0),0)</f>
        <v>0</v>
      </c>
      <c r="N142" s="159">
        <f>IF('Revenue Calculation'!N7=2036,IF(Inputs!$E$558&gt;Inputs!$E$559,((1+Inputs!$E$559)*$E$142-Inputs!$E$559*$F$142)/(Inputs!$E$558-Inputs!$E$559),0),0)</f>
        <v>0</v>
      </c>
      <c r="O142" s="159">
        <f>IF('Revenue Calculation'!O7=2036,IF(Inputs!$E$558&gt;Inputs!$E$559,((1+Inputs!$E$559)*$E$142-Inputs!$E$559*$F$142)/(Inputs!$E$558-Inputs!$E$559),0),0)</f>
        <v>0</v>
      </c>
      <c r="P142" s="159">
        <f>IF('Revenue Calculation'!P7=2036,IF(Inputs!$E$558&gt;Inputs!$E$559,((1+Inputs!$E$559)*$E$142-Inputs!$E$559*$F$142)/(Inputs!$E$558-Inputs!$E$559),0),0)</f>
        <v>0</v>
      </c>
      <c r="Q142" s="159">
        <f>IF('Revenue Calculation'!Q7=2036,IF(Inputs!$E$558&gt;Inputs!$E$559,((1+Inputs!$E$559)*$E$142-Inputs!$E$559*$F$142)/(Inputs!$E$558-Inputs!$E$559),0),0)</f>
        <v>0</v>
      </c>
      <c r="R142" s="159">
        <f>IF('Revenue Calculation'!R7=2036,IF(Inputs!$E$558&gt;Inputs!$E$559,((1+Inputs!$E$559)*$E$142-Inputs!$E$559*$F$142)/(Inputs!$E$558-Inputs!$E$559),0),0)</f>
        <v>0</v>
      </c>
      <c r="S142" s="159">
        <f>IF('Revenue Calculation'!S7=2036,IF(Inputs!$E$558&gt;Inputs!$E$559,((1+Inputs!$E$559)*$E$142-Inputs!$E$559*$F$142)/(Inputs!$E$558-Inputs!$E$559),0),0)</f>
        <v>0</v>
      </c>
      <c r="T142" s="159">
        <f>IF('Revenue Calculation'!T7=2036,IF(Inputs!$E$558&gt;Inputs!$E$559,((1+Inputs!$E$559)*$E$142-Inputs!$E$559*$F$142)/(Inputs!$E$558-Inputs!$E$559),0),0)</f>
        <v>222.9907467722683</v>
      </c>
    </row>
    <row r="143" spans="2:20" x14ac:dyDescent="0.25">
      <c r="B143" s="23" t="s">
        <v>3231</v>
      </c>
      <c r="C143" s="28" t="s">
        <v>493</v>
      </c>
      <c r="G143" s="159">
        <v>0</v>
      </c>
      <c r="H143" s="159">
        <f t="shared" ref="H143:T143" si="28">H141+H142</f>
        <v>0</v>
      </c>
      <c r="I143" s="159">
        <f t="shared" si="28"/>
        <v>0</v>
      </c>
      <c r="J143" s="159">
        <f t="shared" si="28"/>
        <v>-97.990000000000052</v>
      </c>
      <c r="K143" s="159">
        <f t="shared" si="28"/>
        <v>10.442053288109589</v>
      </c>
      <c r="L143" s="159">
        <f t="shared" si="28"/>
        <v>16.873852095475986</v>
      </c>
      <c r="M143" s="159">
        <f t="shared" si="28"/>
        <v>17.34521151728989</v>
      </c>
      <c r="N143" s="159">
        <f t="shared" si="28"/>
        <v>17.883253491026259</v>
      </c>
      <c r="O143" s="159">
        <f t="shared" si="28"/>
        <v>18.419751095757057</v>
      </c>
      <c r="P143" s="159">
        <f t="shared" si="28"/>
        <v>18.991669192095184</v>
      </c>
      <c r="Q143" s="159">
        <f t="shared" si="28"/>
        <v>19.522188374023244</v>
      </c>
      <c r="R143" s="159">
        <f t="shared" si="28"/>
        <v>20.127759355613318</v>
      </c>
      <c r="S143" s="159">
        <f t="shared" si="28"/>
        <v>20.731592136281719</v>
      </c>
      <c r="T143" s="159">
        <f t="shared" si="28"/>
        <v>244.36603776457702</v>
      </c>
    </row>
    <row r="144" spans="2:20" x14ac:dyDescent="0.25">
      <c r="B144" s="23" t="s">
        <v>3232</v>
      </c>
      <c r="C144" s="28" t="s">
        <v>493</v>
      </c>
      <c r="G144" s="159">
        <f>G143</f>
        <v>0</v>
      </c>
      <c r="H144" s="159">
        <f t="shared" ref="H144:T144" si="29">G144+H141</f>
        <v>0</v>
      </c>
      <c r="I144" s="159">
        <f t="shared" si="29"/>
        <v>0</v>
      </c>
      <c r="J144" s="159">
        <f t="shared" si="29"/>
        <v>-97.990000000000052</v>
      </c>
      <c r="K144" s="159">
        <f t="shared" si="29"/>
        <v>-87.547946711890461</v>
      </c>
      <c r="L144" s="159">
        <f t="shared" si="29"/>
        <v>-70.674094616414479</v>
      </c>
      <c r="M144" s="159">
        <f t="shared" si="29"/>
        <v>-53.328883099124589</v>
      </c>
      <c r="N144" s="159">
        <f t="shared" si="29"/>
        <v>-35.445629608098329</v>
      </c>
      <c r="O144" s="159">
        <f t="shared" si="29"/>
        <v>-17.025878512341272</v>
      </c>
      <c r="P144" s="159">
        <f t="shared" si="29"/>
        <v>1.965790679753912</v>
      </c>
      <c r="Q144" s="159">
        <f t="shared" si="29"/>
        <v>21.487979053777156</v>
      </c>
      <c r="R144" s="159">
        <f t="shared" si="29"/>
        <v>41.615738409390474</v>
      </c>
      <c r="S144" s="159">
        <f t="shared" si="29"/>
        <v>62.347330545672193</v>
      </c>
      <c r="T144" s="159">
        <f t="shared" si="29"/>
        <v>83.722621537980913</v>
      </c>
    </row>
    <row r="145" spans="2:20" x14ac:dyDescent="0.25">
      <c r="B145" s="154" t="s">
        <v>3240</v>
      </c>
    </row>
    <row r="146" spans="2:20" x14ac:dyDescent="0.25">
      <c r="B146" s="23" t="s">
        <v>3221</v>
      </c>
      <c r="C146" s="28" t="s">
        <v>493</v>
      </c>
      <c r="H146" s="29">
        <f>'Cost Calculation'!H149</f>
        <v>0</v>
      </c>
      <c r="I146" s="29">
        <f>'Cost Calculation'!I149</f>
        <v>0</v>
      </c>
      <c r="J146" s="29">
        <f>'Cost Calculation'!J149</f>
        <v>0</v>
      </c>
      <c r="K146" s="29">
        <f>'Cost Calculation'!K149</f>
        <v>13.1988</v>
      </c>
      <c r="L146" s="29">
        <f>'Cost Calculation'!L149</f>
        <v>13.1988</v>
      </c>
      <c r="M146" s="29">
        <f>'Cost Calculation'!M149</f>
        <v>13.1988</v>
      </c>
      <c r="N146" s="29">
        <f>'Cost Calculation'!N149</f>
        <v>13.1988</v>
      </c>
      <c r="O146" s="29">
        <f>'Cost Calculation'!O149</f>
        <v>13.1988</v>
      </c>
      <c r="P146" s="29">
        <f>'Cost Calculation'!P149</f>
        <v>13.1988</v>
      </c>
      <c r="Q146" s="29">
        <f>'Cost Calculation'!Q149</f>
        <v>13.1988</v>
      </c>
      <c r="R146" s="29">
        <f>'Cost Calculation'!R149</f>
        <v>13.1988</v>
      </c>
      <c r="S146" s="29">
        <f>'Cost Calculation'!S149</f>
        <v>13.1988</v>
      </c>
      <c r="T146" s="29">
        <f>'Cost Calculation'!T149</f>
        <v>13.1988</v>
      </c>
    </row>
    <row r="147" spans="2:20" x14ac:dyDescent="0.25">
      <c r="B147" s="23" t="s">
        <v>3222</v>
      </c>
      <c r="C147" s="28" t="s">
        <v>493</v>
      </c>
      <c r="H147" s="159">
        <f>'Cost Calculation'!H149-'Capex &amp; Depreciation'!H238</f>
        <v>0</v>
      </c>
      <c r="I147" s="159">
        <f>'Cost Calculation'!I149-'Capex &amp; Depreciation'!I238</f>
        <v>0</v>
      </c>
      <c r="J147" s="159">
        <f>'Cost Calculation'!J149-'Capex &amp; Depreciation'!J238</f>
        <v>0</v>
      </c>
      <c r="K147" s="159">
        <f>'Cost Calculation'!K149-'Capex &amp; Depreciation'!K238</f>
        <v>9.0070281250000033</v>
      </c>
      <c r="L147" s="159">
        <f>'Cost Calculation'!L149-'Capex &amp; Depreciation'!L238</f>
        <v>9.0070281250000033</v>
      </c>
      <c r="M147" s="159">
        <f>'Cost Calculation'!M149-'Capex &amp; Depreciation'!M238</f>
        <v>9.0070281250000033</v>
      </c>
      <c r="N147" s="159">
        <f>'Cost Calculation'!N149-'Capex &amp; Depreciation'!N238</f>
        <v>9.0070281250000033</v>
      </c>
      <c r="O147" s="159">
        <f>'Cost Calculation'!O149-'Capex &amp; Depreciation'!O238</f>
        <v>9.0070281250000033</v>
      </c>
      <c r="P147" s="159">
        <f>'Cost Calculation'!P149-'Capex &amp; Depreciation'!P238</f>
        <v>9.0070281250000033</v>
      </c>
      <c r="Q147" s="159">
        <f>'Cost Calculation'!Q149-'Capex &amp; Depreciation'!Q238</f>
        <v>9.0070281250000033</v>
      </c>
      <c r="R147" s="159">
        <f>'Cost Calculation'!R149-'Capex &amp; Depreciation'!R238</f>
        <v>9.0070281250000033</v>
      </c>
      <c r="S147" s="159">
        <f>'Cost Calculation'!S149-'Capex &amp; Depreciation'!S238</f>
        <v>9.0070281250000033</v>
      </c>
      <c r="T147" s="159">
        <f>'Cost Calculation'!T149-'Capex &amp; Depreciation'!T238</f>
        <v>9.0070281250000033</v>
      </c>
    </row>
    <row r="148" spans="2:20" x14ac:dyDescent="0.25">
      <c r="B148" s="23" t="s">
        <v>3223</v>
      </c>
      <c r="C148" s="28" t="s">
        <v>493</v>
      </c>
      <c r="H148" s="159">
        <f>0</f>
        <v>0</v>
      </c>
      <c r="I148" s="159">
        <f>0</f>
        <v>0</v>
      </c>
      <c r="J148" s="159">
        <f>0</f>
        <v>0</v>
      </c>
      <c r="K148" s="159">
        <f>0</f>
        <v>0</v>
      </c>
      <c r="L148" s="159">
        <f>0</f>
        <v>0</v>
      </c>
      <c r="M148" s="159">
        <f>0</f>
        <v>0</v>
      </c>
      <c r="N148" s="159">
        <f>0</f>
        <v>0</v>
      </c>
      <c r="O148" s="159">
        <f>0</f>
        <v>0</v>
      </c>
      <c r="P148" s="159">
        <f>0</f>
        <v>0</v>
      </c>
      <c r="Q148" s="159">
        <f>0</f>
        <v>0</v>
      </c>
      <c r="R148" s="159">
        <f>0</f>
        <v>0</v>
      </c>
      <c r="S148" s="159">
        <f>0</f>
        <v>0</v>
      </c>
      <c r="T148" s="159">
        <f>0</f>
        <v>0</v>
      </c>
    </row>
    <row r="149" spans="2:20" x14ac:dyDescent="0.25">
      <c r="B149" s="23" t="s">
        <v>3224</v>
      </c>
      <c r="C149" s="28" t="s">
        <v>493</v>
      </c>
      <c r="H149" s="159">
        <f>Inputs!H522*MAX(0,H147-H148)</f>
        <v>0</v>
      </c>
      <c r="I149" s="159">
        <f>Inputs!I522*MAX(0,I147-I148)</f>
        <v>0</v>
      </c>
      <c r="J149" s="159">
        <f>Inputs!J522*MAX(0,J147-J148)</f>
        <v>0</v>
      </c>
      <c r="K149" s="159">
        <f>Inputs!K522*MAX(0,K147-K148)</f>
        <v>1.9815461875000007</v>
      </c>
      <c r="L149" s="159">
        <f>Inputs!L522*MAX(0,L147-L148)</f>
        <v>1.9815461875000007</v>
      </c>
      <c r="M149" s="159">
        <f>Inputs!M522*MAX(0,M147-M148)</f>
        <v>1.9815461875000007</v>
      </c>
      <c r="N149" s="159">
        <f>Inputs!N522*MAX(0,N147-N148)</f>
        <v>1.9815461875000007</v>
      </c>
      <c r="O149" s="159">
        <f>Inputs!O522*MAX(0,O147-O148)</f>
        <v>1.9815461875000007</v>
      </c>
      <c r="P149" s="159">
        <f>Inputs!P522*MAX(0,P147-P148)</f>
        <v>1.9815461875000007</v>
      </c>
      <c r="Q149" s="159">
        <f>Inputs!Q522*MAX(0,Q147-Q148)</f>
        <v>1.9815461875000007</v>
      </c>
      <c r="R149" s="159">
        <f>Inputs!R522*MAX(0,R147-R148)</f>
        <v>1.9815461875000007</v>
      </c>
      <c r="S149" s="159">
        <f>Inputs!S522*MAX(0,S147-S148)</f>
        <v>1.9815461875000007</v>
      </c>
      <c r="T149" s="159">
        <f>Inputs!T522*MAX(0,T147-T148)</f>
        <v>1.9815461875000007</v>
      </c>
    </row>
    <row r="150" spans="2:20" x14ac:dyDescent="0.25">
      <c r="B150" s="23" t="s">
        <v>3225</v>
      </c>
      <c r="C150" s="28" t="s">
        <v>493</v>
      </c>
      <c r="H150" s="159">
        <f t="shared" ref="H150:T150" si="30">H147-H148-H149</f>
        <v>0</v>
      </c>
      <c r="I150" s="159">
        <f t="shared" si="30"/>
        <v>0</v>
      </c>
      <c r="J150" s="159">
        <f t="shared" si="30"/>
        <v>0</v>
      </c>
      <c r="K150" s="159">
        <f t="shared" si="30"/>
        <v>7.0254819375000022</v>
      </c>
      <c r="L150" s="159">
        <f t="shared" si="30"/>
        <v>7.0254819375000022</v>
      </c>
      <c r="M150" s="159">
        <f t="shared" si="30"/>
        <v>7.0254819375000022</v>
      </c>
      <c r="N150" s="159">
        <f t="shared" si="30"/>
        <v>7.0254819375000022</v>
      </c>
      <c r="O150" s="159">
        <f t="shared" si="30"/>
        <v>7.0254819375000022</v>
      </c>
      <c r="P150" s="159">
        <f t="shared" si="30"/>
        <v>7.0254819375000022</v>
      </c>
      <c r="Q150" s="159">
        <f t="shared" si="30"/>
        <v>7.0254819375000022</v>
      </c>
      <c r="R150" s="159">
        <f t="shared" si="30"/>
        <v>7.0254819375000022</v>
      </c>
      <c r="S150" s="159">
        <f t="shared" si="30"/>
        <v>7.0254819375000022</v>
      </c>
      <c r="T150" s="159">
        <f t="shared" si="30"/>
        <v>7.0254819375000022</v>
      </c>
    </row>
    <row r="151" spans="2:20" x14ac:dyDescent="0.25">
      <c r="B151" s="23" t="s">
        <v>3226</v>
      </c>
      <c r="C151" s="28" t="s">
        <v>493</v>
      </c>
      <c r="H151" s="159">
        <f>-Inputs!H522*MAX(0,H147)</f>
        <v>0</v>
      </c>
      <c r="I151" s="159">
        <f>-Inputs!I522*MAX(0,I147)</f>
        <v>0</v>
      </c>
      <c r="J151" s="159">
        <f>-Inputs!J522*MAX(0,J147)</f>
        <v>0</v>
      </c>
      <c r="K151" s="159">
        <f>-Inputs!K522*MAX(0,K147)</f>
        <v>-1.9815461875000007</v>
      </c>
      <c r="L151" s="159">
        <f>-Inputs!L522*MAX(0,L147)</f>
        <v>-1.9815461875000007</v>
      </c>
      <c r="M151" s="159">
        <f>-Inputs!M522*MAX(0,M147)</f>
        <v>-1.9815461875000007</v>
      </c>
      <c r="N151" s="159">
        <f>-Inputs!N522*MAX(0,N147)</f>
        <v>-1.9815461875000007</v>
      </c>
      <c r="O151" s="159">
        <f>-Inputs!O522*MAX(0,O147)</f>
        <v>-1.9815461875000007</v>
      </c>
      <c r="P151" s="159">
        <f>-Inputs!P522*MAX(0,P147)</f>
        <v>-1.9815461875000007</v>
      </c>
      <c r="Q151" s="159">
        <f>-Inputs!Q522*MAX(0,Q147)</f>
        <v>-1.9815461875000007</v>
      </c>
      <c r="R151" s="159">
        <f>-Inputs!R522*MAX(0,R147)</f>
        <v>-1.9815461875000007</v>
      </c>
      <c r="S151" s="159">
        <f>-Inputs!S522*MAX(0,S147)</f>
        <v>-1.9815461875000007</v>
      </c>
      <c r="T151" s="159">
        <f>-Inputs!T522*MAX(0,T147)</f>
        <v>-1.9815461875000007</v>
      </c>
    </row>
    <row r="152" spans="2:20" x14ac:dyDescent="0.25">
      <c r="B152" s="23" t="s">
        <v>3227</v>
      </c>
      <c r="C152" s="28" t="s">
        <v>493</v>
      </c>
      <c r="H152" s="159">
        <f>-'Capex &amp; Depreciation'!H265</f>
        <v>0</v>
      </c>
      <c r="I152" s="159">
        <f>-'Capex &amp; Depreciation'!I265</f>
        <v>0</v>
      </c>
      <c r="J152" s="159">
        <f>-'Capex &amp; Depreciation'!J265</f>
        <v>-61.193749999999952</v>
      </c>
      <c r="K152" s="159">
        <f>-'Capex &amp; Depreciation'!K265</f>
        <v>0</v>
      </c>
      <c r="L152" s="159">
        <f>-'Capex &amp; Depreciation'!L265</f>
        <v>0</v>
      </c>
      <c r="M152" s="159">
        <f>-'Capex &amp; Depreciation'!M265</f>
        <v>0</v>
      </c>
      <c r="N152" s="159">
        <f>-'Capex &amp; Depreciation'!N265</f>
        <v>0</v>
      </c>
      <c r="O152" s="159">
        <f>-'Capex &amp; Depreciation'!O265</f>
        <v>0</v>
      </c>
      <c r="P152" s="159">
        <f>-'Capex &amp; Depreciation'!P265</f>
        <v>0</v>
      </c>
      <c r="Q152" s="159">
        <f>-'Capex &amp; Depreciation'!Q265</f>
        <v>0</v>
      </c>
      <c r="R152" s="159">
        <f>-'Capex &amp; Depreciation'!R265</f>
        <v>0</v>
      </c>
      <c r="S152" s="159">
        <f>-'Capex &amp; Depreciation'!S265</f>
        <v>0</v>
      </c>
      <c r="T152" s="159">
        <f>-'Capex &amp; Depreciation'!T265</f>
        <v>0</v>
      </c>
    </row>
    <row r="153" spans="2:20" x14ac:dyDescent="0.25">
      <c r="B153" s="23" t="s">
        <v>3228</v>
      </c>
      <c r="C153" s="28" t="s">
        <v>493</v>
      </c>
      <c r="H153" s="159">
        <f>-('Working Capital'!H43-'Working Capital'!G43)</f>
        <v>0</v>
      </c>
      <c r="I153" s="159">
        <f>-('Working Capital'!I43-'Working Capital'!H43)</f>
        <v>0</v>
      </c>
      <c r="J153" s="159">
        <f>-('Working Capital'!J43-'Working Capital'!I43)</f>
        <v>0</v>
      </c>
      <c r="K153" s="159">
        <f>-('Working Capital'!K43-'Working Capital'!J43)</f>
        <v>-1.6347945205479453</v>
      </c>
      <c r="L153" s="159">
        <f>-('Working Capital'!L43-'Working Capital'!K43)</f>
        <v>4.4666516954861013E-3</v>
      </c>
      <c r="M153" s="159">
        <f>-('Working Capital'!M43-'Working Capital'!L43)</f>
        <v>-4.4666516954861013E-3</v>
      </c>
      <c r="N153" s="159">
        <f>-('Working Capital'!N43-'Working Capital'!M43)</f>
        <v>0</v>
      </c>
      <c r="O153" s="159">
        <f>-('Working Capital'!O43-'Working Capital'!N43)</f>
        <v>0</v>
      </c>
      <c r="P153" s="159">
        <f>-('Working Capital'!P43-'Working Capital'!O43)</f>
        <v>4.4666516954861013E-3</v>
      </c>
      <c r="Q153" s="159">
        <f>-('Working Capital'!Q43-'Working Capital'!P43)</f>
        <v>-4.4666516954861013E-3</v>
      </c>
      <c r="R153" s="159">
        <f>-('Working Capital'!R43-'Working Capital'!Q43)</f>
        <v>0</v>
      </c>
      <c r="S153" s="159">
        <f>-('Working Capital'!S43-'Working Capital'!R43)</f>
        <v>0</v>
      </c>
      <c r="T153" s="159">
        <f>-('Working Capital'!T43-'Working Capital'!S43)</f>
        <v>4.4666516954861013E-3</v>
      </c>
    </row>
    <row r="154" spans="2:20" ht="26.25" customHeight="1" x14ac:dyDescent="0.25">
      <c r="B154" s="133" t="s">
        <v>3229</v>
      </c>
      <c r="C154" s="28" t="s">
        <v>493</v>
      </c>
      <c r="H154" s="160">
        <f t="shared" ref="H154:T154" si="31">H146+H151+H152+H153</f>
        <v>0</v>
      </c>
      <c r="I154" s="160">
        <f t="shared" si="31"/>
        <v>0</v>
      </c>
      <c r="J154" s="160">
        <f t="shared" si="31"/>
        <v>-61.193749999999952</v>
      </c>
      <c r="K154" s="160">
        <f t="shared" si="31"/>
        <v>9.5824592919520537</v>
      </c>
      <c r="L154" s="160">
        <f t="shared" si="31"/>
        <v>11.221720464195485</v>
      </c>
      <c r="M154" s="160">
        <f t="shared" si="31"/>
        <v>11.212787160804513</v>
      </c>
      <c r="N154" s="160">
        <f t="shared" si="31"/>
        <v>11.217253812499999</v>
      </c>
      <c r="O154" s="160">
        <f t="shared" si="31"/>
        <v>11.217253812499999</v>
      </c>
      <c r="P154" s="160">
        <f t="shared" si="31"/>
        <v>11.221720464195485</v>
      </c>
      <c r="Q154" s="160">
        <f t="shared" si="31"/>
        <v>11.212787160804513</v>
      </c>
      <c r="R154" s="160">
        <f t="shared" si="31"/>
        <v>11.217253812499999</v>
      </c>
      <c r="S154" s="160">
        <f t="shared" si="31"/>
        <v>11.217253812499999</v>
      </c>
      <c r="T154" s="160">
        <f t="shared" si="31"/>
        <v>11.221720464195485</v>
      </c>
    </row>
    <row r="155" spans="2:20" x14ac:dyDescent="0.25">
      <c r="B155" s="23" t="s">
        <v>3230</v>
      </c>
      <c r="C155" s="28" t="s">
        <v>493</v>
      </c>
      <c r="E155" s="159">
        <f>'Cost Calculation'!T149-MAX(0,Inputs!$E$554*('Cost Calculation'!T149-Inputs!$E$550*'Revenue Calculation'!T115))-Inputs!$E$550*'Revenue Calculation'!T115</f>
        <v>9.8813519999999997</v>
      </c>
      <c r="F155" s="29">
        <f>'Working Capital'!T43</f>
        <v>1.6303278688524592</v>
      </c>
      <c r="H155" s="159">
        <f>IF('Revenue Calculation'!H7=2036,IF(Inputs!$E$558&gt;Inputs!$E$559,((1+Inputs!$E$559)*$E$155-Inputs!$E$559*$F$155)/(Inputs!$E$558-Inputs!$E$559),0),0)</f>
        <v>0</v>
      </c>
      <c r="I155" s="159">
        <f>IF('Revenue Calculation'!I7=2036,IF(Inputs!$E$558&gt;Inputs!$E$559,((1+Inputs!$E$559)*$E$155-Inputs!$E$559*$F$155)/(Inputs!$E$558-Inputs!$E$559),0),0)</f>
        <v>0</v>
      </c>
      <c r="J155" s="159">
        <f>IF('Revenue Calculation'!J7=2036,IF(Inputs!$E$558&gt;Inputs!$E$559,((1+Inputs!$E$559)*$E$155-Inputs!$E$559*$F$155)/(Inputs!$E$558-Inputs!$E$559),0),0)</f>
        <v>0</v>
      </c>
      <c r="K155" s="159">
        <f>IF('Revenue Calculation'!K7=2036,IF(Inputs!$E$558&gt;Inputs!$E$559,((1+Inputs!$E$559)*$E$155-Inputs!$E$559*$F$155)/(Inputs!$E$558-Inputs!$E$559),0),0)</f>
        <v>0</v>
      </c>
      <c r="L155" s="159">
        <f>IF('Revenue Calculation'!L7=2036,IF(Inputs!$E$558&gt;Inputs!$E$559,((1+Inputs!$E$559)*$E$155-Inputs!$E$559*$F$155)/(Inputs!$E$558-Inputs!$E$559),0),0)</f>
        <v>0</v>
      </c>
      <c r="M155" s="159">
        <f>IF('Revenue Calculation'!M7=2036,IF(Inputs!$E$558&gt;Inputs!$E$559,((1+Inputs!$E$559)*$E$155-Inputs!$E$559*$F$155)/(Inputs!$E$558-Inputs!$E$559),0),0)</f>
        <v>0</v>
      </c>
      <c r="N155" s="159">
        <f>IF('Revenue Calculation'!N7=2036,IF(Inputs!$E$558&gt;Inputs!$E$559,((1+Inputs!$E$559)*$E$155-Inputs!$E$559*$F$155)/(Inputs!$E$558-Inputs!$E$559),0),0)</f>
        <v>0</v>
      </c>
      <c r="O155" s="159">
        <f>IF('Revenue Calculation'!O7=2036,IF(Inputs!$E$558&gt;Inputs!$E$559,((1+Inputs!$E$559)*$E$155-Inputs!$E$559*$F$155)/(Inputs!$E$558-Inputs!$E$559),0),0)</f>
        <v>0</v>
      </c>
      <c r="P155" s="159">
        <f>IF('Revenue Calculation'!P7=2036,IF(Inputs!$E$558&gt;Inputs!$E$559,((1+Inputs!$E$559)*$E$155-Inputs!$E$559*$F$155)/(Inputs!$E$558-Inputs!$E$559),0),0)</f>
        <v>0</v>
      </c>
      <c r="Q155" s="159">
        <f>IF('Revenue Calculation'!Q7=2036,IF(Inputs!$E$558&gt;Inputs!$E$559,((1+Inputs!$E$559)*$E$155-Inputs!$E$559*$F$155)/(Inputs!$E$558-Inputs!$E$559),0),0)</f>
        <v>0</v>
      </c>
      <c r="R155" s="159">
        <f>IF('Revenue Calculation'!R7=2036,IF(Inputs!$E$558&gt;Inputs!$E$559,((1+Inputs!$E$559)*$E$155-Inputs!$E$559*$F$155)/(Inputs!$E$558-Inputs!$E$559),0),0)</f>
        <v>0</v>
      </c>
      <c r="S155" s="159">
        <f>IF('Revenue Calculation'!S7=2036,IF(Inputs!$E$558&gt;Inputs!$E$559,((1+Inputs!$E$559)*$E$155-Inputs!$E$559*$F$155)/(Inputs!$E$558-Inputs!$E$559),0),0)</f>
        <v>0</v>
      </c>
      <c r="T155" s="159">
        <f>IF('Revenue Calculation'!T7=2036,IF(Inputs!$E$558&gt;Inputs!$E$559,((1+Inputs!$E$559)*$E$155-Inputs!$E$559*$F$155)/(Inputs!$E$558-Inputs!$E$559),0),0)</f>
        <v>114.23751215736723</v>
      </c>
    </row>
    <row r="156" spans="2:20" x14ac:dyDescent="0.25">
      <c r="B156" s="23" t="s">
        <v>3231</v>
      </c>
      <c r="C156" s="28" t="s">
        <v>493</v>
      </c>
      <c r="G156" s="159">
        <v>0</v>
      </c>
      <c r="H156" s="159">
        <f t="shared" ref="H156:T156" si="32">H154+H155</f>
        <v>0</v>
      </c>
      <c r="I156" s="159">
        <f t="shared" si="32"/>
        <v>0</v>
      </c>
      <c r="J156" s="159">
        <f t="shared" si="32"/>
        <v>-61.193749999999952</v>
      </c>
      <c r="K156" s="159">
        <f t="shared" si="32"/>
        <v>9.5824592919520537</v>
      </c>
      <c r="L156" s="159">
        <f t="shared" si="32"/>
        <v>11.221720464195485</v>
      </c>
      <c r="M156" s="159">
        <f t="shared" si="32"/>
        <v>11.212787160804513</v>
      </c>
      <c r="N156" s="159">
        <f t="shared" si="32"/>
        <v>11.217253812499999</v>
      </c>
      <c r="O156" s="159">
        <f t="shared" si="32"/>
        <v>11.217253812499999</v>
      </c>
      <c r="P156" s="159">
        <f t="shared" si="32"/>
        <v>11.221720464195485</v>
      </c>
      <c r="Q156" s="159">
        <f t="shared" si="32"/>
        <v>11.212787160804513</v>
      </c>
      <c r="R156" s="159">
        <f t="shared" si="32"/>
        <v>11.217253812499999</v>
      </c>
      <c r="S156" s="159">
        <f t="shared" si="32"/>
        <v>11.217253812499999</v>
      </c>
      <c r="T156" s="159">
        <f t="shared" si="32"/>
        <v>125.45923262156272</v>
      </c>
    </row>
    <row r="157" spans="2:20" x14ac:dyDescent="0.25">
      <c r="B157" s="23" t="s">
        <v>3232</v>
      </c>
      <c r="C157" s="28" t="s">
        <v>493</v>
      </c>
      <c r="G157" s="159">
        <f>G156</f>
        <v>0</v>
      </c>
      <c r="H157" s="159">
        <f t="shared" ref="H157:T157" si="33">G157+H154</f>
        <v>0</v>
      </c>
      <c r="I157" s="159">
        <f t="shared" si="33"/>
        <v>0</v>
      </c>
      <c r="J157" s="159">
        <f t="shared" si="33"/>
        <v>-61.193749999999952</v>
      </c>
      <c r="K157" s="159">
        <f t="shared" si="33"/>
        <v>-51.611290708047896</v>
      </c>
      <c r="L157" s="159">
        <f t="shared" si="33"/>
        <v>-40.389570243852411</v>
      </c>
      <c r="M157" s="159">
        <f t="shared" si="33"/>
        <v>-29.176783083047898</v>
      </c>
      <c r="N157" s="159">
        <f t="shared" si="33"/>
        <v>-17.959529270547897</v>
      </c>
      <c r="O157" s="159">
        <f t="shared" si="33"/>
        <v>-6.7422754580478976</v>
      </c>
      <c r="P157" s="159">
        <f t="shared" si="33"/>
        <v>4.4794450061475874</v>
      </c>
      <c r="Q157" s="159">
        <f t="shared" si="33"/>
        <v>15.692232166952101</v>
      </c>
      <c r="R157" s="159">
        <f t="shared" si="33"/>
        <v>26.9094859794521</v>
      </c>
      <c r="S157" s="159">
        <f t="shared" si="33"/>
        <v>38.126739791952097</v>
      </c>
      <c r="T157" s="159">
        <f t="shared" si="33"/>
        <v>49.348460256147582</v>
      </c>
    </row>
    <row r="158" spans="2:20" x14ac:dyDescent="0.25">
      <c r="B158" s="154" t="s">
        <v>3241</v>
      </c>
    </row>
    <row r="159" spans="2:20" x14ac:dyDescent="0.25">
      <c r="B159" s="23" t="s">
        <v>3221</v>
      </c>
      <c r="C159" s="28" t="s">
        <v>493</v>
      </c>
      <c r="H159" s="29">
        <f>'Cost Calculation'!H153</f>
        <v>0</v>
      </c>
      <c r="I159" s="29">
        <f>'Cost Calculation'!I153</f>
        <v>0</v>
      </c>
      <c r="J159" s="29">
        <f>'Cost Calculation'!J153</f>
        <v>25.750817431877248</v>
      </c>
      <c r="K159" s="29">
        <f>'Cost Calculation'!K153</f>
        <v>25.239143428419755</v>
      </c>
      <c r="L159" s="29">
        <f>'Cost Calculation'!L153</f>
        <v>24.714677574875843</v>
      </c>
      <c r="M159" s="29">
        <f>'Cost Calculation'!M153</f>
        <v>27.049422815567464</v>
      </c>
      <c r="N159" s="29">
        <f>'Cost Calculation'!N153</f>
        <v>26.051324407661717</v>
      </c>
      <c r="O159" s="29">
        <f>'Cost Calculation'!O153</f>
        <v>25.696264621595105</v>
      </c>
      <c r="P159" s="29">
        <f>'Cost Calculation'!P153</f>
        <v>25.107839534618574</v>
      </c>
      <c r="Q159" s="29">
        <f>'Cost Calculation'!Q153</f>
        <v>27.554523579283629</v>
      </c>
      <c r="R159" s="29">
        <f>'Cost Calculation'!R153</f>
        <v>26.926015128449325</v>
      </c>
      <c r="S159" s="29">
        <f>'Cost Calculation'!S153</f>
        <v>25.843606347303687</v>
      </c>
      <c r="T159" s="29">
        <f>'Cost Calculation'!T153</f>
        <v>25.577648513282274</v>
      </c>
    </row>
    <row r="160" spans="2:20" x14ac:dyDescent="0.25">
      <c r="B160" s="23" t="s">
        <v>3222</v>
      </c>
      <c r="C160" s="28" t="s">
        <v>493</v>
      </c>
      <c r="H160" s="159">
        <f>'Cost Calculation'!H153-'Capex &amp; Depreciation'!H239</f>
        <v>0</v>
      </c>
      <c r="I160" s="159">
        <f>'Cost Calculation'!I153-'Capex &amp; Depreciation'!I239</f>
        <v>0</v>
      </c>
      <c r="J160" s="159">
        <f>'Cost Calculation'!J153-'Capex &amp; Depreciation'!J239</f>
        <v>16.890265050924867</v>
      </c>
      <c r="K160" s="159">
        <f>'Cost Calculation'!K153-'Capex &amp; Depreciation'!K239</f>
        <v>16.378591047467374</v>
      </c>
      <c r="L160" s="159">
        <f>'Cost Calculation'!L153-'Capex &amp; Depreciation'!L239</f>
        <v>15.854125193923464</v>
      </c>
      <c r="M160" s="159">
        <f>'Cost Calculation'!M153-'Capex &amp; Depreciation'!M239</f>
        <v>18.188870434615083</v>
      </c>
      <c r="N160" s="159">
        <f>'Cost Calculation'!N153-'Capex &amp; Depreciation'!N239</f>
        <v>17.19077202670934</v>
      </c>
      <c r="O160" s="159">
        <f>'Cost Calculation'!O153-'Capex &amp; Depreciation'!O239</f>
        <v>16.835712240642728</v>
      </c>
      <c r="P160" s="159">
        <f>'Cost Calculation'!P153-'Capex &amp; Depreciation'!P239</f>
        <v>16.247287153666193</v>
      </c>
      <c r="Q160" s="159">
        <f>'Cost Calculation'!Q153-'Capex &amp; Depreciation'!Q239</f>
        <v>18.693971198331248</v>
      </c>
      <c r="R160" s="159">
        <f>'Cost Calculation'!R153-'Capex &amp; Depreciation'!R239</f>
        <v>23.603307985592185</v>
      </c>
      <c r="S160" s="159">
        <f>'Cost Calculation'!S153-'Capex &amp; Depreciation'!S239</f>
        <v>22.520899204446547</v>
      </c>
      <c r="T160" s="159">
        <f>'Cost Calculation'!T153-'Capex &amp; Depreciation'!T239</f>
        <v>22.254941370425133</v>
      </c>
    </row>
    <row r="161" spans="2:20" x14ac:dyDescent="0.25">
      <c r="B161" s="23" t="s">
        <v>3223</v>
      </c>
      <c r="C161" s="28" t="s">
        <v>493</v>
      </c>
      <c r="H161" s="159">
        <f>0</f>
        <v>0</v>
      </c>
      <c r="I161" s="159">
        <f>0</f>
        <v>0</v>
      </c>
      <c r="J161" s="159">
        <f>0</f>
        <v>0</v>
      </c>
      <c r="K161" s="159">
        <f>0</f>
        <v>0</v>
      </c>
      <c r="L161" s="159">
        <f>0</f>
        <v>0</v>
      </c>
      <c r="M161" s="159">
        <f>0</f>
        <v>0</v>
      </c>
      <c r="N161" s="159">
        <f>0</f>
        <v>0</v>
      </c>
      <c r="O161" s="159">
        <f>0</f>
        <v>0</v>
      </c>
      <c r="P161" s="159">
        <f>0</f>
        <v>0</v>
      </c>
      <c r="Q161" s="159">
        <f>0</f>
        <v>0</v>
      </c>
      <c r="R161" s="159">
        <f>0</f>
        <v>0</v>
      </c>
      <c r="S161" s="159">
        <f>0</f>
        <v>0</v>
      </c>
      <c r="T161" s="159">
        <f>0</f>
        <v>0</v>
      </c>
    </row>
    <row r="162" spans="2:20" x14ac:dyDescent="0.25">
      <c r="B162" s="23" t="s">
        <v>3224</v>
      </c>
      <c r="C162" s="28" t="s">
        <v>493</v>
      </c>
      <c r="H162" s="159">
        <f>Inputs!H522*MAX(0,H160-H161)</f>
        <v>0</v>
      </c>
      <c r="I162" s="159">
        <f>Inputs!I522*MAX(0,I160-I161)</f>
        <v>0</v>
      </c>
      <c r="J162" s="159">
        <f>Inputs!J522*MAX(0,J160-J161)</f>
        <v>3.7158583112034709</v>
      </c>
      <c r="K162" s="159">
        <f>Inputs!K522*MAX(0,K160-K161)</f>
        <v>3.6032900304428224</v>
      </c>
      <c r="L162" s="159">
        <f>Inputs!L522*MAX(0,L160-L161)</f>
        <v>3.4879075426631618</v>
      </c>
      <c r="M162" s="159">
        <f>Inputs!M522*MAX(0,M160-M161)</f>
        <v>4.0015514956153186</v>
      </c>
      <c r="N162" s="159">
        <f>Inputs!N522*MAX(0,N160-N161)</f>
        <v>3.7819698458760547</v>
      </c>
      <c r="O162" s="159">
        <f>Inputs!O522*MAX(0,O160-O161)</f>
        <v>3.7038566929414003</v>
      </c>
      <c r="P162" s="159">
        <f>Inputs!P522*MAX(0,P160-P161)</f>
        <v>3.5744031738065623</v>
      </c>
      <c r="Q162" s="159">
        <f>Inputs!Q522*MAX(0,Q160-Q161)</f>
        <v>4.1126736636328749</v>
      </c>
      <c r="R162" s="159">
        <f>Inputs!R522*MAX(0,R160-R161)</f>
        <v>5.1927277568302808</v>
      </c>
      <c r="S162" s="159">
        <f>Inputs!S522*MAX(0,S160-S161)</f>
        <v>4.9545978249782401</v>
      </c>
      <c r="T162" s="159">
        <f>Inputs!T522*MAX(0,T160-T161)</f>
        <v>4.8960871014935297</v>
      </c>
    </row>
    <row r="163" spans="2:20" x14ac:dyDescent="0.25">
      <c r="B163" s="23" t="s">
        <v>3225</v>
      </c>
      <c r="C163" s="28" t="s">
        <v>493</v>
      </c>
      <c r="H163" s="159">
        <f t="shared" ref="H163:T163" si="34">H160-H161-H162</f>
        <v>0</v>
      </c>
      <c r="I163" s="159">
        <f t="shared" si="34"/>
        <v>0</v>
      </c>
      <c r="J163" s="159">
        <f t="shared" si="34"/>
        <v>13.174406739721396</v>
      </c>
      <c r="K163" s="159">
        <f t="shared" si="34"/>
        <v>12.775301017024551</v>
      </c>
      <c r="L163" s="159">
        <f t="shared" si="34"/>
        <v>12.366217651260301</v>
      </c>
      <c r="M163" s="159">
        <f t="shared" si="34"/>
        <v>14.187318938999764</v>
      </c>
      <c r="N163" s="159">
        <f t="shared" si="34"/>
        <v>13.408802180833284</v>
      </c>
      <c r="O163" s="159">
        <f t="shared" si="34"/>
        <v>13.131855547701328</v>
      </c>
      <c r="P163" s="159">
        <f t="shared" si="34"/>
        <v>12.67288397985963</v>
      </c>
      <c r="Q163" s="159">
        <f t="shared" si="34"/>
        <v>14.581297534698372</v>
      </c>
      <c r="R163" s="159">
        <f t="shared" si="34"/>
        <v>18.410580228761905</v>
      </c>
      <c r="S163" s="159">
        <f t="shared" si="34"/>
        <v>17.566301379468307</v>
      </c>
      <c r="T163" s="159">
        <f t="shared" si="34"/>
        <v>17.358854268931601</v>
      </c>
    </row>
    <row r="164" spans="2:20" x14ac:dyDescent="0.25">
      <c r="B164" s="23" t="s">
        <v>3226</v>
      </c>
      <c r="C164" s="28" t="s">
        <v>493</v>
      </c>
      <c r="H164" s="159">
        <f>-Inputs!H522*MAX(0,H160)</f>
        <v>0</v>
      </c>
      <c r="I164" s="159">
        <f>-Inputs!I522*MAX(0,I160)</f>
        <v>0</v>
      </c>
      <c r="J164" s="159">
        <f>-Inputs!J522*MAX(0,J160)</f>
        <v>-3.7158583112034709</v>
      </c>
      <c r="K164" s="159">
        <f>-Inputs!K522*MAX(0,K160)</f>
        <v>-3.6032900304428224</v>
      </c>
      <c r="L164" s="159">
        <f>-Inputs!L522*MAX(0,L160)</f>
        <v>-3.4879075426631618</v>
      </c>
      <c r="M164" s="159">
        <f>-Inputs!M522*MAX(0,M160)</f>
        <v>-4.0015514956153186</v>
      </c>
      <c r="N164" s="159">
        <f>-Inputs!N522*MAX(0,N160)</f>
        <v>-3.7819698458760547</v>
      </c>
      <c r="O164" s="159">
        <f>-Inputs!O522*MAX(0,O160)</f>
        <v>-3.7038566929414003</v>
      </c>
      <c r="P164" s="159">
        <f>-Inputs!P522*MAX(0,P160)</f>
        <v>-3.5744031738065623</v>
      </c>
      <c r="Q164" s="159">
        <f>-Inputs!Q522*MAX(0,Q160)</f>
        <v>-4.1126736636328749</v>
      </c>
      <c r="R164" s="159">
        <f>-Inputs!R522*MAX(0,R160)</f>
        <v>-5.1927277568302808</v>
      </c>
      <c r="S164" s="159">
        <f>-Inputs!S522*MAX(0,S160)</f>
        <v>-4.9545978249782401</v>
      </c>
      <c r="T164" s="159">
        <f>-Inputs!T522*MAX(0,T160)</f>
        <v>-4.8960871014935297</v>
      </c>
    </row>
    <row r="165" spans="2:20" x14ac:dyDescent="0.25">
      <c r="B165" s="23" t="s">
        <v>3227</v>
      </c>
      <c r="C165" s="28" t="s">
        <v>493</v>
      </c>
      <c r="H165" s="159">
        <f>-'Capex &amp; Depreciation'!H266</f>
        <v>0</v>
      </c>
      <c r="I165" s="159">
        <f>-'Capex &amp; Depreciation'!I266</f>
        <v>0</v>
      </c>
      <c r="J165" s="159">
        <f>-'Capex &amp; Depreciation'!J266</f>
        <v>-105.47077976190474</v>
      </c>
      <c r="K165" s="159">
        <f>-'Capex &amp; Depreciation'!K266</f>
        <v>-5.2861249999999975</v>
      </c>
      <c r="L165" s="159">
        <f>-'Capex &amp; Depreciation'!L266</f>
        <v>0</v>
      </c>
      <c r="M165" s="159">
        <f>-'Capex &amp; Depreciation'!M266</f>
        <v>0</v>
      </c>
      <c r="N165" s="159">
        <f>-'Capex &amp; Depreciation'!N266</f>
        <v>0</v>
      </c>
      <c r="O165" s="159">
        <f>-'Capex &amp; Depreciation'!O266</f>
        <v>0</v>
      </c>
      <c r="P165" s="159">
        <f>-'Capex &amp; Depreciation'!P266</f>
        <v>0</v>
      </c>
      <c r="Q165" s="159">
        <f>-'Capex &amp; Depreciation'!Q266</f>
        <v>0</v>
      </c>
      <c r="R165" s="159">
        <f>-'Capex &amp; Depreciation'!R266</f>
        <v>0</v>
      </c>
      <c r="S165" s="159">
        <f>-'Capex &amp; Depreciation'!S266</f>
        <v>0</v>
      </c>
      <c r="T165" s="159">
        <f>-'Capex &amp; Depreciation'!T266</f>
        <v>0</v>
      </c>
    </row>
    <row r="166" spans="2:20" x14ac:dyDescent="0.25">
      <c r="B166" s="23" t="s">
        <v>3228</v>
      </c>
      <c r="C166" s="28" t="s">
        <v>493</v>
      </c>
      <c r="H166" s="159">
        <f>-('Working Capital'!H47-'Working Capital'!G47)</f>
        <v>0</v>
      </c>
      <c r="I166" s="159">
        <f>-('Working Capital'!I47-'Working Capital'!H47)</f>
        <v>0</v>
      </c>
      <c r="J166" s="159">
        <f>-('Working Capital'!J47-'Working Capital'!I47)</f>
        <v>-5.9301369863013695</v>
      </c>
      <c r="K166" s="159">
        <f>-('Working Capital'!K47-'Working Capital'!J47)</f>
        <v>0</v>
      </c>
      <c r="L166" s="159">
        <f>-('Working Capital'!L47-'Working Capital'!K47)</f>
        <v>1.6202560071861605E-2</v>
      </c>
      <c r="M166" s="159">
        <f>-('Working Capital'!M47-'Working Capital'!L47)</f>
        <v>-0.42522173815405306</v>
      </c>
      <c r="N166" s="159">
        <f>-('Working Capital'!N47-'Working Capital'!M47)</f>
        <v>0</v>
      </c>
      <c r="O166" s="159">
        <f>-('Working Capital'!O47-'Working Capital'!N47)</f>
        <v>0</v>
      </c>
      <c r="P166" s="159">
        <f>-('Working Capital'!P47-'Working Capital'!O47)</f>
        <v>1.7320098809790352E-2</v>
      </c>
      <c r="Q166" s="159">
        <f>-('Working Capital'!Q47-'Working Capital'!P47)</f>
        <v>-0.45506524511116098</v>
      </c>
      <c r="R166" s="159">
        <f>-('Working Capital'!R47-'Working Capital'!Q47)</f>
        <v>0</v>
      </c>
      <c r="S166" s="159">
        <f>-('Working Capital'!S47-'Working Capital'!R47)</f>
        <v>0</v>
      </c>
      <c r="T166" s="159">
        <f>-('Working Capital'!T47-'Working Capital'!S47)</f>
        <v>1.8516123799685147E-2</v>
      </c>
    </row>
    <row r="167" spans="2:20" ht="26.25" customHeight="1" x14ac:dyDescent="0.25">
      <c r="B167" s="133" t="s">
        <v>3229</v>
      </c>
      <c r="C167" s="28" t="s">
        <v>493</v>
      </c>
      <c r="H167" s="160">
        <f t="shared" ref="H167:T167" si="35">H159+H164+H165+H166</f>
        <v>0</v>
      </c>
      <c r="I167" s="160">
        <f t="shared" si="35"/>
        <v>0</v>
      </c>
      <c r="J167" s="160">
        <f t="shared" si="35"/>
        <v>-89.365957627532325</v>
      </c>
      <c r="K167" s="160">
        <f t="shared" si="35"/>
        <v>16.349728397976936</v>
      </c>
      <c r="L167" s="160">
        <f t="shared" si="35"/>
        <v>21.242972592284541</v>
      </c>
      <c r="M167" s="160">
        <f t="shared" si="35"/>
        <v>22.62264958179809</v>
      </c>
      <c r="N167" s="160">
        <f t="shared" si="35"/>
        <v>22.269354561785661</v>
      </c>
      <c r="O167" s="160">
        <f t="shared" si="35"/>
        <v>21.992407928653705</v>
      </c>
      <c r="P167" s="160">
        <f t="shared" si="35"/>
        <v>21.550756459621802</v>
      </c>
      <c r="Q167" s="160">
        <f t="shared" si="35"/>
        <v>22.986784670539592</v>
      </c>
      <c r="R167" s="160">
        <f t="shared" si="35"/>
        <v>21.733287371619046</v>
      </c>
      <c r="S167" s="160">
        <f t="shared" si="35"/>
        <v>20.889008522325447</v>
      </c>
      <c r="T167" s="160">
        <f t="shared" si="35"/>
        <v>20.700077535588427</v>
      </c>
    </row>
    <row r="168" spans="2:20" x14ac:dyDescent="0.25">
      <c r="B168" s="23" t="s">
        <v>3230</v>
      </c>
      <c r="C168" s="28" t="s">
        <v>493</v>
      </c>
      <c r="E168" s="159">
        <f>'Cost Calculation'!T153-MAX(0,Inputs!$E$554*('Cost Calculation'!T153-Inputs!$E$550*'Revenue Calculation'!T122))-Inputs!$E$550*'Revenue Calculation'!T122</f>
        <v>18.235558015336174</v>
      </c>
      <c r="F168" s="29">
        <f>'Working Capital'!T47</f>
        <v>6.7583851868852465</v>
      </c>
      <c r="H168" s="159">
        <f>IF('Revenue Calculation'!H7=2036,IF(Inputs!$E$558&gt;Inputs!$E$559,((1+Inputs!$E$559)*$E$168-Inputs!$E$559*$F$168)/(Inputs!$E$558-Inputs!$E$559),0),0)</f>
        <v>0</v>
      </c>
      <c r="I168" s="159">
        <f>IF('Revenue Calculation'!I7=2036,IF(Inputs!$E$558&gt;Inputs!$E$559,((1+Inputs!$E$559)*$E$168-Inputs!$E$559*$F$168)/(Inputs!$E$558-Inputs!$E$559),0),0)</f>
        <v>0</v>
      </c>
      <c r="J168" s="159">
        <f>IF('Revenue Calculation'!J7=2036,IF(Inputs!$E$558&gt;Inputs!$E$559,((1+Inputs!$E$559)*$E$168-Inputs!$E$559*$F$168)/(Inputs!$E$558-Inputs!$E$559),0),0)</f>
        <v>0</v>
      </c>
      <c r="K168" s="159">
        <f>IF('Revenue Calculation'!K7=2036,IF(Inputs!$E$558&gt;Inputs!$E$559,((1+Inputs!$E$559)*$E$168-Inputs!$E$559*$F$168)/(Inputs!$E$558-Inputs!$E$559),0),0)</f>
        <v>0</v>
      </c>
      <c r="L168" s="159">
        <f>IF('Revenue Calculation'!L7=2036,IF(Inputs!$E$558&gt;Inputs!$E$559,((1+Inputs!$E$559)*$E$168-Inputs!$E$559*$F$168)/(Inputs!$E$558-Inputs!$E$559),0),0)</f>
        <v>0</v>
      </c>
      <c r="M168" s="159">
        <f>IF('Revenue Calculation'!M7=2036,IF(Inputs!$E$558&gt;Inputs!$E$559,((1+Inputs!$E$559)*$E$168-Inputs!$E$559*$F$168)/(Inputs!$E$558-Inputs!$E$559),0),0)</f>
        <v>0</v>
      </c>
      <c r="N168" s="159">
        <f>IF('Revenue Calculation'!N7=2036,IF(Inputs!$E$558&gt;Inputs!$E$559,((1+Inputs!$E$559)*$E$168-Inputs!$E$559*$F$168)/(Inputs!$E$558-Inputs!$E$559),0),0)</f>
        <v>0</v>
      </c>
      <c r="O168" s="159">
        <f>IF('Revenue Calculation'!O7=2036,IF(Inputs!$E$558&gt;Inputs!$E$559,((1+Inputs!$E$559)*$E$168-Inputs!$E$559*$F$168)/(Inputs!$E$558-Inputs!$E$559),0),0)</f>
        <v>0</v>
      </c>
      <c r="P168" s="159">
        <f>IF('Revenue Calculation'!P7=2036,IF(Inputs!$E$558&gt;Inputs!$E$559,((1+Inputs!$E$559)*$E$168-Inputs!$E$559*$F$168)/(Inputs!$E$558-Inputs!$E$559),0),0)</f>
        <v>0</v>
      </c>
      <c r="Q168" s="159">
        <f>IF('Revenue Calculation'!Q7=2036,IF(Inputs!$E$558&gt;Inputs!$E$559,((1+Inputs!$E$559)*$E$168-Inputs!$E$559*$F$168)/(Inputs!$E$558-Inputs!$E$559),0),0)</f>
        <v>0</v>
      </c>
      <c r="R168" s="159">
        <f>IF('Revenue Calculation'!R7=2036,IF(Inputs!$E$558&gt;Inputs!$E$559,((1+Inputs!$E$559)*$E$168-Inputs!$E$559*$F$168)/(Inputs!$E$558-Inputs!$E$559),0),0)</f>
        <v>0</v>
      </c>
      <c r="S168" s="159">
        <f>IF('Revenue Calculation'!S7=2036,IF(Inputs!$E$558&gt;Inputs!$E$559,((1+Inputs!$E$559)*$E$168-Inputs!$E$559*$F$168)/(Inputs!$E$558-Inputs!$E$559),0),0)</f>
        <v>0</v>
      </c>
      <c r="T168" s="159">
        <f>IF('Revenue Calculation'!T7=2036,IF(Inputs!$E$558&gt;Inputs!$E$559,((1+Inputs!$E$559)*$E$168-Inputs!$E$559*$F$168)/(Inputs!$E$558-Inputs!$E$559),0),0)</f>
        <v>209.55109743481651</v>
      </c>
    </row>
    <row r="169" spans="2:20" x14ac:dyDescent="0.25">
      <c r="B169" s="23" t="s">
        <v>3231</v>
      </c>
      <c r="C169" s="28" t="s">
        <v>493</v>
      </c>
      <c r="G169" s="159">
        <v>0</v>
      </c>
      <c r="H169" s="159">
        <f t="shared" ref="H169:T169" si="36">H167+H168</f>
        <v>0</v>
      </c>
      <c r="I169" s="159">
        <f t="shared" si="36"/>
        <v>0</v>
      </c>
      <c r="J169" s="159">
        <f t="shared" si="36"/>
        <v>-89.365957627532325</v>
      </c>
      <c r="K169" s="159">
        <f t="shared" si="36"/>
        <v>16.349728397976936</v>
      </c>
      <c r="L169" s="159">
        <f t="shared" si="36"/>
        <v>21.242972592284541</v>
      </c>
      <c r="M169" s="159">
        <f t="shared" si="36"/>
        <v>22.62264958179809</v>
      </c>
      <c r="N169" s="159">
        <f t="shared" si="36"/>
        <v>22.269354561785661</v>
      </c>
      <c r="O169" s="159">
        <f t="shared" si="36"/>
        <v>21.992407928653705</v>
      </c>
      <c r="P169" s="159">
        <f t="shared" si="36"/>
        <v>21.550756459621802</v>
      </c>
      <c r="Q169" s="159">
        <f t="shared" si="36"/>
        <v>22.986784670539592</v>
      </c>
      <c r="R169" s="159">
        <f t="shared" si="36"/>
        <v>21.733287371619046</v>
      </c>
      <c r="S169" s="159">
        <f t="shared" si="36"/>
        <v>20.889008522325447</v>
      </c>
      <c r="T169" s="159">
        <f t="shared" si="36"/>
        <v>230.25117497040495</v>
      </c>
    </row>
    <row r="170" spans="2:20" x14ac:dyDescent="0.25">
      <c r="B170" s="23" t="s">
        <v>3232</v>
      </c>
      <c r="C170" s="28" t="s">
        <v>493</v>
      </c>
      <c r="G170" s="159">
        <f>G169</f>
        <v>0</v>
      </c>
      <c r="H170" s="159">
        <f t="shared" ref="H170:T170" si="37">G170+H167</f>
        <v>0</v>
      </c>
      <c r="I170" s="159">
        <f t="shared" si="37"/>
        <v>0</v>
      </c>
      <c r="J170" s="159">
        <f t="shared" si="37"/>
        <v>-89.365957627532325</v>
      </c>
      <c r="K170" s="159">
        <f t="shared" si="37"/>
        <v>-73.016229229555393</v>
      </c>
      <c r="L170" s="159">
        <f t="shared" si="37"/>
        <v>-51.773256637270848</v>
      </c>
      <c r="M170" s="159">
        <f t="shared" si="37"/>
        <v>-29.150607055472758</v>
      </c>
      <c r="N170" s="159">
        <f t="shared" si="37"/>
        <v>-6.8812524936870965</v>
      </c>
      <c r="O170" s="159">
        <f t="shared" si="37"/>
        <v>15.111155434966609</v>
      </c>
      <c r="P170" s="159">
        <f t="shared" si="37"/>
        <v>36.661911894588414</v>
      </c>
      <c r="Q170" s="159">
        <f t="shared" si="37"/>
        <v>59.648696565128006</v>
      </c>
      <c r="R170" s="159">
        <f t="shared" si="37"/>
        <v>81.381983936747048</v>
      </c>
      <c r="S170" s="159">
        <f t="shared" si="37"/>
        <v>102.27099245907249</v>
      </c>
      <c r="T170" s="159">
        <f t="shared" si="37"/>
        <v>122.97106999466092</v>
      </c>
    </row>
    <row r="171" spans="2:20" x14ac:dyDescent="0.25">
      <c r="B171" s="154" t="s">
        <v>3242</v>
      </c>
    </row>
    <row r="172" spans="2:20" x14ac:dyDescent="0.25">
      <c r="B172" s="23" t="s">
        <v>3221</v>
      </c>
      <c r="C172" s="28" t="s">
        <v>493</v>
      </c>
      <c r="H172" s="29">
        <f>'Cost Calculation'!H157</f>
        <v>0</v>
      </c>
      <c r="I172" s="29">
        <f>'Cost Calculation'!I157</f>
        <v>0</v>
      </c>
      <c r="J172" s="29">
        <f>'Cost Calculation'!J157</f>
        <v>0</v>
      </c>
      <c r="K172" s="29">
        <f>'Cost Calculation'!K157</f>
        <v>0</v>
      </c>
      <c r="L172" s="29">
        <f>'Cost Calculation'!L157</f>
        <v>33.106019432767596</v>
      </c>
      <c r="M172" s="29">
        <f>'Cost Calculation'!M157</f>
        <v>46.471145294090704</v>
      </c>
      <c r="N172" s="29">
        <f>'Cost Calculation'!N157</f>
        <v>50.880625346797956</v>
      </c>
      <c r="O172" s="29">
        <f>'Cost Calculation'!O157</f>
        <v>63.593988953044331</v>
      </c>
      <c r="P172" s="29">
        <f>'Cost Calculation'!P157</f>
        <v>67.057538595884594</v>
      </c>
      <c r="Q172" s="29">
        <f>'Cost Calculation'!Q157</f>
        <v>77.646673486530489</v>
      </c>
      <c r="R172" s="29">
        <f>'Cost Calculation'!R157</f>
        <v>81.939270604942706</v>
      </c>
      <c r="S172" s="29">
        <f>'Cost Calculation'!S157</f>
        <v>91.642349746498894</v>
      </c>
      <c r="T172" s="29">
        <f>'Cost Calculation'!T157</f>
        <v>96.676592073726425</v>
      </c>
    </row>
    <row r="173" spans="2:20" x14ac:dyDescent="0.25">
      <c r="B173" s="23" t="s">
        <v>3222</v>
      </c>
      <c r="C173" s="28" t="s">
        <v>493</v>
      </c>
      <c r="H173" s="159">
        <f>'Cost Calculation'!H157-'Capex &amp; Depreciation'!H240</f>
        <v>0</v>
      </c>
      <c r="I173" s="159">
        <f>'Cost Calculation'!I157-'Capex &amp; Depreciation'!I240</f>
        <v>0</v>
      </c>
      <c r="J173" s="159">
        <f>'Cost Calculation'!J157-'Capex &amp; Depreciation'!J240</f>
        <v>0</v>
      </c>
      <c r="K173" s="159">
        <f>'Cost Calculation'!K157-'Capex &amp; Depreciation'!K240</f>
        <v>0</v>
      </c>
      <c r="L173" s="159">
        <f>'Cost Calculation'!L157-'Capex &amp; Depreciation'!L240</f>
        <v>25.955081932767591</v>
      </c>
      <c r="M173" s="159">
        <f>'Cost Calculation'!M157-'Capex &amp; Depreciation'!M240</f>
        <v>39.320207794090699</v>
      </c>
      <c r="N173" s="159">
        <f>'Cost Calculation'!N157-'Capex &amp; Depreciation'!N240</f>
        <v>43.729687846797951</v>
      </c>
      <c r="O173" s="159">
        <f>'Cost Calculation'!O157-'Capex &amp; Depreciation'!O240</f>
        <v>56.443051453044326</v>
      </c>
      <c r="P173" s="159">
        <f>'Cost Calculation'!P157-'Capex &amp; Depreciation'!P240</f>
        <v>59.906601095884589</v>
      </c>
      <c r="Q173" s="159">
        <f>'Cost Calculation'!Q157-'Capex &amp; Depreciation'!Q240</f>
        <v>70.495735986530491</v>
      </c>
      <c r="R173" s="159">
        <f>'Cost Calculation'!R157-'Capex &amp; Depreciation'!R240</f>
        <v>74.788333104942708</v>
      </c>
      <c r="S173" s="159">
        <f>'Cost Calculation'!S157-'Capex &amp; Depreciation'!S240</f>
        <v>84.491412246498896</v>
      </c>
      <c r="T173" s="159">
        <f>'Cost Calculation'!T157-'Capex &amp; Depreciation'!T240</f>
        <v>89.525654573726428</v>
      </c>
    </row>
    <row r="174" spans="2:20" x14ac:dyDescent="0.25">
      <c r="B174" s="23" t="s">
        <v>3223</v>
      </c>
      <c r="C174" s="28" t="s">
        <v>493</v>
      </c>
      <c r="H174" s="159">
        <f>0</f>
        <v>0</v>
      </c>
      <c r="I174" s="159">
        <f>0</f>
        <v>0</v>
      </c>
      <c r="J174" s="159">
        <f>0</f>
        <v>0</v>
      </c>
      <c r="K174" s="159">
        <f>0</f>
        <v>0</v>
      </c>
      <c r="L174" s="159">
        <f>0</f>
        <v>0</v>
      </c>
      <c r="M174" s="159">
        <f>0</f>
        <v>0</v>
      </c>
      <c r="N174" s="159">
        <f>0</f>
        <v>0</v>
      </c>
      <c r="O174" s="159">
        <f>0</f>
        <v>0</v>
      </c>
      <c r="P174" s="159">
        <f>0</f>
        <v>0</v>
      </c>
      <c r="Q174" s="159">
        <f>0</f>
        <v>0</v>
      </c>
      <c r="R174" s="159">
        <f>0</f>
        <v>0</v>
      </c>
      <c r="S174" s="159">
        <f>0</f>
        <v>0</v>
      </c>
      <c r="T174" s="159">
        <f>0</f>
        <v>0</v>
      </c>
    </row>
    <row r="175" spans="2:20" x14ac:dyDescent="0.25">
      <c r="B175" s="23" t="s">
        <v>3224</v>
      </c>
      <c r="C175" s="28" t="s">
        <v>493</v>
      </c>
      <c r="H175" s="159">
        <f>Inputs!H522*MAX(0,H173-H174)</f>
        <v>0</v>
      </c>
      <c r="I175" s="159">
        <f>Inputs!I522*MAX(0,I173-I174)</f>
        <v>0</v>
      </c>
      <c r="J175" s="159">
        <f>Inputs!J522*MAX(0,J173-J174)</f>
        <v>0</v>
      </c>
      <c r="K175" s="159">
        <f>Inputs!K522*MAX(0,K173-K174)</f>
        <v>0</v>
      </c>
      <c r="L175" s="159">
        <f>Inputs!L522*MAX(0,L173-L174)</f>
        <v>5.7101180252088701</v>
      </c>
      <c r="M175" s="159">
        <f>Inputs!M522*MAX(0,M173-M174)</f>
        <v>8.6504457146999538</v>
      </c>
      <c r="N175" s="159">
        <f>Inputs!N522*MAX(0,N173-N174)</f>
        <v>9.6205313262955485</v>
      </c>
      <c r="O175" s="159">
        <f>Inputs!O522*MAX(0,O173-O174)</f>
        <v>12.417471319669751</v>
      </c>
      <c r="P175" s="159">
        <f>Inputs!P522*MAX(0,P173-P174)</f>
        <v>13.17945224109461</v>
      </c>
      <c r="Q175" s="159">
        <f>Inputs!Q522*MAX(0,Q173-Q174)</f>
        <v>15.509061917036709</v>
      </c>
      <c r="R175" s="159">
        <f>Inputs!R522*MAX(0,R173-R174)</f>
        <v>16.453433283087396</v>
      </c>
      <c r="S175" s="159">
        <f>Inputs!S522*MAX(0,S173-S174)</f>
        <v>18.588110694229758</v>
      </c>
      <c r="T175" s="159">
        <f>Inputs!T522*MAX(0,T173-T174)</f>
        <v>19.695644006219815</v>
      </c>
    </row>
    <row r="176" spans="2:20" x14ac:dyDescent="0.25">
      <c r="B176" s="23" t="s">
        <v>3225</v>
      </c>
      <c r="C176" s="28" t="s">
        <v>493</v>
      </c>
      <c r="H176" s="159">
        <f t="shared" ref="H176:T176" si="38">H173-H174-H175</f>
        <v>0</v>
      </c>
      <c r="I176" s="159">
        <f t="shared" si="38"/>
        <v>0</v>
      </c>
      <c r="J176" s="159">
        <f t="shared" si="38"/>
        <v>0</v>
      </c>
      <c r="K176" s="159">
        <f t="shared" si="38"/>
        <v>0</v>
      </c>
      <c r="L176" s="159">
        <f t="shared" si="38"/>
        <v>20.24496390755872</v>
      </c>
      <c r="M176" s="159">
        <f t="shared" si="38"/>
        <v>30.669762079390743</v>
      </c>
      <c r="N176" s="159">
        <f t="shared" si="38"/>
        <v>34.109156520502403</v>
      </c>
      <c r="O176" s="159">
        <f t="shared" si="38"/>
        <v>44.025580133374575</v>
      </c>
      <c r="P176" s="159">
        <f t="shared" si="38"/>
        <v>46.727148854789981</v>
      </c>
      <c r="Q176" s="159">
        <f t="shared" si="38"/>
        <v>54.98667406949378</v>
      </c>
      <c r="R176" s="159">
        <f t="shared" si="38"/>
        <v>58.334899821855316</v>
      </c>
      <c r="S176" s="159">
        <f t="shared" si="38"/>
        <v>65.903301552269141</v>
      </c>
      <c r="T176" s="159">
        <f t="shared" si="38"/>
        <v>69.830010567506605</v>
      </c>
    </row>
    <row r="177" spans="2:20" x14ac:dyDescent="0.25">
      <c r="B177" s="23" t="s">
        <v>3226</v>
      </c>
      <c r="C177" s="28" t="s">
        <v>493</v>
      </c>
      <c r="H177" s="159">
        <f>-Inputs!H522*MAX(0,H173)</f>
        <v>0</v>
      </c>
      <c r="I177" s="159">
        <f>-Inputs!I522*MAX(0,I173)</f>
        <v>0</v>
      </c>
      <c r="J177" s="159">
        <f>-Inputs!J522*MAX(0,J173)</f>
        <v>0</v>
      </c>
      <c r="K177" s="159">
        <f>-Inputs!K522*MAX(0,K173)</f>
        <v>0</v>
      </c>
      <c r="L177" s="159">
        <f>-Inputs!L522*MAX(0,L173)</f>
        <v>-5.7101180252088701</v>
      </c>
      <c r="M177" s="159">
        <f>-Inputs!M522*MAX(0,M173)</f>
        <v>-8.6504457146999538</v>
      </c>
      <c r="N177" s="159">
        <f>-Inputs!N522*MAX(0,N173)</f>
        <v>-9.6205313262955485</v>
      </c>
      <c r="O177" s="159">
        <f>-Inputs!O522*MAX(0,O173)</f>
        <v>-12.417471319669751</v>
      </c>
      <c r="P177" s="159">
        <f>-Inputs!P522*MAX(0,P173)</f>
        <v>-13.17945224109461</v>
      </c>
      <c r="Q177" s="159">
        <f>-Inputs!Q522*MAX(0,Q173)</f>
        <v>-15.509061917036709</v>
      </c>
      <c r="R177" s="159">
        <f>-Inputs!R522*MAX(0,R173)</f>
        <v>-16.453433283087396</v>
      </c>
      <c r="S177" s="159">
        <f>-Inputs!S522*MAX(0,S173)</f>
        <v>-18.588110694229758</v>
      </c>
      <c r="T177" s="159">
        <f>-Inputs!T522*MAX(0,T173)</f>
        <v>-19.695644006219815</v>
      </c>
    </row>
    <row r="178" spans="2:20" x14ac:dyDescent="0.25">
      <c r="B178" s="23" t="s">
        <v>3227</v>
      </c>
      <c r="C178" s="28" t="s">
        <v>493</v>
      </c>
      <c r="H178" s="159">
        <f>-'Capex &amp; Depreciation'!H267</f>
        <v>0</v>
      </c>
      <c r="I178" s="159">
        <f>-'Capex &amp; Depreciation'!I267</f>
        <v>0</v>
      </c>
      <c r="J178" s="159">
        <f>-'Capex &amp; Depreciation'!J267</f>
        <v>-40.862500000000026</v>
      </c>
      <c r="K178" s="159">
        <f>-'Capex &amp; Depreciation'!K267</f>
        <v>-40.862500000000026</v>
      </c>
      <c r="L178" s="159">
        <f>-'Capex &amp; Depreciation'!L267</f>
        <v>0</v>
      </c>
      <c r="M178" s="159">
        <f>-'Capex &amp; Depreciation'!M267</f>
        <v>0</v>
      </c>
      <c r="N178" s="159">
        <f>-'Capex &amp; Depreciation'!N267</f>
        <v>0</v>
      </c>
      <c r="O178" s="159">
        <f>-'Capex &amp; Depreciation'!O267</f>
        <v>0</v>
      </c>
      <c r="P178" s="159">
        <f>-'Capex &amp; Depreciation'!P267</f>
        <v>0</v>
      </c>
      <c r="Q178" s="159">
        <f>-'Capex &amp; Depreciation'!Q267</f>
        <v>0</v>
      </c>
      <c r="R178" s="159">
        <f>-'Capex &amp; Depreciation'!R267</f>
        <v>0</v>
      </c>
      <c r="S178" s="159">
        <f>-'Capex &amp; Depreciation'!S267</f>
        <v>0</v>
      </c>
      <c r="T178" s="159">
        <f>-'Capex &amp; Depreciation'!T267</f>
        <v>0</v>
      </c>
    </row>
    <row r="179" spans="2:20" x14ac:dyDescent="0.25">
      <c r="B179" s="23" t="s">
        <v>3228</v>
      </c>
      <c r="C179" s="28" t="s">
        <v>493</v>
      </c>
      <c r="H179" s="159">
        <f>-('Working Capital'!H51-'Working Capital'!G51)</f>
        <v>0</v>
      </c>
      <c r="I179" s="159">
        <f>-('Working Capital'!I51-'Working Capital'!H51)</f>
        <v>0</v>
      </c>
      <c r="J179" s="159">
        <f>-('Working Capital'!J51-'Working Capital'!I51)</f>
        <v>0</v>
      </c>
      <c r="K179" s="159">
        <f>-('Working Capital'!K51-'Working Capital'!J51)</f>
        <v>0</v>
      </c>
      <c r="L179" s="159">
        <f>-('Working Capital'!L51-'Working Capital'!K51)</f>
        <v>-5.9283928971459563</v>
      </c>
      <c r="M179" s="159">
        <f>-('Working Capital'!M51-'Working Capital'!L51)</f>
        <v>-2.048910506937192</v>
      </c>
      <c r="N179" s="159">
        <f>-('Working Capital'!N51-'Working Capital'!M51)</f>
        <v>-0.78057526113988018</v>
      </c>
      <c r="O179" s="159">
        <f>-('Working Capital'!O51-'Working Capital'!N51)</f>
        <v>-1.9332925288682539</v>
      </c>
      <c r="P179" s="159">
        <f>-('Working Capital'!P51-'Working Capital'!O51)</f>
        <v>-0.58454947650917433</v>
      </c>
      <c r="Q179" s="159">
        <f>-('Working Capital'!Q51-'Working Capital'!P51)</f>
        <v>-1.5356128437496643</v>
      </c>
      <c r="R179" s="159">
        <f>-('Working Capital'!R51-'Working Capital'!Q51)</f>
        <v>-0.74189073436890851</v>
      </c>
      <c r="S179" s="159">
        <f>-('Working Capital'!S51-'Working Capital'!R51)</f>
        <v>-1.6440196181243447</v>
      </c>
      <c r="T179" s="159">
        <f>-('Working Capital'!T51-'Working Capital'!S51)</f>
        <v>-0.83374163861105011</v>
      </c>
    </row>
    <row r="180" spans="2:20" ht="26.25" customHeight="1" x14ac:dyDescent="0.25">
      <c r="B180" s="133" t="s">
        <v>3229</v>
      </c>
      <c r="C180" s="28" t="s">
        <v>493</v>
      </c>
      <c r="H180" s="160">
        <f t="shared" ref="H180:T180" si="39">H172+H177+H178+H179</f>
        <v>0</v>
      </c>
      <c r="I180" s="160">
        <f t="shared" si="39"/>
        <v>0</v>
      </c>
      <c r="J180" s="160">
        <f t="shared" si="39"/>
        <v>-40.862500000000026</v>
      </c>
      <c r="K180" s="160">
        <f t="shared" si="39"/>
        <v>-40.862500000000026</v>
      </c>
      <c r="L180" s="160">
        <f t="shared" si="39"/>
        <v>21.46750851041277</v>
      </c>
      <c r="M180" s="160">
        <f t="shared" si="39"/>
        <v>35.771789072453558</v>
      </c>
      <c r="N180" s="160">
        <f t="shared" si="39"/>
        <v>40.479518759362527</v>
      </c>
      <c r="O180" s="160">
        <f t="shared" si="39"/>
        <v>49.243225104506323</v>
      </c>
      <c r="P180" s="160">
        <f t="shared" si="39"/>
        <v>53.293536878280811</v>
      </c>
      <c r="Q180" s="160">
        <f t="shared" si="39"/>
        <v>60.60199872574411</v>
      </c>
      <c r="R180" s="160">
        <f t="shared" si="39"/>
        <v>64.743946587486406</v>
      </c>
      <c r="S180" s="160">
        <f t="shared" si="39"/>
        <v>71.410219434144793</v>
      </c>
      <c r="T180" s="160">
        <f t="shared" si="39"/>
        <v>76.147206428895558</v>
      </c>
    </row>
    <row r="181" spans="2:20" x14ac:dyDescent="0.25">
      <c r="B181" s="23" t="s">
        <v>3230</v>
      </c>
      <c r="C181" s="28" t="s">
        <v>493</v>
      </c>
      <c r="E181" s="159">
        <f>'Cost Calculation'!T157-MAX(0,Inputs!$E$554*('Cost Calculation'!T157-Inputs!$E$550*'Revenue Calculation'!T129))-Inputs!$E$550*'Revenue Calculation'!T129</f>
        <v>70.605964531492063</v>
      </c>
      <c r="F181" s="29">
        <f>'Working Capital'!T51</f>
        <v>16.030985505454424</v>
      </c>
      <c r="H181" s="159">
        <f>IF('Revenue Calculation'!H7=2036,IF(Inputs!$E$558&gt;Inputs!$E$559,((1+Inputs!$E$559)*$E$181-Inputs!$E$559*$F$181)/(Inputs!$E$558-Inputs!$E$559),0),0)</f>
        <v>0</v>
      </c>
      <c r="I181" s="159">
        <f>IF('Revenue Calculation'!I7=2036,IF(Inputs!$E$558&gt;Inputs!$E$559,((1+Inputs!$E$559)*$E$181-Inputs!$E$559*$F$181)/(Inputs!$E$558-Inputs!$E$559),0),0)</f>
        <v>0</v>
      </c>
      <c r="J181" s="159">
        <f>IF('Revenue Calculation'!J7=2036,IF(Inputs!$E$558&gt;Inputs!$E$559,((1+Inputs!$E$559)*$E$181-Inputs!$E$559*$F$181)/(Inputs!$E$558-Inputs!$E$559),0),0)</f>
        <v>0</v>
      </c>
      <c r="K181" s="159">
        <f>IF('Revenue Calculation'!K7=2036,IF(Inputs!$E$558&gt;Inputs!$E$559,((1+Inputs!$E$559)*$E$181-Inputs!$E$559*$F$181)/(Inputs!$E$558-Inputs!$E$559),0),0)</f>
        <v>0</v>
      </c>
      <c r="L181" s="159">
        <f>IF('Revenue Calculation'!L7=2036,IF(Inputs!$E$558&gt;Inputs!$E$559,((1+Inputs!$E$559)*$E$181-Inputs!$E$559*$F$181)/(Inputs!$E$558-Inputs!$E$559),0),0)</f>
        <v>0</v>
      </c>
      <c r="M181" s="159">
        <f>IF('Revenue Calculation'!M7=2036,IF(Inputs!$E$558&gt;Inputs!$E$559,((1+Inputs!$E$559)*$E$181-Inputs!$E$559*$F$181)/(Inputs!$E$558-Inputs!$E$559),0),0)</f>
        <v>0</v>
      </c>
      <c r="N181" s="159">
        <f>IF('Revenue Calculation'!N7=2036,IF(Inputs!$E$558&gt;Inputs!$E$559,((1+Inputs!$E$559)*$E$181-Inputs!$E$559*$F$181)/(Inputs!$E$558-Inputs!$E$559),0),0)</f>
        <v>0</v>
      </c>
      <c r="O181" s="159">
        <f>IF('Revenue Calculation'!O7=2036,IF(Inputs!$E$558&gt;Inputs!$E$559,((1+Inputs!$E$559)*$E$181-Inputs!$E$559*$F$181)/(Inputs!$E$558-Inputs!$E$559),0),0)</f>
        <v>0</v>
      </c>
      <c r="P181" s="159">
        <f>IF('Revenue Calculation'!P7=2036,IF(Inputs!$E$558&gt;Inputs!$E$559,((1+Inputs!$E$559)*$E$181-Inputs!$E$559*$F$181)/(Inputs!$E$558-Inputs!$E$559),0),0)</f>
        <v>0</v>
      </c>
      <c r="Q181" s="159">
        <f>IF('Revenue Calculation'!Q7=2036,IF(Inputs!$E$558&gt;Inputs!$E$559,((1+Inputs!$E$559)*$E$181-Inputs!$E$559*$F$181)/(Inputs!$E$558-Inputs!$E$559),0),0)</f>
        <v>0</v>
      </c>
      <c r="R181" s="159">
        <f>IF('Revenue Calculation'!R7=2036,IF(Inputs!$E$558&gt;Inputs!$E$559,((1+Inputs!$E$559)*$E$181-Inputs!$E$559*$F$181)/(Inputs!$E$558-Inputs!$E$559),0),0)</f>
        <v>0</v>
      </c>
      <c r="S181" s="159">
        <f>IF('Revenue Calculation'!S7=2036,IF(Inputs!$E$558&gt;Inputs!$E$559,((1+Inputs!$E$559)*$E$181-Inputs!$E$559*$F$181)/(Inputs!$E$558-Inputs!$E$559),0),0)</f>
        <v>0</v>
      </c>
      <c r="T181" s="159">
        <f>IF('Revenue Calculation'!T7=2036,IF(Inputs!$E$558&gt;Inputs!$E$559,((1+Inputs!$E$559)*$E$181-Inputs!$E$559*$F$181)/(Inputs!$E$558-Inputs!$E$559),0),0)</f>
        <v>814.78730195451362</v>
      </c>
    </row>
    <row r="182" spans="2:20" x14ac:dyDescent="0.25">
      <c r="B182" s="23" t="s">
        <v>3231</v>
      </c>
      <c r="C182" s="28" t="s">
        <v>493</v>
      </c>
      <c r="G182" s="159">
        <v>0</v>
      </c>
      <c r="H182" s="159">
        <f t="shared" ref="H182:T182" si="40">H180+H181</f>
        <v>0</v>
      </c>
      <c r="I182" s="159">
        <f t="shared" si="40"/>
        <v>0</v>
      </c>
      <c r="J182" s="159">
        <f t="shared" si="40"/>
        <v>-40.862500000000026</v>
      </c>
      <c r="K182" s="159">
        <f t="shared" si="40"/>
        <v>-40.862500000000026</v>
      </c>
      <c r="L182" s="159">
        <f t="shared" si="40"/>
        <v>21.46750851041277</v>
      </c>
      <c r="M182" s="159">
        <f t="shared" si="40"/>
        <v>35.771789072453558</v>
      </c>
      <c r="N182" s="159">
        <f t="shared" si="40"/>
        <v>40.479518759362527</v>
      </c>
      <c r="O182" s="159">
        <f t="shared" si="40"/>
        <v>49.243225104506323</v>
      </c>
      <c r="P182" s="159">
        <f t="shared" si="40"/>
        <v>53.293536878280811</v>
      </c>
      <c r="Q182" s="159">
        <f t="shared" si="40"/>
        <v>60.60199872574411</v>
      </c>
      <c r="R182" s="159">
        <f t="shared" si="40"/>
        <v>64.743946587486406</v>
      </c>
      <c r="S182" s="159">
        <f t="shared" si="40"/>
        <v>71.410219434144793</v>
      </c>
      <c r="T182" s="159">
        <f t="shared" si="40"/>
        <v>890.93450838340914</v>
      </c>
    </row>
    <row r="183" spans="2:20" x14ac:dyDescent="0.25">
      <c r="B183" s="23" t="s">
        <v>3232</v>
      </c>
      <c r="C183" s="28" t="s">
        <v>493</v>
      </c>
      <c r="G183" s="159">
        <f>G182</f>
        <v>0</v>
      </c>
      <c r="H183" s="159">
        <f t="shared" ref="H183:T183" si="41">G183+H180</f>
        <v>0</v>
      </c>
      <c r="I183" s="159">
        <f t="shared" si="41"/>
        <v>0</v>
      </c>
      <c r="J183" s="159">
        <f t="shared" si="41"/>
        <v>-40.862500000000026</v>
      </c>
      <c r="K183" s="159">
        <f t="shared" si="41"/>
        <v>-81.725000000000051</v>
      </c>
      <c r="L183" s="159">
        <f t="shared" si="41"/>
        <v>-60.257491489587281</v>
      </c>
      <c r="M183" s="159">
        <f t="shared" si="41"/>
        <v>-24.485702417133723</v>
      </c>
      <c r="N183" s="159">
        <f t="shared" si="41"/>
        <v>15.993816342228804</v>
      </c>
      <c r="O183" s="159">
        <f t="shared" si="41"/>
        <v>65.237041446735134</v>
      </c>
      <c r="P183" s="159">
        <f t="shared" si="41"/>
        <v>118.53057832501594</v>
      </c>
      <c r="Q183" s="159">
        <f t="shared" si="41"/>
        <v>179.13257705076006</v>
      </c>
      <c r="R183" s="159">
        <f t="shared" si="41"/>
        <v>243.87652363824645</v>
      </c>
      <c r="S183" s="159">
        <f t="shared" si="41"/>
        <v>315.28674307239123</v>
      </c>
      <c r="T183" s="159">
        <f t="shared" si="41"/>
        <v>391.4339495012868</v>
      </c>
    </row>
    <row r="184" spans="2:20" x14ac:dyDescent="0.25">
      <c r="B184" s="154" t="s">
        <v>3243</v>
      </c>
    </row>
    <row r="185" spans="2:20" x14ac:dyDescent="0.25">
      <c r="B185" s="23" t="s">
        <v>3221</v>
      </c>
      <c r="C185" s="28" t="s">
        <v>493</v>
      </c>
      <c r="H185" s="29">
        <f>'Cost Calculation'!H161</f>
        <v>0</v>
      </c>
      <c r="I185" s="29">
        <f>'Cost Calculation'!I161</f>
        <v>0</v>
      </c>
      <c r="J185" s="29">
        <f>'Cost Calculation'!J161</f>
        <v>-0.45621999999999979</v>
      </c>
      <c r="K185" s="29">
        <f>'Cost Calculation'!K161</f>
        <v>7.5237830299000343</v>
      </c>
      <c r="L185" s="29">
        <f>'Cost Calculation'!L161</f>
        <v>9.8176343754197646</v>
      </c>
      <c r="M185" s="29">
        <f>'Cost Calculation'!M161</f>
        <v>12.241767797252779</v>
      </c>
      <c r="N185" s="29">
        <f>'Cost Calculation'!N161</f>
        <v>14.801929495198753</v>
      </c>
      <c r="O185" s="29">
        <f>'Cost Calculation'!O161</f>
        <v>17.504092953653952</v>
      </c>
      <c r="P185" s="29">
        <f>'Cost Calculation'!P161</f>
        <v>20.35446739842741</v>
      </c>
      <c r="Q185" s="29">
        <f>'Cost Calculation'!Q161</f>
        <v>23.359506556088224</v>
      </c>
      <c r="R185" s="29">
        <f>'Cost Calculation'!R161</f>
        <v>26.525917726373475</v>
      </c>
      <c r="S185" s="29">
        <f>'Cost Calculation'!S161</f>
        <v>-0.45621999999999979</v>
      </c>
      <c r="T185" s="29">
        <f>'Cost Calculation'!T161</f>
        <v>-0.45621999999999979</v>
      </c>
    </row>
    <row r="186" spans="2:20" x14ac:dyDescent="0.25">
      <c r="B186" s="23" t="s">
        <v>3222</v>
      </c>
      <c r="C186" s="28" t="s">
        <v>493</v>
      </c>
      <c r="H186" s="159">
        <f>'Cost Calculation'!H161-'Capex &amp; Depreciation'!H241</f>
        <v>0</v>
      </c>
      <c r="I186" s="159">
        <f>'Cost Calculation'!I161-'Capex &amp; Depreciation'!I241</f>
        <v>0</v>
      </c>
      <c r="J186" s="159">
        <f>'Cost Calculation'!J161-'Capex &amp; Depreciation'!J241</f>
        <v>-13.572544999999991</v>
      </c>
      <c r="K186" s="159">
        <f>'Cost Calculation'!K161-'Capex &amp; Depreciation'!K241</f>
        <v>-5.5925419700999566</v>
      </c>
      <c r="L186" s="159">
        <f>'Cost Calculation'!L161-'Capex &amp; Depreciation'!L241</f>
        <v>-3.2986906245802263</v>
      </c>
      <c r="M186" s="159">
        <f>'Cost Calculation'!M161-'Capex &amp; Depreciation'!M241</f>
        <v>-0.87455720274721216</v>
      </c>
      <c r="N186" s="159">
        <f>'Cost Calculation'!N161-'Capex &amp; Depreciation'!N241</f>
        <v>1.6856044951987617</v>
      </c>
      <c r="O186" s="159">
        <f>'Cost Calculation'!O161-'Capex &amp; Depreciation'!O241</f>
        <v>4.3877679536539613</v>
      </c>
      <c r="P186" s="159">
        <f>'Cost Calculation'!P161-'Capex &amp; Depreciation'!P241</f>
        <v>7.2381423984274189</v>
      </c>
      <c r="Q186" s="159">
        <f>'Cost Calculation'!Q161-'Capex &amp; Depreciation'!Q241</f>
        <v>10.243181556088233</v>
      </c>
      <c r="R186" s="159">
        <f>'Cost Calculation'!R161-'Capex &amp; Depreciation'!R241</f>
        <v>13.409592726373484</v>
      </c>
      <c r="S186" s="159">
        <f>'Cost Calculation'!S161-'Capex &amp; Depreciation'!S241</f>
        <v>-13.572544999999991</v>
      </c>
      <c r="T186" s="159">
        <f>'Cost Calculation'!T161-'Capex &amp; Depreciation'!T241</f>
        <v>-13.572544999999991</v>
      </c>
    </row>
    <row r="187" spans="2:20" x14ac:dyDescent="0.25">
      <c r="B187" s="23" t="s">
        <v>3223</v>
      </c>
      <c r="C187" s="28" t="s">
        <v>493</v>
      </c>
      <c r="H187" s="159">
        <f>0</f>
        <v>0</v>
      </c>
      <c r="I187" s="159">
        <f>0</f>
        <v>0</v>
      </c>
      <c r="J187" s="159">
        <f>0</f>
        <v>0</v>
      </c>
      <c r="K187" s="159">
        <f>0</f>
        <v>0</v>
      </c>
      <c r="L187" s="159">
        <f>0</f>
        <v>0</v>
      </c>
      <c r="M187" s="159">
        <f>0</f>
        <v>0</v>
      </c>
      <c r="N187" s="159">
        <f>0</f>
        <v>0</v>
      </c>
      <c r="O187" s="159">
        <f>0</f>
        <v>0</v>
      </c>
      <c r="P187" s="159">
        <f>0</f>
        <v>0</v>
      </c>
      <c r="Q187" s="159">
        <f>0</f>
        <v>0</v>
      </c>
      <c r="R187" s="159">
        <f>0</f>
        <v>0</v>
      </c>
      <c r="S187" s="159">
        <f>0</f>
        <v>0</v>
      </c>
      <c r="T187" s="159">
        <f>0</f>
        <v>0</v>
      </c>
    </row>
    <row r="188" spans="2:20" x14ac:dyDescent="0.25">
      <c r="B188" s="23" t="s">
        <v>3224</v>
      </c>
      <c r="C188" s="28" t="s">
        <v>493</v>
      </c>
      <c r="H188" s="159">
        <f>Inputs!H522*MAX(0,H186-H187)</f>
        <v>0</v>
      </c>
      <c r="I188" s="159">
        <f>Inputs!I522*MAX(0,I186-I187)</f>
        <v>0</v>
      </c>
      <c r="J188" s="159">
        <f>Inputs!J522*MAX(0,J186-J187)</f>
        <v>0</v>
      </c>
      <c r="K188" s="159">
        <f>Inputs!K522*MAX(0,K186-K187)</f>
        <v>0</v>
      </c>
      <c r="L188" s="159">
        <f>Inputs!L522*MAX(0,L186-L187)</f>
        <v>0</v>
      </c>
      <c r="M188" s="159">
        <f>Inputs!M522*MAX(0,M186-M187)</f>
        <v>0</v>
      </c>
      <c r="N188" s="159">
        <f>Inputs!N522*MAX(0,N186-N187)</f>
        <v>0.37083298894372757</v>
      </c>
      <c r="O188" s="159">
        <f>Inputs!O522*MAX(0,O186-O187)</f>
        <v>0.9653089498038715</v>
      </c>
      <c r="P188" s="159">
        <f>Inputs!P522*MAX(0,P186-P187)</f>
        <v>1.5923913276540322</v>
      </c>
      <c r="Q188" s="159">
        <f>Inputs!Q522*MAX(0,Q186-Q187)</f>
        <v>2.2534999423394111</v>
      </c>
      <c r="R188" s="159">
        <f>Inputs!R522*MAX(0,R186-R187)</f>
        <v>2.9501103998021665</v>
      </c>
      <c r="S188" s="159">
        <f>Inputs!S522*MAX(0,S186-S187)</f>
        <v>0</v>
      </c>
      <c r="T188" s="159">
        <f>Inputs!T522*MAX(0,T186-T187)</f>
        <v>0</v>
      </c>
    </row>
    <row r="189" spans="2:20" x14ac:dyDescent="0.25">
      <c r="B189" s="23" t="s">
        <v>3225</v>
      </c>
      <c r="C189" s="28" t="s">
        <v>493</v>
      </c>
      <c r="H189" s="159">
        <f t="shared" ref="H189:T189" si="42">H186-H187-H188</f>
        <v>0</v>
      </c>
      <c r="I189" s="159">
        <f t="shared" si="42"/>
        <v>0</v>
      </c>
      <c r="J189" s="159">
        <f t="shared" si="42"/>
        <v>-13.572544999999991</v>
      </c>
      <c r="K189" s="159">
        <f t="shared" si="42"/>
        <v>-5.5925419700999566</v>
      </c>
      <c r="L189" s="159">
        <f t="shared" si="42"/>
        <v>-3.2986906245802263</v>
      </c>
      <c r="M189" s="159">
        <f t="shared" si="42"/>
        <v>-0.87455720274721216</v>
      </c>
      <c r="N189" s="159">
        <f t="shared" si="42"/>
        <v>1.314771506255034</v>
      </c>
      <c r="O189" s="159">
        <f t="shared" si="42"/>
        <v>3.4224590038500899</v>
      </c>
      <c r="P189" s="159">
        <f t="shared" si="42"/>
        <v>5.6457510707733869</v>
      </c>
      <c r="Q189" s="159">
        <f t="shared" si="42"/>
        <v>7.9896816137488216</v>
      </c>
      <c r="R189" s="159">
        <f t="shared" si="42"/>
        <v>10.459482326571317</v>
      </c>
      <c r="S189" s="159">
        <f t="shared" si="42"/>
        <v>-13.572544999999991</v>
      </c>
      <c r="T189" s="159">
        <f t="shared" si="42"/>
        <v>-13.572544999999991</v>
      </c>
    </row>
    <row r="190" spans="2:20" x14ac:dyDescent="0.25">
      <c r="B190" s="23" t="s">
        <v>3226</v>
      </c>
      <c r="C190" s="28" t="s">
        <v>493</v>
      </c>
      <c r="H190" s="159">
        <f>-Inputs!H522*MAX(0,H186)</f>
        <v>0</v>
      </c>
      <c r="I190" s="159">
        <f>-Inputs!I522*MAX(0,I186)</f>
        <v>0</v>
      </c>
      <c r="J190" s="159">
        <f>-Inputs!J522*MAX(0,J186)</f>
        <v>0</v>
      </c>
      <c r="K190" s="159">
        <f>-Inputs!K522*MAX(0,K186)</f>
        <v>0</v>
      </c>
      <c r="L190" s="159">
        <f>-Inputs!L522*MAX(0,L186)</f>
        <v>0</v>
      </c>
      <c r="M190" s="159">
        <f>-Inputs!M522*MAX(0,M186)</f>
        <v>0</v>
      </c>
      <c r="N190" s="159">
        <f>-Inputs!N522*MAX(0,N186)</f>
        <v>-0.37083298894372757</v>
      </c>
      <c r="O190" s="159">
        <f>-Inputs!O522*MAX(0,O186)</f>
        <v>-0.9653089498038715</v>
      </c>
      <c r="P190" s="159">
        <f>-Inputs!P522*MAX(0,P186)</f>
        <v>-1.5923913276540322</v>
      </c>
      <c r="Q190" s="159">
        <f>-Inputs!Q522*MAX(0,Q186)</f>
        <v>-2.2534999423394111</v>
      </c>
      <c r="R190" s="159">
        <f>-Inputs!R522*MAX(0,R186)</f>
        <v>-2.9501103998021665</v>
      </c>
      <c r="S190" s="159">
        <f>-Inputs!S522*MAX(0,S186)</f>
        <v>0</v>
      </c>
      <c r="T190" s="159">
        <f>-Inputs!T522*MAX(0,T186)</f>
        <v>0</v>
      </c>
    </row>
    <row r="191" spans="2:20" x14ac:dyDescent="0.25">
      <c r="B191" s="23" t="s">
        <v>3227</v>
      </c>
      <c r="C191" s="28" t="s">
        <v>493</v>
      </c>
      <c r="H191" s="159">
        <f>-'Capex &amp; Depreciation'!H268</f>
        <v>0</v>
      </c>
      <c r="I191" s="159">
        <f>-'Capex &amp; Depreciation'!I268</f>
        <v>0</v>
      </c>
      <c r="J191" s="159">
        <f>-'Capex &amp; Depreciation'!J268</f>
        <v>-114.25499999999997</v>
      </c>
      <c r="K191" s="159">
        <f>-'Capex &amp; Depreciation'!K268</f>
        <v>-113.85499999999993</v>
      </c>
      <c r="L191" s="159">
        <f>-'Capex &amp; Depreciation'!L268</f>
        <v>0</v>
      </c>
      <c r="M191" s="159">
        <f>-'Capex &amp; Depreciation'!M268</f>
        <v>0</v>
      </c>
      <c r="N191" s="159">
        <f>-'Capex &amp; Depreciation'!N268</f>
        <v>0</v>
      </c>
      <c r="O191" s="159">
        <f>-'Capex &amp; Depreciation'!O268</f>
        <v>0</v>
      </c>
      <c r="P191" s="159">
        <f>-'Capex &amp; Depreciation'!P268</f>
        <v>0</v>
      </c>
      <c r="Q191" s="159">
        <f>-'Capex &amp; Depreciation'!Q268</f>
        <v>0</v>
      </c>
      <c r="R191" s="159">
        <f>-'Capex &amp; Depreciation'!R268</f>
        <v>0</v>
      </c>
      <c r="S191" s="159">
        <f>-'Capex &amp; Depreciation'!S268</f>
        <v>0</v>
      </c>
      <c r="T191" s="159">
        <f>-'Capex &amp; Depreciation'!T268</f>
        <v>0</v>
      </c>
    </row>
    <row r="192" spans="2:20" x14ac:dyDescent="0.25">
      <c r="B192" s="23" t="s">
        <v>3228</v>
      </c>
      <c r="C192" s="28" t="s">
        <v>493</v>
      </c>
      <c r="H192" s="159">
        <f>-('Working Capital'!H55-'Working Capital'!G55)</f>
        <v>0</v>
      </c>
      <c r="I192" s="159">
        <f>-('Working Capital'!I55-'Working Capital'!H55)</f>
        <v>0</v>
      </c>
      <c r="J192" s="159">
        <f>-('Working Capital'!J55-'Working Capital'!I55)</f>
        <v>3.7497534246575322E-2</v>
      </c>
      <c r="K192" s="159">
        <f>-('Working Capital'!K55-'Working Capital'!J55)</f>
        <v>-1.0171029887589069</v>
      </c>
      <c r="L192" s="159">
        <f>-('Working Capital'!L55-'Working Capital'!K55)</f>
        <v>-0.28890888978437035</v>
      </c>
      <c r="M192" s="159">
        <f>-('Working Capital'!M55-'Working Capital'!L55)</f>
        <v>-0.31247359075147196</v>
      </c>
      <c r="N192" s="159">
        <f>-('Working Capital'!N55-'Working Capital'!M55)</f>
        <v>-0.32634532242192948</v>
      </c>
      <c r="O192" s="159">
        <f>-('Working Capital'!O55-'Working Capital'!N55)</f>
        <v>-0.34445463067912563</v>
      </c>
      <c r="P192" s="159">
        <f>-('Working Capital'!P55-'Working Capital'!O55)</f>
        <v>-0.35621103062083259</v>
      </c>
      <c r="Q192" s="159">
        <f>-('Working Capital'!Q55-'Working Capital'!P55)</f>
        <v>-0.39022655094352299</v>
      </c>
      <c r="R192" s="159">
        <f>-('Working Capital'!R55-'Working Capital'!Q55)</f>
        <v>-0.4036623544575666</v>
      </c>
      <c r="S192" s="159">
        <f>-('Working Capital'!S55-'Working Capital'!R55)</f>
        <v>3.4393853584177267</v>
      </c>
      <c r="T192" s="159">
        <f>-('Working Capital'!T55-'Working Capital'!S55)</f>
        <v>-1.0245227936222373E-4</v>
      </c>
    </row>
    <row r="193" spans="2:20" ht="26.25" customHeight="1" x14ac:dyDescent="0.25">
      <c r="B193" s="133" t="s">
        <v>3229</v>
      </c>
      <c r="C193" s="28" t="s">
        <v>493</v>
      </c>
      <c r="H193" s="160">
        <f t="shared" ref="H193:T193" si="43">H185+H190+H191+H192</f>
        <v>0</v>
      </c>
      <c r="I193" s="160">
        <f t="shared" si="43"/>
        <v>0</v>
      </c>
      <c r="J193" s="160">
        <f t="shared" si="43"/>
        <v>-114.6737224657534</v>
      </c>
      <c r="K193" s="160">
        <f t="shared" si="43"/>
        <v>-107.34831995885881</v>
      </c>
      <c r="L193" s="160">
        <f t="shared" si="43"/>
        <v>9.5287254856353947</v>
      </c>
      <c r="M193" s="160">
        <f t="shared" si="43"/>
        <v>11.929294206501307</v>
      </c>
      <c r="N193" s="160">
        <f t="shared" si="43"/>
        <v>14.104751183833097</v>
      </c>
      <c r="O193" s="160">
        <f t="shared" si="43"/>
        <v>16.194329373170952</v>
      </c>
      <c r="P193" s="160">
        <f t="shared" si="43"/>
        <v>18.405865040152545</v>
      </c>
      <c r="Q193" s="160">
        <f t="shared" si="43"/>
        <v>20.71578006280529</v>
      </c>
      <c r="R193" s="160">
        <f t="shared" si="43"/>
        <v>23.172144972113742</v>
      </c>
      <c r="S193" s="160">
        <f t="shared" si="43"/>
        <v>2.9831653584177271</v>
      </c>
      <c r="T193" s="160">
        <f t="shared" si="43"/>
        <v>-0.45632245227936202</v>
      </c>
    </row>
    <row r="194" spans="2:20" x14ac:dyDescent="0.25">
      <c r="B194" s="23" t="s">
        <v>3230</v>
      </c>
      <c r="C194" s="28" t="s">
        <v>493</v>
      </c>
      <c r="E194" s="159">
        <f>'Cost Calculation'!T161-MAX(0,Inputs!$E$554*('Cost Calculation'!T161-Inputs!$E$550*'Revenue Calculation'!T133))-Inputs!$E$550*'Revenue Calculation'!T133</f>
        <v>-0.45621999999999979</v>
      </c>
      <c r="F194" s="29">
        <f>'Working Capital'!T55</f>
        <v>-3.7395081967213098E-2</v>
      </c>
      <c r="H194" s="159">
        <f>IF('Revenue Calculation'!H7=2036,IF(Inputs!$E$558&gt;Inputs!$E$559,((1+Inputs!$E$559)*$E$194-Inputs!$E$559*$F$194)/(Inputs!$E$558-Inputs!$E$559),0),0)</f>
        <v>0</v>
      </c>
      <c r="I194" s="159">
        <f>IF('Revenue Calculation'!I7=2036,IF(Inputs!$E$558&gt;Inputs!$E$559,((1+Inputs!$E$559)*$E$194-Inputs!$E$559*$F$194)/(Inputs!$E$558-Inputs!$E$559),0),0)</f>
        <v>0</v>
      </c>
      <c r="J194" s="159">
        <f>IF('Revenue Calculation'!J7=2036,IF(Inputs!$E$558&gt;Inputs!$E$559,((1+Inputs!$E$559)*$E$194-Inputs!$E$559*$F$194)/(Inputs!$E$558-Inputs!$E$559),0),0)</f>
        <v>0</v>
      </c>
      <c r="K194" s="159">
        <f>IF('Revenue Calculation'!K7=2036,IF(Inputs!$E$558&gt;Inputs!$E$559,((1+Inputs!$E$559)*$E$194-Inputs!$E$559*$F$194)/(Inputs!$E$558-Inputs!$E$559),0),0)</f>
        <v>0</v>
      </c>
      <c r="L194" s="159">
        <f>IF('Revenue Calculation'!L7=2036,IF(Inputs!$E$558&gt;Inputs!$E$559,((1+Inputs!$E$559)*$E$194-Inputs!$E$559*$F$194)/(Inputs!$E$558-Inputs!$E$559),0),0)</f>
        <v>0</v>
      </c>
      <c r="M194" s="159">
        <f>IF('Revenue Calculation'!M7=2036,IF(Inputs!$E$558&gt;Inputs!$E$559,((1+Inputs!$E$559)*$E$194-Inputs!$E$559*$F$194)/(Inputs!$E$558-Inputs!$E$559),0),0)</f>
        <v>0</v>
      </c>
      <c r="N194" s="159">
        <f>IF('Revenue Calculation'!N7=2036,IF(Inputs!$E$558&gt;Inputs!$E$559,((1+Inputs!$E$559)*$E$194-Inputs!$E$559*$F$194)/(Inputs!$E$558-Inputs!$E$559),0),0)</f>
        <v>0</v>
      </c>
      <c r="O194" s="159">
        <f>IF('Revenue Calculation'!O7=2036,IF(Inputs!$E$558&gt;Inputs!$E$559,((1+Inputs!$E$559)*$E$194-Inputs!$E$559*$F$194)/(Inputs!$E$558-Inputs!$E$559),0),0)</f>
        <v>0</v>
      </c>
      <c r="P194" s="159">
        <f>IF('Revenue Calculation'!P7=2036,IF(Inputs!$E$558&gt;Inputs!$E$559,((1+Inputs!$E$559)*$E$194-Inputs!$E$559*$F$194)/(Inputs!$E$558-Inputs!$E$559),0),0)</f>
        <v>0</v>
      </c>
      <c r="Q194" s="159">
        <f>IF('Revenue Calculation'!Q7=2036,IF(Inputs!$E$558&gt;Inputs!$E$559,((1+Inputs!$E$559)*$E$194-Inputs!$E$559*$F$194)/(Inputs!$E$558-Inputs!$E$559),0),0)</f>
        <v>0</v>
      </c>
      <c r="R194" s="159">
        <f>IF('Revenue Calculation'!R7=2036,IF(Inputs!$E$558&gt;Inputs!$E$559,((1+Inputs!$E$559)*$E$194-Inputs!$E$559*$F$194)/(Inputs!$E$558-Inputs!$E$559),0),0)</f>
        <v>0</v>
      </c>
      <c r="S194" s="159">
        <f>IF('Revenue Calculation'!S7=2036,IF(Inputs!$E$558&gt;Inputs!$E$559,((1+Inputs!$E$559)*$E$194-Inputs!$E$559*$F$194)/(Inputs!$E$558-Inputs!$E$559),0),0)</f>
        <v>0</v>
      </c>
      <c r="T194" s="159">
        <f>IF('Revenue Calculation'!T7=2036,IF(Inputs!$E$558&gt;Inputs!$E$559,((1+Inputs!$E$559)*$E$194-Inputs!$E$559*$F$194)/(Inputs!$E$558-Inputs!$E$559),0),0)</f>
        <v>-5.2871382516708181</v>
      </c>
    </row>
    <row r="195" spans="2:20" x14ac:dyDescent="0.25">
      <c r="B195" s="23" t="s">
        <v>3231</v>
      </c>
      <c r="C195" s="28" t="s">
        <v>493</v>
      </c>
      <c r="G195" s="159">
        <v>0</v>
      </c>
      <c r="H195" s="159">
        <f t="shared" ref="H195:T195" si="44">H193+H194</f>
        <v>0</v>
      </c>
      <c r="I195" s="159">
        <f t="shared" si="44"/>
        <v>0</v>
      </c>
      <c r="J195" s="159">
        <f t="shared" si="44"/>
        <v>-114.6737224657534</v>
      </c>
      <c r="K195" s="159">
        <f t="shared" si="44"/>
        <v>-107.34831995885881</v>
      </c>
      <c r="L195" s="159">
        <f t="shared" si="44"/>
        <v>9.5287254856353947</v>
      </c>
      <c r="M195" s="159">
        <f t="shared" si="44"/>
        <v>11.929294206501307</v>
      </c>
      <c r="N195" s="159">
        <f t="shared" si="44"/>
        <v>14.104751183833097</v>
      </c>
      <c r="O195" s="159">
        <f t="shared" si="44"/>
        <v>16.194329373170952</v>
      </c>
      <c r="P195" s="159">
        <f t="shared" si="44"/>
        <v>18.405865040152545</v>
      </c>
      <c r="Q195" s="159">
        <f t="shared" si="44"/>
        <v>20.71578006280529</v>
      </c>
      <c r="R195" s="159">
        <f t="shared" si="44"/>
        <v>23.172144972113742</v>
      </c>
      <c r="S195" s="159">
        <f t="shared" si="44"/>
        <v>2.9831653584177271</v>
      </c>
      <c r="T195" s="159">
        <f t="shared" si="44"/>
        <v>-5.7434607039501797</v>
      </c>
    </row>
    <row r="196" spans="2:20" x14ac:dyDescent="0.25">
      <c r="B196" s="23" t="s">
        <v>3232</v>
      </c>
      <c r="C196" s="28" t="s">
        <v>493</v>
      </c>
      <c r="G196" s="159">
        <f>G195</f>
        <v>0</v>
      </c>
      <c r="H196" s="159">
        <f t="shared" ref="H196:T196" si="45">G196+H193</f>
        <v>0</v>
      </c>
      <c r="I196" s="159">
        <f t="shared" si="45"/>
        <v>0</v>
      </c>
      <c r="J196" s="159">
        <f t="shared" si="45"/>
        <v>-114.6737224657534</v>
      </c>
      <c r="K196" s="159">
        <f t="shared" si="45"/>
        <v>-222.02204242461221</v>
      </c>
      <c r="L196" s="159">
        <f t="shared" si="45"/>
        <v>-212.49331693897682</v>
      </c>
      <c r="M196" s="159">
        <f t="shared" si="45"/>
        <v>-200.56402273247551</v>
      </c>
      <c r="N196" s="159">
        <f t="shared" si="45"/>
        <v>-186.45927154864242</v>
      </c>
      <c r="O196" s="159">
        <f t="shared" si="45"/>
        <v>-170.26494217547148</v>
      </c>
      <c r="P196" s="159">
        <f t="shared" si="45"/>
        <v>-151.85907713531893</v>
      </c>
      <c r="Q196" s="159">
        <f t="shared" si="45"/>
        <v>-131.14329707251363</v>
      </c>
      <c r="R196" s="159">
        <f t="shared" si="45"/>
        <v>-107.97115210039989</v>
      </c>
      <c r="S196" s="159">
        <f t="shared" si="45"/>
        <v>-104.98798674198217</v>
      </c>
      <c r="T196" s="159">
        <f t="shared" si="45"/>
        <v>-105.44430919426154</v>
      </c>
    </row>
    <row r="197" spans="2:20" x14ac:dyDescent="0.25">
      <c r="B197" s="154" t="s">
        <v>3244</v>
      </c>
    </row>
    <row r="198" spans="2:20" x14ac:dyDescent="0.25">
      <c r="B198" s="23" t="s">
        <v>3221</v>
      </c>
      <c r="C198" s="28" t="s">
        <v>493</v>
      </c>
      <c r="H198" s="29">
        <f>'Cost Calculation'!H165</f>
        <v>0</v>
      </c>
      <c r="I198" s="29">
        <f>'Cost Calculation'!I165</f>
        <v>0</v>
      </c>
      <c r="J198" s="29">
        <f>'Cost Calculation'!J165</f>
        <v>0</v>
      </c>
      <c r="K198" s="29">
        <f>'Cost Calculation'!K165</f>
        <v>0.59298933554682443</v>
      </c>
      <c r="L198" s="29">
        <f>'Cost Calculation'!L165</f>
        <v>0.61221901561322911</v>
      </c>
      <c r="M198" s="29">
        <f>'Cost Calculation'!M165</f>
        <v>0.63202558608162607</v>
      </c>
      <c r="N198" s="29">
        <f>'Cost Calculation'!N165</f>
        <v>0.65242635366407487</v>
      </c>
      <c r="O198" s="29">
        <f>'Cost Calculation'!O165</f>
        <v>0.6734391442739972</v>
      </c>
      <c r="P198" s="29">
        <f>'Cost Calculation'!P165</f>
        <v>0.69508231860221703</v>
      </c>
      <c r="Q198" s="29">
        <f>'Cost Calculation'!Q165</f>
        <v>0.71737478816028355</v>
      </c>
      <c r="R198" s="29">
        <f>'Cost Calculation'!R165</f>
        <v>0.74033603180509211</v>
      </c>
      <c r="S198" s="29">
        <f>'Cost Calculation'!S165</f>
        <v>0.76398611275924477</v>
      </c>
      <c r="T198" s="29">
        <f>'Cost Calculation'!T165</f>
        <v>0.7883456961420221</v>
      </c>
    </row>
    <row r="199" spans="2:20" x14ac:dyDescent="0.25">
      <c r="B199" s="23" t="s">
        <v>3222</v>
      </c>
      <c r="C199" s="28" t="s">
        <v>493</v>
      </c>
      <c r="H199" s="159">
        <f>'Cost Calculation'!H165-'Capex &amp; Depreciation'!H242</f>
        <v>0</v>
      </c>
      <c r="I199" s="159">
        <f>'Cost Calculation'!I165-'Capex &amp; Depreciation'!I242</f>
        <v>0</v>
      </c>
      <c r="J199" s="159">
        <f>'Cost Calculation'!J165-'Capex &amp; Depreciation'!J242</f>
        <v>0</v>
      </c>
      <c r="K199" s="159">
        <f>'Cost Calculation'!K165-'Capex &amp; Depreciation'!K242</f>
        <v>0.46286933554682441</v>
      </c>
      <c r="L199" s="159">
        <f>'Cost Calculation'!L165-'Capex &amp; Depreciation'!L242</f>
        <v>0.4820990156132291</v>
      </c>
      <c r="M199" s="159">
        <f>'Cost Calculation'!M165-'Capex &amp; Depreciation'!M242</f>
        <v>0.50190558608162605</v>
      </c>
      <c r="N199" s="159">
        <f>'Cost Calculation'!N165-'Capex &amp; Depreciation'!N242</f>
        <v>0.52230635366407485</v>
      </c>
      <c r="O199" s="159">
        <f>'Cost Calculation'!O165-'Capex &amp; Depreciation'!O242</f>
        <v>0.54331914427399719</v>
      </c>
      <c r="P199" s="159">
        <f>'Cost Calculation'!P165-'Capex &amp; Depreciation'!P242</f>
        <v>0.56496231860221702</v>
      </c>
      <c r="Q199" s="159">
        <f>'Cost Calculation'!Q165-'Capex &amp; Depreciation'!Q242</f>
        <v>0.58725478816028354</v>
      </c>
      <c r="R199" s="159">
        <f>'Cost Calculation'!R165-'Capex &amp; Depreciation'!R242</f>
        <v>0.6102160318050921</v>
      </c>
      <c r="S199" s="159">
        <f>'Cost Calculation'!S165-'Capex &amp; Depreciation'!S242</f>
        <v>0.63386611275924476</v>
      </c>
      <c r="T199" s="159">
        <f>'Cost Calculation'!T165-'Capex &amp; Depreciation'!T242</f>
        <v>0.65822569614202209</v>
      </c>
    </row>
    <row r="200" spans="2:20" x14ac:dyDescent="0.25">
      <c r="B200" s="23" t="s">
        <v>3223</v>
      </c>
      <c r="C200" s="28" t="s">
        <v>493</v>
      </c>
      <c r="H200" s="159">
        <f>0</f>
        <v>0</v>
      </c>
      <c r="I200" s="159">
        <f>0</f>
        <v>0</v>
      </c>
      <c r="J200" s="159">
        <f>0</f>
        <v>0</v>
      </c>
      <c r="K200" s="159">
        <f>0</f>
        <v>0</v>
      </c>
      <c r="L200" s="159">
        <f>0</f>
        <v>0</v>
      </c>
      <c r="M200" s="159">
        <f>0</f>
        <v>0</v>
      </c>
      <c r="N200" s="159">
        <f>0</f>
        <v>0</v>
      </c>
      <c r="O200" s="159">
        <f>0</f>
        <v>0</v>
      </c>
      <c r="P200" s="159">
        <f>0</f>
        <v>0</v>
      </c>
      <c r="Q200" s="159">
        <f>0</f>
        <v>0</v>
      </c>
      <c r="R200" s="159">
        <f>0</f>
        <v>0</v>
      </c>
      <c r="S200" s="159">
        <f>0</f>
        <v>0</v>
      </c>
      <c r="T200" s="159">
        <f>0</f>
        <v>0</v>
      </c>
    </row>
    <row r="201" spans="2:20" x14ac:dyDescent="0.25">
      <c r="B201" s="23" t="s">
        <v>3224</v>
      </c>
      <c r="C201" s="28" t="s">
        <v>493</v>
      </c>
      <c r="H201" s="159">
        <f>Inputs!H522*MAX(0,H199-H200)</f>
        <v>0</v>
      </c>
      <c r="I201" s="159">
        <f>Inputs!I522*MAX(0,I199-I200)</f>
        <v>0</v>
      </c>
      <c r="J201" s="159">
        <f>Inputs!J522*MAX(0,J199-J200)</f>
        <v>0</v>
      </c>
      <c r="K201" s="159">
        <f>Inputs!K522*MAX(0,K199-K200)</f>
        <v>0.10183125382030137</v>
      </c>
      <c r="L201" s="159">
        <f>Inputs!L522*MAX(0,L199-L200)</f>
        <v>0.10606178343491041</v>
      </c>
      <c r="M201" s="159">
        <f>Inputs!M522*MAX(0,M199-M200)</f>
        <v>0.11041922893795773</v>
      </c>
      <c r="N201" s="159">
        <f>Inputs!N522*MAX(0,N199-N200)</f>
        <v>0.11490739780609646</v>
      </c>
      <c r="O201" s="159">
        <f>Inputs!O522*MAX(0,O199-O200)</f>
        <v>0.11953021174027938</v>
      </c>
      <c r="P201" s="159">
        <f>Inputs!P522*MAX(0,P199-P200)</f>
        <v>0.12429171009248774</v>
      </c>
      <c r="Q201" s="159">
        <f>Inputs!Q522*MAX(0,Q199-Q200)</f>
        <v>0.12919605339526238</v>
      </c>
      <c r="R201" s="159">
        <f>Inputs!R522*MAX(0,R199-R200)</f>
        <v>0.13424752699712025</v>
      </c>
      <c r="S201" s="159">
        <f>Inputs!S522*MAX(0,S199-S200)</f>
        <v>0.13945054480703384</v>
      </c>
      <c r="T201" s="159">
        <f>Inputs!T522*MAX(0,T199-T200)</f>
        <v>0.14480965315124486</v>
      </c>
    </row>
    <row r="202" spans="2:20" x14ac:dyDescent="0.25">
      <c r="B202" s="23" t="s">
        <v>3225</v>
      </c>
      <c r="C202" s="28" t="s">
        <v>493</v>
      </c>
      <c r="H202" s="159">
        <f t="shared" ref="H202:T202" si="46">H199-H200-H201</f>
        <v>0</v>
      </c>
      <c r="I202" s="159">
        <f t="shared" si="46"/>
        <v>0</v>
      </c>
      <c r="J202" s="159">
        <f t="shared" si="46"/>
        <v>0</v>
      </c>
      <c r="K202" s="159">
        <f t="shared" si="46"/>
        <v>0.36103808172652307</v>
      </c>
      <c r="L202" s="159">
        <f t="shared" si="46"/>
        <v>0.37603723217831869</v>
      </c>
      <c r="M202" s="159">
        <f t="shared" si="46"/>
        <v>0.39148635714366831</v>
      </c>
      <c r="N202" s="159">
        <f t="shared" si="46"/>
        <v>0.40739895585797836</v>
      </c>
      <c r="O202" s="159">
        <f t="shared" si="46"/>
        <v>0.4237889325337178</v>
      </c>
      <c r="P202" s="159">
        <f t="shared" si="46"/>
        <v>0.44067060850972928</v>
      </c>
      <c r="Q202" s="159">
        <f t="shared" si="46"/>
        <v>0.45805873476502112</v>
      </c>
      <c r="R202" s="159">
        <f t="shared" si="46"/>
        <v>0.47596850480797182</v>
      </c>
      <c r="S202" s="159">
        <f t="shared" si="46"/>
        <v>0.49441556795221092</v>
      </c>
      <c r="T202" s="159">
        <f t="shared" si="46"/>
        <v>0.51341604299077725</v>
      </c>
    </row>
    <row r="203" spans="2:20" x14ac:dyDescent="0.25">
      <c r="B203" s="23" t="s">
        <v>3226</v>
      </c>
      <c r="C203" s="28" t="s">
        <v>493</v>
      </c>
      <c r="H203" s="159">
        <f>-Inputs!H522*MAX(0,H199)</f>
        <v>0</v>
      </c>
      <c r="I203" s="159">
        <f>-Inputs!I522*MAX(0,I199)</f>
        <v>0</v>
      </c>
      <c r="J203" s="159">
        <f>-Inputs!J522*MAX(0,J199)</f>
        <v>0</v>
      </c>
      <c r="K203" s="159">
        <f>-Inputs!K522*MAX(0,K199)</f>
        <v>-0.10183125382030137</v>
      </c>
      <c r="L203" s="159">
        <f>-Inputs!L522*MAX(0,L199)</f>
        <v>-0.10606178343491041</v>
      </c>
      <c r="M203" s="159">
        <f>-Inputs!M522*MAX(0,M199)</f>
        <v>-0.11041922893795773</v>
      </c>
      <c r="N203" s="159">
        <f>-Inputs!N522*MAX(0,N199)</f>
        <v>-0.11490739780609646</v>
      </c>
      <c r="O203" s="159">
        <f>-Inputs!O522*MAX(0,O199)</f>
        <v>-0.11953021174027938</v>
      </c>
      <c r="P203" s="159">
        <f>-Inputs!P522*MAX(0,P199)</f>
        <v>-0.12429171009248774</v>
      </c>
      <c r="Q203" s="159">
        <f>-Inputs!Q522*MAX(0,Q199)</f>
        <v>-0.12919605339526238</v>
      </c>
      <c r="R203" s="159">
        <f>-Inputs!R522*MAX(0,R199)</f>
        <v>-0.13424752699712025</v>
      </c>
      <c r="S203" s="159">
        <f>-Inputs!S522*MAX(0,S199)</f>
        <v>-0.13945054480703384</v>
      </c>
      <c r="T203" s="159">
        <f>-Inputs!T522*MAX(0,T199)</f>
        <v>-0.14480965315124486</v>
      </c>
    </row>
    <row r="204" spans="2:20" x14ac:dyDescent="0.25">
      <c r="B204" s="23" t="s">
        <v>3227</v>
      </c>
      <c r="C204" s="28" t="s">
        <v>493</v>
      </c>
      <c r="H204" s="159">
        <f>-'Capex &amp; Depreciation'!H269</f>
        <v>0</v>
      </c>
      <c r="I204" s="159">
        <f>-'Capex &amp; Depreciation'!I269</f>
        <v>0</v>
      </c>
      <c r="J204" s="159">
        <f>-'Capex &amp; Depreciation'!J269</f>
        <v>0</v>
      </c>
      <c r="K204" s="159">
        <f>-'Capex &amp; Depreciation'!K269</f>
        <v>0</v>
      </c>
      <c r="L204" s="159">
        <f>-'Capex &amp; Depreciation'!L269</f>
        <v>0</v>
      </c>
      <c r="M204" s="159">
        <f>-'Capex &amp; Depreciation'!M269</f>
        <v>0</v>
      </c>
      <c r="N204" s="159">
        <f>-'Capex &amp; Depreciation'!N269</f>
        <v>0</v>
      </c>
      <c r="O204" s="159">
        <f>-'Capex &amp; Depreciation'!O269</f>
        <v>0</v>
      </c>
      <c r="P204" s="159">
        <f>-'Capex &amp; Depreciation'!P269</f>
        <v>0</v>
      </c>
      <c r="Q204" s="159">
        <f>-'Capex &amp; Depreciation'!Q269</f>
        <v>0</v>
      </c>
      <c r="R204" s="159">
        <f>-'Capex &amp; Depreciation'!R269</f>
        <v>0</v>
      </c>
      <c r="S204" s="159">
        <f>-'Capex &amp; Depreciation'!S269</f>
        <v>0</v>
      </c>
      <c r="T204" s="159">
        <f>-'Capex &amp; Depreciation'!T269</f>
        <v>0</v>
      </c>
    </row>
    <row r="205" spans="2:20" x14ac:dyDescent="0.25">
      <c r="B205" s="23" t="s">
        <v>3228</v>
      </c>
      <c r="C205" s="28" t="s">
        <v>493</v>
      </c>
      <c r="H205" s="159">
        <f>-('Working Capital'!H59-'Working Capital'!G59)</f>
        <v>0</v>
      </c>
      <c r="I205" s="159">
        <f>-('Working Capital'!I59-'Working Capital'!H59)</f>
        <v>0</v>
      </c>
      <c r="J205" s="159">
        <f>-('Working Capital'!J59-'Working Capital'!I59)</f>
        <v>0</v>
      </c>
      <c r="K205" s="159">
        <f>-('Working Capital'!K59-'Working Capital'!J59)</f>
        <v>-9.1385342806873618E-2</v>
      </c>
      <c r="L205" s="159">
        <f>-('Working Capital'!L59-'Working Capital'!K59)</f>
        <v>-2.7056944287661144E-3</v>
      </c>
      <c r="M205" s="159">
        <f>-('Working Capital'!M59-'Working Capital'!L59)</f>
        <v>-3.3101660988574255E-3</v>
      </c>
      <c r="N205" s="159">
        <f>-('Working Capital'!N59-'Working Capital'!M59)</f>
        <v>-3.1439539082541018E-3</v>
      </c>
      <c r="O205" s="159">
        <f>-('Working Capital'!O59-'Working Capital'!N59)</f>
        <v>-3.2382725255017397E-3</v>
      </c>
      <c r="P205" s="159">
        <f>-('Working Capital'!P59-'Working Capital'!O59)</f>
        <v>-3.0427462464319849E-3</v>
      </c>
      <c r="Q205" s="159">
        <f>-('Working Capital'!Q59-'Working Capital'!P59)</f>
        <v>-3.7281577771395291E-3</v>
      </c>
      <c r="R205" s="159">
        <f>-('Working Capital'!R59-'Working Capital'!Q59)</f>
        <v>-3.5385478219739225E-3</v>
      </c>
      <c r="S205" s="159">
        <f>-('Working Capital'!S59-'Working Capital'!R59)</f>
        <v>-3.6447042566331161E-3</v>
      </c>
      <c r="T205" s="159">
        <f>-('Working Capital'!T59-'Working Capital'!S59)</f>
        <v>-3.42210103664152E-3</v>
      </c>
    </row>
    <row r="206" spans="2:20" ht="26.25" customHeight="1" x14ac:dyDescent="0.25">
      <c r="B206" s="133" t="s">
        <v>3229</v>
      </c>
      <c r="C206" s="28" t="s">
        <v>493</v>
      </c>
      <c r="H206" s="160">
        <f t="shared" ref="H206:T206" si="47">H198+H203+H204+H205</f>
        <v>0</v>
      </c>
      <c r="I206" s="160">
        <f t="shared" si="47"/>
        <v>0</v>
      </c>
      <c r="J206" s="160">
        <f t="shared" si="47"/>
        <v>0</v>
      </c>
      <c r="K206" s="160">
        <f t="shared" si="47"/>
        <v>0.39977273891964948</v>
      </c>
      <c r="L206" s="160">
        <f t="shared" si="47"/>
        <v>0.50345153774955265</v>
      </c>
      <c r="M206" s="160">
        <f t="shared" si="47"/>
        <v>0.51829619104481095</v>
      </c>
      <c r="N206" s="160">
        <f t="shared" si="47"/>
        <v>0.53437500194972432</v>
      </c>
      <c r="O206" s="160">
        <f t="shared" si="47"/>
        <v>0.55067066000821607</v>
      </c>
      <c r="P206" s="160">
        <f t="shared" si="47"/>
        <v>0.56774786226329732</v>
      </c>
      <c r="Q206" s="160">
        <f t="shared" si="47"/>
        <v>0.58445057698788161</v>
      </c>
      <c r="R206" s="160">
        <f t="shared" si="47"/>
        <v>0.60254995698599789</v>
      </c>
      <c r="S206" s="160">
        <f t="shared" si="47"/>
        <v>0.62089086369557778</v>
      </c>
      <c r="T206" s="160">
        <f t="shared" si="47"/>
        <v>0.64011394195413573</v>
      </c>
    </row>
    <row r="207" spans="2:20" x14ac:dyDescent="0.25">
      <c r="B207" s="23" t="s">
        <v>3230</v>
      </c>
      <c r="C207" s="28" t="s">
        <v>493</v>
      </c>
      <c r="E207" s="159">
        <f>'Cost Calculation'!T165-MAX(0,Inputs!$E$554*('Cost Calculation'!T165-0))-0</f>
        <v>0.61490964299077722</v>
      </c>
      <c r="F207" s="29">
        <f>'Working Capital'!T59</f>
        <v>0.12115968690707307</v>
      </c>
      <c r="H207" s="159">
        <f>IF('Revenue Calculation'!H7=2036,IF(Inputs!$E$558&gt;Inputs!$E$559,((1+Inputs!$E$559)*$E$207-Inputs!$E$559*$F$207)/(Inputs!$E$558-Inputs!$E$559),0),0)</f>
        <v>0</v>
      </c>
      <c r="I207" s="159">
        <f>IF('Revenue Calculation'!I7=2036,IF(Inputs!$E$558&gt;Inputs!$E$559,((1+Inputs!$E$559)*$E$207-Inputs!$E$559*$F$207)/(Inputs!$E$558-Inputs!$E$559),0),0)</f>
        <v>0</v>
      </c>
      <c r="J207" s="159">
        <f>IF('Revenue Calculation'!J7=2036,IF(Inputs!$E$558&gt;Inputs!$E$559,((1+Inputs!$E$559)*$E$207-Inputs!$E$559*$F$207)/(Inputs!$E$558-Inputs!$E$559),0),0)</f>
        <v>0</v>
      </c>
      <c r="K207" s="159">
        <f>IF('Revenue Calculation'!K7=2036,IF(Inputs!$E$558&gt;Inputs!$E$559,((1+Inputs!$E$559)*$E$207-Inputs!$E$559*$F$207)/(Inputs!$E$558-Inputs!$E$559),0),0)</f>
        <v>0</v>
      </c>
      <c r="L207" s="159">
        <f>IF('Revenue Calculation'!L7=2036,IF(Inputs!$E$558&gt;Inputs!$E$559,((1+Inputs!$E$559)*$E$207-Inputs!$E$559*$F$207)/(Inputs!$E$558-Inputs!$E$559),0),0)</f>
        <v>0</v>
      </c>
      <c r="M207" s="159">
        <f>IF('Revenue Calculation'!M7=2036,IF(Inputs!$E$558&gt;Inputs!$E$559,((1+Inputs!$E$559)*$E$207-Inputs!$E$559*$F$207)/(Inputs!$E$558-Inputs!$E$559),0),0)</f>
        <v>0</v>
      </c>
      <c r="N207" s="159">
        <f>IF('Revenue Calculation'!N7=2036,IF(Inputs!$E$558&gt;Inputs!$E$559,((1+Inputs!$E$559)*$E$207-Inputs!$E$559*$F$207)/(Inputs!$E$558-Inputs!$E$559),0),0)</f>
        <v>0</v>
      </c>
      <c r="O207" s="159">
        <f>IF('Revenue Calculation'!O7=2036,IF(Inputs!$E$558&gt;Inputs!$E$559,((1+Inputs!$E$559)*$E$207-Inputs!$E$559*$F$207)/(Inputs!$E$558-Inputs!$E$559),0),0)</f>
        <v>0</v>
      </c>
      <c r="P207" s="159">
        <f>IF('Revenue Calculation'!P7=2036,IF(Inputs!$E$558&gt;Inputs!$E$559,((1+Inputs!$E$559)*$E$207-Inputs!$E$559*$F$207)/(Inputs!$E$558-Inputs!$E$559),0),0)</f>
        <v>0</v>
      </c>
      <c r="Q207" s="159">
        <f>IF('Revenue Calculation'!Q7=2036,IF(Inputs!$E$558&gt;Inputs!$E$559,((1+Inputs!$E$559)*$E$207-Inputs!$E$559*$F$207)/(Inputs!$E$558-Inputs!$E$559),0),0)</f>
        <v>0</v>
      </c>
      <c r="R207" s="159">
        <f>IF('Revenue Calculation'!R7=2036,IF(Inputs!$E$558&gt;Inputs!$E$559,((1+Inputs!$E$559)*$E$207-Inputs!$E$559*$F$207)/(Inputs!$E$558-Inputs!$E$559),0),0)</f>
        <v>0</v>
      </c>
      <c r="S207" s="159">
        <f>IF('Revenue Calculation'!S7=2036,IF(Inputs!$E$558&gt;Inputs!$E$559,((1+Inputs!$E$559)*$E$207-Inputs!$E$559*$F$207)/(Inputs!$E$558-Inputs!$E$559),0),0)</f>
        <v>0</v>
      </c>
      <c r="T207" s="159">
        <f>IF('Revenue Calculation'!T7=2036,IF(Inputs!$E$558&gt;Inputs!$E$559,((1+Inputs!$E$559)*$E$207-Inputs!$E$559*$F$207)/(Inputs!$E$558-Inputs!$E$559),0),0)</f>
        <v>7.1022533062977669</v>
      </c>
    </row>
    <row r="208" spans="2:20" x14ac:dyDescent="0.25">
      <c r="B208" s="23" t="s">
        <v>3231</v>
      </c>
      <c r="C208" s="28" t="s">
        <v>493</v>
      </c>
      <c r="G208" s="159">
        <v>0</v>
      </c>
      <c r="H208" s="159">
        <f t="shared" ref="H208:T208" si="48">H206+H207</f>
        <v>0</v>
      </c>
      <c r="I208" s="159">
        <f t="shared" si="48"/>
        <v>0</v>
      </c>
      <c r="J208" s="159">
        <f t="shared" si="48"/>
        <v>0</v>
      </c>
      <c r="K208" s="159">
        <f t="shared" si="48"/>
        <v>0.39977273891964948</v>
      </c>
      <c r="L208" s="159">
        <f t="shared" si="48"/>
        <v>0.50345153774955265</v>
      </c>
      <c r="M208" s="159">
        <f t="shared" si="48"/>
        <v>0.51829619104481095</v>
      </c>
      <c r="N208" s="159">
        <f t="shared" si="48"/>
        <v>0.53437500194972432</v>
      </c>
      <c r="O208" s="159">
        <f t="shared" si="48"/>
        <v>0.55067066000821607</v>
      </c>
      <c r="P208" s="159">
        <f t="shared" si="48"/>
        <v>0.56774786226329732</v>
      </c>
      <c r="Q208" s="159">
        <f t="shared" si="48"/>
        <v>0.58445057698788161</v>
      </c>
      <c r="R208" s="159">
        <f t="shared" si="48"/>
        <v>0.60254995698599789</v>
      </c>
      <c r="S208" s="159">
        <f t="shared" si="48"/>
        <v>0.62089086369557778</v>
      </c>
      <c r="T208" s="159">
        <f t="shared" si="48"/>
        <v>7.7423672482519024</v>
      </c>
    </row>
    <row r="209" spans="2:20" x14ac:dyDescent="0.25">
      <c r="B209" s="23" t="s">
        <v>3232</v>
      </c>
      <c r="C209" s="28" t="s">
        <v>493</v>
      </c>
      <c r="G209" s="159">
        <f>G208</f>
        <v>0</v>
      </c>
      <c r="H209" s="159">
        <f t="shared" ref="H209:T209" si="49">G209+H206</f>
        <v>0</v>
      </c>
      <c r="I209" s="159">
        <f t="shared" si="49"/>
        <v>0</v>
      </c>
      <c r="J209" s="159">
        <f t="shared" si="49"/>
        <v>0</v>
      </c>
      <c r="K209" s="159">
        <f t="shared" si="49"/>
        <v>0.39977273891964948</v>
      </c>
      <c r="L209" s="159">
        <f t="shared" si="49"/>
        <v>0.90322427666920213</v>
      </c>
      <c r="M209" s="159">
        <f t="shared" si="49"/>
        <v>1.421520467714013</v>
      </c>
      <c r="N209" s="159">
        <f t="shared" si="49"/>
        <v>1.9558954696637372</v>
      </c>
      <c r="O209" s="159">
        <f t="shared" si="49"/>
        <v>2.5065661296719535</v>
      </c>
      <c r="P209" s="159">
        <f t="shared" si="49"/>
        <v>3.0743139919352509</v>
      </c>
      <c r="Q209" s="159">
        <f t="shared" si="49"/>
        <v>3.6587645689231323</v>
      </c>
      <c r="R209" s="159">
        <f t="shared" si="49"/>
        <v>4.2613145259091301</v>
      </c>
      <c r="S209" s="159">
        <f t="shared" si="49"/>
        <v>4.8822053896047075</v>
      </c>
      <c r="T209" s="159">
        <f t="shared" si="49"/>
        <v>5.522319331558843</v>
      </c>
    </row>
    <row r="210" spans="2:20" x14ac:dyDescent="0.25">
      <c r="B210" s="154" t="s">
        <v>3245</v>
      </c>
    </row>
    <row r="211" spans="2:20" x14ac:dyDescent="0.25">
      <c r="B211" s="23" t="s">
        <v>3221</v>
      </c>
      <c r="C211" s="28" t="s">
        <v>493</v>
      </c>
      <c r="H211" s="29">
        <f>'Cost Calculation'!H168</f>
        <v>0</v>
      </c>
      <c r="I211" s="29">
        <f>'Cost Calculation'!I168</f>
        <v>0</v>
      </c>
      <c r="J211" s="29">
        <f>'Cost Calculation'!J168</f>
        <v>0</v>
      </c>
      <c r="K211" s="29">
        <f>'Cost Calculation'!K168</f>
        <v>1.2483313248000001</v>
      </c>
      <c r="L211" s="29">
        <f>'Cost Calculation'!L168</f>
        <v>1.2857812645440003</v>
      </c>
      <c r="M211" s="29">
        <f>'Cost Calculation'!M168</f>
        <v>1.3243547024803202</v>
      </c>
      <c r="N211" s="29">
        <f>'Cost Calculation'!N168</f>
        <v>1.3640853435547298</v>
      </c>
      <c r="O211" s="29">
        <f>'Cost Calculation'!O168</f>
        <v>1.4050079038613719</v>
      </c>
      <c r="P211" s="29">
        <f>'Cost Calculation'!P168</f>
        <v>1.447158140977213</v>
      </c>
      <c r="Q211" s="29">
        <f>'Cost Calculation'!Q168</f>
        <v>1.4905728852065292</v>
      </c>
      <c r="R211" s="29">
        <f>'Cost Calculation'!R168</f>
        <v>1.5352900717627251</v>
      </c>
      <c r="S211" s="29">
        <f>'Cost Calculation'!S168</f>
        <v>1.5813487739156069</v>
      </c>
      <c r="T211" s="29">
        <f>'Cost Calculation'!T168</f>
        <v>1.6287892371330752</v>
      </c>
    </row>
    <row r="212" spans="2:20" x14ac:dyDescent="0.25">
      <c r="B212" s="23" t="s">
        <v>3222</v>
      </c>
      <c r="C212" s="28" t="s">
        <v>493</v>
      </c>
      <c r="H212" s="159">
        <f>'Cost Calculation'!H168-'Capex &amp; Depreciation'!H243</f>
        <v>0</v>
      </c>
      <c r="I212" s="159">
        <f>'Cost Calculation'!I168-'Capex &amp; Depreciation'!I243</f>
        <v>0</v>
      </c>
      <c r="J212" s="159">
        <f>'Cost Calculation'!J168-'Capex &amp; Depreciation'!J243</f>
        <v>0</v>
      </c>
      <c r="K212" s="159">
        <f>'Cost Calculation'!K168-'Capex &amp; Depreciation'!K243</f>
        <v>1.1182113248000001</v>
      </c>
      <c r="L212" s="159">
        <f>'Cost Calculation'!L168-'Capex &amp; Depreciation'!L243</f>
        <v>1.1556612645440003</v>
      </c>
      <c r="M212" s="159">
        <f>'Cost Calculation'!M168-'Capex &amp; Depreciation'!M243</f>
        <v>1.1942347024803202</v>
      </c>
      <c r="N212" s="159">
        <f>'Cost Calculation'!N168-'Capex &amp; Depreciation'!N243</f>
        <v>1.2339653435547298</v>
      </c>
      <c r="O212" s="159">
        <f>'Cost Calculation'!O168-'Capex &amp; Depreciation'!O243</f>
        <v>1.2748879038613719</v>
      </c>
      <c r="P212" s="159">
        <f>'Cost Calculation'!P168-'Capex &amp; Depreciation'!P243</f>
        <v>1.3170381409772129</v>
      </c>
      <c r="Q212" s="159">
        <f>'Cost Calculation'!Q168-'Capex &amp; Depreciation'!Q243</f>
        <v>1.3604528852065292</v>
      </c>
      <c r="R212" s="159">
        <f>'Cost Calculation'!R168-'Capex &amp; Depreciation'!R243</f>
        <v>1.4051700717627251</v>
      </c>
      <c r="S212" s="159">
        <f>'Cost Calculation'!S168-'Capex &amp; Depreciation'!S243</f>
        <v>1.4512287739156069</v>
      </c>
      <c r="T212" s="159">
        <f>'Cost Calculation'!T168-'Capex &amp; Depreciation'!T243</f>
        <v>1.4986692371330752</v>
      </c>
    </row>
    <row r="213" spans="2:20" x14ac:dyDescent="0.25">
      <c r="B213" s="23" t="s">
        <v>3223</v>
      </c>
      <c r="C213" s="28" t="s">
        <v>493</v>
      </c>
      <c r="H213" s="159">
        <f>0</f>
        <v>0</v>
      </c>
      <c r="I213" s="159">
        <f>0</f>
        <v>0</v>
      </c>
      <c r="J213" s="159">
        <f>0</f>
        <v>0</v>
      </c>
      <c r="K213" s="159">
        <f>0</f>
        <v>0</v>
      </c>
      <c r="L213" s="159">
        <f>0</f>
        <v>0</v>
      </c>
      <c r="M213" s="159">
        <f>0</f>
        <v>0</v>
      </c>
      <c r="N213" s="159">
        <f>0</f>
        <v>0</v>
      </c>
      <c r="O213" s="159">
        <f>0</f>
        <v>0</v>
      </c>
      <c r="P213" s="159">
        <f>0</f>
        <v>0</v>
      </c>
      <c r="Q213" s="159">
        <f>0</f>
        <v>0</v>
      </c>
      <c r="R213" s="159">
        <f>0</f>
        <v>0</v>
      </c>
      <c r="S213" s="159">
        <f>0</f>
        <v>0</v>
      </c>
      <c r="T213" s="159">
        <f>0</f>
        <v>0</v>
      </c>
    </row>
    <row r="214" spans="2:20" x14ac:dyDescent="0.25">
      <c r="B214" s="23" t="s">
        <v>3224</v>
      </c>
      <c r="C214" s="28" t="s">
        <v>493</v>
      </c>
      <c r="H214" s="159">
        <f>Inputs!H522*MAX(0,H212-H213)</f>
        <v>0</v>
      </c>
      <c r="I214" s="159">
        <f>Inputs!I522*MAX(0,I212-I213)</f>
        <v>0</v>
      </c>
      <c r="J214" s="159">
        <f>Inputs!J522*MAX(0,J212-J213)</f>
        <v>0</v>
      </c>
      <c r="K214" s="159">
        <f>Inputs!K522*MAX(0,K212-K213)</f>
        <v>0.24600649145600001</v>
      </c>
      <c r="L214" s="159">
        <f>Inputs!L522*MAX(0,L212-L213)</f>
        <v>0.25424547819968008</v>
      </c>
      <c r="M214" s="159">
        <f>Inputs!M522*MAX(0,M212-M213)</f>
        <v>0.26273163454567044</v>
      </c>
      <c r="N214" s="159">
        <f>Inputs!N522*MAX(0,N212-N213)</f>
        <v>0.27147237558204057</v>
      </c>
      <c r="O214" s="159">
        <f>Inputs!O522*MAX(0,O212-O213)</f>
        <v>0.28047533884950182</v>
      </c>
      <c r="P214" s="159">
        <f>Inputs!P522*MAX(0,P212-P213)</f>
        <v>0.28974839101498684</v>
      </c>
      <c r="Q214" s="159">
        <f>Inputs!Q522*MAX(0,Q212-Q213)</f>
        <v>0.29929963474543642</v>
      </c>
      <c r="R214" s="159">
        <f>Inputs!R522*MAX(0,R212-R213)</f>
        <v>0.30913741578779952</v>
      </c>
      <c r="S214" s="159">
        <f>Inputs!S522*MAX(0,S212-S213)</f>
        <v>0.31927033026143353</v>
      </c>
      <c r="T214" s="159">
        <f>Inputs!T522*MAX(0,T212-T213)</f>
        <v>0.32970723216927655</v>
      </c>
    </row>
    <row r="215" spans="2:20" x14ac:dyDescent="0.25">
      <c r="B215" s="23" t="s">
        <v>3225</v>
      </c>
      <c r="C215" s="28" t="s">
        <v>493</v>
      </c>
      <c r="H215" s="159">
        <f t="shared" ref="H215:T215" si="50">H212-H213-H214</f>
        <v>0</v>
      </c>
      <c r="I215" s="159">
        <f t="shared" si="50"/>
        <v>0</v>
      </c>
      <c r="J215" s="159">
        <f t="shared" si="50"/>
        <v>0</v>
      </c>
      <c r="K215" s="159">
        <f t="shared" si="50"/>
        <v>0.87220483334400001</v>
      </c>
      <c r="L215" s="159">
        <f t="shared" si="50"/>
        <v>0.90141578634432018</v>
      </c>
      <c r="M215" s="159">
        <f t="shared" si="50"/>
        <v>0.93150306793464965</v>
      </c>
      <c r="N215" s="159">
        <f t="shared" si="50"/>
        <v>0.96249296797268924</v>
      </c>
      <c r="O215" s="159">
        <f t="shared" si="50"/>
        <v>0.99441256501187003</v>
      </c>
      <c r="P215" s="159">
        <f t="shared" si="50"/>
        <v>1.0272897499622262</v>
      </c>
      <c r="Q215" s="159">
        <f t="shared" si="50"/>
        <v>1.0611532504610928</v>
      </c>
      <c r="R215" s="159">
        <f t="shared" si="50"/>
        <v>1.0960326559749256</v>
      </c>
      <c r="S215" s="159">
        <f t="shared" si="50"/>
        <v>1.1319584436541734</v>
      </c>
      <c r="T215" s="159">
        <f t="shared" si="50"/>
        <v>1.1689620049637988</v>
      </c>
    </row>
    <row r="216" spans="2:20" x14ac:dyDescent="0.25">
      <c r="B216" s="23" t="s">
        <v>3226</v>
      </c>
      <c r="C216" s="28" t="s">
        <v>493</v>
      </c>
      <c r="H216" s="159">
        <f>-Inputs!H522*MAX(0,H212)</f>
        <v>0</v>
      </c>
      <c r="I216" s="159">
        <f>-Inputs!I522*MAX(0,I212)</f>
        <v>0</v>
      </c>
      <c r="J216" s="159">
        <f>-Inputs!J522*MAX(0,J212)</f>
        <v>0</v>
      </c>
      <c r="K216" s="159">
        <f>-Inputs!K522*MAX(0,K212)</f>
        <v>-0.24600649145600001</v>
      </c>
      <c r="L216" s="159">
        <f>-Inputs!L522*MAX(0,L212)</f>
        <v>-0.25424547819968008</v>
      </c>
      <c r="M216" s="159">
        <f>-Inputs!M522*MAX(0,M212)</f>
        <v>-0.26273163454567044</v>
      </c>
      <c r="N216" s="159">
        <f>-Inputs!N522*MAX(0,N212)</f>
        <v>-0.27147237558204057</v>
      </c>
      <c r="O216" s="159">
        <f>-Inputs!O522*MAX(0,O212)</f>
        <v>-0.28047533884950182</v>
      </c>
      <c r="P216" s="159">
        <f>-Inputs!P522*MAX(0,P212)</f>
        <v>-0.28974839101498684</v>
      </c>
      <c r="Q216" s="159">
        <f>-Inputs!Q522*MAX(0,Q212)</f>
        <v>-0.29929963474543642</v>
      </c>
      <c r="R216" s="159">
        <f>-Inputs!R522*MAX(0,R212)</f>
        <v>-0.30913741578779952</v>
      </c>
      <c r="S216" s="159">
        <f>-Inputs!S522*MAX(0,S212)</f>
        <v>-0.31927033026143353</v>
      </c>
      <c r="T216" s="159">
        <f>-Inputs!T522*MAX(0,T212)</f>
        <v>-0.32970723216927655</v>
      </c>
    </row>
    <row r="217" spans="2:20" x14ac:dyDescent="0.25">
      <c r="B217" s="23" t="s">
        <v>3227</v>
      </c>
      <c r="C217" s="28" t="s">
        <v>493</v>
      </c>
      <c r="H217" s="159">
        <f>-'Capex &amp; Depreciation'!H270</f>
        <v>0</v>
      </c>
      <c r="I217" s="159">
        <f>-'Capex &amp; Depreciation'!I270</f>
        <v>0</v>
      </c>
      <c r="J217" s="159">
        <f>-'Capex &amp; Depreciation'!J270</f>
        <v>0</v>
      </c>
      <c r="K217" s="159">
        <f>-'Capex &amp; Depreciation'!K270</f>
        <v>0</v>
      </c>
      <c r="L217" s="159">
        <f>-'Capex &amp; Depreciation'!L270</f>
        <v>0</v>
      </c>
      <c r="M217" s="159">
        <f>-'Capex &amp; Depreciation'!M270</f>
        <v>0</v>
      </c>
      <c r="N217" s="159">
        <f>-'Capex &amp; Depreciation'!N270</f>
        <v>0</v>
      </c>
      <c r="O217" s="159">
        <f>-'Capex &amp; Depreciation'!O270</f>
        <v>0</v>
      </c>
      <c r="P217" s="159">
        <f>-'Capex &amp; Depreciation'!P270</f>
        <v>0</v>
      </c>
      <c r="Q217" s="159">
        <f>-'Capex &amp; Depreciation'!Q270</f>
        <v>0</v>
      </c>
      <c r="R217" s="159">
        <f>-'Capex &amp; Depreciation'!R270</f>
        <v>0</v>
      </c>
      <c r="S217" s="159">
        <f>-'Capex &amp; Depreciation'!S270</f>
        <v>0</v>
      </c>
      <c r="T217" s="159">
        <f>-'Capex &amp; Depreciation'!T270</f>
        <v>0</v>
      </c>
    </row>
    <row r="218" spans="2:20" x14ac:dyDescent="0.25">
      <c r="B218" s="23" t="s">
        <v>3228</v>
      </c>
      <c r="C218" s="28" t="s">
        <v>493</v>
      </c>
      <c r="H218" s="159">
        <f>-('Working Capital'!H63-'Working Capital'!G63)</f>
        <v>0</v>
      </c>
      <c r="I218" s="159">
        <f>-('Working Capital'!I63-'Working Capital'!H63)</f>
        <v>0</v>
      </c>
      <c r="J218" s="159">
        <f>-('Working Capital'!J63-'Working Capital'!I63)</f>
        <v>0</v>
      </c>
      <c r="K218" s="159">
        <f>-('Working Capital'!K63-'Working Capital'!J63)</f>
        <v>-0.19237982745205481</v>
      </c>
      <c r="L218" s="159">
        <f>-('Working Capital'!L63-'Working Capital'!K63)</f>
        <v>-5.2299980413878511E-3</v>
      </c>
      <c r="M218" s="159">
        <f>-('Working Capital'!M63-'Working Capital'!L63)</f>
        <v>-6.4859334504423216E-3</v>
      </c>
      <c r="N218" s="159">
        <f>-('Working Capital'!N63-'Working Capital'!M63)</f>
        <v>-6.1228727683164952E-3</v>
      </c>
      <c r="O218" s="159">
        <f>-('Working Capital'!O63-'Working Capital'!N63)</f>
        <v>-6.3065589513661147E-3</v>
      </c>
      <c r="P218" s="159">
        <f>-('Working Capital'!P63-'Working Capital'!O63)</f>
        <v>-5.8864088718647289E-3</v>
      </c>
      <c r="Q218" s="159">
        <f>-('Working Capital'!Q63-'Working Capital'!P63)</f>
        <v>-7.2999752395464801E-3</v>
      </c>
      <c r="R218" s="159">
        <f>-('Working Capital'!R63-'Working Capital'!Q63)</f>
        <v>-6.891347243249385E-3</v>
      </c>
      <c r="S218" s="159">
        <f>-('Working Capital'!S63-'Working Capital'!R63)</f>
        <v>-7.0980876605468701E-3</v>
      </c>
      <c r="T218" s="159">
        <f>-('Working Capital'!T63-'Working Capital'!S63)</f>
        <v>-6.6252050445458899E-3</v>
      </c>
    </row>
    <row r="219" spans="2:20" ht="26.25" customHeight="1" x14ac:dyDescent="0.25">
      <c r="B219" s="133" t="s">
        <v>3229</v>
      </c>
      <c r="C219" s="28" t="s">
        <v>493</v>
      </c>
      <c r="H219" s="160">
        <f t="shared" ref="H219:T219" si="51">H211+H216+H217+H218</f>
        <v>0</v>
      </c>
      <c r="I219" s="160">
        <f t="shared" si="51"/>
        <v>0</v>
      </c>
      <c r="J219" s="160">
        <f t="shared" si="51"/>
        <v>0</v>
      </c>
      <c r="K219" s="160">
        <f t="shared" si="51"/>
        <v>0.80994500589194518</v>
      </c>
      <c r="L219" s="160">
        <f t="shared" si="51"/>
        <v>1.0263057883029323</v>
      </c>
      <c r="M219" s="160">
        <f t="shared" si="51"/>
        <v>1.0551371344842073</v>
      </c>
      <c r="N219" s="160">
        <f t="shared" si="51"/>
        <v>1.0864900952043728</v>
      </c>
      <c r="O219" s="160">
        <f t="shared" si="51"/>
        <v>1.118226006060504</v>
      </c>
      <c r="P219" s="160">
        <f t="shared" si="51"/>
        <v>1.1515233410903614</v>
      </c>
      <c r="Q219" s="160">
        <f t="shared" si="51"/>
        <v>1.1839732752215464</v>
      </c>
      <c r="R219" s="160">
        <f t="shared" si="51"/>
        <v>1.2192613087316762</v>
      </c>
      <c r="S219" s="160">
        <f t="shared" si="51"/>
        <v>1.2549803559936266</v>
      </c>
      <c r="T219" s="160">
        <f t="shared" si="51"/>
        <v>1.2924567999192527</v>
      </c>
    </row>
    <row r="220" spans="2:20" x14ac:dyDescent="0.25">
      <c r="B220" s="23" t="s">
        <v>3230</v>
      </c>
      <c r="C220" s="28" t="s">
        <v>493</v>
      </c>
      <c r="E220" s="159">
        <f>'Cost Calculation'!T168-MAX(0,Inputs!$E$554*('Cost Calculation'!T168-0))-0</f>
        <v>1.2704556049637987</v>
      </c>
      <c r="F220" s="29">
        <f>'Working Capital'!T63</f>
        <v>0.25032621472332095</v>
      </c>
      <c r="H220" s="159">
        <f>IF('Revenue Calculation'!H7=2036,IF(Inputs!$E$558&gt;Inputs!$E$559,((1+Inputs!$E$559)*$E$220-Inputs!$E$559*$F$220)/(Inputs!$E$558-Inputs!$E$559),0),0)</f>
        <v>0</v>
      </c>
      <c r="I220" s="159">
        <f>IF('Revenue Calculation'!I7=2036,IF(Inputs!$E$558&gt;Inputs!$E$559,((1+Inputs!$E$559)*$E$220-Inputs!$E$559*$F$220)/(Inputs!$E$558-Inputs!$E$559),0),0)</f>
        <v>0</v>
      </c>
      <c r="J220" s="159">
        <f>IF('Revenue Calculation'!J7=2036,IF(Inputs!$E$558&gt;Inputs!$E$559,((1+Inputs!$E$559)*$E$220-Inputs!$E$559*$F$220)/(Inputs!$E$558-Inputs!$E$559),0),0)</f>
        <v>0</v>
      </c>
      <c r="K220" s="159">
        <f>IF('Revenue Calculation'!K7=2036,IF(Inputs!$E$558&gt;Inputs!$E$559,((1+Inputs!$E$559)*$E$220-Inputs!$E$559*$F$220)/(Inputs!$E$558-Inputs!$E$559),0),0)</f>
        <v>0</v>
      </c>
      <c r="L220" s="159">
        <f>IF('Revenue Calculation'!L7=2036,IF(Inputs!$E$558&gt;Inputs!$E$559,((1+Inputs!$E$559)*$E$220-Inputs!$E$559*$F$220)/(Inputs!$E$558-Inputs!$E$559),0),0)</f>
        <v>0</v>
      </c>
      <c r="M220" s="159">
        <f>IF('Revenue Calculation'!M7=2036,IF(Inputs!$E$558&gt;Inputs!$E$559,((1+Inputs!$E$559)*$E$220-Inputs!$E$559*$F$220)/(Inputs!$E$558-Inputs!$E$559),0),0)</f>
        <v>0</v>
      </c>
      <c r="N220" s="159">
        <f>IF('Revenue Calculation'!N7=2036,IF(Inputs!$E$558&gt;Inputs!$E$559,((1+Inputs!$E$559)*$E$220-Inputs!$E$559*$F$220)/(Inputs!$E$558-Inputs!$E$559),0),0)</f>
        <v>0</v>
      </c>
      <c r="O220" s="159">
        <f>IF('Revenue Calculation'!O7=2036,IF(Inputs!$E$558&gt;Inputs!$E$559,((1+Inputs!$E$559)*$E$220-Inputs!$E$559*$F$220)/(Inputs!$E$558-Inputs!$E$559),0),0)</f>
        <v>0</v>
      </c>
      <c r="P220" s="159">
        <f>IF('Revenue Calculation'!P7=2036,IF(Inputs!$E$558&gt;Inputs!$E$559,((1+Inputs!$E$559)*$E$220-Inputs!$E$559*$F$220)/(Inputs!$E$558-Inputs!$E$559),0),0)</f>
        <v>0</v>
      </c>
      <c r="Q220" s="159">
        <f>IF('Revenue Calculation'!Q7=2036,IF(Inputs!$E$558&gt;Inputs!$E$559,((1+Inputs!$E$559)*$E$220-Inputs!$E$559*$F$220)/(Inputs!$E$558-Inputs!$E$559),0),0)</f>
        <v>0</v>
      </c>
      <c r="R220" s="159">
        <f>IF('Revenue Calculation'!R7=2036,IF(Inputs!$E$558&gt;Inputs!$E$559,((1+Inputs!$E$559)*$E$220-Inputs!$E$559*$F$220)/(Inputs!$E$558-Inputs!$E$559),0),0)</f>
        <v>0</v>
      </c>
      <c r="S220" s="159">
        <f>IF('Revenue Calculation'!S7=2036,IF(Inputs!$E$558&gt;Inputs!$E$559,((1+Inputs!$E$559)*$E$220-Inputs!$E$559*$F$220)/(Inputs!$E$558-Inputs!$E$559),0),0)</f>
        <v>0</v>
      </c>
      <c r="T220" s="159">
        <f>IF('Revenue Calculation'!T7=2036,IF(Inputs!$E$558&gt;Inputs!$E$559,((1+Inputs!$E$559)*$E$220-Inputs!$E$559*$F$220)/(Inputs!$E$558-Inputs!$E$559),0),0)</f>
        <v>14.673859198194432</v>
      </c>
    </row>
    <row r="221" spans="2:20" x14ac:dyDescent="0.25">
      <c r="B221" s="23" t="s">
        <v>3231</v>
      </c>
      <c r="C221" s="28" t="s">
        <v>493</v>
      </c>
      <c r="G221" s="159">
        <v>0</v>
      </c>
      <c r="H221" s="159">
        <f t="shared" ref="H221:T221" si="52">H219+H220</f>
        <v>0</v>
      </c>
      <c r="I221" s="159">
        <f t="shared" si="52"/>
        <v>0</v>
      </c>
      <c r="J221" s="159">
        <f t="shared" si="52"/>
        <v>0</v>
      </c>
      <c r="K221" s="159">
        <f t="shared" si="52"/>
        <v>0.80994500589194518</v>
      </c>
      <c r="L221" s="159">
        <f t="shared" si="52"/>
        <v>1.0263057883029323</v>
      </c>
      <c r="M221" s="159">
        <f t="shared" si="52"/>
        <v>1.0551371344842073</v>
      </c>
      <c r="N221" s="159">
        <f t="shared" si="52"/>
        <v>1.0864900952043728</v>
      </c>
      <c r="O221" s="159">
        <f t="shared" si="52"/>
        <v>1.118226006060504</v>
      </c>
      <c r="P221" s="159">
        <f t="shared" si="52"/>
        <v>1.1515233410903614</v>
      </c>
      <c r="Q221" s="159">
        <f t="shared" si="52"/>
        <v>1.1839732752215464</v>
      </c>
      <c r="R221" s="159">
        <f t="shared" si="52"/>
        <v>1.2192613087316762</v>
      </c>
      <c r="S221" s="159">
        <f t="shared" si="52"/>
        <v>1.2549803559936266</v>
      </c>
      <c r="T221" s="159">
        <f t="shared" si="52"/>
        <v>15.966315998113684</v>
      </c>
    </row>
    <row r="222" spans="2:20" x14ac:dyDescent="0.25">
      <c r="B222" s="23" t="s">
        <v>3232</v>
      </c>
      <c r="C222" s="28" t="s">
        <v>493</v>
      </c>
      <c r="G222" s="159">
        <f>G221</f>
        <v>0</v>
      </c>
      <c r="H222" s="159">
        <f t="shared" ref="H222:T222" si="53">G222+H219</f>
        <v>0</v>
      </c>
      <c r="I222" s="159">
        <f t="shared" si="53"/>
        <v>0</v>
      </c>
      <c r="J222" s="159">
        <f t="shared" si="53"/>
        <v>0</v>
      </c>
      <c r="K222" s="159">
        <f t="shared" si="53"/>
        <v>0.80994500589194518</v>
      </c>
      <c r="L222" s="159">
        <f t="shared" si="53"/>
        <v>1.8362507941948776</v>
      </c>
      <c r="M222" s="159">
        <f t="shared" si="53"/>
        <v>2.8913879286790847</v>
      </c>
      <c r="N222" s="159">
        <f t="shared" si="53"/>
        <v>3.9778780238834575</v>
      </c>
      <c r="O222" s="159">
        <f t="shared" si="53"/>
        <v>5.0961040299439615</v>
      </c>
      <c r="P222" s="159">
        <f t="shared" si="53"/>
        <v>6.2476273710343229</v>
      </c>
      <c r="Q222" s="159">
        <f t="shared" si="53"/>
        <v>7.4316006462558697</v>
      </c>
      <c r="R222" s="159">
        <f t="shared" si="53"/>
        <v>8.6508619549875458</v>
      </c>
      <c r="S222" s="159">
        <f t="shared" si="53"/>
        <v>9.9058423109811731</v>
      </c>
      <c r="T222" s="159">
        <f t="shared" si="53"/>
        <v>11.198299110900425</v>
      </c>
    </row>
    <row r="223" spans="2:20" x14ac:dyDescent="0.25">
      <c r="B223" s="154" t="s">
        <v>3246</v>
      </c>
    </row>
    <row r="224" spans="2:20" x14ac:dyDescent="0.25">
      <c r="B224" s="23" t="s">
        <v>3221</v>
      </c>
      <c r="C224" s="28" t="s">
        <v>493</v>
      </c>
      <c r="H224" s="29">
        <f>'Cost Calculation'!H171</f>
        <v>0</v>
      </c>
      <c r="I224" s="29">
        <f>'Cost Calculation'!I171</f>
        <v>0</v>
      </c>
      <c r="J224" s="29">
        <f>'Cost Calculation'!J171</f>
        <v>0</v>
      </c>
      <c r="K224" s="29">
        <f>'Cost Calculation'!K171</f>
        <v>0</v>
      </c>
      <c r="L224" s="29">
        <f>'Cost Calculation'!L171</f>
        <v>0.37120000000000003</v>
      </c>
      <c r="M224" s="29">
        <f>'Cost Calculation'!M171</f>
        <v>0.40832000000000007</v>
      </c>
      <c r="N224" s="29">
        <f>'Cost Calculation'!N171</f>
        <v>0.44915200000000011</v>
      </c>
      <c r="O224" s="29">
        <f>'Cost Calculation'!O171</f>
        <v>0.4940672000000001</v>
      </c>
      <c r="P224" s="29">
        <f>'Cost Calculation'!P171</f>
        <v>0.52371123200000025</v>
      </c>
      <c r="Q224" s="29">
        <f>'Cost Calculation'!Q171</f>
        <v>0.55513390592000023</v>
      </c>
      <c r="R224" s="29">
        <f>'Cost Calculation'!R171</f>
        <v>0.58844194027520025</v>
      </c>
      <c r="S224" s="29">
        <f>'Cost Calculation'!S171</f>
        <v>0.62374845669171231</v>
      </c>
      <c r="T224" s="29">
        <f>'Cost Calculation'!T171</f>
        <v>0.66117336409321514</v>
      </c>
    </row>
    <row r="225" spans="2:20" x14ac:dyDescent="0.25">
      <c r="B225" s="23" t="s">
        <v>3222</v>
      </c>
      <c r="C225" s="28" t="s">
        <v>493</v>
      </c>
      <c r="H225" s="159">
        <f>'Cost Calculation'!H171-'Capex &amp; Depreciation'!H244</f>
        <v>0</v>
      </c>
      <c r="I225" s="159">
        <f>'Cost Calculation'!I171-'Capex &amp; Depreciation'!I244</f>
        <v>0</v>
      </c>
      <c r="J225" s="159">
        <f>'Cost Calculation'!J171-'Capex &amp; Depreciation'!J244</f>
        <v>0</v>
      </c>
      <c r="K225" s="159">
        <f>'Cost Calculation'!K171-'Capex &amp; Depreciation'!K244</f>
        <v>0</v>
      </c>
      <c r="L225" s="159">
        <f>'Cost Calculation'!L171-'Capex &amp; Depreciation'!L244</f>
        <v>0.27361000000000002</v>
      </c>
      <c r="M225" s="159">
        <f>'Cost Calculation'!M171-'Capex &amp; Depreciation'!M244</f>
        <v>0.31073000000000006</v>
      </c>
      <c r="N225" s="159">
        <f>'Cost Calculation'!N171-'Capex &amp; Depreciation'!N244</f>
        <v>0.3515620000000001</v>
      </c>
      <c r="O225" s="159">
        <f>'Cost Calculation'!O171-'Capex &amp; Depreciation'!O244</f>
        <v>0.39647720000000009</v>
      </c>
      <c r="P225" s="159">
        <f>'Cost Calculation'!P171-'Capex &amp; Depreciation'!P244</f>
        <v>0.42612123200000024</v>
      </c>
      <c r="Q225" s="159">
        <f>'Cost Calculation'!Q171-'Capex &amp; Depreciation'!Q244</f>
        <v>0.45754390592000022</v>
      </c>
      <c r="R225" s="159">
        <f>'Cost Calculation'!R171-'Capex &amp; Depreciation'!R244</f>
        <v>0.49085194027520024</v>
      </c>
      <c r="S225" s="159">
        <f>'Cost Calculation'!S171-'Capex &amp; Depreciation'!S244</f>
        <v>0.52615845669171235</v>
      </c>
      <c r="T225" s="159">
        <f>'Cost Calculation'!T171-'Capex &amp; Depreciation'!T244</f>
        <v>0.56358336409321519</v>
      </c>
    </row>
    <row r="226" spans="2:20" x14ac:dyDescent="0.25">
      <c r="B226" s="23" t="s">
        <v>3223</v>
      </c>
      <c r="C226" s="28" t="s">
        <v>493</v>
      </c>
      <c r="H226" s="159">
        <f>0</f>
        <v>0</v>
      </c>
      <c r="I226" s="159">
        <f>0</f>
        <v>0</v>
      </c>
      <c r="J226" s="159">
        <f>0</f>
        <v>0</v>
      </c>
      <c r="K226" s="159">
        <f>0</f>
        <v>0</v>
      </c>
      <c r="L226" s="159">
        <f>0</f>
        <v>0</v>
      </c>
      <c r="M226" s="159">
        <f>0</f>
        <v>0</v>
      </c>
      <c r="N226" s="159">
        <f>0</f>
        <v>0</v>
      </c>
      <c r="O226" s="159">
        <f>0</f>
        <v>0</v>
      </c>
      <c r="P226" s="159">
        <f>0</f>
        <v>0</v>
      </c>
      <c r="Q226" s="159">
        <f>0</f>
        <v>0</v>
      </c>
      <c r="R226" s="159">
        <f>0</f>
        <v>0</v>
      </c>
      <c r="S226" s="159">
        <f>0</f>
        <v>0</v>
      </c>
      <c r="T226" s="159">
        <f>0</f>
        <v>0</v>
      </c>
    </row>
    <row r="227" spans="2:20" x14ac:dyDescent="0.25">
      <c r="B227" s="23" t="s">
        <v>3224</v>
      </c>
      <c r="C227" s="28" t="s">
        <v>493</v>
      </c>
      <c r="H227" s="159">
        <f>Inputs!H522*MAX(0,H225-H226)</f>
        <v>0</v>
      </c>
      <c r="I227" s="159">
        <f>Inputs!I522*MAX(0,I225-I226)</f>
        <v>0</v>
      </c>
      <c r="J227" s="159">
        <f>Inputs!J522*MAX(0,J225-J226)</f>
        <v>0</v>
      </c>
      <c r="K227" s="159">
        <f>Inputs!K522*MAX(0,K225-K226)</f>
        <v>0</v>
      </c>
      <c r="L227" s="159">
        <f>Inputs!L522*MAX(0,L225-L226)</f>
        <v>6.0194200000000003E-2</v>
      </c>
      <c r="M227" s="159">
        <f>Inputs!M522*MAX(0,M225-M226)</f>
        <v>6.8360600000000007E-2</v>
      </c>
      <c r="N227" s="159">
        <f>Inputs!N522*MAX(0,N225-N226)</f>
        <v>7.7343640000000019E-2</v>
      </c>
      <c r="O227" s="159">
        <f>Inputs!O522*MAX(0,O225-O226)</f>
        <v>8.7224984000000019E-2</v>
      </c>
      <c r="P227" s="159">
        <f>Inputs!P522*MAX(0,P225-P226)</f>
        <v>9.3746671040000049E-2</v>
      </c>
      <c r="Q227" s="159">
        <f>Inputs!Q522*MAX(0,Q225-Q226)</f>
        <v>0.10065965930240005</v>
      </c>
      <c r="R227" s="159">
        <f>Inputs!R522*MAX(0,R225-R226)</f>
        <v>0.10798742686054405</v>
      </c>
      <c r="S227" s="159">
        <f>Inputs!S522*MAX(0,S225-S226)</f>
        <v>0.11575486047217672</v>
      </c>
      <c r="T227" s="159">
        <f>Inputs!T522*MAX(0,T225-T226)</f>
        <v>0.12398834010050734</v>
      </c>
    </row>
    <row r="228" spans="2:20" x14ac:dyDescent="0.25">
      <c r="B228" s="23" t="s">
        <v>3225</v>
      </c>
      <c r="C228" s="28" t="s">
        <v>493</v>
      </c>
      <c r="H228" s="159">
        <f t="shared" ref="H228:T228" si="54">H225-H226-H227</f>
        <v>0</v>
      </c>
      <c r="I228" s="159">
        <f t="shared" si="54"/>
        <v>0</v>
      </c>
      <c r="J228" s="159">
        <f t="shared" si="54"/>
        <v>0</v>
      </c>
      <c r="K228" s="159">
        <f t="shared" si="54"/>
        <v>0</v>
      </c>
      <c r="L228" s="159">
        <f t="shared" si="54"/>
        <v>0.21341580000000002</v>
      </c>
      <c r="M228" s="159">
        <f t="shared" si="54"/>
        <v>0.24236940000000007</v>
      </c>
      <c r="N228" s="159">
        <f t="shared" si="54"/>
        <v>0.27421836000000011</v>
      </c>
      <c r="O228" s="159">
        <f t="shared" si="54"/>
        <v>0.30925221600000008</v>
      </c>
      <c r="P228" s="159">
        <f t="shared" si="54"/>
        <v>0.33237456096000018</v>
      </c>
      <c r="Q228" s="159">
        <f t="shared" si="54"/>
        <v>0.35688424661760015</v>
      </c>
      <c r="R228" s="159">
        <f t="shared" si="54"/>
        <v>0.38286451341465622</v>
      </c>
      <c r="S228" s="159">
        <f t="shared" si="54"/>
        <v>0.41040359621953565</v>
      </c>
      <c r="T228" s="159">
        <f t="shared" si="54"/>
        <v>0.43959502399270783</v>
      </c>
    </row>
    <row r="229" spans="2:20" x14ac:dyDescent="0.25">
      <c r="B229" s="23" t="s">
        <v>3226</v>
      </c>
      <c r="C229" s="28" t="s">
        <v>493</v>
      </c>
      <c r="H229" s="159">
        <f>-Inputs!H522*MAX(0,H225)</f>
        <v>0</v>
      </c>
      <c r="I229" s="159">
        <f>-Inputs!I522*MAX(0,I225)</f>
        <v>0</v>
      </c>
      <c r="J229" s="159">
        <f>-Inputs!J522*MAX(0,J225)</f>
        <v>0</v>
      </c>
      <c r="K229" s="159">
        <f>-Inputs!K522*MAX(0,K225)</f>
        <v>0</v>
      </c>
      <c r="L229" s="159">
        <f>-Inputs!L522*MAX(0,L225)</f>
        <v>-6.0194200000000003E-2</v>
      </c>
      <c r="M229" s="159">
        <f>-Inputs!M522*MAX(0,M225)</f>
        <v>-6.8360600000000007E-2</v>
      </c>
      <c r="N229" s="159">
        <f>-Inputs!N522*MAX(0,N225)</f>
        <v>-7.7343640000000019E-2</v>
      </c>
      <c r="O229" s="159">
        <f>-Inputs!O522*MAX(0,O225)</f>
        <v>-8.7224984000000019E-2</v>
      </c>
      <c r="P229" s="159">
        <f>-Inputs!P522*MAX(0,P225)</f>
        <v>-9.3746671040000049E-2</v>
      </c>
      <c r="Q229" s="159">
        <f>-Inputs!Q522*MAX(0,Q225)</f>
        <v>-0.10065965930240005</v>
      </c>
      <c r="R229" s="159">
        <f>-Inputs!R522*MAX(0,R225)</f>
        <v>-0.10798742686054405</v>
      </c>
      <c r="S229" s="159">
        <f>-Inputs!S522*MAX(0,S225)</f>
        <v>-0.11575486047217672</v>
      </c>
      <c r="T229" s="159">
        <f>-Inputs!T522*MAX(0,T225)</f>
        <v>-0.12398834010050734</v>
      </c>
    </row>
    <row r="230" spans="2:20" x14ac:dyDescent="0.25">
      <c r="B230" s="23" t="s">
        <v>3227</v>
      </c>
      <c r="C230" s="28" t="s">
        <v>493</v>
      </c>
      <c r="H230" s="159">
        <f>-'Capex &amp; Depreciation'!H271</f>
        <v>0</v>
      </c>
      <c r="I230" s="159">
        <f>-'Capex &amp; Depreciation'!I271</f>
        <v>0</v>
      </c>
      <c r="J230" s="159">
        <f>-'Capex &amp; Depreciation'!J271</f>
        <v>0</v>
      </c>
      <c r="K230" s="159">
        <f>-'Capex &amp; Depreciation'!K271</f>
        <v>0</v>
      </c>
      <c r="L230" s="159">
        <f>-'Capex &amp; Depreciation'!L271</f>
        <v>0</v>
      </c>
      <c r="M230" s="159">
        <f>-'Capex &amp; Depreciation'!M271</f>
        <v>0</v>
      </c>
      <c r="N230" s="159">
        <f>-'Capex &amp; Depreciation'!N271</f>
        <v>0</v>
      </c>
      <c r="O230" s="159">
        <f>-'Capex &amp; Depreciation'!O271</f>
        <v>0</v>
      </c>
      <c r="P230" s="159">
        <f>-'Capex &amp; Depreciation'!P271</f>
        <v>0</v>
      </c>
      <c r="Q230" s="159">
        <f>-'Capex &amp; Depreciation'!Q271</f>
        <v>0</v>
      </c>
      <c r="R230" s="159">
        <f>-'Capex &amp; Depreciation'!R271</f>
        <v>0</v>
      </c>
      <c r="S230" s="159">
        <f>-'Capex &amp; Depreciation'!S271</f>
        <v>0</v>
      </c>
      <c r="T230" s="159">
        <f>-'Capex &amp; Depreciation'!T271</f>
        <v>0</v>
      </c>
    </row>
    <row r="231" spans="2:20" x14ac:dyDescent="0.25">
      <c r="B231" s="23" t="s">
        <v>3228</v>
      </c>
      <c r="C231" s="28" t="s">
        <v>493</v>
      </c>
      <c r="H231" s="159">
        <f>-('Working Capital'!H67-'Working Capital'!G67)</f>
        <v>0</v>
      </c>
      <c r="I231" s="159">
        <f>-('Working Capital'!I67-'Working Capital'!H67)</f>
        <v>0</v>
      </c>
      <c r="J231" s="159">
        <f>-('Working Capital'!J67-'Working Capital'!I67)</f>
        <v>0</v>
      </c>
      <c r="K231" s="159">
        <f>-('Working Capital'!K67-'Working Capital'!J67)</f>
        <v>0</v>
      </c>
      <c r="L231" s="159">
        <f>-('Working Capital'!L67-'Working Capital'!K67)</f>
        <v>-5.7049180327868862E-2</v>
      </c>
      <c r="M231" s="159">
        <f>-('Working Capital'!M67-'Working Capital'!L67)</f>
        <v>-5.8768470693914276E-3</v>
      </c>
      <c r="N231" s="159">
        <f>-('Working Capital'!N67-'Working Capital'!M67)</f>
        <v>-6.2926027397260387E-3</v>
      </c>
      <c r="O231" s="159">
        <f>-('Working Capital'!O67-'Working Capital'!N67)</f>
        <v>-6.9218630136986259E-3</v>
      </c>
      <c r="P231" s="159">
        <f>-('Working Capital'!P67-'Working Capital'!O67)</f>
        <v>-4.3479134066921332E-3</v>
      </c>
      <c r="Q231" s="159">
        <f>-('Working Capital'!Q67-'Working Capital'!P67)</f>
        <v>-5.0630515467325471E-3</v>
      </c>
      <c r="R231" s="159">
        <f>-('Working Capital'!R67-'Working Capital'!Q67)</f>
        <v>-5.1330874862465653E-3</v>
      </c>
      <c r="S231" s="159">
        <f>-('Working Capital'!S67-'Working Capital'!R67)</f>
        <v>-5.4410727354213956E-3</v>
      </c>
      <c r="T231" s="159">
        <f>-('Working Capital'!T67-'Working Capital'!S67)</f>
        <v>-5.4891405000239285E-3</v>
      </c>
    </row>
    <row r="232" spans="2:20" ht="26.25" customHeight="1" x14ac:dyDescent="0.25">
      <c r="B232" s="133" t="s">
        <v>3229</v>
      </c>
      <c r="C232" s="28" t="s">
        <v>493</v>
      </c>
      <c r="H232" s="160">
        <f t="shared" ref="H232:T232" si="55">H224+H229+H230+H231</f>
        <v>0</v>
      </c>
      <c r="I232" s="160">
        <f t="shared" si="55"/>
        <v>0</v>
      </c>
      <c r="J232" s="160">
        <f t="shared" si="55"/>
        <v>0</v>
      </c>
      <c r="K232" s="160">
        <f t="shared" si="55"/>
        <v>0</v>
      </c>
      <c r="L232" s="160">
        <f t="shared" si="55"/>
        <v>0.25395661967213112</v>
      </c>
      <c r="M232" s="160">
        <f t="shared" si="55"/>
        <v>0.33408255293060862</v>
      </c>
      <c r="N232" s="160">
        <f t="shared" si="55"/>
        <v>0.36551575726027402</v>
      </c>
      <c r="O232" s="160">
        <f t="shared" si="55"/>
        <v>0.39992035298630146</v>
      </c>
      <c r="P232" s="160">
        <f t="shared" si="55"/>
        <v>0.42561664755330808</v>
      </c>
      <c r="Q232" s="160">
        <f t="shared" si="55"/>
        <v>0.44941119507086763</v>
      </c>
      <c r="R232" s="160">
        <f t="shared" si="55"/>
        <v>0.47532142592840959</v>
      </c>
      <c r="S232" s="160">
        <f t="shared" si="55"/>
        <v>0.50255252348411417</v>
      </c>
      <c r="T232" s="160">
        <f t="shared" si="55"/>
        <v>0.53169588349268393</v>
      </c>
    </row>
    <row r="233" spans="2:20" x14ac:dyDescent="0.25">
      <c r="B233" s="23" t="s">
        <v>3230</v>
      </c>
      <c r="C233" s="28" t="s">
        <v>493</v>
      </c>
      <c r="E233" s="159">
        <f>'Cost Calculation'!T171-MAX(0,Inputs!$E$554*('Cost Calculation'!T171-0))-0</f>
        <v>0.51571522399270786</v>
      </c>
      <c r="F233" s="29">
        <f>'Working Capital'!T67</f>
        <v>0.10161475882580152</v>
      </c>
      <c r="H233" s="159">
        <f>IF('Revenue Calculation'!H7=2036,IF(Inputs!$E$558&gt;Inputs!$E$559,((1+Inputs!$E$559)*$E$233-Inputs!$E$559*$F$233)/(Inputs!$E$558-Inputs!$E$559),0),0)</f>
        <v>0</v>
      </c>
      <c r="I233" s="159">
        <f>IF('Revenue Calculation'!I7=2036,IF(Inputs!$E$558&gt;Inputs!$E$559,((1+Inputs!$E$559)*$E$233-Inputs!$E$559*$F$233)/(Inputs!$E$558-Inputs!$E$559),0),0)</f>
        <v>0</v>
      </c>
      <c r="J233" s="159">
        <f>IF('Revenue Calculation'!J7=2036,IF(Inputs!$E$558&gt;Inputs!$E$559,((1+Inputs!$E$559)*$E$233-Inputs!$E$559*$F$233)/(Inputs!$E$558-Inputs!$E$559),0),0)</f>
        <v>0</v>
      </c>
      <c r="K233" s="159">
        <f>IF('Revenue Calculation'!K7=2036,IF(Inputs!$E$558&gt;Inputs!$E$559,((1+Inputs!$E$559)*$E$233-Inputs!$E$559*$F$233)/(Inputs!$E$558-Inputs!$E$559),0),0)</f>
        <v>0</v>
      </c>
      <c r="L233" s="159">
        <f>IF('Revenue Calculation'!L7=2036,IF(Inputs!$E$558&gt;Inputs!$E$559,((1+Inputs!$E$559)*$E$233-Inputs!$E$559*$F$233)/(Inputs!$E$558-Inputs!$E$559),0),0)</f>
        <v>0</v>
      </c>
      <c r="M233" s="159">
        <f>IF('Revenue Calculation'!M7=2036,IF(Inputs!$E$558&gt;Inputs!$E$559,((1+Inputs!$E$559)*$E$233-Inputs!$E$559*$F$233)/(Inputs!$E$558-Inputs!$E$559),0),0)</f>
        <v>0</v>
      </c>
      <c r="N233" s="159">
        <f>IF('Revenue Calculation'!N7=2036,IF(Inputs!$E$558&gt;Inputs!$E$559,((1+Inputs!$E$559)*$E$233-Inputs!$E$559*$F$233)/(Inputs!$E$558-Inputs!$E$559),0),0)</f>
        <v>0</v>
      </c>
      <c r="O233" s="159">
        <f>IF('Revenue Calculation'!O7=2036,IF(Inputs!$E$558&gt;Inputs!$E$559,((1+Inputs!$E$559)*$E$233-Inputs!$E$559*$F$233)/(Inputs!$E$558-Inputs!$E$559),0),0)</f>
        <v>0</v>
      </c>
      <c r="P233" s="159">
        <f>IF('Revenue Calculation'!P7=2036,IF(Inputs!$E$558&gt;Inputs!$E$559,((1+Inputs!$E$559)*$E$233-Inputs!$E$559*$F$233)/(Inputs!$E$558-Inputs!$E$559),0),0)</f>
        <v>0</v>
      </c>
      <c r="Q233" s="159">
        <f>IF('Revenue Calculation'!Q7=2036,IF(Inputs!$E$558&gt;Inputs!$E$559,((1+Inputs!$E$559)*$E$233-Inputs!$E$559*$F$233)/(Inputs!$E$558-Inputs!$E$559),0),0)</f>
        <v>0</v>
      </c>
      <c r="R233" s="159">
        <f>IF('Revenue Calculation'!R7=2036,IF(Inputs!$E$558&gt;Inputs!$E$559,((1+Inputs!$E$559)*$E$233-Inputs!$E$559*$F$233)/(Inputs!$E$558-Inputs!$E$559),0),0)</f>
        <v>0</v>
      </c>
      <c r="S233" s="159">
        <f>IF('Revenue Calculation'!S7=2036,IF(Inputs!$E$558&gt;Inputs!$E$559,((1+Inputs!$E$559)*$E$233-Inputs!$E$559*$F$233)/(Inputs!$E$558-Inputs!$E$559),0),0)</f>
        <v>0</v>
      </c>
      <c r="T233" s="159">
        <f>IF('Revenue Calculation'!T7=2036,IF(Inputs!$E$558&gt;Inputs!$E$559,((1+Inputs!$E$559)*$E$233-Inputs!$E$559*$F$233)/(Inputs!$E$558-Inputs!$E$559),0),0)</f>
        <v>5.9565501963761509</v>
      </c>
    </row>
    <row r="234" spans="2:20" x14ac:dyDescent="0.25">
      <c r="B234" s="23" t="s">
        <v>3231</v>
      </c>
      <c r="C234" s="28" t="s">
        <v>493</v>
      </c>
      <c r="G234" s="159">
        <v>0</v>
      </c>
      <c r="H234" s="159">
        <f t="shared" ref="H234:T234" si="56">H232+H233</f>
        <v>0</v>
      </c>
      <c r="I234" s="159">
        <f t="shared" si="56"/>
        <v>0</v>
      </c>
      <c r="J234" s="159">
        <f t="shared" si="56"/>
        <v>0</v>
      </c>
      <c r="K234" s="159">
        <f t="shared" si="56"/>
        <v>0</v>
      </c>
      <c r="L234" s="159">
        <f t="shared" si="56"/>
        <v>0.25395661967213112</v>
      </c>
      <c r="M234" s="159">
        <f t="shared" si="56"/>
        <v>0.33408255293060862</v>
      </c>
      <c r="N234" s="159">
        <f t="shared" si="56"/>
        <v>0.36551575726027402</v>
      </c>
      <c r="O234" s="159">
        <f t="shared" si="56"/>
        <v>0.39992035298630146</v>
      </c>
      <c r="P234" s="159">
        <f t="shared" si="56"/>
        <v>0.42561664755330808</v>
      </c>
      <c r="Q234" s="159">
        <f t="shared" si="56"/>
        <v>0.44941119507086763</v>
      </c>
      <c r="R234" s="159">
        <f t="shared" si="56"/>
        <v>0.47532142592840959</v>
      </c>
      <c r="S234" s="159">
        <f t="shared" si="56"/>
        <v>0.50255252348411417</v>
      </c>
      <c r="T234" s="159">
        <f t="shared" si="56"/>
        <v>6.4882460798688353</v>
      </c>
    </row>
    <row r="235" spans="2:20" x14ac:dyDescent="0.25">
      <c r="B235" s="23" t="s">
        <v>3232</v>
      </c>
      <c r="C235" s="28" t="s">
        <v>493</v>
      </c>
      <c r="G235" s="159">
        <f>G234</f>
        <v>0</v>
      </c>
      <c r="H235" s="159">
        <f t="shared" ref="H235:T235" si="57">G235+H232</f>
        <v>0</v>
      </c>
      <c r="I235" s="159">
        <f t="shared" si="57"/>
        <v>0</v>
      </c>
      <c r="J235" s="159">
        <f t="shared" si="57"/>
        <v>0</v>
      </c>
      <c r="K235" s="159">
        <f t="shared" si="57"/>
        <v>0</v>
      </c>
      <c r="L235" s="159">
        <f t="shared" si="57"/>
        <v>0.25395661967213112</v>
      </c>
      <c r="M235" s="159">
        <f t="shared" si="57"/>
        <v>0.58803917260273975</v>
      </c>
      <c r="N235" s="159">
        <f t="shared" si="57"/>
        <v>0.95355492986301371</v>
      </c>
      <c r="O235" s="159">
        <f t="shared" si="57"/>
        <v>1.3534752828493151</v>
      </c>
      <c r="P235" s="159">
        <f t="shared" si="57"/>
        <v>1.7790919304026231</v>
      </c>
      <c r="Q235" s="159">
        <f t="shared" si="57"/>
        <v>2.2285031254734906</v>
      </c>
      <c r="R235" s="159">
        <f t="shared" si="57"/>
        <v>2.7038245514019001</v>
      </c>
      <c r="S235" s="159">
        <f t="shared" si="57"/>
        <v>3.2063770748860145</v>
      </c>
      <c r="T235" s="159">
        <f t="shared" si="57"/>
        <v>3.7380729583786985</v>
      </c>
    </row>
    <row r="236" spans="2:20" x14ac:dyDescent="0.25">
      <c r="B236" s="154" t="s">
        <v>3247</v>
      </c>
    </row>
    <row r="237" spans="2:20" x14ac:dyDescent="0.25">
      <c r="B237" s="23" t="s">
        <v>3221</v>
      </c>
      <c r="C237" s="28" t="s">
        <v>493</v>
      </c>
      <c r="H237" s="29">
        <f>'Cost Calculation'!H174</f>
        <v>0</v>
      </c>
      <c r="I237" s="29">
        <f>'Cost Calculation'!I174</f>
        <v>0</v>
      </c>
      <c r="J237" s="29">
        <f>'Cost Calculation'!J174</f>
        <v>0</v>
      </c>
      <c r="K237" s="29">
        <f>'Cost Calculation'!K174</f>
        <v>0.36059990999999997</v>
      </c>
      <c r="L237" s="29">
        <f>'Cost Calculation'!L174</f>
        <v>0.37141790730000007</v>
      </c>
      <c r="M237" s="29">
        <f>'Cost Calculation'!M174</f>
        <v>0.38256044451900006</v>
      </c>
      <c r="N237" s="29">
        <f>'Cost Calculation'!N174</f>
        <v>0.39403725785457006</v>
      </c>
      <c r="O237" s="29">
        <f>'Cost Calculation'!O174</f>
        <v>0.40585837559020721</v>
      </c>
      <c r="P237" s="29">
        <f>'Cost Calculation'!P174</f>
        <v>0.41803412685791341</v>
      </c>
      <c r="Q237" s="29">
        <f>'Cost Calculation'!Q174</f>
        <v>0.43057515066365076</v>
      </c>
      <c r="R237" s="29">
        <f>'Cost Calculation'!R174</f>
        <v>0.44349240518356031</v>
      </c>
      <c r="S237" s="29">
        <f>'Cost Calculation'!S174</f>
        <v>0.45679717733906716</v>
      </c>
      <c r="T237" s="29">
        <f>'Cost Calculation'!T174</f>
        <v>0.47050109265923928</v>
      </c>
    </row>
    <row r="238" spans="2:20" x14ac:dyDescent="0.25">
      <c r="B238" s="23" t="s">
        <v>3222</v>
      </c>
      <c r="C238" s="28" t="s">
        <v>493</v>
      </c>
      <c r="H238" s="159">
        <f>'Cost Calculation'!H174-'Capex &amp; Depreciation'!H245</f>
        <v>0</v>
      </c>
      <c r="I238" s="159">
        <f>'Cost Calculation'!I174-'Capex &amp; Depreciation'!I245</f>
        <v>0</v>
      </c>
      <c r="J238" s="159">
        <f>'Cost Calculation'!J174-'Capex &amp; Depreciation'!J245</f>
        <v>0</v>
      </c>
      <c r="K238" s="159">
        <f>'Cost Calculation'!K174-'Capex &amp; Depreciation'!K245</f>
        <v>0.23047990999999995</v>
      </c>
      <c r="L238" s="159">
        <f>'Cost Calculation'!L174-'Capex &amp; Depreciation'!L245</f>
        <v>0.24129790730000006</v>
      </c>
      <c r="M238" s="159">
        <f>'Cost Calculation'!M174-'Capex &amp; Depreciation'!M245</f>
        <v>0.25244044451900005</v>
      </c>
      <c r="N238" s="159">
        <f>'Cost Calculation'!N174-'Capex &amp; Depreciation'!N245</f>
        <v>0.26391725785457004</v>
      </c>
      <c r="O238" s="159">
        <f>'Cost Calculation'!O174-'Capex &amp; Depreciation'!O245</f>
        <v>0.2757383755902072</v>
      </c>
      <c r="P238" s="159">
        <f>'Cost Calculation'!P174-'Capex &amp; Depreciation'!P245</f>
        <v>0.2879141268579134</v>
      </c>
      <c r="Q238" s="159">
        <f>'Cost Calculation'!Q174-'Capex &amp; Depreciation'!Q245</f>
        <v>0.30045515066365075</v>
      </c>
      <c r="R238" s="159">
        <f>'Cost Calculation'!R174-'Capex &amp; Depreciation'!R245</f>
        <v>0.3133724051835603</v>
      </c>
      <c r="S238" s="159">
        <f>'Cost Calculation'!S174-'Capex &amp; Depreciation'!S245</f>
        <v>0.32667717733906715</v>
      </c>
      <c r="T238" s="159">
        <f>'Cost Calculation'!T174-'Capex &amp; Depreciation'!T245</f>
        <v>0.34038109265923927</v>
      </c>
    </row>
    <row r="239" spans="2:20" x14ac:dyDescent="0.25">
      <c r="B239" s="23" t="s">
        <v>3223</v>
      </c>
      <c r="C239" s="28" t="s">
        <v>493</v>
      </c>
      <c r="H239" s="159">
        <f>0</f>
        <v>0</v>
      </c>
      <c r="I239" s="159">
        <f>0</f>
        <v>0</v>
      </c>
      <c r="J239" s="159">
        <f>0</f>
        <v>0</v>
      </c>
      <c r="K239" s="159">
        <f>0</f>
        <v>0</v>
      </c>
      <c r="L239" s="159">
        <f>0</f>
        <v>0</v>
      </c>
      <c r="M239" s="159">
        <f>0</f>
        <v>0</v>
      </c>
      <c r="N239" s="159">
        <f>0</f>
        <v>0</v>
      </c>
      <c r="O239" s="159">
        <f>0</f>
        <v>0</v>
      </c>
      <c r="P239" s="159">
        <f>0</f>
        <v>0</v>
      </c>
      <c r="Q239" s="159">
        <f>0</f>
        <v>0</v>
      </c>
      <c r="R239" s="159">
        <f>0</f>
        <v>0</v>
      </c>
      <c r="S239" s="159">
        <f>0</f>
        <v>0</v>
      </c>
      <c r="T239" s="159">
        <f>0</f>
        <v>0</v>
      </c>
    </row>
    <row r="240" spans="2:20" x14ac:dyDescent="0.25">
      <c r="B240" s="23" t="s">
        <v>3224</v>
      </c>
      <c r="C240" s="28" t="s">
        <v>493</v>
      </c>
      <c r="H240" s="159">
        <f>Inputs!H522*MAX(0,H238-H239)</f>
        <v>0</v>
      </c>
      <c r="I240" s="159">
        <f>Inputs!I522*MAX(0,I238-I239)</f>
        <v>0</v>
      </c>
      <c r="J240" s="159">
        <f>Inputs!J522*MAX(0,J238-J239)</f>
        <v>0</v>
      </c>
      <c r="K240" s="159">
        <f>Inputs!K522*MAX(0,K238-K239)</f>
        <v>5.0705580199999989E-2</v>
      </c>
      <c r="L240" s="159">
        <f>Inputs!L522*MAX(0,L238-L239)</f>
        <v>5.3085539606000015E-2</v>
      </c>
      <c r="M240" s="159">
        <f>Inputs!M522*MAX(0,M238-M239)</f>
        <v>5.5536897794180008E-2</v>
      </c>
      <c r="N240" s="159">
        <f>Inputs!N522*MAX(0,N238-N239)</f>
        <v>5.8061796728005412E-2</v>
      </c>
      <c r="O240" s="159">
        <f>Inputs!O522*MAX(0,O238-O239)</f>
        <v>6.0662442629845582E-2</v>
      </c>
      <c r="P240" s="159">
        <f>Inputs!P522*MAX(0,P238-P239)</f>
        <v>6.3341107908740951E-2</v>
      </c>
      <c r="Q240" s="159">
        <f>Inputs!Q522*MAX(0,Q238-Q239)</f>
        <v>6.6100133146003159E-2</v>
      </c>
      <c r="R240" s="159">
        <f>Inputs!R522*MAX(0,R238-R239)</f>
        <v>6.894192914038326E-2</v>
      </c>
      <c r="S240" s="159">
        <f>Inputs!S522*MAX(0,S238-S239)</f>
        <v>7.1868979014594769E-2</v>
      </c>
      <c r="T240" s="159">
        <f>Inputs!T522*MAX(0,T238-T239)</f>
        <v>7.4883840385032638E-2</v>
      </c>
    </row>
    <row r="241" spans="2:20" x14ac:dyDescent="0.25">
      <c r="B241" s="23" t="s">
        <v>3225</v>
      </c>
      <c r="C241" s="28" t="s">
        <v>493</v>
      </c>
      <c r="H241" s="159">
        <f t="shared" ref="H241:T241" si="58">H238-H239-H240</f>
        <v>0</v>
      </c>
      <c r="I241" s="159">
        <f t="shared" si="58"/>
        <v>0</v>
      </c>
      <c r="J241" s="159">
        <f t="shared" si="58"/>
        <v>0</v>
      </c>
      <c r="K241" s="159">
        <f t="shared" si="58"/>
        <v>0.17977432979999997</v>
      </c>
      <c r="L241" s="159">
        <f t="shared" si="58"/>
        <v>0.18821236769400004</v>
      </c>
      <c r="M241" s="159">
        <f t="shared" si="58"/>
        <v>0.19690354672482005</v>
      </c>
      <c r="N241" s="159">
        <f t="shared" si="58"/>
        <v>0.20585546112656464</v>
      </c>
      <c r="O241" s="159">
        <f t="shared" si="58"/>
        <v>0.21507593296036162</v>
      </c>
      <c r="P241" s="159">
        <f t="shared" si="58"/>
        <v>0.22457301894917245</v>
      </c>
      <c r="Q241" s="159">
        <f t="shared" si="58"/>
        <v>0.23435501751764759</v>
      </c>
      <c r="R241" s="159">
        <f t="shared" si="58"/>
        <v>0.24443047604317703</v>
      </c>
      <c r="S241" s="159">
        <f t="shared" si="58"/>
        <v>0.25480819832447238</v>
      </c>
      <c r="T241" s="159">
        <f t="shared" si="58"/>
        <v>0.26549725227420662</v>
      </c>
    </row>
    <row r="242" spans="2:20" x14ac:dyDescent="0.25">
      <c r="B242" s="23" t="s">
        <v>3226</v>
      </c>
      <c r="C242" s="28" t="s">
        <v>493</v>
      </c>
      <c r="H242" s="159">
        <f>-Inputs!H522*MAX(0,H238)</f>
        <v>0</v>
      </c>
      <c r="I242" s="159">
        <f>-Inputs!I522*MAX(0,I238)</f>
        <v>0</v>
      </c>
      <c r="J242" s="159">
        <f>-Inputs!J522*MAX(0,J238)</f>
        <v>0</v>
      </c>
      <c r="K242" s="159">
        <f>-Inputs!K522*MAX(0,K238)</f>
        <v>-5.0705580199999989E-2</v>
      </c>
      <c r="L242" s="159">
        <f>-Inputs!L522*MAX(0,L238)</f>
        <v>-5.3085539606000015E-2</v>
      </c>
      <c r="M242" s="159">
        <f>-Inputs!M522*MAX(0,M238)</f>
        <v>-5.5536897794180008E-2</v>
      </c>
      <c r="N242" s="159">
        <f>-Inputs!N522*MAX(0,N238)</f>
        <v>-5.8061796728005412E-2</v>
      </c>
      <c r="O242" s="159">
        <f>-Inputs!O522*MAX(0,O238)</f>
        <v>-6.0662442629845582E-2</v>
      </c>
      <c r="P242" s="159">
        <f>-Inputs!P522*MAX(0,P238)</f>
        <v>-6.3341107908740951E-2</v>
      </c>
      <c r="Q242" s="159">
        <f>-Inputs!Q522*MAX(0,Q238)</f>
        <v>-6.6100133146003159E-2</v>
      </c>
      <c r="R242" s="159">
        <f>-Inputs!R522*MAX(0,R238)</f>
        <v>-6.894192914038326E-2</v>
      </c>
      <c r="S242" s="159">
        <f>-Inputs!S522*MAX(0,S238)</f>
        <v>-7.1868979014594769E-2</v>
      </c>
      <c r="T242" s="159">
        <f>-Inputs!T522*MAX(0,T238)</f>
        <v>-7.4883840385032638E-2</v>
      </c>
    </row>
    <row r="243" spans="2:20" x14ac:dyDescent="0.25">
      <c r="B243" s="23" t="s">
        <v>3227</v>
      </c>
      <c r="C243" s="28" t="s">
        <v>493</v>
      </c>
      <c r="H243" s="159">
        <f>-'Capex &amp; Depreciation'!H272</f>
        <v>0</v>
      </c>
      <c r="I243" s="159">
        <f>-'Capex &amp; Depreciation'!I272</f>
        <v>0</v>
      </c>
      <c r="J243" s="159">
        <f>-'Capex &amp; Depreciation'!J272</f>
        <v>0</v>
      </c>
      <c r="K243" s="159">
        <f>-'Capex &amp; Depreciation'!K272</f>
        <v>0</v>
      </c>
      <c r="L243" s="159">
        <f>-'Capex &amp; Depreciation'!L272</f>
        <v>0</v>
      </c>
      <c r="M243" s="159">
        <f>-'Capex &amp; Depreciation'!M272</f>
        <v>0</v>
      </c>
      <c r="N243" s="159">
        <f>-'Capex &amp; Depreciation'!N272</f>
        <v>0</v>
      </c>
      <c r="O243" s="159">
        <f>-'Capex &amp; Depreciation'!O272</f>
        <v>0</v>
      </c>
      <c r="P243" s="159">
        <f>-'Capex &amp; Depreciation'!P272</f>
        <v>0</v>
      </c>
      <c r="Q243" s="159">
        <f>-'Capex &amp; Depreciation'!Q272</f>
        <v>0</v>
      </c>
      <c r="R243" s="159">
        <f>-'Capex &amp; Depreciation'!R272</f>
        <v>0</v>
      </c>
      <c r="S243" s="159">
        <f>-'Capex &amp; Depreciation'!S272</f>
        <v>0</v>
      </c>
      <c r="T243" s="159">
        <f>-'Capex &amp; Depreciation'!T272</f>
        <v>0</v>
      </c>
    </row>
    <row r="244" spans="2:20" x14ac:dyDescent="0.25">
      <c r="B244" s="23" t="s">
        <v>3228</v>
      </c>
      <c r="C244" s="28" t="s">
        <v>493</v>
      </c>
      <c r="H244" s="159">
        <f>-('Working Capital'!H71-'Working Capital'!G71)</f>
        <v>0</v>
      </c>
      <c r="I244" s="159">
        <f>-('Working Capital'!I71-'Working Capital'!H71)</f>
        <v>0</v>
      </c>
      <c r="J244" s="159">
        <f>-('Working Capital'!J71-'Working Capital'!I71)</f>
        <v>0</v>
      </c>
      <c r="K244" s="159">
        <f>-('Working Capital'!K71-'Working Capital'!J71)</f>
        <v>-5.5571903938356156E-2</v>
      </c>
      <c r="L244" s="159">
        <f>-('Working Capital'!L71-'Working Capital'!K71)</f>
        <v>-1.510766240947134E-3</v>
      </c>
      <c r="M244" s="159">
        <f>-('Working Capital'!M71-'Working Capital'!L71)</f>
        <v>-1.8735627088987752E-3</v>
      </c>
      <c r="N244" s="159">
        <f>-('Working Capital'!N71-'Working Capital'!M71)</f>
        <v>-1.7686869866460619E-3</v>
      </c>
      <c r="O244" s="159">
        <f>-('Working Capital'!O71-'Working Capital'!N71)</f>
        <v>-1.8217475962454543E-3</v>
      </c>
      <c r="P244" s="159">
        <f>-('Working Capital'!P71-'Working Capital'!O71)</f>
        <v>-1.7003807140365534E-3</v>
      </c>
      <c r="Q244" s="159">
        <f>-('Working Capital'!Q71-'Working Capital'!P71)</f>
        <v>-2.1087113349530229E-3</v>
      </c>
      <c r="R244" s="159">
        <f>-('Working Capital'!R71-'Working Capital'!Q71)</f>
        <v>-1.9906727856024986E-3</v>
      </c>
      <c r="S244" s="159">
        <f>-('Working Capital'!S71-'Working Capital'!R71)</f>
        <v>-2.0503929691705891E-3</v>
      </c>
      <c r="T244" s="159">
        <f>-('Working Capital'!T71-'Working Capital'!S71)</f>
        <v>-1.9137934740022511E-3</v>
      </c>
    </row>
    <row r="245" spans="2:20" ht="26.25" customHeight="1" x14ac:dyDescent="0.25">
      <c r="B245" s="133" t="s">
        <v>3229</v>
      </c>
      <c r="C245" s="28" t="s">
        <v>493</v>
      </c>
      <c r="H245" s="160">
        <f t="shared" ref="H245:T245" si="59">H237+H242+H243+H244</f>
        <v>0</v>
      </c>
      <c r="I245" s="160">
        <f t="shared" si="59"/>
        <v>0</v>
      </c>
      <c r="J245" s="160">
        <f t="shared" si="59"/>
        <v>0</v>
      </c>
      <c r="K245" s="160">
        <f t="shared" si="59"/>
        <v>0.25432242586164383</v>
      </c>
      <c r="L245" s="160">
        <f t="shared" si="59"/>
        <v>0.31682160145305294</v>
      </c>
      <c r="M245" s="160">
        <f t="shared" si="59"/>
        <v>0.32514998401592127</v>
      </c>
      <c r="N245" s="160">
        <f t="shared" si="59"/>
        <v>0.33420677413991856</v>
      </c>
      <c r="O245" s="160">
        <f t="shared" si="59"/>
        <v>0.34337418536411612</v>
      </c>
      <c r="P245" s="160">
        <f t="shared" si="59"/>
        <v>0.35299263823513594</v>
      </c>
      <c r="Q245" s="160">
        <f t="shared" si="59"/>
        <v>0.36236630618269461</v>
      </c>
      <c r="R245" s="160">
        <f t="shared" si="59"/>
        <v>0.37255980325757454</v>
      </c>
      <c r="S245" s="160">
        <f t="shared" si="59"/>
        <v>0.3828778053553018</v>
      </c>
      <c r="T245" s="160">
        <f t="shared" si="59"/>
        <v>0.39370345880020441</v>
      </c>
    </row>
    <row r="246" spans="2:20" x14ac:dyDescent="0.25">
      <c r="B246" s="23" t="s">
        <v>3230</v>
      </c>
      <c r="C246" s="28" t="s">
        <v>493</v>
      </c>
      <c r="E246" s="159">
        <f>'Cost Calculation'!T174-MAX(0,Inputs!$E$554*('Cost Calculation'!T174-0))-0</f>
        <v>0.36699085227420664</v>
      </c>
      <c r="F246" s="29">
        <f>'Working Capital'!T71</f>
        <v>7.2310618748858496E-2</v>
      </c>
      <c r="H246" s="159">
        <f>IF('Revenue Calculation'!H7=2036,IF(Inputs!$E$558&gt;Inputs!$E$559,((1+Inputs!$E$559)*$E$246-Inputs!$E$559*$F$246)/(Inputs!$E$558-Inputs!$E$559),0),0)</f>
        <v>0</v>
      </c>
      <c r="I246" s="159">
        <f>IF('Revenue Calculation'!I7=2036,IF(Inputs!$E$558&gt;Inputs!$E$559,((1+Inputs!$E$559)*$E$246-Inputs!$E$559*$F$246)/(Inputs!$E$558-Inputs!$E$559),0),0)</f>
        <v>0</v>
      </c>
      <c r="J246" s="159">
        <f>IF('Revenue Calculation'!J7=2036,IF(Inputs!$E$558&gt;Inputs!$E$559,((1+Inputs!$E$559)*$E$246-Inputs!$E$559*$F$246)/(Inputs!$E$558-Inputs!$E$559),0),0)</f>
        <v>0</v>
      </c>
      <c r="K246" s="159">
        <f>IF('Revenue Calculation'!K7=2036,IF(Inputs!$E$558&gt;Inputs!$E$559,((1+Inputs!$E$559)*$E$246-Inputs!$E$559*$F$246)/(Inputs!$E$558-Inputs!$E$559),0),0)</f>
        <v>0</v>
      </c>
      <c r="L246" s="159">
        <f>IF('Revenue Calculation'!L7=2036,IF(Inputs!$E$558&gt;Inputs!$E$559,((1+Inputs!$E$559)*$E$246-Inputs!$E$559*$F$246)/(Inputs!$E$558-Inputs!$E$559),0),0)</f>
        <v>0</v>
      </c>
      <c r="M246" s="159">
        <f>IF('Revenue Calculation'!M7=2036,IF(Inputs!$E$558&gt;Inputs!$E$559,((1+Inputs!$E$559)*$E$246-Inputs!$E$559*$F$246)/(Inputs!$E$558-Inputs!$E$559),0),0)</f>
        <v>0</v>
      </c>
      <c r="N246" s="159">
        <f>IF('Revenue Calculation'!N7=2036,IF(Inputs!$E$558&gt;Inputs!$E$559,((1+Inputs!$E$559)*$E$246-Inputs!$E$559*$F$246)/(Inputs!$E$558-Inputs!$E$559),0),0)</f>
        <v>0</v>
      </c>
      <c r="O246" s="159">
        <f>IF('Revenue Calculation'!O7=2036,IF(Inputs!$E$558&gt;Inputs!$E$559,((1+Inputs!$E$559)*$E$246-Inputs!$E$559*$F$246)/(Inputs!$E$558-Inputs!$E$559),0),0)</f>
        <v>0</v>
      </c>
      <c r="P246" s="159">
        <f>IF('Revenue Calculation'!P7=2036,IF(Inputs!$E$558&gt;Inputs!$E$559,((1+Inputs!$E$559)*$E$246-Inputs!$E$559*$F$246)/(Inputs!$E$558-Inputs!$E$559),0),0)</f>
        <v>0</v>
      </c>
      <c r="Q246" s="159">
        <f>IF('Revenue Calculation'!Q7=2036,IF(Inputs!$E$558&gt;Inputs!$E$559,((1+Inputs!$E$559)*$E$246-Inputs!$E$559*$F$246)/(Inputs!$E$558-Inputs!$E$559),0),0)</f>
        <v>0</v>
      </c>
      <c r="R246" s="159">
        <f>IF('Revenue Calculation'!R7=2036,IF(Inputs!$E$558&gt;Inputs!$E$559,((1+Inputs!$E$559)*$E$246-Inputs!$E$559*$F$246)/(Inputs!$E$558-Inputs!$E$559),0),0)</f>
        <v>0</v>
      </c>
      <c r="S246" s="159">
        <f>IF('Revenue Calculation'!S7=2036,IF(Inputs!$E$558&gt;Inputs!$E$559,((1+Inputs!$E$559)*$E$246-Inputs!$E$559*$F$246)/(Inputs!$E$558-Inputs!$E$559),0),0)</f>
        <v>0</v>
      </c>
      <c r="T246" s="159">
        <f>IF('Revenue Calculation'!T7=2036,IF(Inputs!$E$558&gt;Inputs!$E$559,((1+Inputs!$E$559)*$E$246-Inputs!$E$559*$F$246)/(Inputs!$E$558-Inputs!$E$559),0),0)</f>
        <v>4.2387723524196099</v>
      </c>
    </row>
    <row r="247" spans="2:20" x14ac:dyDescent="0.25">
      <c r="B247" s="23" t="s">
        <v>3231</v>
      </c>
      <c r="C247" s="28" t="s">
        <v>493</v>
      </c>
      <c r="G247" s="159">
        <v>0</v>
      </c>
      <c r="H247" s="159">
        <f t="shared" ref="H247:T247" si="60">H245+H246</f>
        <v>0</v>
      </c>
      <c r="I247" s="159">
        <f t="shared" si="60"/>
        <v>0</v>
      </c>
      <c r="J247" s="159">
        <f t="shared" si="60"/>
        <v>0</v>
      </c>
      <c r="K247" s="159">
        <f t="shared" si="60"/>
        <v>0.25432242586164383</v>
      </c>
      <c r="L247" s="159">
        <f t="shared" si="60"/>
        <v>0.31682160145305294</v>
      </c>
      <c r="M247" s="159">
        <f t="shared" si="60"/>
        <v>0.32514998401592127</v>
      </c>
      <c r="N247" s="159">
        <f t="shared" si="60"/>
        <v>0.33420677413991856</v>
      </c>
      <c r="O247" s="159">
        <f t="shared" si="60"/>
        <v>0.34337418536411612</v>
      </c>
      <c r="P247" s="159">
        <f t="shared" si="60"/>
        <v>0.35299263823513594</v>
      </c>
      <c r="Q247" s="159">
        <f t="shared" si="60"/>
        <v>0.36236630618269461</v>
      </c>
      <c r="R247" s="159">
        <f t="shared" si="60"/>
        <v>0.37255980325757454</v>
      </c>
      <c r="S247" s="159">
        <f t="shared" si="60"/>
        <v>0.3828778053553018</v>
      </c>
      <c r="T247" s="159">
        <f t="shared" si="60"/>
        <v>4.6324758112198143</v>
      </c>
    </row>
    <row r="248" spans="2:20" x14ac:dyDescent="0.25">
      <c r="B248" s="23" t="s">
        <v>3232</v>
      </c>
      <c r="C248" s="28" t="s">
        <v>493</v>
      </c>
      <c r="G248" s="159">
        <f>G247</f>
        <v>0</v>
      </c>
      <c r="H248" s="159">
        <f t="shared" ref="H248:T248" si="61">G248+H245</f>
        <v>0</v>
      </c>
      <c r="I248" s="159">
        <f t="shared" si="61"/>
        <v>0</v>
      </c>
      <c r="J248" s="159">
        <f t="shared" si="61"/>
        <v>0</v>
      </c>
      <c r="K248" s="159">
        <f t="shared" si="61"/>
        <v>0.25432242586164383</v>
      </c>
      <c r="L248" s="159">
        <f t="shared" si="61"/>
        <v>0.57114402731469682</v>
      </c>
      <c r="M248" s="159">
        <f t="shared" si="61"/>
        <v>0.89629401133061815</v>
      </c>
      <c r="N248" s="159">
        <f t="shared" si="61"/>
        <v>1.2305007854705368</v>
      </c>
      <c r="O248" s="159">
        <f t="shared" si="61"/>
        <v>1.5738749708346529</v>
      </c>
      <c r="P248" s="159">
        <f t="shared" si="61"/>
        <v>1.9268676090697889</v>
      </c>
      <c r="Q248" s="159">
        <f t="shared" si="61"/>
        <v>2.2892339152524834</v>
      </c>
      <c r="R248" s="159">
        <f t="shared" si="61"/>
        <v>2.661793718510058</v>
      </c>
      <c r="S248" s="159">
        <f t="shared" si="61"/>
        <v>3.0446715238653597</v>
      </c>
      <c r="T248" s="159">
        <f t="shared" si="61"/>
        <v>3.4383749826655641</v>
      </c>
    </row>
    <row r="249" spans="2:20" x14ac:dyDescent="0.25">
      <c r="B249" s="154" t="s">
        <v>3248</v>
      </c>
    </row>
    <row r="250" spans="2:20" x14ac:dyDescent="0.25">
      <c r="B250" s="23" t="s">
        <v>3221</v>
      </c>
      <c r="C250" s="28" t="s">
        <v>493</v>
      </c>
      <c r="H250" s="29">
        <f>'BUMN Synergy Calculation'!H37</f>
        <v>0</v>
      </c>
      <c r="I250" s="29">
        <f>'BUMN Synergy Calculation'!I37</f>
        <v>0</v>
      </c>
      <c r="J250" s="29">
        <f>'BUMN Synergy Calculation'!J37</f>
        <v>28.549326436363643</v>
      </c>
      <c r="K250" s="29">
        <f>'BUMN Synergy Calculation'!K37</f>
        <v>29.405806229454555</v>
      </c>
      <c r="L250" s="29">
        <f>'BUMN Synergy Calculation'!L37</f>
        <v>30.287980416338197</v>
      </c>
      <c r="M250" s="29">
        <f>'BUMN Synergy Calculation'!M37</f>
        <v>31.196619828828339</v>
      </c>
      <c r="N250" s="29">
        <f>'BUMN Synergy Calculation'!N37</f>
        <v>32.132518423693192</v>
      </c>
      <c r="O250" s="29">
        <f>'BUMN Synergy Calculation'!O37</f>
        <v>33.096493976403991</v>
      </c>
      <c r="P250" s="29">
        <f>'BUMN Synergy Calculation'!P37</f>
        <v>34.089388795696102</v>
      </c>
      <c r="Q250" s="29">
        <f>'BUMN Synergy Calculation'!Q37</f>
        <v>35.112070459566993</v>
      </c>
      <c r="R250" s="29">
        <f>'BUMN Synergy Calculation'!R37</f>
        <v>36.165432573354003</v>
      </c>
      <c r="S250" s="29">
        <f>'BUMN Synergy Calculation'!S37</f>
        <v>37.250395550554622</v>
      </c>
      <c r="T250" s="29">
        <f>'BUMN Synergy Calculation'!T37</f>
        <v>38.367907417071258</v>
      </c>
    </row>
    <row r="251" spans="2:20" x14ac:dyDescent="0.25">
      <c r="B251" s="23" t="s">
        <v>3222</v>
      </c>
      <c r="C251" s="28" t="s">
        <v>493</v>
      </c>
      <c r="H251" s="159">
        <f>'BUMN Synergy Calculation'!H37-'Capex &amp; Depreciation'!H246</f>
        <v>0</v>
      </c>
      <c r="I251" s="159">
        <f>'BUMN Synergy Calculation'!I37-'Capex &amp; Depreciation'!I246</f>
        <v>0</v>
      </c>
      <c r="J251" s="159">
        <f>'BUMN Synergy Calculation'!J37-'Capex &amp; Depreciation'!J246</f>
        <v>28.549326436363643</v>
      </c>
      <c r="K251" s="159">
        <f>'BUMN Synergy Calculation'!K37-'Capex &amp; Depreciation'!K246</f>
        <v>29.405806229454555</v>
      </c>
      <c r="L251" s="159">
        <f>'BUMN Synergy Calculation'!L37-'Capex &amp; Depreciation'!L246</f>
        <v>30.287980416338197</v>
      </c>
      <c r="M251" s="159">
        <f>'BUMN Synergy Calculation'!M37-'Capex &amp; Depreciation'!M246</f>
        <v>31.196619828828339</v>
      </c>
      <c r="N251" s="159">
        <f>'BUMN Synergy Calculation'!N37-'Capex &amp; Depreciation'!N246</f>
        <v>32.132518423693192</v>
      </c>
      <c r="O251" s="159">
        <f>'BUMN Synergy Calculation'!O37-'Capex &amp; Depreciation'!O246</f>
        <v>33.096493976403991</v>
      </c>
      <c r="P251" s="159">
        <f>'BUMN Synergy Calculation'!P37-'Capex &amp; Depreciation'!P246</f>
        <v>34.089388795696102</v>
      </c>
      <c r="Q251" s="159">
        <f>'BUMN Synergy Calculation'!Q37-'Capex &amp; Depreciation'!Q246</f>
        <v>35.112070459566993</v>
      </c>
      <c r="R251" s="159">
        <f>'BUMN Synergy Calculation'!R37-'Capex &amp; Depreciation'!R246</f>
        <v>36.165432573354003</v>
      </c>
      <c r="S251" s="159">
        <f>'BUMN Synergy Calculation'!S37-'Capex &amp; Depreciation'!S246</f>
        <v>37.250395550554622</v>
      </c>
      <c r="T251" s="159">
        <f>'BUMN Synergy Calculation'!T37-'Capex &amp; Depreciation'!T246</f>
        <v>38.367907417071258</v>
      </c>
    </row>
    <row r="252" spans="2:20" x14ac:dyDescent="0.25">
      <c r="B252" s="23" t="s">
        <v>3223</v>
      </c>
      <c r="C252" s="28" t="s">
        <v>493</v>
      </c>
      <c r="H252" s="159">
        <f>0</f>
        <v>0</v>
      </c>
      <c r="I252" s="159">
        <f>0</f>
        <v>0</v>
      </c>
      <c r="J252" s="159">
        <f>0</f>
        <v>0</v>
      </c>
      <c r="K252" s="159">
        <f>0</f>
        <v>0</v>
      </c>
      <c r="L252" s="159">
        <f>0</f>
        <v>0</v>
      </c>
      <c r="M252" s="159">
        <f>0</f>
        <v>0</v>
      </c>
      <c r="N252" s="159">
        <f>0</f>
        <v>0</v>
      </c>
      <c r="O252" s="159">
        <f>0</f>
        <v>0</v>
      </c>
      <c r="P252" s="159">
        <f>0</f>
        <v>0</v>
      </c>
      <c r="Q252" s="159">
        <f>0</f>
        <v>0</v>
      </c>
      <c r="R252" s="159">
        <f>0</f>
        <v>0</v>
      </c>
      <c r="S252" s="159">
        <f>0</f>
        <v>0</v>
      </c>
      <c r="T252" s="159">
        <f>0</f>
        <v>0</v>
      </c>
    </row>
    <row r="253" spans="2:20" x14ac:dyDescent="0.25">
      <c r="B253" s="23" t="s">
        <v>3224</v>
      </c>
      <c r="C253" s="28" t="s">
        <v>493</v>
      </c>
      <c r="H253" s="159">
        <f>Inputs!H522*MAX(0,H251-H252)</f>
        <v>0</v>
      </c>
      <c r="I253" s="159">
        <f>Inputs!I522*MAX(0,I251-I252)</f>
        <v>0</v>
      </c>
      <c r="J253" s="159">
        <f>Inputs!J522*MAX(0,J251-J252)</f>
        <v>6.2808518160000011</v>
      </c>
      <c r="K253" s="159">
        <f>Inputs!K522*MAX(0,K251-K252)</f>
        <v>6.4692773704800022</v>
      </c>
      <c r="L253" s="159">
        <f>Inputs!L522*MAX(0,L251-L252)</f>
        <v>6.6633556915944032</v>
      </c>
      <c r="M253" s="159">
        <f>Inputs!M522*MAX(0,M251-M252)</f>
        <v>6.8632563623422351</v>
      </c>
      <c r="N253" s="159">
        <f>Inputs!N522*MAX(0,N251-N252)</f>
        <v>7.0691540532125021</v>
      </c>
      <c r="O253" s="159">
        <f>Inputs!O522*MAX(0,O251-O252)</f>
        <v>7.2812286748088777</v>
      </c>
      <c r="P253" s="159">
        <f>Inputs!P522*MAX(0,P251-P252)</f>
        <v>7.4996655350531425</v>
      </c>
      <c r="Q253" s="159">
        <f>Inputs!Q522*MAX(0,Q251-Q252)</f>
        <v>7.7246555011047384</v>
      </c>
      <c r="R253" s="159">
        <f>Inputs!R522*MAX(0,R251-R252)</f>
        <v>7.9563951661378809</v>
      </c>
      <c r="S253" s="159">
        <f>Inputs!S522*MAX(0,S251-S252)</f>
        <v>8.195087021122017</v>
      </c>
      <c r="T253" s="159">
        <f>Inputs!T522*MAX(0,T251-T252)</f>
        <v>8.4409396317556773</v>
      </c>
    </row>
    <row r="254" spans="2:20" x14ac:dyDescent="0.25">
      <c r="B254" s="23" t="s">
        <v>3225</v>
      </c>
      <c r="C254" s="28" t="s">
        <v>493</v>
      </c>
      <c r="H254" s="159">
        <f t="shared" ref="H254:T254" si="62">H251-H252-H253</f>
        <v>0</v>
      </c>
      <c r="I254" s="159">
        <f t="shared" si="62"/>
        <v>0</v>
      </c>
      <c r="J254" s="159">
        <f t="shared" si="62"/>
        <v>22.268474620363641</v>
      </c>
      <c r="K254" s="159">
        <f t="shared" si="62"/>
        <v>22.936528858974555</v>
      </c>
      <c r="L254" s="159">
        <f t="shared" si="62"/>
        <v>23.624624724743793</v>
      </c>
      <c r="M254" s="159">
        <f t="shared" si="62"/>
        <v>24.333363466486105</v>
      </c>
      <c r="N254" s="159">
        <f t="shared" si="62"/>
        <v>25.063364370480691</v>
      </c>
      <c r="O254" s="159">
        <f t="shared" si="62"/>
        <v>25.815265301595112</v>
      </c>
      <c r="P254" s="159">
        <f t="shared" si="62"/>
        <v>26.589723260642959</v>
      </c>
      <c r="Q254" s="159">
        <f t="shared" si="62"/>
        <v>27.387414958462255</v>
      </c>
      <c r="R254" s="159">
        <f t="shared" si="62"/>
        <v>28.209037407216123</v>
      </c>
      <c r="S254" s="159">
        <f t="shared" si="62"/>
        <v>29.055308529432605</v>
      </c>
      <c r="T254" s="159">
        <f t="shared" si="62"/>
        <v>29.926967785315583</v>
      </c>
    </row>
    <row r="255" spans="2:20" x14ac:dyDescent="0.25">
      <c r="B255" s="23" t="s">
        <v>3226</v>
      </c>
      <c r="C255" s="28" t="s">
        <v>493</v>
      </c>
      <c r="H255" s="159">
        <f>-Inputs!H522*MAX(0,H251)</f>
        <v>0</v>
      </c>
      <c r="I255" s="159">
        <f>-Inputs!I522*MAX(0,I251)</f>
        <v>0</v>
      </c>
      <c r="J255" s="159">
        <f>-Inputs!J522*MAX(0,J251)</f>
        <v>-6.2808518160000011</v>
      </c>
      <c r="K255" s="159">
        <f>-Inputs!K522*MAX(0,K251)</f>
        <v>-6.4692773704800022</v>
      </c>
      <c r="L255" s="159">
        <f>-Inputs!L522*MAX(0,L251)</f>
        <v>-6.6633556915944032</v>
      </c>
      <c r="M255" s="159">
        <f>-Inputs!M522*MAX(0,M251)</f>
        <v>-6.8632563623422351</v>
      </c>
      <c r="N255" s="159">
        <f>-Inputs!N522*MAX(0,N251)</f>
        <v>-7.0691540532125021</v>
      </c>
      <c r="O255" s="159">
        <f>-Inputs!O522*MAX(0,O251)</f>
        <v>-7.2812286748088777</v>
      </c>
      <c r="P255" s="159">
        <f>-Inputs!P522*MAX(0,P251)</f>
        <v>-7.4996655350531425</v>
      </c>
      <c r="Q255" s="159">
        <f>-Inputs!Q522*MAX(0,Q251)</f>
        <v>-7.7246555011047384</v>
      </c>
      <c r="R255" s="159">
        <f>-Inputs!R522*MAX(0,R251)</f>
        <v>-7.9563951661378809</v>
      </c>
      <c r="S255" s="159">
        <f>-Inputs!S522*MAX(0,S251)</f>
        <v>-8.195087021122017</v>
      </c>
      <c r="T255" s="159">
        <f>-Inputs!T522*MAX(0,T251)</f>
        <v>-8.4409396317556773</v>
      </c>
    </row>
    <row r="256" spans="2:20" x14ac:dyDescent="0.25">
      <c r="B256" s="23" t="s">
        <v>3227</v>
      </c>
      <c r="C256" s="28" t="s">
        <v>493</v>
      </c>
      <c r="H256" s="159">
        <f>-'Capex &amp; Depreciation'!H273</f>
        <v>0</v>
      </c>
      <c r="I256" s="159">
        <f>-'Capex &amp; Depreciation'!I273</f>
        <v>0</v>
      </c>
      <c r="J256" s="159">
        <f>-'Capex &amp; Depreciation'!J273</f>
        <v>0</v>
      </c>
      <c r="K256" s="159">
        <f>-'Capex &amp; Depreciation'!K273</f>
        <v>0</v>
      </c>
      <c r="L256" s="159">
        <f>-'Capex &amp; Depreciation'!L273</f>
        <v>0</v>
      </c>
      <c r="M256" s="159">
        <f>-'Capex &amp; Depreciation'!M273</f>
        <v>0</v>
      </c>
      <c r="N256" s="159">
        <f>-'Capex &amp; Depreciation'!N273</f>
        <v>0</v>
      </c>
      <c r="O256" s="159">
        <f>-'Capex &amp; Depreciation'!O273</f>
        <v>0</v>
      </c>
      <c r="P256" s="159">
        <f>-'Capex &amp; Depreciation'!P273</f>
        <v>0</v>
      </c>
      <c r="Q256" s="159">
        <f>-'Capex &amp; Depreciation'!Q273</f>
        <v>0</v>
      </c>
      <c r="R256" s="159">
        <f>-'Capex &amp; Depreciation'!R273</f>
        <v>0</v>
      </c>
      <c r="S256" s="159">
        <f>-'Capex &amp; Depreciation'!S273</f>
        <v>0</v>
      </c>
      <c r="T256" s="159">
        <f>-'Capex &amp; Depreciation'!T273</f>
        <v>0</v>
      </c>
    </row>
    <row r="257" spans="2:20" x14ac:dyDescent="0.25">
      <c r="B257" s="23" t="s">
        <v>3228</v>
      </c>
      <c r="C257" s="28" t="s">
        <v>493</v>
      </c>
      <c r="H257" s="159">
        <f>-('Working Capital'!H75-'Working Capital'!G75)</f>
        <v>0</v>
      </c>
      <c r="I257" s="159">
        <f>-('Working Capital'!I75-'Working Capital'!H75)</f>
        <v>0</v>
      </c>
      <c r="J257" s="159">
        <f>-('Working Capital'!J75-'Working Capital'!I75)</f>
        <v>-7.1832244318499523</v>
      </c>
      <c r="K257" s="159">
        <f>-('Working Capital'!K75-'Working Capital'!J75)</f>
        <v>-0.21549673295549976</v>
      </c>
      <c r="L257" s="159">
        <f>-('Working Capital'!L75-'Working Capital'!K75)</f>
        <v>-0.20114009723993043</v>
      </c>
      <c r="M257" s="159">
        <f>-('Working Capital'!M75-'Working Capital'!L75)</f>
        <v>-0.24944202169672192</v>
      </c>
      <c r="N257" s="159">
        <f>-('Working Capital'!N75-'Working Capital'!M75)</f>
        <v>-0.23547909851226301</v>
      </c>
      <c r="O257" s="159">
        <f>-('Working Capital'!O75-'Working Capital'!N75)</f>
        <v>-0.24254347146763067</v>
      </c>
      <c r="P257" s="159">
        <f>-('Working Capital'!P75-'Working Capital'!O75)</f>
        <v>-0.22638495148779647</v>
      </c>
      <c r="Q257" s="159">
        <f>-('Working Capital'!Q75-'Working Capital'!P75)</f>
        <v>-0.28074919300387435</v>
      </c>
      <c r="R257" s="159">
        <f>-('Working Capital'!R75-'Working Capital'!Q75)</f>
        <v>-0.2650337999464103</v>
      </c>
      <c r="S257" s="159">
        <f>-('Working Capital'!S75-'Working Capital'!R75)</f>
        <v>-0.27298481394480234</v>
      </c>
      <c r="T257" s="159">
        <f>-('Working Capital'!T75-'Working Capital'!S75)</f>
        <v>-0.25479825735093797</v>
      </c>
    </row>
    <row r="258" spans="2:20" ht="26.25" customHeight="1" x14ac:dyDescent="0.25">
      <c r="B258" s="133" t="s">
        <v>3229</v>
      </c>
      <c r="C258" s="28" t="s">
        <v>493</v>
      </c>
      <c r="H258" s="160">
        <f t="shared" ref="H258:T258" si="63">H250+H255+H256+H257</f>
        <v>0</v>
      </c>
      <c r="I258" s="160">
        <f t="shared" si="63"/>
        <v>0</v>
      </c>
      <c r="J258" s="160">
        <f t="shared" si="63"/>
        <v>15.085250188513688</v>
      </c>
      <c r="K258" s="160">
        <f t="shared" si="63"/>
        <v>22.721032126019054</v>
      </c>
      <c r="L258" s="160">
        <f t="shared" si="63"/>
        <v>23.423484627503861</v>
      </c>
      <c r="M258" s="160">
        <f t="shared" si="63"/>
        <v>24.083921444789382</v>
      </c>
      <c r="N258" s="160">
        <f t="shared" si="63"/>
        <v>24.827885271968427</v>
      </c>
      <c r="O258" s="160">
        <f t="shared" si="63"/>
        <v>25.572721830127481</v>
      </c>
      <c r="P258" s="160">
        <f t="shared" si="63"/>
        <v>26.363338309155161</v>
      </c>
      <c r="Q258" s="160">
        <f t="shared" si="63"/>
        <v>27.106665765458381</v>
      </c>
      <c r="R258" s="160">
        <f t="shared" si="63"/>
        <v>27.944003607269714</v>
      </c>
      <c r="S258" s="160">
        <f t="shared" si="63"/>
        <v>28.782323715487802</v>
      </c>
      <c r="T258" s="160">
        <f t="shared" si="63"/>
        <v>29.672169527964645</v>
      </c>
    </row>
    <row r="259" spans="2:20" x14ac:dyDescent="0.25">
      <c r="B259" s="23" t="s">
        <v>3230</v>
      </c>
      <c r="C259" s="28" t="s">
        <v>493</v>
      </c>
      <c r="E259" s="159">
        <f>'BUMN Synergy Calculation'!T37-MAX(0,Inputs!$E$554*('BUMN Synergy Calculation'!T37-0))-0</f>
        <v>29.926967785315583</v>
      </c>
      <c r="F259" s="29">
        <f>'Working Capital'!T75</f>
        <v>9.6272768694558195</v>
      </c>
      <c r="H259" s="159">
        <f>IF('Revenue Calculation'!H7=2036,IF(Inputs!$E$558&gt;Inputs!$E$559,((1+Inputs!$E$559)*$E$259-Inputs!$E$559*$F$259)/(Inputs!$E$558-Inputs!$E$559),0),0)</f>
        <v>0</v>
      </c>
      <c r="I259" s="159">
        <f>IF('Revenue Calculation'!I7=2036,IF(Inputs!$E$558&gt;Inputs!$E$559,((1+Inputs!$E$559)*$E$259-Inputs!$E$559*$F$259)/(Inputs!$E$558-Inputs!$E$559),0),0)</f>
        <v>0</v>
      </c>
      <c r="J259" s="159">
        <f>IF('Revenue Calculation'!J7=2036,IF(Inputs!$E$558&gt;Inputs!$E$559,((1+Inputs!$E$559)*$E$259-Inputs!$E$559*$F$259)/(Inputs!$E$558-Inputs!$E$559),0),0)</f>
        <v>0</v>
      </c>
      <c r="K259" s="159">
        <f>IF('Revenue Calculation'!K7=2036,IF(Inputs!$E$558&gt;Inputs!$E$559,((1+Inputs!$E$559)*$E$259-Inputs!$E$559*$F$259)/(Inputs!$E$558-Inputs!$E$559),0),0)</f>
        <v>0</v>
      </c>
      <c r="L259" s="159">
        <f>IF('Revenue Calculation'!L7=2036,IF(Inputs!$E$558&gt;Inputs!$E$559,((1+Inputs!$E$559)*$E$259-Inputs!$E$559*$F$259)/(Inputs!$E$558-Inputs!$E$559),0),0)</f>
        <v>0</v>
      </c>
      <c r="M259" s="159">
        <f>IF('Revenue Calculation'!M7=2036,IF(Inputs!$E$558&gt;Inputs!$E$559,((1+Inputs!$E$559)*$E$259-Inputs!$E$559*$F$259)/(Inputs!$E$558-Inputs!$E$559),0),0)</f>
        <v>0</v>
      </c>
      <c r="N259" s="159">
        <f>IF('Revenue Calculation'!N7=2036,IF(Inputs!$E$558&gt;Inputs!$E$559,((1+Inputs!$E$559)*$E$259-Inputs!$E$559*$F$259)/(Inputs!$E$558-Inputs!$E$559),0),0)</f>
        <v>0</v>
      </c>
      <c r="O259" s="159">
        <f>IF('Revenue Calculation'!O7=2036,IF(Inputs!$E$558&gt;Inputs!$E$559,((1+Inputs!$E$559)*$E$259-Inputs!$E$559*$F$259)/(Inputs!$E$558-Inputs!$E$559),0),0)</f>
        <v>0</v>
      </c>
      <c r="P259" s="159">
        <f>IF('Revenue Calculation'!P7=2036,IF(Inputs!$E$558&gt;Inputs!$E$559,((1+Inputs!$E$559)*$E$259-Inputs!$E$559*$F$259)/(Inputs!$E$558-Inputs!$E$559),0),0)</f>
        <v>0</v>
      </c>
      <c r="Q259" s="159">
        <f>IF('Revenue Calculation'!Q7=2036,IF(Inputs!$E$558&gt;Inputs!$E$559,((1+Inputs!$E$559)*$E$259-Inputs!$E$559*$F$259)/(Inputs!$E$558-Inputs!$E$559),0),0)</f>
        <v>0</v>
      </c>
      <c r="R259" s="159">
        <f>IF('Revenue Calculation'!R7=2036,IF(Inputs!$E$558&gt;Inputs!$E$559,((1+Inputs!$E$559)*$E$259-Inputs!$E$559*$F$259)/(Inputs!$E$558-Inputs!$E$559),0),0)</f>
        <v>0</v>
      </c>
      <c r="S259" s="159">
        <f>IF('Revenue Calculation'!S7=2036,IF(Inputs!$E$558&gt;Inputs!$E$559,((1+Inputs!$E$559)*$E$259-Inputs!$E$559*$F$259)/(Inputs!$E$558-Inputs!$E$559),0),0)</f>
        <v>0</v>
      </c>
      <c r="T259" s="159">
        <f>IF('Revenue Calculation'!T7=2036,IF(Inputs!$E$558&gt;Inputs!$E$559,((1+Inputs!$E$559)*$E$259-Inputs!$E$559*$F$259)/(Inputs!$E$558-Inputs!$E$559),0),0)</f>
        <v>344.39651706095219</v>
      </c>
    </row>
    <row r="260" spans="2:20" x14ac:dyDescent="0.25">
      <c r="B260" s="23" t="s">
        <v>3231</v>
      </c>
      <c r="C260" s="28" t="s">
        <v>493</v>
      </c>
      <c r="G260" s="159">
        <v>0</v>
      </c>
      <c r="H260" s="159">
        <f t="shared" ref="H260:T260" si="64">H258+H259</f>
        <v>0</v>
      </c>
      <c r="I260" s="159">
        <f t="shared" si="64"/>
        <v>0</v>
      </c>
      <c r="J260" s="159">
        <f t="shared" si="64"/>
        <v>15.085250188513688</v>
      </c>
      <c r="K260" s="159">
        <f t="shared" si="64"/>
        <v>22.721032126019054</v>
      </c>
      <c r="L260" s="159">
        <f t="shared" si="64"/>
        <v>23.423484627503861</v>
      </c>
      <c r="M260" s="159">
        <f t="shared" si="64"/>
        <v>24.083921444789382</v>
      </c>
      <c r="N260" s="159">
        <f t="shared" si="64"/>
        <v>24.827885271968427</v>
      </c>
      <c r="O260" s="159">
        <f t="shared" si="64"/>
        <v>25.572721830127481</v>
      </c>
      <c r="P260" s="159">
        <f t="shared" si="64"/>
        <v>26.363338309155161</v>
      </c>
      <c r="Q260" s="159">
        <f t="shared" si="64"/>
        <v>27.106665765458381</v>
      </c>
      <c r="R260" s="159">
        <f t="shared" si="64"/>
        <v>27.944003607269714</v>
      </c>
      <c r="S260" s="159">
        <f t="shared" si="64"/>
        <v>28.782323715487802</v>
      </c>
      <c r="T260" s="159">
        <f t="shared" si="64"/>
        <v>374.06868658891682</v>
      </c>
    </row>
    <row r="261" spans="2:20" x14ac:dyDescent="0.25">
      <c r="B261" s="23" t="s">
        <v>3232</v>
      </c>
      <c r="C261" s="28" t="s">
        <v>493</v>
      </c>
      <c r="G261" s="159">
        <f>G260</f>
        <v>0</v>
      </c>
      <c r="H261" s="159">
        <f t="shared" ref="H261:T261" si="65">G261+H258</f>
        <v>0</v>
      </c>
      <c r="I261" s="159">
        <f t="shared" si="65"/>
        <v>0</v>
      </c>
      <c r="J261" s="159">
        <f t="shared" si="65"/>
        <v>15.085250188513688</v>
      </c>
      <c r="K261" s="159">
        <f t="shared" si="65"/>
        <v>37.806282314532744</v>
      </c>
      <c r="L261" s="159">
        <f t="shared" si="65"/>
        <v>61.229766942036605</v>
      </c>
      <c r="M261" s="159">
        <f t="shared" si="65"/>
        <v>85.313688386825987</v>
      </c>
      <c r="N261" s="159">
        <f t="shared" si="65"/>
        <v>110.14157365879441</v>
      </c>
      <c r="O261" s="159">
        <f t="shared" si="65"/>
        <v>135.71429548892189</v>
      </c>
      <c r="P261" s="159">
        <f t="shared" si="65"/>
        <v>162.07763379807704</v>
      </c>
      <c r="Q261" s="159">
        <f t="shared" si="65"/>
        <v>189.18429956353543</v>
      </c>
      <c r="R261" s="159">
        <f t="shared" si="65"/>
        <v>217.12830317080514</v>
      </c>
      <c r="S261" s="159">
        <f t="shared" si="65"/>
        <v>245.91062688629293</v>
      </c>
      <c r="T261" s="159">
        <f t="shared" si="65"/>
        <v>275.58279641425759</v>
      </c>
    </row>
    <row r="262" spans="2:20" x14ac:dyDescent="0.25">
      <c r="B262" s="154" t="s">
        <v>3249</v>
      </c>
    </row>
    <row r="263" spans="2:20" x14ac:dyDescent="0.25">
      <c r="B263" s="23" t="s">
        <v>3221</v>
      </c>
      <c r="C263" s="28" t="s">
        <v>493</v>
      </c>
      <c r="H263" s="29">
        <f>'BUMN Synergy Calculation'!H62</f>
        <v>0</v>
      </c>
      <c r="I263" s="29">
        <f>'BUMN Synergy Calculation'!I62</f>
        <v>0</v>
      </c>
      <c r="J263" s="29">
        <f>'BUMN Synergy Calculation'!J62</f>
        <v>24.264061686011878</v>
      </c>
      <c r="K263" s="29">
        <f>'BUMN Synergy Calculation'!K62</f>
        <v>24.991983536592237</v>
      </c>
      <c r="L263" s="29">
        <f>'BUMN Synergy Calculation'!L62</f>
        <v>25.741743042690004</v>
      </c>
      <c r="M263" s="29">
        <f>'BUMN Synergy Calculation'!M62</f>
        <v>26.513995333970705</v>
      </c>
      <c r="N263" s="29">
        <f>'BUMN Synergy Calculation'!N62</f>
        <v>27.309415193989821</v>
      </c>
      <c r="O263" s="29">
        <f>'BUMN Synergy Calculation'!O62</f>
        <v>28.128697649809517</v>
      </c>
      <c r="P263" s="29">
        <f>'BUMN Synergy Calculation'!P62</f>
        <v>28.972558579303808</v>
      </c>
      <c r="Q263" s="29">
        <f>'BUMN Synergy Calculation'!Q62</f>
        <v>29.84173533668293</v>
      </c>
      <c r="R263" s="29">
        <f>'BUMN Synergy Calculation'!R62</f>
        <v>30.736987396783412</v>
      </c>
      <c r="S263" s="29">
        <f>'BUMN Synergy Calculation'!S62</f>
        <v>31.659097018686907</v>
      </c>
      <c r="T263" s="29">
        <f>'BUMN Synergy Calculation'!T62</f>
        <v>32.608869929247518</v>
      </c>
    </row>
    <row r="264" spans="2:20" x14ac:dyDescent="0.25">
      <c r="B264" s="23" t="s">
        <v>3222</v>
      </c>
      <c r="C264" s="28" t="s">
        <v>493</v>
      </c>
      <c r="H264" s="159">
        <f>'BUMN Synergy Calculation'!H62-'Capex &amp; Depreciation'!H247</f>
        <v>0</v>
      </c>
      <c r="I264" s="159">
        <f>'BUMN Synergy Calculation'!I62-'Capex &amp; Depreciation'!I247</f>
        <v>0</v>
      </c>
      <c r="J264" s="159">
        <f>'BUMN Synergy Calculation'!J62-'Capex &amp; Depreciation'!J247</f>
        <v>24.264061686011878</v>
      </c>
      <c r="K264" s="159">
        <f>'BUMN Synergy Calculation'!K62-'Capex &amp; Depreciation'!K247</f>
        <v>24.991983536592237</v>
      </c>
      <c r="L264" s="159">
        <f>'BUMN Synergy Calculation'!L62-'Capex &amp; Depreciation'!L247</f>
        <v>25.741743042690004</v>
      </c>
      <c r="M264" s="159">
        <f>'BUMN Synergy Calculation'!M62-'Capex &amp; Depreciation'!M247</f>
        <v>26.513995333970705</v>
      </c>
      <c r="N264" s="159">
        <f>'BUMN Synergy Calculation'!N62-'Capex &amp; Depreciation'!N247</f>
        <v>27.309415193989821</v>
      </c>
      <c r="O264" s="159">
        <f>'BUMN Synergy Calculation'!O62-'Capex &amp; Depreciation'!O247</f>
        <v>28.128697649809517</v>
      </c>
      <c r="P264" s="159">
        <f>'BUMN Synergy Calculation'!P62-'Capex &amp; Depreciation'!P247</f>
        <v>28.972558579303808</v>
      </c>
      <c r="Q264" s="159">
        <f>'BUMN Synergy Calculation'!Q62-'Capex &amp; Depreciation'!Q247</f>
        <v>29.84173533668293</v>
      </c>
      <c r="R264" s="159">
        <f>'BUMN Synergy Calculation'!R62-'Capex &amp; Depreciation'!R247</f>
        <v>30.736987396783412</v>
      </c>
      <c r="S264" s="159">
        <f>'BUMN Synergy Calculation'!S62-'Capex &amp; Depreciation'!S247</f>
        <v>31.659097018686907</v>
      </c>
      <c r="T264" s="159">
        <f>'BUMN Synergy Calculation'!T62-'Capex &amp; Depreciation'!T247</f>
        <v>32.608869929247518</v>
      </c>
    </row>
    <row r="265" spans="2:20" x14ac:dyDescent="0.25">
      <c r="B265" s="23" t="s">
        <v>3223</v>
      </c>
      <c r="C265" s="28" t="s">
        <v>493</v>
      </c>
      <c r="H265" s="159">
        <f>0</f>
        <v>0</v>
      </c>
      <c r="I265" s="159">
        <f>0</f>
        <v>0</v>
      </c>
      <c r="J265" s="159">
        <f>0</f>
        <v>0</v>
      </c>
      <c r="K265" s="159">
        <f>0</f>
        <v>0</v>
      </c>
      <c r="L265" s="159">
        <f>0</f>
        <v>0</v>
      </c>
      <c r="M265" s="159">
        <f>0</f>
        <v>0</v>
      </c>
      <c r="N265" s="159">
        <f>0</f>
        <v>0</v>
      </c>
      <c r="O265" s="159">
        <f>0</f>
        <v>0</v>
      </c>
      <c r="P265" s="159">
        <f>0</f>
        <v>0</v>
      </c>
      <c r="Q265" s="159">
        <f>0</f>
        <v>0</v>
      </c>
      <c r="R265" s="159">
        <f>0</f>
        <v>0</v>
      </c>
      <c r="S265" s="159">
        <f>0</f>
        <v>0</v>
      </c>
      <c r="T265" s="159">
        <f>0</f>
        <v>0</v>
      </c>
    </row>
    <row r="266" spans="2:20" x14ac:dyDescent="0.25">
      <c r="B266" s="23" t="s">
        <v>3224</v>
      </c>
      <c r="C266" s="28" t="s">
        <v>493</v>
      </c>
      <c r="H266" s="159">
        <f>Inputs!H522*MAX(0,H264-H265)</f>
        <v>0</v>
      </c>
      <c r="I266" s="159">
        <f>Inputs!I522*MAX(0,I264-I265)</f>
        <v>0</v>
      </c>
      <c r="J266" s="159">
        <f>Inputs!J522*MAX(0,J264-J265)</f>
        <v>5.3380935709226129</v>
      </c>
      <c r="K266" s="159">
        <f>Inputs!K522*MAX(0,K264-K265)</f>
        <v>5.4982363780502919</v>
      </c>
      <c r="L266" s="159">
        <f>Inputs!L522*MAX(0,L264-L265)</f>
        <v>5.6631834693918011</v>
      </c>
      <c r="M266" s="159">
        <f>Inputs!M522*MAX(0,M264-M265)</f>
        <v>5.8330789734735555</v>
      </c>
      <c r="N266" s="159">
        <f>Inputs!N522*MAX(0,N264-N265)</f>
        <v>6.008071342677761</v>
      </c>
      <c r="O266" s="159">
        <f>Inputs!O522*MAX(0,O264-O265)</f>
        <v>6.1883134829580939</v>
      </c>
      <c r="P266" s="159">
        <f>Inputs!P522*MAX(0,P264-P265)</f>
        <v>6.3739628874468375</v>
      </c>
      <c r="Q266" s="159">
        <f>Inputs!Q522*MAX(0,Q264-Q265)</f>
        <v>6.5651817740702443</v>
      </c>
      <c r="R266" s="159">
        <f>Inputs!R522*MAX(0,R264-R265)</f>
        <v>6.7621372272923503</v>
      </c>
      <c r="S266" s="159">
        <f>Inputs!S522*MAX(0,S264-S265)</f>
        <v>6.96500134411112</v>
      </c>
      <c r="T266" s="159">
        <f>Inputs!T522*MAX(0,T264-T265)</f>
        <v>7.1739513844344538</v>
      </c>
    </row>
    <row r="267" spans="2:20" x14ac:dyDescent="0.25">
      <c r="B267" s="23" t="s">
        <v>3225</v>
      </c>
      <c r="C267" s="28" t="s">
        <v>493</v>
      </c>
      <c r="H267" s="159">
        <f t="shared" ref="H267:T267" si="66">H264-H265-H266</f>
        <v>0</v>
      </c>
      <c r="I267" s="159">
        <f t="shared" si="66"/>
        <v>0</v>
      </c>
      <c r="J267" s="159">
        <f t="shared" si="66"/>
        <v>18.925968115089265</v>
      </c>
      <c r="K267" s="159">
        <f t="shared" si="66"/>
        <v>19.493747158541943</v>
      </c>
      <c r="L267" s="159">
        <f t="shared" si="66"/>
        <v>20.078559573298204</v>
      </c>
      <c r="M267" s="159">
        <f t="shared" si="66"/>
        <v>20.68091636049715</v>
      </c>
      <c r="N267" s="159">
        <f t="shared" si="66"/>
        <v>21.301343851312062</v>
      </c>
      <c r="O267" s="159">
        <f t="shared" si="66"/>
        <v>21.940384166851423</v>
      </c>
      <c r="P267" s="159">
        <f t="shared" si="66"/>
        <v>22.598595691856971</v>
      </c>
      <c r="Q267" s="159">
        <f t="shared" si="66"/>
        <v>23.276553562612687</v>
      </c>
      <c r="R267" s="159">
        <f t="shared" si="66"/>
        <v>23.974850169491063</v>
      </c>
      <c r="S267" s="159">
        <f t="shared" si="66"/>
        <v>24.694095674575788</v>
      </c>
      <c r="T267" s="159">
        <f t="shared" si="66"/>
        <v>25.434918544813065</v>
      </c>
    </row>
    <row r="268" spans="2:20" x14ac:dyDescent="0.25">
      <c r="B268" s="23" t="s">
        <v>3226</v>
      </c>
      <c r="C268" s="28" t="s">
        <v>493</v>
      </c>
      <c r="H268" s="159">
        <f>-Inputs!H522*MAX(0,H264)</f>
        <v>0</v>
      </c>
      <c r="I268" s="159">
        <f>-Inputs!I522*MAX(0,I264)</f>
        <v>0</v>
      </c>
      <c r="J268" s="159">
        <f>-Inputs!J522*MAX(0,J264)</f>
        <v>-5.3380935709226129</v>
      </c>
      <c r="K268" s="159">
        <f>-Inputs!K522*MAX(0,K264)</f>
        <v>-5.4982363780502919</v>
      </c>
      <c r="L268" s="159">
        <f>-Inputs!L522*MAX(0,L264)</f>
        <v>-5.6631834693918011</v>
      </c>
      <c r="M268" s="159">
        <f>-Inputs!M522*MAX(0,M264)</f>
        <v>-5.8330789734735555</v>
      </c>
      <c r="N268" s="159">
        <f>-Inputs!N522*MAX(0,N264)</f>
        <v>-6.008071342677761</v>
      </c>
      <c r="O268" s="159">
        <f>-Inputs!O522*MAX(0,O264)</f>
        <v>-6.1883134829580939</v>
      </c>
      <c r="P268" s="159">
        <f>-Inputs!P522*MAX(0,P264)</f>
        <v>-6.3739628874468375</v>
      </c>
      <c r="Q268" s="159">
        <f>-Inputs!Q522*MAX(0,Q264)</f>
        <v>-6.5651817740702443</v>
      </c>
      <c r="R268" s="159">
        <f>-Inputs!R522*MAX(0,R264)</f>
        <v>-6.7621372272923503</v>
      </c>
      <c r="S268" s="159">
        <f>-Inputs!S522*MAX(0,S264)</f>
        <v>-6.96500134411112</v>
      </c>
      <c r="T268" s="159">
        <f>-Inputs!T522*MAX(0,T264)</f>
        <v>-7.1739513844344538</v>
      </c>
    </row>
    <row r="269" spans="2:20" x14ac:dyDescent="0.25">
      <c r="B269" s="23" t="s">
        <v>3227</v>
      </c>
      <c r="C269" s="28" t="s">
        <v>493</v>
      </c>
      <c r="H269" s="159">
        <f>-'Capex &amp; Depreciation'!H274</f>
        <v>0</v>
      </c>
      <c r="I269" s="159">
        <f>-'Capex &amp; Depreciation'!I274</f>
        <v>0</v>
      </c>
      <c r="J269" s="159">
        <f>-'Capex &amp; Depreciation'!J274</f>
        <v>0</v>
      </c>
      <c r="K269" s="159">
        <f>-'Capex &amp; Depreciation'!K274</f>
        <v>0</v>
      </c>
      <c r="L269" s="159">
        <f>-'Capex &amp; Depreciation'!L274</f>
        <v>0</v>
      </c>
      <c r="M269" s="159">
        <f>-'Capex &amp; Depreciation'!M274</f>
        <v>0</v>
      </c>
      <c r="N269" s="159">
        <f>-'Capex &amp; Depreciation'!N274</f>
        <v>0</v>
      </c>
      <c r="O269" s="159">
        <f>-'Capex &amp; Depreciation'!O274</f>
        <v>0</v>
      </c>
      <c r="P269" s="159">
        <f>-'Capex &amp; Depreciation'!P274</f>
        <v>0</v>
      </c>
      <c r="Q269" s="159">
        <f>-'Capex &amp; Depreciation'!Q274</f>
        <v>0</v>
      </c>
      <c r="R269" s="159">
        <f>-'Capex &amp; Depreciation'!R274</f>
        <v>0</v>
      </c>
      <c r="S269" s="159">
        <f>-'Capex &amp; Depreciation'!S274</f>
        <v>0</v>
      </c>
      <c r="T269" s="159">
        <f>-'Capex &amp; Depreciation'!T274</f>
        <v>0</v>
      </c>
    </row>
    <row r="270" spans="2:20" x14ac:dyDescent="0.25">
      <c r="B270" s="23" t="s">
        <v>3228</v>
      </c>
      <c r="C270" s="28" t="s">
        <v>493</v>
      </c>
      <c r="H270" s="159">
        <f>-('Working Capital'!H79-'Working Capital'!G79)</f>
        <v>0</v>
      </c>
      <c r="I270" s="159">
        <f>-('Working Capital'!I79-'Working Capital'!H79)</f>
        <v>0</v>
      </c>
      <c r="J270" s="159">
        <f>-('Working Capital'!J79-'Working Capital'!I79)</f>
        <v>-6.9568829300448209</v>
      </c>
      <c r="K270" s="159">
        <f>-('Working Capital'!K79-'Working Capital'!J79)</f>
        <v>-0.2087064879013445</v>
      </c>
      <c r="L270" s="159">
        <f>-('Working Capital'!L79-'Working Capital'!K79)</f>
        <v>-0.19480222597968488</v>
      </c>
      <c r="M270" s="159">
        <f>-('Working Capital'!M79-'Working Capital'!L79)</f>
        <v>-0.24158216957323742</v>
      </c>
      <c r="N270" s="159">
        <f>-('Working Capital'!N79-'Working Capital'!M79)</f>
        <v>-0.22805921440497112</v>
      </c>
      <c r="O270" s="159">
        <f>-('Working Capital'!O79-'Working Capital'!N79)</f>
        <v>-0.23490099083712312</v>
      </c>
      <c r="P270" s="159">
        <f>-('Working Capital'!P79-'Working Capital'!O79)</f>
        <v>-0.21925162154774469</v>
      </c>
      <c r="Q270" s="159">
        <f>-('Working Capital'!Q79-'Working Capital'!P79)</f>
        <v>-0.27190286019359533</v>
      </c>
      <c r="R270" s="159">
        <f>-('Working Capital'!R79-'Working Capital'!Q79)</f>
        <v>-0.25668265501447429</v>
      </c>
      <c r="S270" s="159">
        <f>-('Working Capital'!S79-'Working Capital'!R79)</f>
        <v>-0.26438313466490904</v>
      </c>
      <c r="T270" s="159">
        <f>-('Working Capital'!T79-'Working Capital'!S79)</f>
        <v>-0.24676963165877552</v>
      </c>
    </row>
    <row r="271" spans="2:20" ht="26.25" customHeight="1" x14ac:dyDescent="0.25">
      <c r="B271" s="133" t="s">
        <v>3229</v>
      </c>
      <c r="C271" s="28" t="s">
        <v>493</v>
      </c>
      <c r="H271" s="160">
        <f t="shared" ref="H271:T271" si="67">H263+H268+H269+H270</f>
        <v>0</v>
      </c>
      <c r="I271" s="160">
        <f t="shared" si="67"/>
        <v>0</v>
      </c>
      <c r="J271" s="160">
        <f t="shared" si="67"/>
        <v>11.969085185044445</v>
      </c>
      <c r="K271" s="160">
        <f t="shared" si="67"/>
        <v>19.285040670640598</v>
      </c>
      <c r="L271" s="160">
        <f t="shared" si="67"/>
        <v>19.883757347318518</v>
      </c>
      <c r="M271" s="160">
        <f t="shared" si="67"/>
        <v>20.439334190923912</v>
      </c>
      <c r="N271" s="160">
        <f t="shared" si="67"/>
        <v>21.07328463690709</v>
      </c>
      <c r="O271" s="160">
        <f t="shared" si="67"/>
        <v>21.705483176014301</v>
      </c>
      <c r="P271" s="160">
        <f t="shared" si="67"/>
        <v>22.379344070309227</v>
      </c>
      <c r="Q271" s="160">
        <f t="shared" si="67"/>
        <v>23.004650702419092</v>
      </c>
      <c r="R271" s="160">
        <f t="shared" si="67"/>
        <v>23.71816751447659</v>
      </c>
      <c r="S271" s="160">
        <f t="shared" si="67"/>
        <v>24.429712539910881</v>
      </c>
      <c r="T271" s="160">
        <f t="shared" si="67"/>
        <v>25.18814891315429</v>
      </c>
    </row>
    <row r="272" spans="2:20" x14ac:dyDescent="0.25">
      <c r="B272" s="23" t="s">
        <v>3230</v>
      </c>
      <c r="C272" s="28" t="s">
        <v>493</v>
      </c>
      <c r="E272" s="159">
        <f>'BUMN Synergy Calculation'!T62-MAX(0,Inputs!$E$554*('BUMN Synergy Calculation'!T62-0))-0</f>
        <v>25.434918544813065</v>
      </c>
      <c r="F272" s="29">
        <f>'Working Capital'!T79</f>
        <v>9.3239239218206809</v>
      </c>
      <c r="H272" s="159">
        <f>IF('Revenue Calculation'!H7=2036,IF(Inputs!$E$558&gt;Inputs!$E$559,((1+Inputs!$E$559)*$E$272-Inputs!$E$559*$F$272)/(Inputs!$E$558-Inputs!$E$559),0),0)</f>
        <v>0</v>
      </c>
      <c r="I272" s="159">
        <f>IF('Revenue Calculation'!I7=2036,IF(Inputs!$E$558&gt;Inputs!$E$559,((1+Inputs!$E$559)*$E$272-Inputs!$E$559*$F$272)/(Inputs!$E$558-Inputs!$E$559),0),0)</f>
        <v>0</v>
      </c>
      <c r="J272" s="159">
        <f>IF('Revenue Calculation'!J7=2036,IF(Inputs!$E$558&gt;Inputs!$E$559,((1+Inputs!$E$559)*$E$272-Inputs!$E$559*$F$272)/(Inputs!$E$558-Inputs!$E$559),0),0)</f>
        <v>0</v>
      </c>
      <c r="K272" s="159">
        <f>IF('Revenue Calculation'!K7=2036,IF(Inputs!$E$558&gt;Inputs!$E$559,((1+Inputs!$E$559)*$E$272-Inputs!$E$559*$F$272)/(Inputs!$E$558-Inputs!$E$559),0),0)</f>
        <v>0</v>
      </c>
      <c r="L272" s="159">
        <f>IF('Revenue Calculation'!L7=2036,IF(Inputs!$E$558&gt;Inputs!$E$559,((1+Inputs!$E$559)*$E$272-Inputs!$E$559*$F$272)/(Inputs!$E$558-Inputs!$E$559),0),0)</f>
        <v>0</v>
      </c>
      <c r="M272" s="159">
        <f>IF('Revenue Calculation'!M7=2036,IF(Inputs!$E$558&gt;Inputs!$E$559,((1+Inputs!$E$559)*$E$272-Inputs!$E$559*$F$272)/(Inputs!$E$558-Inputs!$E$559),0),0)</f>
        <v>0</v>
      </c>
      <c r="N272" s="159">
        <f>IF('Revenue Calculation'!N7=2036,IF(Inputs!$E$558&gt;Inputs!$E$559,((1+Inputs!$E$559)*$E$272-Inputs!$E$559*$F$272)/(Inputs!$E$558-Inputs!$E$559),0),0)</f>
        <v>0</v>
      </c>
      <c r="O272" s="159">
        <f>IF('Revenue Calculation'!O7=2036,IF(Inputs!$E$558&gt;Inputs!$E$559,((1+Inputs!$E$559)*$E$272-Inputs!$E$559*$F$272)/(Inputs!$E$558-Inputs!$E$559),0),0)</f>
        <v>0</v>
      </c>
      <c r="P272" s="159">
        <f>IF('Revenue Calculation'!P7=2036,IF(Inputs!$E$558&gt;Inputs!$E$559,((1+Inputs!$E$559)*$E$272-Inputs!$E$559*$F$272)/(Inputs!$E$558-Inputs!$E$559),0),0)</f>
        <v>0</v>
      </c>
      <c r="Q272" s="159">
        <f>IF('Revenue Calculation'!Q7=2036,IF(Inputs!$E$558&gt;Inputs!$E$559,((1+Inputs!$E$559)*$E$272-Inputs!$E$559*$F$272)/(Inputs!$E$558-Inputs!$E$559),0),0)</f>
        <v>0</v>
      </c>
      <c r="R272" s="159">
        <f>IF('Revenue Calculation'!R7=2036,IF(Inputs!$E$558&gt;Inputs!$E$559,((1+Inputs!$E$559)*$E$272-Inputs!$E$559*$F$272)/(Inputs!$E$558-Inputs!$E$559),0),0)</f>
        <v>0</v>
      </c>
      <c r="S272" s="159">
        <f>IF('Revenue Calculation'!S7=2036,IF(Inputs!$E$558&gt;Inputs!$E$559,((1+Inputs!$E$559)*$E$272-Inputs!$E$559*$F$272)/(Inputs!$E$558-Inputs!$E$559),0),0)</f>
        <v>0</v>
      </c>
      <c r="T272" s="159">
        <f>IF('Revenue Calculation'!T7=2036,IF(Inputs!$E$558&gt;Inputs!$E$559,((1+Inputs!$E$559)*$E$272-Inputs!$E$559*$F$272)/(Inputs!$E$558-Inputs!$E$559),0),0)</f>
        <v>292.31617104339153</v>
      </c>
    </row>
    <row r="273" spans="2:20" x14ac:dyDescent="0.25">
      <c r="B273" s="23" t="s">
        <v>3231</v>
      </c>
      <c r="C273" s="28" t="s">
        <v>493</v>
      </c>
      <c r="G273" s="159">
        <v>0</v>
      </c>
      <c r="H273" s="159">
        <f t="shared" ref="H273:T273" si="68">H271+H272</f>
        <v>0</v>
      </c>
      <c r="I273" s="159">
        <f t="shared" si="68"/>
        <v>0</v>
      </c>
      <c r="J273" s="159">
        <f t="shared" si="68"/>
        <v>11.969085185044445</v>
      </c>
      <c r="K273" s="159">
        <f t="shared" si="68"/>
        <v>19.285040670640598</v>
      </c>
      <c r="L273" s="159">
        <f t="shared" si="68"/>
        <v>19.883757347318518</v>
      </c>
      <c r="M273" s="159">
        <f t="shared" si="68"/>
        <v>20.439334190923912</v>
      </c>
      <c r="N273" s="159">
        <f t="shared" si="68"/>
        <v>21.07328463690709</v>
      </c>
      <c r="O273" s="159">
        <f t="shared" si="68"/>
        <v>21.705483176014301</v>
      </c>
      <c r="P273" s="159">
        <f t="shared" si="68"/>
        <v>22.379344070309227</v>
      </c>
      <c r="Q273" s="159">
        <f t="shared" si="68"/>
        <v>23.004650702419092</v>
      </c>
      <c r="R273" s="159">
        <f t="shared" si="68"/>
        <v>23.71816751447659</v>
      </c>
      <c r="S273" s="159">
        <f t="shared" si="68"/>
        <v>24.429712539910881</v>
      </c>
      <c r="T273" s="159">
        <f t="shared" si="68"/>
        <v>317.50431995654583</v>
      </c>
    </row>
    <row r="274" spans="2:20" x14ac:dyDescent="0.25">
      <c r="B274" s="23" t="s">
        <v>3232</v>
      </c>
      <c r="C274" s="28" t="s">
        <v>493</v>
      </c>
      <c r="G274" s="159">
        <f>G273</f>
        <v>0</v>
      </c>
      <c r="H274" s="159">
        <f t="shared" ref="H274:T274" si="69">G274+H271</f>
        <v>0</v>
      </c>
      <c r="I274" s="159">
        <f t="shared" si="69"/>
        <v>0</v>
      </c>
      <c r="J274" s="159">
        <f t="shared" si="69"/>
        <v>11.969085185044445</v>
      </c>
      <c r="K274" s="159">
        <f t="shared" si="69"/>
        <v>31.254125855685043</v>
      </c>
      <c r="L274" s="159">
        <f t="shared" si="69"/>
        <v>51.137883203003561</v>
      </c>
      <c r="M274" s="159">
        <f t="shared" si="69"/>
        <v>71.577217393927469</v>
      </c>
      <c r="N274" s="159">
        <f t="shared" si="69"/>
        <v>92.650502030834559</v>
      </c>
      <c r="O274" s="159">
        <f t="shared" si="69"/>
        <v>114.35598520684886</v>
      </c>
      <c r="P274" s="159">
        <f t="shared" si="69"/>
        <v>136.73532927715809</v>
      </c>
      <c r="Q274" s="159">
        <f t="shared" si="69"/>
        <v>159.73997997957719</v>
      </c>
      <c r="R274" s="159">
        <f t="shared" si="69"/>
        <v>183.45814749405378</v>
      </c>
      <c r="S274" s="159">
        <f t="shared" si="69"/>
        <v>207.88786003396467</v>
      </c>
      <c r="T274" s="159">
        <f t="shared" si="69"/>
        <v>233.07600894711896</v>
      </c>
    </row>
    <row r="275" spans="2:20" x14ac:dyDescent="0.25">
      <c r="B275" s="154" t="s">
        <v>3250</v>
      </c>
    </row>
    <row r="276" spans="2:20" x14ac:dyDescent="0.25">
      <c r="B276" s="23" t="s">
        <v>3221</v>
      </c>
      <c r="C276" s="28" t="s">
        <v>493</v>
      </c>
      <c r="H276" s="29">
        <f>'BUMN Synergy Calculation'!H84</f>
        <v>0</v>
      </c>
      <c r="I276" s="29">
        <f>'BUMN Synergy Calculation'!I84</f>
        <v>0</v>
      </c>
      <c r="J276" s="29">
        <f>'BUMN Synergy Calculation'!J84</f>
        <v>5.5047849275128415</v>
      </c>
      <c r="K276" s="29">
        <f>'BUMN Synergy Calculation'!K84</f>
        <v>7.0536052095608266</v>
      </c>
      <c r="L276" s="29">
        <f>'BUMN Synergy Calculation'!L84</f>
        <v>7.5696222473766266</v>
      </c>
      <c r="M276" s="29">
        <f>'BUMN Synergy Calculation'!M84</f>
        <v>8.0907422208202266</v>
      </c>
      <c r="N276" s="29">
        <f>'BUMN Synergy Calculation'!N84</f>
        <v>8.6171182179604653</v>
      </c>
      <c r="O276" s="29">
        <f>'BUMN Synergy Calculation'!O84</f>
        <v>9.148907919508245</v>
      </c>
      <c r="P276" s="29">
        <f>'BUMN Synergy Calculation'!P84</f>
        <v>9.6862737365957869</v>
      </c>
      <c r="Q276" s="29">
        <f>'BUMN Synergy Calculation'!Q84</f>
        <v>10.229382952689285</v>
      </c>
      <c r="R276" s="29">
        <f>'BUMN Synergy Calculation'!R84</f>
        <v>10.778407869758919</v>
      </c>
      <c r="S276" s="29">
        <f>'BUMN Synergy Calculation'!S84</f>
        <v>7.1824957561661691</v>
      </c>
      <c r="T276" s="29">
        <f>'BUMN Synergy Calculation'!T84</f>
        <v>7.3979706288511533</v>
      </c>
    </row>
    <row r="277" spans="2:20" x14ac:dyDescent="0.25">
      <c r="B277" s="23" t="s">
        <v>3222</v>
      </c>
      <c r="C277" s="28" t="s">
        <v>493</v>
      </c>
      <c r="H277" s="159">
        <f>'BUMN Synergy Calculation'!H84-'Capex &amp; Depreciation'!H248</f>
        <v>0</v>
      </c>
      <c r="I277" s="159">
        <f>'BUMN Synergy Calculation'!I84-'Capex &amp; Depreciation'!I248</f>
        <v>0</v>
      </c>
      <c r="J277" s="159">
        <f>'BUMN Synergy Calculation'!J84-'Capex &amp; Depreciation'!J248</f>
        <v>5.5047849275128415</v>
      </c>
      <c r="K277" s="159">
        <f>'BUMN Synergy Calculation'!K84-'Capex &amp; Depreciation'!K248</f>
        <v>7.0536052095608266</v>
      </c>
      <c r="L277" s="159">
        <f>'BUMN Synergy Calculation'!L84-'Capex &amp; Depreciation'!L248</f>
        <v>7.5696222473766266</v>
      </c>
      <c r="M277" s="159">
        <f>'BUMN Synergy Calculation'!M84-'Capex &amp; Depreciation'!M248</f>
        <v>8.0907422208202266</v>
      </c>
      <c r="N277" s="159">
        <f>'BUMN Synergy Calculation'!N84-'Capex &amp; Depreciation'!N248</f>
        <v>8.6171182179604653</v>
      </c>
      <c r="O277" s="159">
        <f>'BUMN Synergy Calculation'!O84-'Capex &amp; Depreciation'!O248</f>
        <v>9.148907919508245</v>
      </c>
      <c r="P277" s="159">
        <f>'BUMN Synergy Calculation'!P84-'Capex &amp; Depreciation'!P248</f>
        <v>9.6862737365957869</v>
      </c>
      <c r="Q277" s="159">
        <f>'BUMN Synergy Calculation'!Q84-'Capex &amp; Depreciation'!Q248</f>
        <v>10.229382952689285</v>
      </c>
      <c r="R277" s="159">
        <f>'BUMN Synergy Calculation'!R84-'Capex &amp; Depreciation'!R248</f>
        <v>10.778407869758919</v>
      </c>
      <c r="S277" s="159">
        <f>'BUMN Synergy Calculation'!S84-'Capex &amp; Depreciation'!S248</f>
        <v>7.1824957561661691</v>
      </c>
      <c r="T277" s="159">
        <f>'BUMN Synergy Calculation'!T84-'Capex &amp; Depreciation'!T248</f>
        <v>7.3979706288511533</v>
      </c>
    </row>
    <row r="278" spans="2:20" x14ac:dyDescent="0.25">
      <c r="B278" s="23" t="s">
        <v>3223</v>
      </c>
      <c r="C278" s="28" t="s">
        <v>493</v>
      </c>
      <c r="H278" s="159">
        <f>0</f>
        <v>0</v>
      </c>
      <c r="I278" s="159">
        <f>0</f>
        <v>0</v>
      </c>
      <c r="J278" s="159">
        <f>0</f>
        <v>0</v>
      </c>
      <c r="K278" s="159">
        <f>0</f>
        <v>0</v>
      </c>
      <c r="L278" s="159">
        <f>0</f>
        <v>0</v>
      </c>
      <c r="M278" s="159">
        <f>0</f>
        <v>0</v>
      </c>
      <c r="N278" s="159">
        <f>0</f>
        <v>0</v>
      </c>
      <c r="O278" s="159">
        <f>0</f>
        <v>0</v>
      </c>
      <c r="P278" s="159">
        <f>0</f>
        <v>0</v>
      </c>
      <c r="Q278" s="159">
        <f>0</f>
        <v>0</v>
      </c>
      <c r="R278" s="159">
        <f>0</f>
        <v>0</v>
      </c>
      <c r="S278" s="159">
        <f>0</f>
        <v>0</v>
      </c>
      <c r="T278" s="159">
        <f>0</f>
        <v>0</v>
      </c>
    </row>
    <row r="279" spans="2:20" x14ac:dyDescent="0.25">
      <c r="B279" s="23" t="s">
        <v>3224</v>
      </c>
      <c r="C279" s="28" t="s">
        <v>493</v>
      </c>
      <c r="H279" s="159">
        <f>Inputs!H522*MAX(0,H277-H278)</f>
        <v>0</v>
      </c>
      <c r="I279" s="159">
        <f>Inputs!I522*MAX(0,I277-I278)</f>
        <v>0</v>
      </c>
      <c r="J279" s="159">
        <f>Inputs!J522*MAX(0,J277-J278)</f>
        <v>1.2110526840528251</v>
      </c>
      <c r="K279" s="159">
        <f>Inputs!K522*MAX(0,K277-K278)</f>
        <v>1.5517931461033818</v>
      </c>
      <c r="L279" s="159">
        <f>Inputs!L522*MAX(0,L277-L278)</f>
        <v>1.6653168944228578</v>
      </c>
      <c r="M279" s="159">
        <f>Inputs!M522*MAX(0,M277-M278)</f>
        <v>1.7799632885804499</v>
      </c>
      <c r="N279" s="159">
        <f>Inputs!N522*MAX(0,N277-N278)</f>
        <v>1.8957660079513023</v>
      </c>
      <c r="O279" s="159">
        <f>Inputs!O522*MAX(0,O277-O278)</f>
        <v>2.0127597422918138</v>
      </c>
      <c r="P279" s="159">
        <f>Inputs!P522*MAX(0,P277-P278)</f>
        <v>2.1309802220510732</v>
      </c>
      <c r="Q279" s="159">
        <f>Inputs!Q522*MAX(0,Q277-Q278)</f>
        <v>2.2504642495916429</v>
      </c>
      <c r="R279" s="159">
        <f>Inputs!R522*MAX(0,R277-R278)</f>
        <v>2.3712497313469623</v>
      </c>
      <c r="S279" s="159">
        <f>Inputs!S522*MAX(0,S277-S278)</f>
        <v>1.5801490663565572</v>
      </c>
      <c r="T279" s="159">
        <f>Inputs!T522*MAX(0,T277-T278)</f>
        <v>1.6275535383472537</v>
      </c>
    </row>
    <row r="280" spans="2:20" x14ac:dyDescent="0.25">
      <c r="B280" s="23" t="s">
        <v>3225</v>
      </c>
      <c r="C280" s="28" t="s">
        <v>493</v>
      </c>
      <c r="H280" s="159">
        <f t="shared" ref="H280:T280" si="70">H277-H278-H279</f>
        <v>0</v>
      </c>
      <c r="I280" s="159">
        <f t="shared" si="70"/>
        <v>0</v>
      </c>
      <c r="J280" s="159">
        <f t="shared" si="70"/>
        <v>4.2937322434600169</v>
      </c>
      <c r="K280" s="159">
        <f t="shared" si="70"/>
        <v>5.5018120634574448</v>
      </c>
      <c r="L280" s="159">
        <f t="shared" si="70"/>
        <v>5.9043053529537683</v>
      </c>
      <c r="M280" s="159">
        <f t="shared" si="70"/>
        <v>6.3107789322397769</v>
      </c>
      <c r="N280" s="159">
        <f t="shared" si="70"/>
        <v>6.7213522100091634</v>
      </c>
      <c r="O280" s="159">
        <f t="shared" si="70"/>
        <v>7.1361481772164312</v>
      </c>
      <c r="P280" s="159">
        <f t="shared" si="70"/>
        <v>7.5552935145447133</v>
      </c>
      <c r="Q280" s="159">
        <f t="shared" si="70"/>
        <v>7.9789187030976425</v>
      </c>
      <c r="R280" s="159">
        <f t="shared" si="70"/>
        <v>8.4071581384119565</v>
      </c>
      <c r="S280" s="159">
        <f t="shared" si="70"/>
        <v>5.6023466898096119</v>
      </c>
      <c r="T280" s="159">
        <f t="shared" si="70"/>
        <v>5.7704170905038996</v>
      </c>
    </row>
    <row r="281" spans="2:20" x14ac:dyDescent="0.25">
      <c r="B281" s="23" t="s">
        <v>3226</v>
      </c>
      <c r="C281" s="28" t="s">
        <v>493</v>
      </c>
      <c r="H281" s="159">
        <f>-Inputs!H522*MAX(0,H277)</f>
        <v>0</v>
      </c>
      <c r="I281" s="159">
        <f>-Inputs!I522*MAX(0,I277)</f>
        <v>0</v>
      </c>
      <c r="J281" s="159">
        <f>-Inputs!J522*MAX(0,J277)</f>
        <v>-1.2110526840528251</v>
      </c>
      <c r="K281" s="159">
        <f>-Inputs!K522*MAX(0,K277)</f>
        <v>-1.5517931461033818</v>
      </c>
      <c r="L281" s="159">
        <f>-Inputs!L522*MAX(0,L277)</f>
        <v>-1.6653168944228578</v>
      </c>
      <c r="M281" s="159">
        <f>-Inputs!M522*MAX(0,M277)</f>
        <v>-1.7799632885804499</v>
      </c>
      <c r="N281" s="159">
        <f>-Inputs!N522*MAX(0,N277)</f>
        <v>-1.8957660079513023</v>
      </c>
      <c r="O281" s="159">
        <f>-Inputs!O522*MAX(0,O277)</f>
        <v>-2.0127597422918138</v>
      </c>
      <c r="P281" s="159">
        <f>-Inputs!P522*MAX(0,P277)</f>
        <v>-2.1309802220510732</v>
      </c>
      <c r="Q281" s="159">
        <f>-Inputs!Q522*MAX(0,Q277)</f>
        <v>-2.2504642495916429</v>
      </c>
      <c r="R281" s="159">
        <f>-Inputs!R522*MAX(0,R277)</f>
        <v>-2.3712497313469623</v>
      </c>
      <c r="S281" s="159">
        <f>-Inputs!S522*MAX(0,S277)</f>
        <v>-1.5801490663565572</v>
      </c>
      <c r="T281" s="159">
        <f>-Inputs!T522*MAX(0,T277)</f>
        <v>-1.6275535383472537</v>
      </c>
    </row>
    <row r="282" spans="2:20" x14ac:dyDescent="0.25">
      <c r="B282" s="23" t="s">
        <v>3227</v>
      </c>
      <c r="C282" s="28" t="s">
        <v>493</v>
      </c>
      <c r="H282" s="159">
        <f>-'Capex &amp; Depreciation'!H275</f>
        <v>0</v>
      </c>
      <c r="I282" s="159">
        <f>-'Capex &amp; Depreciation'!I275</f>
        <v>0</v>
      </c>
      <c r="J282" s="159">
        <f>-'Capex &amp; Depreciation'!J275</f>
        <v>0</v>
      </c>
      <c r="K282" s="159">
        <f>-'Capex &amp; Depreciation'!K275</f>
        <v>0</v>
      </c>
      <c r="L282" s="159">
        <f>-'Capex &amp; Depreciation'!L275</f>
        <v>0</v>
      </c>
      <c r="M282" s="159">
        <f>-'Capex &amp; Depreciation'!M275</f>
        <v>0</v>
      </c>
      <c r="N282" s="159">
        <f>-'Capex &amp; Depreciation'!N275</f>
        <v>0</v>
      </c>
      <c r="O282" s="159">
        <f>-'Capex &amp; Depreciation'!O275</f>
        <v>0</v>
      </c>
      <c r="P282" s="159">
        <f>-'Capex &amp; Depreciation'!P275</f>
        <v>0</v>
      </c>
      <c r="Q282" s="159">
        <f>-'Capex &amp; Depreciation'!Q275</f>
        <v>0</v>
      </c>
      <c r="R282" s="159">
        <f>-'Capex &amp; Depreciation'!R275</f>
        <v>0</v>
      </c>
      <c r="S282" s="159">
        <f>-'Capex &amp; Depreciation'!S275</f>
        <v>0</v>
      </c>
      <c r="T282" s="159">
        <f>-'Capex &amp; Depreciation'!T275</f>
        <v>0</v>
      </c>
    </row>
    <row r="283" spans="2:20" x14ac:dyDescent="0.25">
      <c r="B283" s="23" t="s">
        <v>3228</v>
      </c>
      <c r="C283" s="28" t="s">
        <v>493</v>
      </c>
      <c r="H283" s="159">
        <f>-('Working Capital'!H83-'Working Capital'!G83)</f>
        <v>0</v>
      </c>
      <c r="I283" s="159">
        <f>-('Working Capital'!I83-'Working Capital'!H83)</f>
        <v>0</v>
      </c>
      <c r="J283" s="159">
        <f>-('Working Capital'!J83-'Working Capital'!I83)</f>
        <v>-1.5783072426765077</v>
      </c>
      <c r="K283" s="159">
        <f>-('Working Capital'!K83-'Working Capital'!J83)</f>
        <v>-0.44407080402777566</v>
      </c>
      <c r="L283" s="159">
        <f>-('Working Capital'!L83-'Working Capital'!K83)</f>
        <v>-0.14202023218724191</v>
      </c>
      <c r="M283" s="159">
        <f>-('Working Capital'!M83-'Working Capital'!L83)</f>
        <v>-0.15534303959786788</v>
      </c>
      <c r="N283" s="159">
        <f>-('Working Capital'!N83-'Working Capital'!M83)</f>
        <v>-0.15092016483791504</v>
      </c>
      <c r="O283" s="159">
        <f>-('Working Capital'!O83-'Working Capital'!N83)</f>
        <v>-0.15247235788244717</v>
      </c>
      <c r="P283" s="159">
        <f>-('Working Capital'!P83-'Working Capital'!O83)</f>
        <v>-0.14648312502998584</v>
      </c>
      <c r="Q283" s="159">
        <f>-('Working Capital'!Q83-'Working Capital'!P83)</f>
        <v>-0.16330583000758558</v>
      </c>
      <c r="R283" s="159">
        <f>-('Working Capital'!R83-'Working Capital'!Q83)</f>
        <v>-0.15741396156822862</v>
      </c>
      <c r="S283" s="159">
        <f>-('Working Capital'!S83-'Working Capital'!R83)</f>
        <v>1.0310037917277719</v>
      </c>
      <c r="T283" s="159">
        <f>-('Working Capital'!T83-'Working Capital'!S83)</f>
        <v>-5.5984598395009577E-2</v>
      </c>
    </row>
    <row r="284" spans="2:20" ht="26.25" customHeight="1" x14ac:dyDescent="0.25">
      <c r="B284" s="133" t="s">
        <v>3229</v>
      </c>
      <c r="C284" s="28" t="s">
        <v>493</v>
      </c>
      <c r="H284" s="160">
        <f t="shared" ref="H284:T284" si="71">H276+H281+H282+H283</f>
        <v>0</v>
      </c>
      <c r="I284" s="160">
        <f t="shared" si="71"/>
        <v>0</v>
      </c>
      <c r="J284" s="160">
        <f t="shared" si="71"/>
        <v>2.715425000783509</v>
      </c>
      <c r="K284" s="160">
        <f t="shared" si="71"/>
        <v>5.0577412594296689</v>
      </c>
      <c r="L284" s="160">
        <f t="shared" si="71"/>
        <v>5.762285120766526</v>
      </c>
      <c r="M284" s="160">
        <f t="shared" si="71"/>
        <v>6.1554358926419095</v>
      </c>
      <c r="N284" s="160">
        <f t="shared" si="71"/>
        <v>6.5704320451712483</v>
      </c>
      <c r="O284" s="160">
        <f t="shared" si="71"/>
        <v>6.9836758193339836</v>
      </c>
      <c r="P284" s="160">
        <f t="shared" si="71"/>
        <v>7.408810389514727</v>
      </c>
      <c r="Q284" s="160">
        <f t="shared" si="71"/>
        <v>7.8156128730900569</v>
      </c>
      <c r="R284" s="160">
        <f t="shared" si="71"/>
        <v>8.249744176843727</v>
      </c>
      <c r="S284" s="160">
        <f t="shared" si="71"/>
        <v>6.6333504815373843</v>
      </c>
      <c r="T284" s="160">
        <f t="shared" si="71"/>
        <v>5.71443249210889</v>
      </c>
    </row>
    <row r="285" spans="2:20" x14ac:dyDescent="0.25">
      <c r="B285" s="23" t="s">
        <v>3230</v>
      </c>
      <c r="C285" s="28" t="s">
        <v>493</v>
      </c>
      <c r="E285" s="159">
        <f>'BUMN Synergy Calculation'!T84-MAX(0,Inputs!$E$554*('BUMN Synergy Calculation'!T84-0))-0</f>
        <v>5.7704170905038996</v>
      </c>
      <c r="F285" s="29">
        <f>'Working Capital'!T83</f>
        <v>2.1153175644827931</v>
      </c>
      <c r="H285" s="159">
        <f>IF('Revenue Calculation'!H7=2036,IF(Inputs!$E$558&gt;Inputs!$E$559,((1+Inputs!$E$559)*$E$285-Inputs!$E$559*$F$285)/(Inputs!$E$558-Inputs!$E$559),0),0)</f>
        <v>0</v>
      </c>
      <c r="I285" s="159">
        <f>IF('Revenue Calculation'!I7=2036,IF(Inputs!$E$558&gt;Inputs!$E$559,((1+Inputs!$E$559)*$E$285-Inputs!$E$559*$F$285)/(Inputs!$E$558-Inputs!$E$559),0),0)</f>
        <v>0</v>
      </c>
      <c r="J285" s="159">
        <f>IF('Revenue Calculation'!J7=2036,IF(Inputs!$E$558&gt;Inputs!$E$559,((1+Inputs!$E$559)*$E$285-Inputs!$E$559*$F$285)/(Inputs!$E$558-Inputs!$E$559),0),0)</f>
        <v>0</v>
      </c>
      <c r="K285" s="159">
        <f>IF('Revenue Calculation'!K7=2036,IF(Inputs!$E$558&gt;Inputs!$E$559,((1+Inputs!$E$559)*$E$285-Inputs!$E$559*$F$285)/(Inputs!$E$558-Inputs!$E$559),0),0)</f>
        <v>0</v>
      </c>
      <c r="L285" s="159">
        <f>IF('Revenue Calculation'!L7=2036,IF(Inputs!$E$558&gt;Inputs!$E$559,((1+Inputs!$E$559)*$E$285-Inputs!$E$559*$F$285)/(Inputs!$E$558-Inputs!$E$559),0),0)</f>
        <v>0</v>
      </c>
      <c r="M285" s="159">
        <f>IF('Revenue Calculation'!M7=2036,IF(Inputs!$E$558&gt;Inputs!$E$559,((1+Inputs!$E$559)*$E$285-Inputs!$E$559*$F$285)/(Inputs!$E$558-Inputs!$E$559),0),0)</f>
        <v>0</v>
      </c>
      <c r="N285" s="159">
        <f>IF('Revenue Calculation'!N7=2036,IF(Inputs!$E$558&gt;Inputs!$E$559,((1+Inputs!$E$559)*$E$285-Inputs!$E$559*$F$285)/(Inputs!$E$558-Inputs!$E$559),0),0)</f>
        <v>0</v>
      </c>
      <c r="O285" s="159">
        <f>IF('Revenue Calculation'!O7=2036,IF(Inputs!$E$558&gt;Inputs!$E$559,((1+Inputs!$E$559)*$E$285-Inputs!$E$559*$F$285)/(Inputs!$E$558-Inputs!$E$559),0),0)</f>
        <v>0</v>
      </c>
      <c r="P285" s="159">
        <f>IF('Revenue Calculation'!P7=2036,IF(Inputs!$E$558&gt;Inputs!$E$559,((1+Inputs!$E$559)*$E$285-Inputs!$E$559*$F$285)/(Inputs!$E$558-Inputs!$E$559),0),0)</f>
        <v>0</v>
      </c>
      <c r="Q285" s="159">
        <f>IF('Revenue Calculation'!Q7=2036,IF(Inputs!$E$558&gt;Inputs!$E$559,((1+Inputs!$E$559)*$E$285-Inputs!$E$559*$F$285)/(Inputs!$E$558-Inputs!$E$559),0),0)</f>
        <v>0</v>
      </c>
      <c r="R285" s="159">
        <f>IF('Revenue Calculation'!R7=2036,IF(Inputs!$E$558&gt;Inputs!$E$559,((1+Inputs!$E$559)*$E$285-Inputs!$E$559*$F$285)/(Inputs!$E$558-Inputs!$E$559),0),0)</f>
        <v>0</v>
      </c>
      <c r="S285" s="159">
        <f>IF('Revenue Calculation'!S7=2036,IF(Inputs!$E$558&gt;Inputs!$E$559,((1+Inputs!$E$559)*$E$285-Inputs!$E$559*$F$285)/(Inputs!$E$558-Inputs!$E$559),0),0)</f>
        <v>0</v>
      </c>
      <c r="T285" s="159">
        <f>IF('Revenue Calculation'!T7=2036,IF(Inputs!$E$558&gt;Inputs!$E$559,((1+Inputs!$E$559)*$E$285-Inputs!$E$559*$F$285)/(Inputs!$E$558-Inputs!$E$559),0),0)</f>
        <v>66.317736628389298</v>
      </c>
    </row>
    <row r="286" spans="2:20" x14ac:dyDescent="0.25">
      <c r="B286" s="23" t="s">
        <v>3231</v>
      </c>
      <c r="C286" s="28" t="s">
        <v>493</v>
      </c>
      <c r="G286" s="159">
        <v>0</v>
      </c>
      <c r="H286" s="159">
        <f t="shared" ref="H286:T286" si="72">H284+H285</f>
        <v>0</v>
      </c>
      <c r="I286" s="159">
        <f t="shared" si="72"/>
        <v>0</v>
      </c>
      <c r="J286" s="159">
        <f t="shared" si="72"/>
        <v>2.715425000783509</v>
      </c>
      <c r="K286" s="159">
        <f t="shared" si="72"/>
        <v>5.0577412594296689</v>
      </c>
      <c r="L286" s="159">
        <f t="shared" si="72"/>
        <v>5.762285120766526</v>
      </c>
      <c r="M286" s="159">
        <f t="shared" si="72"/>
        <v>6.1554358926419095</v>
      </c>
      <c r="N286" s="159">
        <f t="shared" si="72"/>
        <v>6.5704320451712483</v>
      </c>
      <c r="O286" s="159">
        <f t="shared" si="72"/>
        <v>6.9836758193339836</v>
      </c>
      <c r="P286" s="159">
        <f t="shared" si="72"/>
        <v>7.408810389514727</v>
      </c>
      <c r="Q286" s="159">
        <f t="shared" si="72"/>
        <v>7.8156128730900569</v>
      </c>
      <c r="R286" s="159">
        <f t="shared" si="72"/>
        <v>8.249744176843727</v>
      </c>
      <c r="S286" s="159">
        <f t="shared" si="72"/>
        <v>6.6333504815373843</v>
      </c>
      <c r="T286" s="159">
        <f t="shared" si="72"/>
        <v>72.032169120498182</v>
      </c>
    </row>
    <row r="287" spans="2:20" x14ac:dyDescent="0.25">
      <c r="B287" s="23" t="s">
        <v>3232</v>
      </c>
      <c r="C287" s="28" t="s">
        <v>493</v>
      </c>
      <c r="G287" s="159">
        <f>G286</f>
        <v>0</v>
      </c>
      <c r="H287" s="159">
        <f t="shared" ref="H287:T287" si="73">G287+H284</f>
        <v>0</v>
      </c>
      <c r="I287" s="159">
        <f t="shared" si="73"/>
        <v>0</v>
      </c>
      <c r="J287" s="159">
        <f t="shared" si="73"/>
        <v>2.715425000783509</v>
      </c>
      <c r="K287" s="159">
        <f t="shared" si="73"/>
        <v>7.7731662602131779</v>
      </c>
      <c r="L287" s="159">
        <f t="shared" si="73"/>
        <v>13.535451380979705</v>
      </c>
      <c r="M287" s="159">
        <f t="shared" si="73"/>
        <v>19.690887273621613</v>
      </c>
      <c r="N287" s="159">
        <f t="shared" si="73"/>
        <v>26.261319318792861</v>
      </c>
      <c r="O287" s="159">
        <f t="shared" si="73"/>
        <v>33.244995138126846</v>
      </c>
      <c r="P287" s="159">
        <f t="shared" si="73"/>
        <v>40.653805527641573</v>
      </c>
      <c r="Q287" s="159">
        <f t="shared" si="73"/>
        <v>48.469418400731627</v>
      </c>
      <c r="R287" s="159">
        <f t="shared" si="73"/>
        <v>56.719162577575354</v>
      </c>
      <c r="S287" s="159">
        <f t="shared" si="73"/>
        <v>63.352513059112738</v>
      </c>
      <c r="T287" s="159">
        <f t="shared" si="73"/>
        <v>69.066945551221622</v>
      </c>
    </row>
    <row r="288" spans="2:20" x14ac:dyDescent="0.25">
      <c r="B288" s="154" t="s">
        <v>3251</v>
      </c>
    </row>
    <row r="289" spans="2:20" x14ac:dyDescent="0.25">
      <c r="B289" s="23" t="s">
        <v>3221</v>
      </c>
      <c r="C289" s="28" t="s">
        <v>493</v>
      </c>
      <c r="H289" s="29">
        <f>'Cost Calculation'!H178</f>
        <v>0</v>
      </c>
      <c r="I289" s="29">
        <f>'Cost Calculation'!I178</f>
        <v>0</v>
      </c>
      <c r="J289" s="29">
        <f>'Cost Calculation'!J178</f>
        <v>0</v>
      </c>
      <c r="K289" s="29">
        <f>'Cost Calculation'!K178</f>
        <v>0</v>
      </c>
      <c r="L289" s="29">
        <f>'Cost Calculation'!L178</f>
        <v>0</v>
      </c>
      <c r="M289" s="29">
        <f>'Cost Calculation'!M178</f>
        <v>0</v>
      </c>
      <c r="N289" s="29">
        <f>'Cost Calculation'!N178</f>
        <v>0</v>
      </c>
      <c r="O289" s="29">
        <f>'Cost Calculation'!O178</f>
        <v>0</v>
      </c>
      <c r="P289" s="29">
        <f>'Cost Calculation'!P178</f>
        <v>0</v>
      </c>
      <c r="Q289" s="29">
        <f>'Cost Calculation'!Q178</f>
        <v>0</v>
      </c>
      <c r="R289" s="29">
        <f>'Cost Calculation'!R178</f>
        <v>0</v>
      </c>
      <c r="S289" s="29">
        <f>'Cost Calculation'!S178</f>
        <v>0</v>
      </c>
      <c r="T289" s="29">
        <f>'Cost Calculation'!T178</f>
        <v>0</v>
      </c>
    </row>
    <row r="290" spans="2:20" x14ac:dyDescent="0.25">
      <c r="B290" s="23" t="s">
        <v>3222</v>
      </c>
      <c r="C290" s="28" t="s">
        <v>493</v>
      </c>
      <c r="H290" s="159">
        <f>'Cost Calculation'!H178-'Capex &amp; Depreciation'!H249</f>
        <v>0</v>
      </c>
      <c r="I290" s="159">
        <f>'Cost Calculation'!I178-'Capex &amp; Depreciation'!I249</f>
        <v>0</v>
      </c>
      <c r="J290" s="159">
        <f>'Cost Calculation'!J178-'Capex &amp; Depreciation'!J249</f>
        <v>0</v>
      </c>
      <c r="K290" s="159">
        <f>'Cost Calculation'!K178-'Capex &amp; Depreciation'!K249</f>
        <v>0</v>
      </c>
      <c r="L290" s="159">
        <f>'Cost Calculation'!L178-'Capex &amp; Depreciation'!L249</f>
        <v>0</v>
      </c>
      <c r="M290" s="159">
        <f>'Cost Calculation'!M178-'Capex &amp; Depreciation'!M249</f>
        <v>0</v>
      </c>
      <c r="N290" s="159">
        <f>'Cost Calculation'!N178-'Capex &amp; Depreciation'!N249</f>
        <v>0</v>
      </c>
      <c r="O290" s="159">
        <f>'Cost Calculation'!O178-'Capex &amp; Depreciation'!O249</f>
        <v>0</v>
      </c>
      <c r="P290" s="159">
        <f>'Cost Calculation'!P178-'Capex &amp; Depreciation'!P249</f>
        <v>0</v>
      </c>
      <c r="Q290" s="159">
        <f>'Cost Calculation'!Q178-'Capex &amp; Depreciation'!Q249</f>
        <v>0</v>
      </c>
      <c r="R290" s="159">
        <f>'Cost Calculation'!R178-'Capex &amp; Depreciation'!R249</f>
        <v>0</v>
      </c>
      <c r="S290" s="159">
        <f>'Cost Calculation'!S178-'Capex &amp; Depreciation'!S249</f>
        <v>0</v>
      </c>
      <c r="T290" s="159">
        <f>'Cost Calculation'!T178-'Capex &amp; Depreciation'!T249</f>
        <v>0</v>
      </c>
    </row>
    <row r="291" spans="2:20" x14ac:dyDescent="0.25">
      <c r="B291" s="23" t="s">
        <v>3223</v>
      </c>
      <c r="C291" s="28" t="s">
        <v>493</v>
      </c>
      <c r="H291" s="159">
        <f>0</f>
        <v>0</v>
      </c>
      <c r="I291" s="159">
        <f>0</f>
        <v>0</v>
      </c>
      <c r="J291" s="159">
        <f>0</f>
        <v>0</v>
      </c>
      <c r="K291" s="159">
        <f>0</f>
        <v>0</v>
      </c>
      <c r="L291" s="159">
        <f>0</f>
        <v>0</v>
      </c>
      <c r="M291" s="159">
        <f>0</f>
        <v>0</v>
      </c>
      <c r="N291" s="159">
        <f>0</f>
        <v>0</v>
      </c>
      <c r="O291" s="159">
        <f>0</f>
        <v>0</v>
      </c>
      <c r="P291" s="159">
        <f>0</f>
        <v>0</v>
      </c>
      <c r="Q291" s="159">
        <f>0</f>
        <v>0</v>
      </c>
      <c r="R291" s="159">
        <f>0</f>
        <v>0</v>
      </c>
      <c r="S291" s="159">
        <f>0</f>
        <v>0</v>
      </c>
      <c r="T291" s="159">
        <f>0</f>
        <v>0</v>
      </c>
    </row>
    <row r="292" spans="2:20" x14ac:dyDescent="0.25">
      <c r="B292" s="23" t="s">
        <v>3224</v>
      </c>
      <c r="C292" s="28" t="s">
        <v>493</v>
      </c>
      <c r="H292" s="159">
        <f>Inputs!H522*MAX(0,H290-H291)</f>
        <v>0</v>
      </c>
      <c r="I292" s="159">
        <f>Inputs!I522*MAX(0,I290-I291)</f>
        <v>0</v>
      </c>
      <c r="J292" s="159">
        <f>Inputs!J522*MAX(0,J290-J291)</f>
        <v>0</v>
      </c>
      <c r="K292" s="159">
        <f>Inputs!K522*MAX(0,K290-K291)</f>
        <v>0</v>
      </c>
      <c r="L292" s="159">
        <f>Inputs!L522*MAX(0,L290-L291)</f>
        <v>0</v>
      </c>
      <c r="M292" s="159">
        <f>Inputs!M522*MAX(0,M290-M291)</f>
        <v>0</v>
      </c>
      <c r="N292" s="159">
        <f>Inputs!N522*MAX(0,N290-N291)</f>
        <v>0</v>
      </c>
      <c r="O292" s="159">
        <f>Inputs!O522*MAX(0,O290-O291)</f>
        <v>0</v>
      </c>
      <c r="P292" s="159">
        <f>Inputs!P522*MAX(0,P290-P291)</f>
        <v>0</v>
      </c>
      <c r="Q292" s="159">
        <f>Inputs!Q522*MAX(0,Q290-Q291)</f>
        <v>0</v>
      </c>
      <c r="R292" s="159">
        <f>Inputs!R522*MAX(0,R290-R291)</f>
        <v>0</v>
      </c>
      <c r="S292" s="159">
        <f>Inputs!S522*MAX(0,S290-S291)</f>
        <v>0</v>
      </c>
      <c r="T292" s="159">
        <f>Inputs!T522*MAX(0,T290-T291)</f>
        <v>0</v>
      </c>
    </row>
    <row r="293" spans="2:20" x14ac:dyDescent="0.25">
      <c r="B293" s="23" t="s">
        <v>3225</v>
      </c>
      <c r="C293" s="28" t="s">
        <v>493</v>
      </c>
      <c r="H293" s="159">
        <f t="shared" ref="H293:T293" si="74">H290-H291-H292</f>
        <v>0</v>
      </c>
      <c r="I293" s="159">
        <f t="shared" si="74"/>
        <v>0</v>
      </c>
      <c r="J293" s="159">
        <f t="shared" si="74"/>
        <v>0</v>
      </c>
      <c r="K293" s="159">
        <f t="shared" si="74"/>
        <v>0</v>
      </c>
      <c r="L293" s="159">
        <f t="shared" si="74"/>
        <v>0</v>
      </c>
      <c r="M293" s="159">
        <f t="shared" si="74"/>
        <v>0</v>
      </c>
      <c r="N293" s="159">
        <f t="shared" si="74"/>
        <v>0</v>
      </c>
      <c r="O293" s="159">
        <f t="shared" si="74"/>
        <v>0</v>
      </c>
      <c r="P293" s="159">
        <f t="shared" si="74"/>
        <v>0</v>
      </c>
      <c r="Q293" s="159">
        <f t="shared" si="74"/>
        <v>0</v>
      </c>
      <c r="R293" s="159">
        <f t="shared" si="74"/>
        <v>0</v>
      </c>
      <c r="S293" s="159">
        <f t="shared" si="74"/>
        <v>0</v>
      </c>
      <c r="T293" s="159">
        <f t="shared" si="74"/>
        <v>0</v>
      </c>
    </row>
    <row r="294" spans="2:20" x14ac:dyDescent="0.25">
      <c r="B294" s="23" t="s">
        <v>3226</v>
      </c>
      <c r="C294" s="28" t="s">
        <v>493</v>
      </c>
      <c r="H294" s="159">
        <f>-Inputs!H522*MAX(0,H290)</f>
        <v>0</v>
      </c>
      <c r="I294" s="159">
        <f>-Inputs!I522*MAX(0,I290)</f>
        <v>0</v>
      </c>
      <c r="J294" s="159">
        <f>-Inputs!J522*MAX(0,J290)</f>
        <v>0</v>
      </c>
      <c r="K294" s="159">
        <f>-Inputs!K522*MAX(0,K290)</f>
        <v>0</v>
      </c>
      <c r="L294" s="159">
        <f>-Inputs!L522*MAX(0,L290)</f>
        <v>0</v>
      </c>
      <c r="M294" s="159">
        <f>-Inputs!M522*MAX(0,M290)</f>
        <v>0</v>
      </c>
      <c r="N294" s="159">
        <f>-Inputs!N522*MAX(0,N290)</f>
        <v>0</v>
      </c>
      <c r="O294" s="159">
        <f>-Inputs!O522*MAX(0,O290)</f>
        <v>0</v>
      </c>
      <c r="P294" s="159">
        <f>-Inputs!P522*MAX(0,P290)</f>
        <v>0</v>
      </c>
      <c r="Q294" s="159">
        <f>-Inputs!Q522*MAX(0,Q290)</f>
        <v>0</v>
      </c>
      <c r="R294" s="159">
        <f>-Inputs!R522*MAX(0,R290)</f>
        <v>0</v>
      </c>
      <c r="S294" s="159">
        <f>-Inputs!S522*MAX(0,S290)</f>
        <v>0</v>
      </c>
      <c r="T294" s="159">
        <f>-Inputs!T522*MAX(0,T290)</f>
        <v>0</v>
      </c>
    </row>
    <row r="295" spans="2:20" x14ac:dyDescent="0.25">
      <c r="B295" s="23" t="s">
        <v>3227</v>
      </c>
      <c r="C295" s="28" t="s">
        <v>493</v>
      </c>
      <c r="H295" s="159">
        <f>-'Capex &amp; Depreciation'!H276</f>
        <v>0</v>
      </c>
      <c r="I295" s="159">
        <f>-'Capex &amp; Depreciation'!I276</f>
        <v>0</v>
      </c>
      <c r="J295" s="159">
        <f>-'Capex &amp; Depreciation'!J276</f>
        <v>0</v>
      </c>
      <c r="K295" s="159">
        <f>-'Capex &amp; Depreciation'!K276</f>
        <v>0</v>
      </c>
      <c r="L295" s="159">
        <f>-'Capex &amp; Depreciation'!L276</f>
        <v>0</v>
      </c>
      <c r="M295" s="159">
        <f>-'Capex &amp; Depreciation'!M276</f>
        <v>0</v>
      </c>
      <c r="N295" s="159">
        <f>-'Capex &amp; Depreciation'!N276</f>
        <v>0</v>
      </c>
      <c r="O295" s="159">
        <f>-'Capex &amp; Depreciation'!O276</f>
        <v>0</v>
      </c>
      <c r="P295" s="159">
        <f>-'Capex &amp; Depreciation'!P276</f>
        <v>0</v>
      </c>
      <c r="Q295" s="159">
        <f>-'Capex &amp; Depreciation'!Q276</f>
        <v>0</v>
      </c>
      <c r="R295" s="159">
        <f>-'Capex &amp; Depreciation'!R276</f>
        <v>0</v>
      </c>
      <c r="S295" s="159">
        <f>-'Capex &amp; Depreciation'!S276</f>
        <v>0</v>
      </c>
      <c r="T295" s="159">
        <f>-'Capex &amp; Depreciation'!T276</f>
        <v>0</v>
      </c>
    </row>
    <row r="296" spans="2:20" x14ac:dyDescent="0.25">
      <c r="B296" s="23" t="s">
        <v>3228</v>
      </c>
      <c r="C296" s="28" t="s">
        <v>493</v>
      </c>
      <c r="H296" s="159">
        <f>-('Working Capital'!H87-'Working Capital'!G87)</f>
        <v>0</v>
      </c>
      <c r="I296" s="159">
        <f>-('Working Capital'!I87-'Working Capital'!H87)</f>
        <v>0</v>
      </c>
      <c r="J296" s="159">
        <f>-('Working Capital'!J87-'Working Capital'!I87)</f>
        <v>0</v>
      </c>
      <c r="K296" s="159">
        <f>-('Working Capital'!K87-'Working Capital'!J87)</f>
        <v>0</v>
      </c>
      <c r="L296" s="159">
        <f>-('Working Capital'!L87-'Working Capital'!K87)</f>
        <v>0</v>
      </c>
      <c r="M296" s="159">
        <f>-('Working Capital'!M87-'Working Capital'!L87)</f>
        <v>0</v>
      </c>
      <c r="N296" s="159">
        <f>-('Working Capital'!N87-'Working Capital'!M87)</f>
        <v>0</v>
      </c>
      <c r="O296" s="159">
        <f>-('Working Capital'!O87-'Working Capital'!N87)</f>
        <v>0</v>
      </c>
      <c r="P296" s="159">
        <f>-('Working Capital'!P87-'Working Capital'!O87)</f>
        <v>0</v>
      </c>
      <c r="Q296" s="159">
        <f>-('Working Capital'!Q87-'Working Capital'!P87)</f>
        <v>0</v>
      </c>
      <c r="R296" s="159">
        <f>-('Working Capital'!R87-'Working Capital'!Q87)</f>
        <v>0</v>
      </c>
      <c r="S296" s="159">
        <f>-('Working Capital'!S87-'Working Capital'!R87)</f>
        <v>0</v>
      </c>
      <c r="T296" s="159">
        <f>-('Working Capital'!T87-'Working Capital'!S87)</f>
        <v>0</v>
      </c>
    </row>
    <row r="297" spans="2:20" ht="26.25" customHeight="1" x14ac:dyDescent="0.25">
      <c r="B297" s="133" t="s">
        <v>3229</v>
      </c>
      <c r="C297" s="28" t="s">
        <v>493</v>
      </c>
      <c r="H297" s="160">
        <f t="shared" ref="H297:T297" si="75">H289+H294+H295+H296</f>
        <v>0</v>
      </c>
      <c r="I297" s="160">
        <f t="shared" si="75"/>
        <v>0</v>
      </c>
      <c r="J297" s="160">
        <f t="shared" si="75"/>
        <v>0</v>
      </c>
      <c r="K297" s="160">
        <f t="shared" si="75"/>
        <v>0</v>
      </c>
      <c r="L297" s="160">
        <f t="shared" si="75"/>
        <v>0</v>
      </c>
      <c r="M297" s="160">
        <f t="shared" si="75"/>
        <v>0</v>
      </c>
      <c r="N297" s="160">
        <f t="shared" si="75"/>
        <v>0</v>
      </c>
      <c r="O297" s="160">
        <f t="shared" si="75"/>
        <v>0</v>
      </c>
      <c r="P297" s="160">
        <f t="shared" si="75"/>
        <v>0</v>
      </c>
      <c r="Q297" s="160">
        <f t="shared" si="75"/>
        <v>0</v>
      </c>
      <c r="R297" s="160">
        <f t="shared" si="75"/>
        <v>0</v>
      </c>
      <c r="S297" s="160">
        <f t="shared" si="75"/>
        <v>0</v>
      </c>
      <c r="T297" s="160">
        <f t="shared" si="75"/>
        <v>0</v>
      </c>
    </row>
    <row r="298" spans="2:20" x14ac:dyDescent="0.25">
      <c r="B298" s="23" t="s">
        <v>3230</v>
      </c>
      <c r="C298" s="28" t="s">
        <v>493</v>
      </c>
      <c r="E298" s="159">
        <f>'Cost Calculation'!T178-MAX(0,Inputs!$E$554*('Cost Calculation'!T178-Inputs!$E$550*'Revenue Calculation'!T157))-Inputs!$E$550*'Revenue Calculation'!T157</f>
        <v>0</v>
      </c>
      <c r="F298" s="29">
        <f>'Working Capital'!T87</f>
        <v>0</v>
      </c>
      <c r="H298" s="159">
        <f>IF('Revenue Calculation'!H7=2036,IF(Inputs!$E$558&gt;Inputs!$E$559,((1+Inputs!$E$559)*$E$298-Inputs!$E$559*$F$298)/(Inputs!$E$558-Inputs!$E$559),0),0)</f>
        <v>0</v>
      </c>
      <c r="I298" s="159">
        <f>IF('Revenue Calculation'!I7=2036,IF(Inputs!$E$558&gt;Inputs!$E$559,((1+Inputs!$E$559)*$E$298-Inputs!$E$559*$F$298)/(Inputs!$E$558-Inputs!$E$559),0),0)</f>
        <v>0</v>
      </c>
      <c r="J298" s="159">
        <f>IF('Revenue Calculation'!J7=2036,IF(Inputs!$E$558&gt;Inputs!$E$559,((1+Inputs!$E$559)*$E$298-Inputs!$E$559*$F$298)/(Inputs!$E$558-Inputs!$E$559),0),0)</f>
        <v>0</v>
      </c>
      <c r="K298" s="159">
        <f>IF('Revenue Calculation'!K7=2036,IF(Inputs!$E$558&gt;Inputs!$E$559,((1+Inputs!$E$559)*$E$298-Inputs!$E$559*$F$298)/(Inputs!$E$558-Inputs!$E$559),0),0)</f>
        <v>0</v>
      </c>
      <c r="L298" s="159">
        <f>IF('Revenue Calculation'!L7=2036,IF(Inputs!$E$558&gt;Inputs!$E$559,((1+Inputs!$E$559)*$E$298-Inputs!$E$559*$F$298)/(Inputs!$E$558-Inputs!$E$559),0),0)</f>
        <v>0</v>
      </c>
      <c r="M298" s="159">
        <f>IF('Revenue Calculation'!M7=2036,IF(Inputs!$E$558&gt;Inputs!$E$559,((1+Inputs!$E$559)*$E$298-Inputs!$E$559*$F$298)/(Inputs!$E$558-Inputs!$E$559),0),0)</f>
        <v>0</v>
      </c>
      <c r="N298" s="159">
        <f>IF('Revenue Calculation'!N7=2036,IF(Inputs!$E$558&gt;Inputs!$E$559,((1+Inputs!$E$559)*$E$298-Inputs!$E$559*$F$298)/(Inputs!$E$558-Inputs!$E$559),0),0)</f>
        <v>0</v>
      </c>
      <c r="O298" s="159">
        <f>IF('Revenue Calculation'!O7=2036,IF(Inputs!$E$558&gt;Inputs!$E$559,((1+Inputs!$E$559)*$E$298-Inputs!$E$559*$F$298)/(Inputs!$E$558-Inputs!$E$559),0),0)</f>
        <v>0</v>
      </c>
      <c r="P298" s="159">
        <f>IF('Revenue Calculation'!P7=2036,IF(Inputs!$E$558&gt;Inputs!$E$559,((1+Inputs!$E$559)*$E$298-Inputs!$E$559*$F$298)/(Inputs!$E$558-Inputs!$E$559),0),0)</f>
        <v>0</v>
      </c>
      <c r="Q298" s="159">
        <f>IF('Revenue Calculation'!Q7=2036,IF(Inputs!$E$558&gt;Inputs!$E$559,((1+Inputs!$E$559)*$E$298-Inputs!$E$559*$F$298)/(Inputs!$E$558-Inputs!$E$559),0),0)</f>
        <v>0</v>
      </c>
      <c r="R298" s="159">
        <f>IF('Revenue Calculation'!R7=2036,IF(Inputs!$E$558&gt;Inputs!$E$559,((1+Inputs!$E$559)*$E$298-Inputs!$E$559*$F$298)/(Inputs!$E$558-Inputs!$E$559),0),0)</f>
        <v>0</v>
      </c>
      <c r="S298" s="159">
        <f>IF('Revenue Calculation'!S7=2036,IF(Inputs!$E$558&gt;Inputs!$E$559,((1+Inputs!$E$559)*$E$298-Inputs!$E$559*$F$298)/(Inputs!$E$558-Inputs!$E$559),0),0)</f>
        <v>0</v>
      </c>
      <c r="T298" s="159">
        <f>IF('Revenue Calculation'!T7=2036,IF(Inputs!$E$558&gt;Inputs!$E$559,((1+Inputs!$E$559)*$E$298-Inputs!$E$559*$F$298)/(Inputs!$E$558-Inputs!$E$559),0),0)</f>
        <v>0</v>
      </c>
    </row>
    <row r="299" spans="2:20" x14ac:dyDescent="0.25">
      <c r="B299" s="23" t="s">
        <v>3231</v>
      </c>
      <c r="C299" s="28" t="s">
        <v>493</v>
      </c>
      <c r="G299" s="159">
        <v>0</v>
      </c>
      <c r="H299" s="159">
        <f t="shared" ref="H299:T299" si="76">H297+H298</f>
        <v>0</v>
      </c>
      <c r="I299" s="159">
        <f t="shared" si="76"/>
        <v>0</v>
      </c>
      <c r="J299" s="159">
        <f t="shared" si="76"/>
        <v>0</v>
      </c>
      <c r="K299" s="159">
        <f t="shared" si="76"/>
        <v>0</v>
      </c>
      <c r="L299" s="159">
        <f t="shared" si="76"/>
        <v>0</v>
      </c>
      <c r="M299" s="159">
        <f t="shared" si="76"/>
        <v>0</v>
      </c>
      <c r="N299" s="159">
        <f t="shared" si="76"/>
        <v>0</v>
      </c>
      <c r="O299" s="159">
        <f t="shared" si="76"/>
        <v>0</v>
      </c>
      <c r="P299" s="159">
        <f t="shared" si="76"/>
        <v>0</v>
      </c>
      <c r="Q299" s="159">
        <f t="shared" si="76"/>
        <v>0</v>
      </c>
      <c r="R299" s="159">
        <f t="shared" si="76"/>
        <v>0</v>
      </c>
      <c r="S299" s="159">
        <f t="shared" si="76"/>
        <v>0</v>
      </c>
      <c r="T299" s="159">
        <f t="shared" si="76"/>
        <v>0</v>
      </c>
    </row>
    <row r="300" spans="2:20" x14ac:dyDescent="0.25">
      <c r="B300" s="23" t="s">
        <v>3232</v>
      </c>
      <c r="C300" s="28" t="s">
        <v>493</v>
      </c>
      <c r="G300" s="159">
        <f>G299</f>
        <v>0</v>
      </c>
      <c r="H300" s="159">
        <f t="shared" ref="H300:T300" si="77">G300+H297</f>
        <v>0</v>
      </c>
      <c r="I300" s="159">
        <f t="shared" si="77"/>
        <v>0</v>
      </c>
      <c r="J300" s="159">
        <f t="shared" si="77"/>
        <v>0</v>
      </c>
      <c r="K300" s="159">
        <f t="shared" si="77"/>
        <v>0</v>
      </c>
      <c r="L300" s="159">
        <f t="shared" si="77"/>
        <v>0</v>
      </c>
      <c r="M300" s="159">
        <f t="shared" si="77"/>
        <v>0</v>
      </c>
      <c r="N300" s="159">
        <f t="shared" si="77"/>
        <v>0</v>
      </c>
      <c r="O300" s="159">
        <f t="shared" si="77"/>
        <v>0</v>
      </c>
      <c r="P300" s="159">
        <f t="shared" si="77"/>
        <v>0</v>
      </c>
      <c r="Q300" s="159">
        <f t="shared" si="77"/>
        <v>0</v>
      </c>
      <c r="R300" s="159">
        <f t="shared" si="77"/>
        <v>0</v>
      </c>
      <c r="S300" s="159">
        <f t="shared" si="77"/>
        <v>0</v>
      </c>
      <c r="T300" s="159">
        <f t="shared" si="77"/>
        <v>0</v>
      </c>
    </row>
    <row r="301" spans="2:20" x14ac:dyDescent="0.25">
      <c r="B301" s="154" t="str">
        <f>"P16  "&amp;Inputs!$E$605&amp;"   [Placeholder]"</f>
        <v>P16  Lampung   [Placeholder]</v>
      </c>
    </row>
    <row r="302" spans="2:20" x14ac:dyDescent="0.25">
      <c r="B302" s="23" t="s">
        <v>3221</v>
      </c>
      <c r="C302" s="28" t="s">
        <v>493</v>
      </c>
      <c r="H302" s="29">
        <f>'Cost Calculation'!H186</f>
        <v>0</v>
      </c>
      <c r="I302" s="29">
        <f>'Cost Calculation'!I186</f>
        <v>0</v>
      </c>
      <c r="J302" s="29">
        <f>'Cost Calculation'!J186</f>
        <v>0</v>
      </c>
      <c r="K302" s="29">
        <f>'Cost Calculation'!K186</f>
        <v>0</v>
      </c>
      <c r="L302" s="29">
        <f>'Cost Calculation'!L186</f>
        <v>0</v>
      </c>
      <c r="M302" s="29">
        <f>'Cost Calculation'!M186</f>
        <v>0</v>
      </c>
      <c r="N302" s="29">
        <f>'Cost Calculation'!N186</f>
        <v>0</v>
      </c>
      <c r="O302" s="29">
        <f>'Cost Calculation'!O186</f>
        <v>0</v>
      </c>
      <c r="P302" s="29">
        <f>'Cost Calculation'!P186</f>
        <v>0</v>
      </c>
      <c r="Q302" s="29">
        <f>'Cost Calculation'!Q186</f>
        <v>0</v>
      </c>
      <c r="R302" s="29">
        <f>'Cost Calculation'!R186</f>
        <v>0</v>
      </c>
      <c r="S302" s="29">
        <f>'Cost Calculation'!S186</f>
        <v>0</v>
      </c>
      <c r="T302" s="29">
        <f>'Cost Calculation'!T186</f>
        <v>0</v>
      </c>
    </row>
    <row r="303" spans="2:20" x14ac:dyDescent="0.25">
      <c r="B303" s="23" t="s">
        <v>3222</v>
      </c>
      <c r="C303" s="28" t="s">
        <v>493</v>
      </c>
      <c r="H303" s="159">
        <f>'Cost Calculation'!H186-'Capex &amp; Depreciation'!H250</f>
        <v>0</v>
      </c>
      <c r="I303" s="159">
        <f>'Cost Calculation'!I186-'Capex &amp; Depreciation'!I250</f>
        <v>0</v>
      </c>
      <c r="J303" s="159">
        <f>'Cost Calculation'!J186-'Capex &amp; Depreciation'!J250</f>
        <v>0</v>
      </c>
      <c r="K303" s="159">
        <f>'Cost Calculation'!K186-'Capex &amp; Depreciation'!K250</f>
        <v>0</v>
      </c>
      <c r="L303" s="159">
        <f>'Cost Calculation'!L186-'Capex &amp; Depreciation'!L250</f>
        <v>0</v>
      </c>
      <c r="M303" s="159">
        <f>'Cost Calculation'!M186-'Capex &amp; Depreciation'!M250</f>
        <v>0</v>
      </c>
      <c r="N303" s="159">
        <f>'Cost Calculation'!N186-'Capex &amp; Depreciation'!N250</f>
        <v>0</v>
      </c>
      <c r="O303" s="159">
        <f>'Cost Calculation'!O186-'Capex &amp; Depreciation'!O250</f>
        <v>0</v>
      </c>
      <c r="P303" s="159">
        <f>'Cost Calculation'!P186-'Capex &amp; Depreciation'!P250</f>
        <v>0</v>
      </c>
      <c r="Q303" s="159">
        <f>'Cost Calculation'!Q186-'Capex &amp; Depreciation'!Q250</f>
        <v>0</v>
      </c>
      <c r="R303" s="159">
        <f>'Cost Calculation'!R186-'Capex &amp; Depreciation'!R250</f>
        <v>0</v>
      </c>
      <c r="S303" s="159">
        <f>'Cost Calculation'!S186-'Capex &amp; Depreciation'!S250</f>
        <v>0</v>
      </c>
      <c r="T303" s="159">
        <f>'Cost Calculation'!T186-'Capex &amp; Depreciation'!T250</f>
        <v>0</v>
      </c>
    </row>
    <row r="304" spans="2:20" x14ac:dyDescent="0.25">
      <c r="B304" s="23" t="s">
        <v>3223</v>
      </c>
      <c r="C304" s="28" t="s">
        <v>493</v>
      </c>
      <c r="H304" s="159">
        <f>0</f>
        <v>0</v>
      </c>
      <c r="I304" s="159">
        <f>0</f>
        <v>0</v>
      </c>
      <c r="J304" s="159">
        <f>0</f>
        <v>0</v>
      </c>
      <c r="K304" s="159">
        <f>0</f>
        <v>0</v>
      </c>
      <c r="L304" s="159">
        <f>0</f>
        <v>0</v>
      </c>
      <c r="M304" s="159">
        <f>0</f>
        <v>0</v>
      </c>
      <c r="N304" s="159">
        <f>0</f>
        <v>0</v>
      </c>
      <c r="O304" s="159">
        <f>0</f>
        <v>0</v>
      </c>
      <c r="P304" s="159">
        <f>0</f>
        <v>0</v>
      </c>
      <c r="Q304" s="159">
        <f>0</f>
        <v>0</v>
      </c>
      <c r="R304" s="159">
        <f>0</f>
        <v>0</v>
      </c>
      <c r="S304" s="159">
        <f>0</f>
        <v>0</v>
      </c>
      <c r="T304" s="159">
        <f>0</f>
        <v>0</v>
      </c>
    </row>
    <row r="305" spans="2:20" x14ac:dyDescent="0.25">
      <c r="B305" s="23" t="s">
        <v>3224</v>
      </c>
      <c r="C305" s="28" t="s">
        <v>493</v>
      </c>
      <c r="H305" s="159">
        <f>Inputs!H522*MAX(0,H303-H304)</f>
        <v>0</v>
      </c>
      <c r="I305" s="159">
        <f>Inputs!I522*MAX(0,I303-I304)</f>
        <v>0</v>
      </c>
      <c r="J305" s="159">
        <f>Inputs!J522*MAX(0,J303-J304)</f>
        <v>0</v>
      </c>
      <c r="K305" s="159">
        <f>Inputs!K522*MAX(0,K303-K304)</f>
        <v>0</v>
      </c>
      <c r="L305" s="159">
        <f>Inputs!L522*MAX(0,L303-L304)</f>
        <v>0</v>
      </c>
      <c r="M305" s="159">
        <f>Inputs!M522*MAX(0,M303-M304)</f>
        <v>0</v>
      </c>
      <c r="N305" s="159">
        <f>Inputs!N522*MAX(0,N303-N304)</f>
        <v>0</v>
      </c>
      <c r="O305" s="159">
        <f>Inputs!O522*MAX(0,O303-O304)</f>
        <v>0</v>
      </c>
      <c r="P305" s="159">
        <f>Inputs!P522*MAX(0,P303-P304)</f>
        <v>0</v>
      </c>
      <c r="Q305" s="159">
        <f>Inputs!Q522*MAX(0,Q303-Q304)</f>
        <v>0</v>
      </c>
      <c r="R305" s="159">
        <f>Inputs!R522*MAX(0,R303-R304)</f>
        <v>0</v>
      </c>
      <c r="S305" s="159">
        <f>Inputs!S522*MAX(0,S303-S304)</f>
        <v>0</v>
      </c>
      <c r="T305" s="159">
        <f>Inputs!T522*MAX(0,T303-T304)</f>
        <v>0</v>
      </c>
    </row>
    <row r="306" spans="2:20" x14ac:dyDescent="0.25">
      <c r="B306" s="23" t="s">
        <v>3225</v>
      </c>
      <c r="C306" s="28" t="s">
        <v>493</v>
      </c>
      <c r="H306" s="159">
        <f t="shared" ref="H306:T306" si="78">H303-H304-H305</f>
        <v>0</v>
      </c>
      <c r="I306" s="159">
        <f t="shared" si="78"/>
        <v>0</v>
      </c>
      <c r="J306" s="159">
        <f t="shared" si="78"/>
        <v>0</v>
      </c>
      <c r="K306" s="159">
        <f t="shared" si="78"/>
        <v>0</v>
      </c>
      <c r="L306" s="159">
        <f t="shared" si="78"/>
        <v>0</v>
      </c>
      <c r="M306" s="159">
        <f t="shared" si="78"/>
        <v>0</v>
      </c>
      <c r="N306" s="159">
        <f t="shared" si="78"/>
        <v>0</v>
      </c>
      <c r="O306" s="159">
        <f t="shared" si="78"/>
        <v>0</v>
      </c>
      <c r="P306" s="159">
        <f t="shared" si="78"/>
        <v>0</v>
      </c>
      <c r="Q306" s="159">
        <f t="shared" si="78"/>
        <v>0</v>
      </c>
      <c r="R306" s="159">
        <f t="shared" si="78"/>
        <v>0</v>
      </c>
      <c r="S306" s="159">
        <f t="shared" si="78"/>
        <v>0</v>
      </c>
      <c r="T306" s="159">
        <f t="shared" si="78"/>
        <v>0</v>
      </c>
    </row>
    <row r="307" spans="2:20" x14ac:dyDescent="0.25">
      <c r="B307" s="23" t="s">
        <v>3226</v>
      </c>
      <c r="C307" s="28" t="s">
        <v>493</v>
      </c>
      <c r="H307" s="159">
        <f>-Inputs!H522*MAX(0,H303)</f>
        <v>0</v>
      </c>
      <c r="I307" s="159">
        <f>-Inputs!I522*MAX(0,I303)</f>
        <v>0</v>
      </c>
      <c r="J307" s="159">
        <f>-Inputs!J522*MAX(0,J303)</f>
        <v>0</v>
      </c>
      <c r="K307" s="159">
        <f>-Inputs!K522*MAX(0,K303)</f>
        <v>0</v>
      </c>
      <c r="L307" s="159">
        <f>-Inputs!L522*MAX(0,L303)</f>
        <v>0</v>
      </c>
      <c r="M307" s="159">
        <f>-Inputs!M522*MAX(0,M303)</f>
        <v>0</v>
      </c>
      <c r="N307" s="159">
        <f>-Inputs!N522*MAX(0,N303)</f>
        <v>0</v>
      </c>
      <c r="O307" s="159">
        <f>-Inputs!O522*MAX(0,O303)</f>
        <v>0</v>
      </c>
      <c r="P307" s="159">
        <f>-Inputs!P522*MAX(0,P303)</f>
        <v>0</v>
      </c>
      <c r="Q307" s="159">
        <f>-Inputs!Q522*MAX(0,Q303)</f>
        <v>0</v>
      </c>
      <c r="R307" s="159">
        <f>-Inputs!R522*MAX(0,R303)</f>
        <v>0</v>
      </c>
      <c r="S307" s="159">
        <f>-Inputs!S522*MAX(0,S303)</f>
        <v>0</v>
      </c>
      <c r="T307" s="159">
        <f>-Inputs!T522*MAX(0,T303)</f>
        <v>0</v>
      </c>
    </row>
    <row r="308" spans="2:20" x14ac:dyDescent="0.25">
      <c r="B308" s="23" t="s">
        <v>3227</v>
      </c>
      <c r="C308" s="28" t="s">
        <v>493</v>
      </c>
      <c r="H308" s="159">
        <f>-'Capex &amp; Depreciation'!H277</f>
        <v>0</v>
      </c>
      <c r="I308" s="159">
        <f>-'Capex &amp; Depreciation'!I277</f>
        <v>0</v>
      </c>
      <c r="J308" s="159">
        <f>-'Capex &amp; Depreciation'!J277</f>
        <v>0</v>
      </c>
      <c r="K308" s="159">
        <f>-'Capex &amp; Depreciation'!K277</f>
        <v>0</v>
      </c>
      <c r="L308" s="159">
        <f>-'Capex &amp; Depreciation'!L277</f>
        <v>0</v>
      </c>
      <c r="M308" s="159">
        <f>-'Capex &amp; Depreciation'!M277</f>
        <v>0</v>
      </c>
      <c r="N308" s="159">
        <f>-'Capex &amp; Depreciation'!N277</f>
        <v>0</v>
      </c>
      <c r="O308" s="159">
        <f>-'Capex &amp; Depreciation'!O277</f>
        <v>0</v>
      </c>
      <c r="P308" s="159">
        <f>-'Capex &amp; Depreciation'!P277</f>
        <v>0</v>
      </c>
      <c r="Q308" s="159">
        <f>-'Capex &amp; Depreciation'!Q277</f>
        <v>0</v>
      </c>
      <c r="R308" s="159">
        <f>-'Capex &amp; Depreciation'!R277</f>
        <v>0</v>
      </c>
      <c r="S308" s="159">
        <f>-'Capex &amp; Depreciation'!S277</f>
        <v>0</v>
      </c>
      <c r="T308" s="159">
        <f>-'Capex &amp; Depreciation'!T277</f>
        <v>0</v>
      </c>
    </row>
    <row r="309" spans="2:20" x14ac:dyDescent="0.25">
      <c r="B309" s="23" t="s">
        <v>3228</v>
      </c>
      <c r="C309" s="28" t="s">
        <v>493</v>
      </c>
      <c r="H309" s="159">
        <f>-('Working Capital'!H91-'Working Capital'!G91)</f>
        <v>0</v>
      </c>
      <c r="I309" s="159">
        <f>-('Working Capital'!I91-'Working Capital'!H91)</f>
        <v>0</v>
      </c>
      <c r="J309" s="159">
        <f>-('Working Capital'!J91-'Working Capital'!I91)</f>
        <v>0</v>
      </c>
      <c r="K309" s="159">
        <f>-('Working Capital'!K91-'Working Capital'!J91)</f>
        <v>0</v>
      </c>
      <c r="L309" s="159">
        <f>-('Working Capital'!L91-'Working Capital'!K91)</f>
        <v>0</v>
      </c>
      <c r="M309" s="159">
        <f>-('Working Capital'!M91-'Working Capital'!L91)</f>
        <v>0</v>
      </c>
      <c r="N309" s="159">
        <f>-('Working Capital'!N91-'Working Capital'!M91)</f>
        <v>0</v>
      </c>
      <c r="O309" s="159">
        <f>-('Working Capital'!O91-'Working Capital'!N91)</f>
        <v>0</v>
      </c>
      <c r="P309" s="159">
        <f>-('Working Capital'!P91-'Working Capital'!O91)</f>
        <v>0</v>
      </c>
      <c r="Q309" s="159">
        <f>-('Working Capital'!Q91-'Working Capital'!P91)</f>
        <v>0</v>
      </c>
      <c r="R309" s="159">
        <f>-('Working Capital'!R91-'Working Capital'!Q91)</f>
        <v>0</v>
      </c>
      <c r="S309" s="159">
        <f>-('Working Capital'!S91-'Working Capital'!R91)</f>
        <v>0</v>
      </c>
      <c r="T309" s="159">
        <f>-('Working Capital'!T91-'Working Capital'!S91)</f>
        <v>0</v>
      </c>
    </row>
    <row r="310" spans="2:20" ht="26.25" customHeight="1" x14ac:dyDescent="0.25">
      <c r="B310" s="133" t="s">
        <v>3229</v>
      </c>
      <c r="C310" s="28" t="s">
        <v>493</v>
      </c>
      <c r="H310" s="160">
        <f t="shared" ref="H310:T310" si="79">H302+H307+H308+H309</f>
        <v>0</v>
      </c>
      <c r="I310" s="160">
        <f t="shared" si="79"/>
        <v>0</v>
      </c>
      <c r="J310" s="160">
        <f t="shared" si="79"/>
        <v>0</v>
      </c>
      <c r="K310" s="160">
        <f t="shared" si="79"/>
        <v>0</v>
      </c>
      <c r="L310" s="160">
        <f t="shared" si="79"/>
        <v>0</v>
      </c>
      <c r="M310" s="160">
        <f t="shared" si="79"/>
        <v>0</v>
      </c>
      <c r="N310" s="160">
        <f t="shared" si="79"/>
        <v>0</v>
      </c>
      <c r="O310" s="160">
        <f t="shared" si="79"/>
        <v>0</v>
      </c>
      <c r="P310" s="160">
        <f t="shared" si="79"/>
        <v>0</v>
      </c>
      <c r="Q310" s="160">
        <f t="shared" si="79"/>
        <v>0</v>
      </c>
      <c r="R310" s="160">
        <f t="shared" si="79"/>
        <v>0</v>
      </c>
      <c r="S310" s="160">
        <f t="shared" si="79"/>
        <v>0</v>
      </c>
      <c r="T310" s="160">
        <f t="shared" si="79"/>
        <v>0</v>
      </c>
    </row>
    <row r="311" spans="2:20" x14ac:dyDescent="0.25">
      <c r="B311" s="23" t="s">
        <v>3230</v>
      </c>
      <c r="C311" s="28" t="s">
        <v>493</v>
      </c>
      <c r="E311" s="159">
        <f>'Cost Calculation'!T186-MAX(0,Inputs!$E$554*('Cost Calculation'!T186-Inputs!$E$550*'Revenue Calculation'!T163))-Inputs!$E$550*'Revenue Calculation'!T163</f>
        <v>0</v>
      </c>
      <c r="F311" s="29">
        <f>'Working Capital'!T91</f>
        <v>0</v>
      </c>
      <c r="H311" s="159">
        <f>IF('Revenue Calculation'!H7=2036,IF(Inputs!$E$558&gt;Inputs!$E$559,((1+Inputs!$E$559)*$E$311-Inputs!$E$559*$F$311)/(Inputs!$E$558-Inputs!$E$559),0),0)</f>
        <v>0</v>
      </c>
      <c r="I311" s="159">
        <f>IF('Revenue Calculation'!I7=2036,IF(Inputs!$E$558&gt;Inputs!$E$559,((1+Inputs!$E$559)*$E$311-Inputs!$E$559*$F$311)/(Inputs!$E$558-Inputs!$E$559),0),0)</f>
        <v>0</v>
      </c>
      <c r="J311" s="159">
        <f>IF('Revenue Calculation'!J7=2036,IF(Inputs!$E$558&gt;Inputs!$E$559,((1+Inputs!$E$559)*$E$311-Inputs!$E$559*$F$311)/(Inputs!$E$558-Inputs!$E$559),0),0)</f>
        <v>0</v>
      </c>
      <c r="K311" s="159">
        <f>IF('Revenue Calculation'!K7=2036,IF(Inputs!$E$558&gt;Inputs!$E$559,((1+Inputs!$E$559)*$E$311-Inputs!$E$559*$F$311)/(Inputs!$E$558-Inputs!$E$559),0),0)</f>
        <v>0</v>
      </c>
      <c r="L311" s="159">
        <f>IF('Revenue Calculation'!L7=2036,IF(Inputs!$E$558&gt;Inputs!$E$559,((1+Inputs!$E$559)*$E$311-Inputs!$E$559*$F$311)/(Inputs!$E$558-Inputs!$E$559),0),0)</f>
        <v>0</v>
      </c>
      <c r="M311" s="159">
        <f>IF('Revenue Calculation'!M7=2036,IF(Inputs!$E$558&gt;Inputs!$E$559,((1+Inputs!$E$559)*$E$311-Inputs!$E$559*$F$311)/(Inputs!$E$558-Inputs!$E$559),0),0)</f>
        <v>0</v>
      </c>
      <c r="N311" s="159">
        <f>IF('Revenue Calculation'!N7=2036,IF(Inputs!$E$558&gt;Inputs!$E$559,((1+Inputs!$E$559)*$E$311-Inputs!$E$559*$F$311)/(Inputs!$E$558-Inputs!$E$559),0),0)</f>
        <v>0</v>
      </c>
      <c r="O311" s="159">
        <f>IF('Revenue Calculation'!O7=2036,IF(Inputs!$E$558&gt;Inputs!$E$559,((1+Inputs!$E$559)*$E$311-Inputs!$E$559*$F$311)/(Inputs!$E$558-Inputs!$E$559),0),0)</f>
        <v>0</v>
      </c>
      <c r="P311" s="159">
        <f>IF('Revenue Calculation'!P7=2036,IF(Inputs!$E$558&gt;Inputs!$E$559,((1+Inputs!$E$559)*$E$311-Inputs!$E$559*$F$311)/(Inputs!$E$558-Inputs!$E$559),0),0)</f>
        <v>0</v>
      </c>
      <c r="Q311" s="159">
        <f>IF('Revenue Calculation'!Q7=2036,IF(Inputs!$E$558&gt;Inputs!$E$559,((1+Inputs!$E$559)*$E$311-Inputs!$E$559*$F$311)/(Inputs!$E$558-Inputs!$E$559),0),0)</f>
        <v>0</v>
      </c>
      <c r="R311" s="159">
        <f>IF('Revenue Calculation'!R7=2036,IF(Inputs!$E$558&gt;Inputs!$E$559,((1+Inputs!$E$559)*$E$311-Inputs!$E$559*$F$311)/(Inputs!$E$558-Inputs!$E$559),0),0)</f>
        <v>0</v>
      </c>
      <c r="S311" s="159">
        <f>IF('Revenue Calculation'!S7=2036,IF(Inputs!$E$558&gt;Inputs!$E$559,((1+Inputs!$E$559)*$E$311-Inputs!$E$559*$F$311)/(Inputs!$E$558-Inputs!$E$559),0),0)</f>
        <v>0</v>
      </c>
      <c r="T311" s="159">
        <f>IF('Revenue Calculation'!T7=2036,IF(Inputs!$E$558&gt;Inputs!$E$559,((1+Inputs!$E$559)*$E$311-Inputs!$E$559*$F$311)/(Inputs!$E$558-Inputs!$E$559),0),0)</f>
        <v>0</v>
      </c>
    </row>
    <row r="312" spans="2:20" x14ac:dyDescent="0.25">
      <c r="B312" s="23" t="s">
        <v>3231</v>
      </c>
      <c r="C312" s="28" t="s">
        <v>493</v>
      </c>
      <c r="G312" s="159">
        <v>0</v>
      </c>
      <c r="H312" s="159">
        <f t="shared" ref="H312:T312" si="80">H310+H311</f>
        <v>0</v>
      </c>
      <c r="I312" s="159">
        <f t="shared" si="80"/>
        <v>0</v>
      </c>
      <c r="J312" s="159">
        <f t="shared" si="80"/>
        <v>0</v>
      </c>
      <c r="K312" s="159">
        <f t="shared" si="80"/>
        <v>0</v>
      </c>
      <c r="L312" s="159">
        <f t="shared" si="80"/>
        <v>0</v>
      </c>
      <c r="M312" s="159">
        <f t="shared" si="80"/>
        <v>0</v>
      </c>
      <c r="N312" s="159">
        <f t="shared" si="80"/>
        <v>0</v>
      </c>
      <c r="O312" s="159">
        <f t="shared" si="80"/>
        <v>0</v>
      </c>
      <c r="P312" s="159">
        <f t="shared" si="80"/>
        <v>0</v>
      </c>
      <c r="Q312" s="159">
        <f t="shared" si="80"/>
        <v>0</v>
      </c>
      <c r="R312" s="159">
        <f t="shared" si="80"/>
        <v>0</v>
      </c>
      <c r="S312" s="159">
        <f t="shared" si="80"/>
        <v>0</v>
      </c>
      <c r="T312" s="159">
        <f t="shared" si="80"/>
        <v>0</v>
      </c>
    </row>
    <row r="313" spans="2:20" x14ac:dyDescent="0.25">
      <c r="B313" s="23" t="s">
        <v>3232</v>
      </c>
      <c r="C313" s="28" t="s">
        <v>493</v>
      </c>
      <c r="G313" s="159">
        <f>G312</f>
        <v>0</v>
      </c>
      <c r="H313" s="159">
        <f t="shared" ref="H313:T313" si="81">G313+H310</f>
        <v>0</v>
      </c>
      <c r="I313" s="159">
        <f t="shared" si="81"/>
        <v>0</v>
      </c>
      <c r="J313" s="159">
        <f t="shared" si="81"/>
        <v>0</v>
      </c>
      <c r="K313" s="159">
        <f t="shared" si="81"/>
        <v>0</v>
      </c>
      <c r="L313" s="159">
        <f t="shared" si="81"/>
        <v>0</v>
      </c>
      <c r="M313" s="159">
        <f t="shared" si="81"/>
        <v>0</v>
      </c>
      <c r="N313" s="159">
        <f t="shared" si="81"/>
        <v>0</v>
      </c>
      <c r="O313" s="159">
        <f t="shared" si="81"/>
        <v>0</v>
      </c>
      <c r="P313" s="159">
        <f t="shared" si="81"/>
        <v>0</v>
      </c>
      <c r="Q313" s="159">
        <f t="shared" si="81"/>
        <v>0</v>
      </c>
      <c r="R313" s="159">
        <f t="shared" si="81"/>
        <v>0</v>
      </c>
      <c r="S313" s="159">
        <f t="shared" si="81"/>
        <v>0</v>
      </c>
      <c r="T313" s="159">
        <f t="shared" si="81"/>
        <v>0</v>
      </c>
    </row>
    <row r="314" spans="2:20" x14ac:dyDescent="0.25">
      <c r="B314" s="154" t="str">
        <f>"P17  "&amp;Inputs!$E$639&amp;"   [Placeholder]"</f>
        <v>P17  Pipeline Project 2   [Placeholder]</v>
      </c>
    </row>
    <row r="315" spans="2:20" x14ac:dyDescent="0.25">
      <c r="B315" s="23" t="s">
        <v>3221</v>
      </c>
      <c r="C315" s="28" t="s">
        <v>493</v>
      </c>
      <c r="H315" s="29">
        <f>'Cost Calculation'!H192</f>
        <v>0</v>
      </c>
      <c r="I315" s="29">
        <f>'Cost Calculation'!I192</f>
        <v>0</v>
      </c>
      <c r="J315" s="29">
        <f>'Cost Calculation'!J192</f>
        <v>0</v>
      </c>
      <c r="K315" s="29">
        <f>'Cost Calculation'!K192</f>
        <v>0</v>
      </c>
      <c r="L315" s="29">
        <f>'Cost Calculation'!L192</f>
        <v>0</v>
      </c>
      <c r="M315" s="29">
        <f>'Cost Calculation'!M192</f>
        <v>0</v>
      </c>
      <c r="N315" s="29">
        <f>'Cost Calculation'!N192</f>
        <v>0</v>
      </c>
      <c r="O315" s="29">
        <f>'Cost Calculation'!O192</f>
        <v>0</v>
      </c>
      <c r="P315" s="29">
        <f>'Cost Calculation'!P192</f>
        <v>0</v>
      </c>
      <c r="Q315" s="29">
        <f>'Cost Calculation'!Q192</f>
        <v>0</v>
      </c>
      <c r="R315" s="29">
        <f>'Cost Calculation'!R192</f>
        <v>0</v>
      </c>
      <c r="S315" s="29">
        <f>'Cost Calculation'!S192</f>
        <v>0</v>
      </c>
      <c r="T315" s="29">
        <f>'Cost Calculation'!T192</f>
        <v>0</v>
      </c>
    </row>
    <row r="316" spans="2:20" x14ac:dyDescent="0.25">
      <c r="B316" s="23" t="s">
        <v>3222</v>
      </c>
      <c r="C316" s="28" t="s">
        <v>493</v>
      </c>
      <c r="H316" s="159">
        <f>'Cost Calculation'!H192-'Capex &amp; Depreciation'!H251</f>
        <v>0</v>
      </c>
      <c r="I316" s="159">
        <f>'Cost Calculation'!I192-'Capex &amp; Depreciation'!I251</f>
        <v>0</v>
      </c>
      <c r="J316" s="159">
        <f>'Cost Calculation'!J192-'Capex &amp; Depreciation'!J251</f>
        <v>0</v>
      </c>
      <c r="K316" s="159">
        <f>'Cost Calculation'!K192-'Capex &amp; Depreciation'!K251</f>
        <v>0</v>
      </c>
      <c r="L316" s="159">
        <f>'Cost Calculation'!L192-'Capex &amp; Depreciation'!L251</f>
        <v>0</v>
      </c>
      <c r="M316" s="159">
        <f>'Cost Calculation'!M192-'Capex &amp; Depreciation'!M251</f>
        <v>0</v>
      </c>
      <c r="N316" s="159">
        <f>'Cost Calculation'!N192-'Capex &amp; Depreciation'!N251</f>
        <v>0</v>
      </c>
      <c r="O316" s="159">
        <f>'Cost Calculation'!O192-'Capex &amp; Depreciation'!O251</f>
        <v>0</v>
      </c>
      <c r="P316" s="159">
        <f>'Cost Calculation'!P192-'Capex &amp; Depreciation'!P251</f>
        <v>0</v>
      </c>
      <c r="Q316" s="159">
        <f>'Cost Calculation'!Q192-'Capex &amp; Depreciation'!Q251</f>
        <v>0</v>
      </c>
      <c r="R316" s="159">
        <f>'Cost Calculation'!R192-'Capex &amp; Depreciation'!R251</f>
        <v>0</v>
      </c>
      <c r="S316" s="159">
        <f>'Cost Calculation'!S192-'Capex &amp; Depreciation'!S251</f>
        <v>0</v>
      </c>
      <c r="T316" s="159">
        <f>'Cost Calculation'!T192-'Capex &amp; Depreciation'!T251</f>
        <v>0</v>
      </c>
    </row>
    <row r="317" spans="2:20" x14ac:dyDescent="0.25">
      <c r="B317" s="23" t="s">
        <v>3223</v>
      </c>
      <c r="C317" s="28" t="s">
        <v>493</v>
      </c>
      <c r="H317" s="159">
        <f>0</f>
        <v>0</v>
      </c>
      <c r="I317" s="159">
        <f>0</f>
        <v>0</v>
      </c>
      <c r="J317" s="159">
        <f>0</f>
        <v>0</v>
      </c>
      <c r="K317" s="159">
        <f>0</f>
        <v>0</v>
      </c>
      <c r="L317" s="159">
        <f>0</f>
        <v>0</v>
      </c>
      <c r="M317" s="159">
        <f>0</f>
        <v>0</v>
      </c>
      <c r="N317" s="159">
        <f>0</f>
        <v>0</v>
      </c>
      <c r="O317" s="159">
        <f>0</f>
        <v>0</v>
      </c>
      <c r="P317" s="159">
        <f>0</f>
        <v>0</v>
      </c>
      <c r="Q317" s="159">
        <f>0</f>
        <v>0</v>
      </c>
      <c r="R317" s="159">
        <f>0</f>
        <v>0</v>
      </c>
      <c r="S317" s="159">
        <f>0</f>
        <v>0</v>
      </c>
      <c r="T317" s="159">
        <f>0</f>
        <v>0</v>
      </c>
    </row>
    <row r="318" spans="2:20" x14ac:dyDescent="0.25">
      <c r="B318" s="23" t="s">
        <v>3224</v>
      </c>
      <c r="C318" s="28" t="s">
        <v>493</v>
      </c>
      <c r="H318" s="159">
        <f>Inputs!H522*MAX(0,H316-H317)</f>
        <v>0</v>
      </c>
      <c r="I318" s="159">
        <f>Inputs!I522*MAX(0,I316-I317)</f>
        <v>0</v>
      </c>
      <c r="J318" s="159">
        <f>Inputs!J522*MAX(0,J316-J317)</f>
        <v>0</v>
      </c>
      <c r="K318" s="159">
        <f>Inputs!K522*MAX(0,K316-K317)</f>
        <v>0</v>
      </c>
      <c r="L318" s="159">
        <f>Inputs!L522*MAX(0,L316-L317)</f>
        <v>0</v>
      </c>
      <c r="M318" s="159">
        <f>Inputs!M522*MAX(0,M316-M317)</f>
        <v>0</v>
      </c>
      <c r="N318" s="159">
        <f>Inputs!N522*MAX(0,N316-N317)</f>
        <v>0</v>
      </c>
      <c r="O318" s="159">
        <f>Inputs!O522*MAX(0,O316-O317)</f>
        <v>0</v>
      </c>
      <c r="P318" s="159">
        <f>Inputs!P522*MAX(0,P316-P317)</f>
        <v>0</v>
      </c>
      <c r="Q318" s="159">
        <f>Inputs!Q522*MAX(0,Q316-Q317)</f>
        <v>0</v>
      </c>
      <c r="R318" s="159">
        <f>Inputs!R522*MAX(0,R316-R317)</f>
        <v>0</v>
      </c>
      <c r="S318" s="159">
        <f>Inputs!S522*MAX(0,S316-S317)</f>
        <v>0</v>
      </c>
      <c r="T318" s="159">
        <f>Inputs!T522*MAX(0,T316-T317)</f>
        <v>0</v>
      </c>
    </row>
    <row r="319" spans="2:20" x14ac:dyDescent="0.25">
      <c r="B319" s="23" t="s">
        <v>3225</v>
      </c>
      <c r="C319" s="28" t="s">
        <v>493</v>
      </c>
      <c r="H319" s="159">
        <f t="shared" ref="H319:T319" si="82">H316-H317-H318</f>
        <v>0</v>
      </c>
      <c r="I319" s="159">
        <f t="shared" si="82"/>
        <v>0</v>
      </c>
      <c r="J319" s="159">
        <f t="shared" si="82"/>
        <v>0</v>
      </c>
      <c r="K319" s="159">
        <f t="shared" si="82"/>
        <v>0</v>
      </c>
      <c r="L319" s="159">
        <f t="shared" si="82"/>
        <v>0</v>
      </c>
      <c r="M319" s="159">
        <f t="shared" si="82"/>
        <v>0</v>
      </c>
      <c r="N319" s="159">
        <f t="shared" si="82"/>
        <v>0</v>
      </c>
      <c r="O319" s="159">
        <f t="shared" si="82"/>
        <v>0</v>
      </c>
      <c r="P319" s="159">
        <f t="shared" si="82"/>
        <v>0</v>
      </c>
      <c r="Q319" s="159">
        <f t="shared" si="82"/>
        <v>0</v>
      </c>
      <c r="R319" s="159">
        <f t="shared" si="82"/>
        <v>0</v>
      </c>
      <c r="S319" s="159">
        <f t="shared" si="82"/>
        <v>0</v>
      </c>
      <c r="T319" s="159">
        <f t="shared" si="82"/>
        <v>0</v>
      </c>
    </row>
    <row r="320" spans="2:20" x14ac:dyDescent="0.25">
      <c r="B320" s="23" t="s">
        <v>3226</v>
      </c>
      <c r="C320" s="28" t="s">
        <v>493</v>
      </c>
      <c r="H320" s="159">
        <f>-Inputs!H522*MAX(0,H316)</f>
        <v>0</v>
      </c>
      <c r="I320" s="159">
        <f>-Inputs!I522*MAX(0,I316)</f>
        <v>0</v>
      </c>
      <c r="J320" s="159">
        <f>-Inputs!J522*MAX(0,J316)</f>
        <v>0</v>
      </c>
      <c r="K320" s="159">
        <f>-Inputs!K522*MAX(0,K316)</f>
        <v>0</v>
      </c>
      <c r="L320" s="159">
        <f>-Inputs!L522*MAX(0,L316)</f>
        <v>0</v>
      </c>
      <c r="M320" s="159">
        <f>-Inputs!M522*MAX(0,M316)</f>
        <v>0</v>
      </c>
      <c r="N320" s="159">
        <f>-Inputs!N522*MAX(0,N316)</f>
        <v>0</v>
      </c>
      <c r="O320" s="159">
        <f>-Inputs!O522*MAX(0,O316)</f>
        <v>0</v>
      </c>
      <c r="P320" s="159">
        <f>-Inputs!P522*MAX(0,P316)</f>
        <v>0</v>
      </c>
      <c r="Q320" s="159">
        <f>-Inputs!Q522*MAX(0,Q316)</f>
        <v>0</v>
      </c>
      <c r="R320" s="159">
        <f>-Inputs!R522*MAX(0,R316)</f>
        <v>0</v>
      </c>
      <c r="S320" s="159">
        <f>-Inputs!S522*MAX(0,S316)</f>
        <v>0</v>
      </c>
      <c r="T320" s="159">
        <f>-Inputs!T522*MAX(0,T316)</f>
        <v>0</v>
      </c>
    </row>
    <row r="321" spans="2:20" x14ac:dyDescent="0.25">
      <c r="B321" s="23" t="s">
        <v>3227</v>
      </c>
      <c r="C321" s="28" t="s">
        <v>493</v>
      </c>
      <c r="H321" s="159">
        <f>-'Capex &amp; Depreciation'!H278</f>
        <v>0</v>
      </c>
      <c r="I321" s="159">
        <f>-'Capex &amp; Depreciation'!I278</f>
        <v>0</v>
      </c>
      <c r="J321" s="159">
        <f>-'Capex &amp; Depreciation'!J278</f>
        <v>0</v>
      </c>
      <c r="K321" s="159">
        <f>-'Capex &amp; Depreciation'!K278</f>
        <v>0</v>
      </c>
      <c r="L321" s="159">
        <f>-'Capex &amp; Depreciation'!L278</f>
        <v>0</v>
      </c>
      <c r="M321" s="159">
        <f>-'Capex &amp; Depreciation'!M278</f>
        <v>0</v>
      </c>
      <c r="N321" s="159">
        <f>-'Capex &amp; Depreciation'!N278</f>
        <v>0</v>
      </c>
      <c r="O321" s="159">
        <f>-'Capex &amp; Depreciation'!O278</f>
        <v>0</v>
      </c>
      <c r="P321" s="159">
        <f>-'Capex &amp; Depreciation'!P278</f>
        <v>0</v>
      </c>
      <c r="Q321" s="159">
        <f>-'Capex &amp; Depreciation'!Q278</f>
        <v>0</v>
      </c>
      <c r="R321" s="159">
        <f>-'Capex &amp; Depreciation'!R278</f>
        <v>0</v>
      </c>
      <c r="S321" s="159">
        <f>-'Capex &amp; Depreciation'!S278</f>
        <v>0</v>
      </c>
      <c r="T321" s="159">
        <f>-'Capex &amp; Depreciation'!T278</f>
        <v>0</v>
      </c>
    </row>
    <row r="322" spans="2:20" x14ac:dyDescent="0.25">
      <c r="B322" s="23" t="s">
        <v>3228</v>
      </c>
      <c r="C322" s="28" t="s">
        <v>493</v>
      </c>
      <c r="H322" s="159">
        <f>-('Working Capital'!H95-'Working Capital'!G95)</f>
        <v>0</v>
      </c>
      <c r="I322" s="159">
        <f>-('Working Capital'!I95-'Working Capital'!H95)</f>
        <v>0</v>
      </c>
      <c r="J322" s="159">
        <f>-('Working Capital'!J95-'Working Capital'!I95)</f>
        <v>0</v>
      </c>
      <c r="K322" s="159">
        <f>-('Working Capital'!K95-'Working Capital'!J95)</f>
        <v>0</v>
      </c>
      <c r="L322" s="159">
        <f>-('Working Capital'!L95-'Working Capital'!K95)</f>
        <v>0</v>
      </c>
      <c r="M322" s="159">
        <f>-('Working Capital'!M95-'Working Capital'!L95)</f>
        <v>0</v>
      </c>
      <c r="N322" s="159">
        <f>-('Working Capital'!N95-'Working Capital'!M95)</f>
        <v>0</v>
      </c>
      <c r="O322" s="159">
        <f>-('Working Capital'!O95-'Working Capital'!N95)</f>
        <v>0</v>
      </c>
      <c r="P322" s="159">
        <f>-('Working Capital'!P95-'Working Capital'!O95)</f>
        <v>0</v>
      </c>
      <c r="Q322" s="159">
        <f>-('Working Capital'!Q95-'Working Capital'!P95)</f>
        <v>0</v>
      </c>
      <c r="R322" s="159">
        <f>-('Working Capital'!R95-'Working Capital'!Q95)</f>
        <v>0</v>
      </c>
      <c r="S322" s="159">
        <f>-('Working Capital'!S95-'Working Capital'!R95)</f>
        <v>0</v>
      </c>
      <c r="T322" s="159">
        <f>-('Working Capital'!T95-'Working Capital'!S95)</f>
        <v>0</v>
      </c>
    </row>
    <row r="323" spans="2:20" ht="26.25" customHeight="1" x14ac:dyDescent="0.25">
      <c r="B323" s="133" t="s">
        <v>3229</v>
      </c>
      <c r="C323" s="28" t="s">
        <v>493</v>
      </c>
      <c r="H323" s="160">
        <f t="shared" ref="H323:T323" si="83">H315+H320+H321+H322</f>
        <v>0</v>
      </c>
      <c r="I323" s="160">
        <f t="shared" si="83"/>
        <v>0</v>
      </c>
      <c r="J323" s="160">
        <f t="shared" si="83"/>
        <v>0</v>
      </c>
      <c r="K323" s="160">
        <f t="shared" si="83"/>
        <v>0</v>
      </c>
      <c r="L323" s="160">
        <f t="shared" si="83"/>
        <v>0</v>
      </c>
      <c r="M323" s="160">
        <f t="shared" si="83"/>
        <v>0</v>
      </c>
      <c r="N323" s="160">
        <f t="shared" si="83"/>
        <v>0</v>
      </c>
      <c r="O323" s="160">
        <f t="shared" si="83"/>
        <v>0</v>
      </c>
      <c r="P323" s="160">
        <f t="shared" si="83"/>
        <v>0</v>
      </c>
      <c r="Q323" s="160">
        <f t="shared" si="83"/>
        <v>0</v>
      </c>
      <c r="R323" s="160">
        <f t="shared" si="83"/>
        <v>0</v>
      </c>
      <c r="S323" s="160">
        <f t="shared" si="83"/>
        <v>0</v>
      </c>
      <c r="T323" s="160">
        <f t="shared" si="83"/>
        <v>0</v>
      </c>
    </row>
    <row r="324" spans="2:20" x14ac:dyDescent="0.25">
      <c r="B324" s="23" t="s">
        <v>3230</v>
      </c>
      <c r="C324" s="28" t="s">
        <v>493</v>
      </c>
      <c r="E324" s="159">
        <f>'Cost Calculation'!T192-MAX(0,Inputs!$E$554*('Cost Calculation'!T192-Inputs!$E$550*'Revenue Calculation'!T167))-Inputs!$E$550*'Revenue Calculation'!T167</f>
        <v>0</v>
      </c>
      <c r="F324" s="29">
        <f>'Working Capital'!T95</f>
        <v>0</v>
      </c>
      <c r="H324" s="159">
        <f>IF('Revenue Calculation'!H7=2036,IF(Inputs!$E$558&gt;Inputs!$E$559,((1+Inputs!$E$559)*$E$324-Inputs!$E$559*$F$324)/(Inputs!$E$558-Inputs!$E$559),0),0)</f>
        <v>0</v>
      </c>
      <c r="I324" s="159">
        <f>IF('Revenue Calculation'!I7=2036,IF(Inputs!$E$558&gt;Inputs!$E$559,((1+Inputs!$E$559)*$E$324-Inputs!$E$559*$F$324)/(Inputs!$E$558-Inputs!$E$559),0),0)</f>
        <v>0</v>
      </c>
      <c r="J324" s="159">
        <f>IF('Revenue Calculation'!J7=2036,IF(Inputs!$E$558&gt;Inputs!$E$559,((1+Inputs!$E$559)*$E$324-Inputs!$E$559*$F$324)/(Inputs!$E$558-Inputs!$E$559),0),0)</f>
        <v>0</v>
      </c>
      <c r="K324" s="159">
        <f>IF('Revenue Calculation'!K7=2036,IF(Inputs!$E$558&gt;Inputs!$E$559,((1+Inputs!$E$559)*$E$324-Inputs!$E$559*$F$324)/(Inputs!$E$558-Inputs!$E$559),0),0)</f>
        <v>0</v>
      </c>
      <c r="L324" s="159">
        <f>IF('Revenue Calculation'!L7=2036,IF(Inputs!$E$558&gt;Inputs!$E$559,((1+Inputs!$E$559)*$E$324-Inputs!$E$559*$F$324)/(Inputs!$E$558-Inputs!$E$559),0),0)</f>
        <v>0</v>
      </c>
      <c r="M324" s="159">
        <f>IF('Revenue Calculation'!M7=2036,IF(Inputs!$E$558&gt;Inputs!$E$559,((1+Inputs!$E$559)*$E$324-Inputs!$E$559*$F$324)/(Inputs!$E$558-Inputs!$E$559),0),0)</f>
        <v>0</v>
      </c>
      <c r="N324" s="159">
        <f>IF('Revenue Calculation'!N7=2036,IF(Inputs!$E$558&gt;Inputs!$E$559,((1+Inputs!$E$559)*$E$324-Inputs!$E$559*$F$324)/(Inputs!$E$558-Inputs!$E$559),0),0)</f>
        <v>0</v>
      </c>
      <c r="O324" s="159">
        <f>IF('Revenue Calculation'!O7=2036,IF(Inputs!$E$558&gt;Inputs!$E$559,((1+Inputs!$E$559)*$E$324-Inputs!$E$559*$F$324)/(Inputs!$E$558-Inputs!$E$559),0),0)</f>
        <v>0</v>
      </c>
      <c r="P324" s="159">
        <f>IF('Revenue Calculation'!P7=2036,IF(Inputs!$E$558&gt;Inputs!$E$559,((1+Inputs!$E$559)*$E$324-Inputs!$E$559*$F$324)/(Inputs!$E$558-Inputs!$E$559),0),0)</f>
        <v>0</v>
      </c>
      <c r="Q324" s="159">
        <f>IF('Revenue Calculation'!Q7=2036,IF(Inputs!$E$558&gt;Inputs!$E$559,((1+Inputs!$E$559)*$E$324-Inputs!$E$559*$F$324)/(Inputs!$E$558-Inputs!$E$559),0),0)</f>
        <v>0</v>
      </c>
      <c r="R324" s="159">
        <f>IF('Revenue Calculation'!R7=2036,IF(Inputs!$E$558&gt;Inputs!$E$559,((1+Inputs!$E$559)*$E$324-Inputs!$E$559*$F$324)/(Inputs!$E$558-Inputs!$E$559),0),0)</f>
        <v>0</v>
      </c>
      <c r="S324" s="159">
        <f>IF('Revenue Calculation'!S7=2036,IF(Inputs!$E$558&gt;Inputs!$E$559,((1+Inputs!$E$559)*$E$324-Inputs!$E$559*$F$324)/(Inputs!$E$558-Inputs!$E$559),0),0)</f>
        <v>0</v>
      </c>
      <c r="T324" s="159">
        <f>IF('Revenue Calculation'!T7=2036,IF(Inputs!$E$558&gt;Inputs!$E$559,((1+Inputs!$E$559)*$E$324-Inputs!$E$559*$F$324)/(Inputs!$E$558-Inputs!$E$559),0),0)</f>
        <v>0</v>
      </c>
    </row>
    <row r="325" spans="2:20" x14ac:dyDescent="0.25">
      <c r="B325" s="23" t="s">
        <v>3231</v>
      </c>
      <c r="C325" s="28" t="s">
        <v>493</v>
      </c>
      <c r="G325" s="159">
        <v>0</v>
      </c>
      <c r="H325" s="159">
        <f t="shared" ref="H325:T325" si="84">H323+H324</f>
        <v>0</v>
      </c>
      <c r="I325" s="159">
        <f t="shared" si="84"/>
        <v>0</v>
      </c>
      <c r="J325" s="159">
        <f t="shared" si="84"/>
        <v>0</v>
      </c>
      <c r="K325" s="159">
        <f t="shared" si="84"/>
        <v>0</v>
      </c>
      <c r="L325" s="159">
        <f t="shared" si="84"/>
        <v>0</v>
      </c>
      <c r="M325" s="159">
        <f t="shared" si="84"/>
        <v>0</v>
      </c>
      <c r="N325" s="159">
        <f t="shared" si="84"/>
        <v>0</v>
      </c>
      <c r="O325" s="159">
        <f t="shared" si="84"/>
        <v>0</v>
      </c>
      <c r="P325" s="159">
        <f t="shared" si="84"/>
        <v>0</v>
      </c>
      <c r="Q325" s="159">
        <f t="shared" si="84"/>
        <v>0</v>
      </c>
      <c r="R325" s="159">
        <f t="shared" si="84"/>
        <v>0</v>
      </c>
      <c r="S325" s="159">
        <f t="shared" si="84"/>
        <v>0</v>
      </c>
      <c r="T325" s="159">
        <f t="shared" si="84"/>
        <v>0</v>
      </c>
    </row>
    <row r="326" spans="2:20" x14ac:dyDescent="0.25">
      <c r="B326" s="23" t="s">
        <v>3232</v>
      </c>
      <c r="C326" s="28" t="s">
        <v>493</v>
      </c>
      <c r="G326" s="159">
        <f>G325</f>
        <v>0</v>
      </c>
      <c r="H326" s="159">
        <f t="shared" ref="H326:T326" si="85">G326+H323</f>
        <v>0</v>
      </c>
      <c r="I326" s="159">
        <f t="shared" si="85"/>
        <v>0</v>
      </c>
      <c r="J326" s="159">
        <f t="shared" si="85"/>
        <v>0</v>
      </c>
      <c r="K326" s="159">
        <f t="shared" si="85"/>
        <v>0</v>
      </c>
      <c r="L326" s="159">
        <f t="shared" si="85"/>
        <v>0</v>
      </c>
      <c r="M326" s="159">
        <f t="shared" si="85"/>
        <v>0</v>
      </c>
      <c r="N326" s="159">
        <f t="shared" si="85"/>
        <v>0</v>
      </c>
      <c r="O326" s="159">
        <f t="shared" si="85"/>
        <v>0</v>
      </c>
      <c r="P326" s="159">
        <f t="shared" si="85"/>
        <v>0</v>
      </c>
      <c r="Q326" s="159">
        <f t="shared" si="85"/>
        <v>0</v>
      </c>
      <c r="R326" s="159">
        <f t="shared" si="85"/>
        <v>0</v>
      </c>
      <c r="S326" s="159">
        <f t="shared" si="85"/>
        <v>0</v>
      </c>
      <c r="T326" s="159">
        <f t="shared" si="85"/>
        <v>0</v>
      </c>
    </row>
    <row r="327" spans="2:20" x14ac:dyDescent="0.25">
      <c r="B327" s="154" t="str">
        <f>"P18  "&amp;Inputs!$E$673&amp;"   [Placeholder]"</f>
        <v>P18  Pipeline Project 3   [Placeholder]</v>
      </c>
    </row>
    <row r="328" spans="2:20" x14ac:dyDescent="0.25">
      <c r="B328" s="23" t="s">
        <v>3221</v>
      </c>
      <c r="C328" s="28" t="s">
        <v>493</v>
      </c>
      <c r="H328" s="29">
        <f>'Cost Calculation'!H198</f>
        <v>0</v>
      </c>
      <c r="I328" s="29">
        <f>'Cost Calculation'!I198</f>
        <v>0</v>
      </c>
      <c r="J328" s="29">
        <f>'Cost Calculation'!J198</f>
        <v>0</v>
      </c>
      <c r="K328" s="29">
        <f>'Cost Calculation'!K198</f>
        <v>0</v>
      </c>
      <c r="L328" s="29">
        <f>'Cost Calculation'!L198</f>
        <v>0</v>
      </c>
      <c r="M328" s="29">
        <f>'Cost Calculation'!M198</f>
        <v>0</v>
      </c>
      <c r="N328" s="29">
        <f>'Cost Calculation'!N198</f>
        <v>0</v>
      </c>
      <c r="O328" s="29">
        <f>'Cost Calculation'!O198</f>
        <v>0</v>
      </c>
      <c r="P328" s="29">
        <f>'Cost Calculation'!P198</f>
        <v>0</v>
      </c>
      <c r="Q328" s="29">
        <f>'Cost Calculation'!Q198</f>
        <v>0</v>
      </c>
      <c r="R328" s="29">
        <f>'Cost Calculation'!R198</f>
        <v>0</v>
      </c>
      <c r="S328" s="29">
        <f>'Cost Calculation'!S198</f>
        <v>0</v>
      </c>
      <c r="T328" s="29">
        <f>'Cost Calculation'!T198</f>
        <v>0</v>
      </c>
    </row>
    <row r="329" spans="2:20" x14ac:dyDescent="0.25">
      <c r="B329" s="23" t="s">
        <v>3222</v>
      </c>
      <c r="C329" s="28" t="s">
        <v>493</v>
      </c>
      <c r="H329" s="159">
        <f>'Cost Calculation'!H198-'Capex &amp; Depreciation'!H252</f>
        <v>0</v>
      </c>
      <c r="I329" s="159">
        <f>'Cost Calculation'!I198-'Capex &amp; Depreciation'!I252</f>
        <v>0</v>
      </c>
      <c r="J329" s="159">
        <f>'Cost Calculation'!J198-'Capex &amp; Depreciation'!J252</f>
        <v>0</v>
      </c>
      <c r="K329" s="159">
        <f>'Cost Calculation'!K198-'Capex &amp; Depreciation'!K252</f>
        <v>0</v>
      </c>
      <c r="L329" s="159">
        <f>'Cost Calculation'!L198-'Capex &amp; Depreciation'!L252</f>
        <v>0</v>
      </c>
      <c r="M329" s="159">
        <f>'Cost Calculation'!M198-'Capex &amp; Depreciation'!M252</f>
        <v>0</v>
      </c>
      <c r="N329" s="159">
        <f>'Cost Calculation'!N198-'Capex &amp; Depreciation'!N252</f>
        <v>0</v>
      </c>
      <c r="O329" s="159">
        <f>'Cost Calculation'!O198-'Capex &amp; Depreciation'!O252</f>
        <v>0</v>
      </c>
      <c r="P329" s="159">
        <f>'Cost Calculation'!P198-'Capex &amp; Depreciation'!P252</f>
        <v>0</v>
      </c>
      <c r="Q329" s="159">
        <f>'Cost Calculation'!Q198-'Capex &amp; Depreciation'!Q252</f>
        <v>0</v>
      </c>
      <c r="R329" s="159">
        <f>'Cost Calculation'!R198-'Capex &amp; Depreciation'!R252</f>
        <v>0</v>
      </c>
      <c r="S329" s="159">
        <f>'Cost Calculation'!S198-'Capex &amp; Depreciation'!S252</f>
        <v>0</v>
      </c>
      <c r="T329" s="159">
        <f>'Cost Calculation'!T198-'Capex &amp; Depreciation'!T252</f>
        <v>0</v>
      </c>
    </row>
    <row r="330" spans="2:20" x14ac:dyDescent="0.25">
      <c r="B330" s="23" t="s">
        <v>3223</v>
      </c>
      <c r="C330" s="28" t="s">
        <v>493</v>
      </c>
      <c r="H330" s="159">
        <f>0</f>
        <v>0</v>
      </c>
      <c r="I330" s="159">
        <f>0</f>
        <v>0</v>
      </c>
      <c r="J330" s="159">
        <f>0</f>
        <v>0</v>
      </c>
      <c r="K330" s="159">
        <f>0</f>
        <v>0</v>
      </c>
      <c r="L330" s="159">
        <f>0</f>
        <v>0</v>
      </c>
      <c r="M330" s="159">
        <f>0</f>
        <v>0</v>
      </c>
      <c r="N330" s="159">
        <f>0</f>
        <v>0</v>
      </c>
      <c r="O330" s="159">
        <f>0</f>
        <v>0</v>
      </c>
      <c r="P330" s="159">
        <f>0</f>
        <v>0</v>
      </c>
      <c r="Q330" s="159">
        <f>0</f>
        <v>0</v>
      </c>
      <c r="R330" s="159">
        <f>0</f>
        <v>0</v>
      </c>
      <c r="S330" s="159">
        <f>0</f>
        <v>0</v>
      </c>
      <c r="T330" s="159">
        <f>0</f>
        <v>0</v>
      </c>
    </row>
    <row r="331" spans="2:20" x14ac:dyDescent="0.25">
      <c r="B331" s="23" t="s">
        <v>3224</v>
      </c>
      <c r="C331" s="28" t="s">
        <v>493</v>
      </c>
      <c r="H331" s="159">
        <f>Inputs!H522*MAX(0,H329-H330)</f>
        <v>0</v>
      </c>
      <c r="I331" s="159">
        <f>Inputs!I522*MAX(0,I329-I330)</f>
        <v>0</v>
      </c>
      <c r="J331" s="159">
        <f>Inputs!J522*MAX(0,J329-J330)</f>
        <v>0</v>
      </c>
      <c r="K331" s="159">
        <f>Inputs!K522*MAX(0,K329-K330)</f>
        <v>0</v>
      </c>
      <c r="L331" s="159">
        <f>Inputs!L522*MAX(0,L329-L330)</f>
        <v>0</v>
      </c>
      <c r="M331" s="159">
        <f>Inputs!M522*MAX(0,M329-M330)</f>
        <v>0</v>
      </c>
      <c r="N331" s="159">
        <f>Inputs!N522*MAX(0,N329-N330)</f>
        <v>0</v>
      </c>
      <c r="O331" s="159">
        <f>Inputs!O522*MAX(0,O329-O330)</f>
        <v>0</v>
      </c>
      <c r="P331" s="159">
        <f>Inputs!P522*MAX(0,P329-P330)</f>
        <v>0</v>
      </c>
      <c r="Q331" s="159">
        <f>Inputs!Q522*MAX(0,Q329-Q330)</f>
        <v>0</v>
      </c>
      <c r="R331" s="159">
        <f>Inputs!R522*MAX(0,R329-R330)</f>
        <v>0</v>
      </c>
      <c r="S331" s="159">
        <f>Inputs!S522*MAX(0,S329-S330)</f>
        <v>0</v>
      </c>
      <c r="T331" s="159">
        <f>Inputs!T522*MAX(0,T329-T330)</f>
        <v>0</v>
      </c>
    </row>
    <row r="332" spans="2:20" x14ac:dyDescent="0.25">
      <c r="B332" s="23" t="s">
        <v>3225</v>
      </c>
      <c r="C332" s="28" t="s">
        <v>493</v>
      </c>
      <c r="H332" s="159">
        <f t="shared" ref="H332:T332" si="86">H329-H330-H331</f>
        <v>0</v>
      </c>
      <c r="I332" s="159">
        <f t="shared" si="86"/>
        <v>0</v>
      </c>
      <c r="J332" s="159">
        <f t="shared" si="86"/>
        <v>0</v>
      </c>
      <c r="K332" s="159">
        <f t="shared" si="86"/>
        <v>0</v>
      </c>
      <c r="L332" s="159">
        <f t="shared" si="86"/>
        <v>0</v>
      </c>
      <c r="M332" s="159">
        <f t="shared" si="86"/>
        <v>0</v>
      </c>
      <c r="N332" s="159">
        <f t="shared" si="86"/>
        <v>0</v>
      </c>
      <c r="O332" s="159">
        <f t="shared" si="86"/>
        <v>0</v>
      </c>
      <c r="P332" s="159">
        <f t="shared" si="86"/>
        <v>0</v>
      </c>
      <c r="Q332" s="159">
        <f t="shared" si="86"/>
        <v>0</v>
      </c>
      <c r="R332" s="159">
        <f t="shared" si="86"/>
        <v>0</v>
      </c>
      <c r="S332" s="159">
        <f t="shared" si="86"/>
        <v>0</v>
      </c>
      <c r="T332" s="159">
        <f t="shared" si="86"/>
        <v>0</v>
      </c>
    </row>
    <row r="333" spans="2:20" x14ac:dyDescent="0.25">
      <c r="B333" s="23" t="s">
        <v>3226</v>
      </c>
      <c r="C333" s="28" t="s">
        <v>493</v>
      </c>
      <c r="H333" s="159">
        <f>-Inputs!H522*MAX(0,H329)</f>
        <v>0</v>
      </c>
      <c r="I333" s="159">
        <f>-Inputs!I522*MAX(0,I329)</f>
        <v>0</v>
      </c>
      <c r="J333" s="159">
        <f>-Inputs!J522*MAX(0,J329)</f>
        <v>0</v>
      </c>
      <c r="K333" s="159">
        <f>-Inputs!K522*MAX(0,K329)</f>
        <v>0</v>
      </c>
      <c r="L333" s="159">
        <f>-Inputs!L522*MAX(0,L329)</f>
        <v>0</v>
      </c>
      <c r="M333" s="159">
        <f>-Inputs!M522*MAX(0,M329)</f>
        <v>0</v>
      </c>
      <c r="N333" s="159">
        <f>-Inputs!N522*MAX(0,N329)</f>
        <v>0</v>
      </c>
      <c r="O333" s="159">
        <f>-Inputs!O522*MAX(0,O329)</f>
        <v>0</v>
      </c>
      <c r="P333" s="159">
        <f>-Inputs!P522*MAX(0,P329)</f>
        <v>0</v>
      </c>
      <c r="Q333" s="159">
        <f>-Inputs!Q522*MAX(0,Q329)</f>
        <v>0</v>
      </c>
      <c r="R333" s="159">
        <f>-Inputs!R522*MAX(0,R329)</f>
        <v>0</v>
      </c>
      <c r="S333" s="159">
        <f>-Inputs!S522*MAX(0,S329)</f>
        <v>0</v>
      </c>
      <c r="T333" s="159">
        <f>-Inputs!T522*MAX(0,T329)</f>
        <v>0</v>
      </c>
    </row>
    <row r="334" spans="2:20" x14ac:dyDescent="0.25">
      <c r="B334" s="23" t="s">
        <v>3227</v>
      </c>
      <c r="C334" s="28" t="s">
        <v>493</v>
      </c>
      <c r="H334" s="159">
        <f>-'Capex &amp; Depreciation'!H279</f>
        <v>0</v>
      </c>
      <c r="I334" s="159">
        <f>-'Capex &amp; Depreciation'!I279</f>
        <v>0</v>
      </c>
      <c r="J334" s="159">
        <f>-'Capex &amp; Depreciation'!J279</f>
        <v>0</v>
      </c>
      <c r="K334" s="159">
        <f>-'Capex &amp; Depreciation'!K279</f>
        <v>0</v>
      </c>
      <c r="L334" s="159">
        <f>-'Capex &amp; Depreciation'!L279</f>
        <v>0</v>
      </c>
      <c r="M334" s="159">
        <f>-'Capex &amp; Depreciation'!M279</f>
        <v>0</v>
      </c>
      <c r="N334" s="159">
        <f>-'Capex &amp; Depreciation'!N279</f>
        <v>0</v>
      </c>
      <c r="O334" s="159">
        <f>-'Capex &amp; Depreciation'!O279</f>
        <v>0</v>
      </c>
      <c r="P334" s="159">
        <f>-'Capex &amp; Depreciation'!P279</f>
        <v>0</v>
      </c>
      <c r="Q334" s="159">
        <f>-'Capex &amp; Depreciation'!Q279</f>
        <v>0</v>
      </c>
      <c r="R334" s="159">
        <f>-'Capex &amp; Depreciation'!R279</f>
        <v>0</v>
      </c>
      <c r="S334" s="159">
        <f>-'Capex &amp; Depreciation'!S279</f>
        <v>0</v>
      </c>
      <c r="T334" s="159">
        <f>-'Capex &amp; Depreciation'!T279</f>
        <v>0</v>
      </c>
    </row>
    <row r="335" spans="2:20" x14ac:dyDescent="0.25">
      <c r="B335" s="23" t="s">
        <v>3228</v>
      </c>
      <c r="C335" s="28" t="s">
        <v>493</v>
      </c>
      <c r="H335" s="159">
        <f>-('Working Capital'!H99-'Working Capital'!G99)</f>
        <v>0</v>
      </c>
      <c r="I335" s="159">
        <f>-('Working Capital'!I99-'Working Capital'!H99)</f>
        <v>0</v>
      </c>
      <c r="J335" s="159">
        <f>-('Working Capital'!J99-'Working Capital'!I99)</f>
        <v>0</v>
      </c>
      <c r="K335" s="159">
        <f>-('Working Capital'!K99-'Working Capital'!J99)</f>
        <v>0</v>
      </c>
      <c r="L335" s="159">
        <f>-('Working Capital'!L99-'Working Capital'!K99)</f>
        <v>0</v>
      </c>
      <c r="M335" s="159">
        <f>-('Working Capital'!M99-'Working Capital'!L99)</f>
        <v>0</v>
      </c>
      <c r="N335" s="159">
        <f>-('Working Capital'!N99-'Working Capital'!M99)</f>
        <v>0</v>
      </c>
      <c r="O335" s="159">
        <f>-('Working Capital'!O99-'Working Capital'!N99)</f>
        <v>0</v>
      </c>
      <c r="P335" s="159">
        <f>-('Working Capital'!P99-'Working Capital'!O99)</f>
        <v>0</v>
      </c>
      <c r="Q335" s="159">
        <f>-('Working Capital'!Q99-'Working Capital'!P99)</f>
        <v>0</v>
      </c>
      <c r="R335" s="159">
        <f>-('Working Capital'!R99-'Working Capital'!Q99)</f>
        <v>0</v>
      </c>
      <c r="S335" s="159">
        <f>-('Working Capital'!S99-'Working Capital'!R99)</f>
        <v>0</v>
      </c>
      <c r="T335" s="159">
        <f>-('Working Capital'!T99-'Working Capital'!S99)</f>
        <v>0</v>
      </c>
    </row>
    <row r="336" spans="2:20" ht="26.25" customHeight="1" x14ac:dyDescent="0.25">
      <c r="B336" s="133" t="s">
        <v>3229</v>
      </c>
      <c r="C336" s="28" t="s">
        <v>493</v>
      </c>
      <c r="H336" s="160">
        <f t="shared" ref="H336:T336" si="87">H328+H333+H334+H335</f>
        <v>0</v>
      </c>
      <c r="I336" s="160">
        <f t="shared" si="87"/>
        <v>0</v>
      </c>
      <c r="J336" s="160">
        <f t="shared" si="87"/>
        <v>0</v>
      </c>
      <c r="K336" s="160">
        <f t="shared" si="87"/>
        <v>0</v>
      </c>
      <c r="L336" s="160">
        <f t="shared" si="87"/>
        <v>0</v>
      </c>
      <c r="M336" s="160">
        <f t="shared" si="87"/>
        <v>0</v>
      </c>
      <c r="N336" s="160">
        <f t="shared" si="87"/>
        <v>0</v>
      </c>
      <c r="O336" s="160">
        <f t="shared" si="87"/>
        <v>0</v>
      </c>
      <c r="P336" s="160">
        <f t="shared" si="87"/>
        <v>0</v>
      </c>
      <c r="Q336" s="160">
        <f t="shared" si="87"/>
        <v>0</v>
      </c>
      <c r="R336" s="160">
        <f t="shared" si="87"/>
        <v>0</v>
      </c>
      <c r="S336" s="160">
        <f t="shared" si="87"/>
        <v>0</v>
      </c>
      <c r="T336" s="160">
        <f t="shared" si="87"/>
        <v>0</v>
      </c>
    </row>
    <row r="337" spans="2:20" x14ac:dyDescent="0.25">
      <c r="B337" s="23" t="s">
        <v>3230</v>
      </c>
      <c r="C337" s="28" t="s">
        <v>493</v>
      </c>
      <c r="E337" s="159">
        <f>'Cost Calculation'!T198-MAX(0,Inputs!$E$554*('Cost Calculation'!T198-Inputs!$E$550*'Revenue Calculation'!T171))-Inputs!$E$550*'Revenue Calculation'!T171</f>
        <v>0</v>
      </c>
      <c r="F337" s="29">
        <f>'Working Capital'!T99</f>
        <v>0</v>
      </c>
      <c r="H337" s="159">
        <f>IF('Revenue Calculation'!H7=2036,IF(Inputs!$E$558&gt;Inputs!$E$559,((1+Inputs!$E$559)*$E$337-Inputs!$E$559*$F$337)/(Inputs!$E$558-Inputs!$E$559),0),0)</f>
        <v>0</v>
      </c>
      <c r="I337" s="159">
        <f>IF('Revenue Calculation'!I7=2036,IF(Inputs!$E$558&gt;Inputs!$E$559,((1+Inputs!$E$559)*$E$337-Inputs!$E$559*$F$337)/(Inputs!$E$558-Inputs!$E$559),0),0)</f>
        <v>0</v>
      </c>
      <c r="J337" s="159">
        <f>IF('Revenue Calculation'!J7=2036,IF(Inputs!$E$558&gt;Inputs!$E$559,((1+Inputs!$E$559)*$E$337-Inputs!$E$559*$F$337)/(Inputs!$E$558-Inputs!$E$559),0),0)</f>
        <v>0</v>
      </c>
      <c r="K337" s="159">
        <f>IF('Revenue Calculation'!K7=2036,IF(Inputs!$E$558&gt;Inputs!$E$559,((1+Inputs!$E$559)*$E$337-Inputs!$E$559*$F$337)/(Inputs!$E$558-Inputs!$E$559),0),0)</f>
        <v>0</v>
      </c>
      <c r="L337" s="159">
        <f>IF('Revenue Calculation'!L7=2036,IF(Inputs!$E$558&gt;Inputs!$E$559,((1+Inputs!$E$559)*$E$337-Inputs!$E$559*$F$337)/(Inputs!$E$558-Inputs!$E$559),0),0)</f>
        <v>0</v>
      </c>
      <c r="M337" s="159">
        <f>IF('Revenue Calculation'!M7=2036,IF(Inputs!$E$558&gt;Inputs!$E$559,((1+Inputs!$E$559)*$E$337-Inputs!$E$559*$F$337)/(Inputs!$E$558-Inputs!$E$559),0),0)</f>
        <v>0</v>
      </c>
      <c r="N337" s="159">
        <f>IF('Revenue Calculation'!N7=2036,IF(Inputs!$E$558&gt;Inputs!$E$559,((1+Inputs!$E$559)*$E$337-Inputs!$E$559*$F$337)/(Inputs!$E$558-Inputs!$E$559),0),0)</f>
        <v>0</v>
      </c>
      <c r="O337" s="159">
        <f>IF('Revenue Calculation'!O7=2036,IF(Inputs!$E$558&gt;Inputs!$E$559,((1+Inputs!$E$559)*$E$337-Inputs!$E$559*$F$337)/(Inputs!$E$558-Inputs!$E$559),0),0)</f>
        <v>0</v>
      </c>
      <c r="P337" s="159">
        <f>IF('Revenue Calculation'!P7=2036,IF(Inputs!$E$558&gt;Inputs!$E$559,((1+Inputs!$E$559)*$E$337-Inputs!$E$559*$F$337)/(Inputs!$E$558-Inputs!$E$559),0),0)</f>
        <v>0</v>
      </c>
      <c r="Q337" s="159">
        <f>IF('Revenue Calculation'!Q7=2036,IF(Inputs!$E$558&gt;Inputs!$E$559,((1+Inputs!$E$559)*$E$337-Inputs!$E$559*$F$337)/(Inputs!$E$558-Inputs!$E$559),0),0)</f>
        <v>0</v>
      </c>
      <c r="R337" s="159">
        <f>IF('Revenue Calculation'!R7=2036,IF(Inputs!$E$558&gt;Inputs!$E$559,((1+Inputs!$E$559)*$E$337-Inputs!$E$559*$F$337)/(Inputs!$E$558-Inputs!$E$559),0),0)</f>
        <v>0</v>
      </c>
      <c r="S337" s="159">
        <f>IF('Revenue Calculation'!S7=2036,IF(Inputs!$E$558&gt;Inputs!$E$559,((1+Inputs!$E$559)*$E$337-Inputs!$E$559*$F$337)/(Inputs!$E$558-Inputs!$E$559),0),0)</f>
        <v>0</v>
      </c>
      <c r="T337" s="159">
        <f>IF('Revenue Calculation'!T7=2036,IF(Inputs!$E$558&gt;Inputs!$E$559,((1+Inputs!$E$559)*$E$337-Inputs!$E$559*$F$337)/(Inputs!$E$558-Inputs!$E$559),0),0)</f>
        <v>0</v>
      </c>
    </row>
    <row r="338" spans="2:20" x14ac:dyDescent="0.25">
      <c r="B338" s="23" t="s">
        <v>3231</v>
      </c>
      <c r="C338" s="28" t="s">
        <v>493</v>
      </c>
      <c r="G338" s="159">
        <v>0</v>
      </c>
      <c r="H338" s="159">
        <f t="shared" ref="H338:T338" si="88">H336+H337</f>
        <v>0</v>
      </c>
      <c r="I338" s="159">
        <f t="shared" si="88"/>
        <v>0</v>
      </c>
      <c r="J338" s="159">
        <f t="shared" si="88"/>
        <v>0</v>
      </c>
      <c r="K338" s="159">
        <f t="shared" si="88"/>
        <v>0</v>
      </c>
      <c r="L338" s="159">
        <f t="shared" si="88"/>
        <v>0</v>
      </c>
      <c r="M338" s="159">
        <f t="shared" si="88"/>
        <v>0</v>
      </c>
      <c r="N338" s="159">
        <f t="shared" si="88"/>
        <v>0</v>
      </c>
      <c r="O338" s="159">
        <f t="shared" si="88"/>
        <v>0</v>
      </c>
      <c r="P338" s="159">
        <f t="shared" si="88"/>
        <v>0</v>
      </c>
      <c r="Q338" s="159">
        <f t="shared" si="88"/>
        <v>0</v>
      </c>
      <c r="R338" s="159">
        <f t="shared" si="88"/>
        <v>0</v>
      </c>
      <c r="S338" s="159">
        <f t="shared" si="88"/>
        <v>0</v>
      </c>
      <c r="T338" s="159">
        <f t="shared" si="88"/>
        <v>0</v>
      </c>
    </row>
    <row r="339" spans="2:20" x14ac:dyDescent="0.25">
      <c r="B339" s="23" t="s">
        <v>3232</v>
      </c>
      <c r="C339" s="28" t="s">
        <v>493</v>
      </c>
      <c r="G339" s="159">
        <f>G338</f>
        <v>0</v>
      </c>
      <c r="H339" s="159">
        <f t="shared" ref="H339:T339" si="89">G339+H336</f>
        <v>0</v>
      </c>
      <c r="I339" s="159">
        <f t="shared" si="89"/>
        <v>0</v>
      </c>
      <c r="J339" s="159">
        <f t="shared" si="89"/>
        <v>0</v>
      </c>
      <c r="K339" s="159">
        <f t="shared" si="89"/>
        <v>0</v>
      </c>
      <c r="L339" s="159">
        <f t="shared" si="89"/>
        <v>0</v>
      </c>
      <c r="M339" s="159">
        <f t="shared" si="89"/>
        <v>0</v>
      </c>
      <c r="N339" s="159">
        <f t="shared" si="89"/>
        <v>0</v>
      </c>
      <c r="O339" s="159">
        <f t="shared" si="89"/>
        <v>0</v>
      </c>
      <c r="P339" s="159">
        <f t="shared" si="89"/>
        <v>0</v>
      </c>
      <c r="Q339" s="159">
        <f t="shared" si="89"/>
        <v>0</v>
      </c>
      <c r="R339" s="159">
        <f t="shared" si="89"/>
        <v>0</v>
      </c>
      <c r="S339" s="159">
        <f t="shared" si="89"/>
        <v>0</v>
      </c>
      <c r="T339" s="159">
        <f t="shared" si="89"/>
        <v>0</v>
      </c>
    </row>
    <row r="340" spans="2:20" x14ac:dyDescent="0.25">
      <c r="B340" s="154" t="s">
        <v>3252</v>
      </c>
    </row>
    <row r="341" spans="2:20" x14ac:dyDescent="0.25">
      <c r="B341" s="23" t="s">
        <v>3221</v>
      </c>
      <c r="C341" s="28" t="s">
        <v>493</v>
      </c>
      <c r="H341" s="29">
        <f>'Cost Calculation'!H214</f>
        <v>0</v>
      </c>
      <c r="I341" s="29">
        <f>'Cost Calculation'!I214</f>
        <v>0</v>
      </c>
      <c r="J341" s="29">
        <f>'Cost Calculation'!J214</f>
        <v>0</v>
      </c>
      <c r="K341" s="29">
        <f>'Cost Calculation'!K214</f>
        <v>0</v>
      </c>
      <c r="L341" s="29">
        <f>'Cost Calculation'!L214</f>
        <v>-1.5</v>
      </c>
      <c r="M341" s="29">
        <f>'Cost Calculation'!M214</f>
        <v>13.197749999999997</v>
      </c>
      <c r="N341" s="29">
        <f>'Cost Calculation'!N214</f>
        <v>20.002499999999998</v>
      </c>
      <c r="O341" s="29">
        <f>'Cost Calculation'!O214</f>
        <v>24.538999999999998</v>
      </c>
      <c r="P341" s="29">
        <f>'Cost Calculation'!P214</f>
        <v>26.80725</v>
      </c>
      <c r="Q341" s="29">
        <f>'Cost Calculation'!Q214</f>
        <v>26.80725</v>
      </c>
      <c r="R341" s="29">
        <f>'Cost Calculation'!R214</f>
        <v>26.80725</v>
      </c>
      <c r="S341" s="29">
        <f>'Cost Calculation'!S214</f>
        <v>26.80725</v>
      </c>
      <c r="T341" s="29">
        <f>'Cost Calculation'!T214</f>
        <v>26.80725</v>
      </c>
    </row>
    <row r="342" spans="2:20" x14ac:dyDescent="0.25">
      <c r="B342" s="23" t="s">
        <v>3222</v>
      </c>
      <c r="C342" s="28" t="s">
        <v>493</v>
      </c>
      <c r="H342" s="159">
        <f>'Cost Calculation'!H214-'Capex &amp; Depreciation'!H253</f>
        <v>0</v>
      </c>
      <c r="I342" s="159">
        <f>'Cost Calculation'!I214-'Capex &amp; Depreciation'!I253</f>
        <v>0</v>
      </c>
      <c r="J342" s="159">
        <f>'Cost Calculation'!J214-'Capex &amp; Depreciation'!J253</f>
        <v>0</v>
      </c>
      <c r="K342" s="159">
        <f>'Cost Calculation'!K214-'Capex &amp; Depreciation'!K253</f>
        <v>0</v>
      </c>
      <c r="L342" s="159">
        <f>'Cost Calculation'!L214-'Capex &amp; Depreciation'!L253</f>
        <v>-1.5</v>
      </c>
      <c r="M342" s="159">
        <f>'Cost Calculation'!M214-'Capex &amp; Depreciation'!M253</f>
        <v>1.8200429500342192</v>
      </c>
      <c r="N342" s="159">
        <f>'Cost Calculation'!N214-'Capex &amp; Depreciation'!N253</f>
        <v>8.6247929500342195</v>
      </c>
      <c r="O342" s="159">
        <f>'Cost Calculation'!O214-'Capex &amp; Depreciation'!O253</f>
        <v>13.161292950034222</v>
      </c>
      <c r="P342" s="159">
        <f>'Cost Calculation'!P214-'Capex &amp; Depreciation'!P253</f>
        <v>15.398371149897327</v>
      </c>
      <c r="Q342" s="159">
        <f>'Cost Calculation'!Q214-'Capex &amp; Depreciation'!Q253</f>
        <v>15.42954295003422</v>
      </c>
      <c r="R342" s="159">
        <f>'Cost Calculation'!R214-'Capex &amp; Depreciation'!R253</f>
        <v>15.429542950034229</v>
      </c>
      <c r="S342" s="159">
        <f>'Cost Calculation'!S214-'Capex &amp; Depreciation'!S253</f>
        <v>15.42954295003422</v>
      </c>
      <c r="T342" s="159">
        <f>'Cost Calculation'!T214-'Capex &amp; Depreciation'!T253</f>
        <v>15.398371149897327</v>
      </c>
    </row>
    <row r="343" spans="2:20" x14ac:dyDescent="0.25">
      <c r="B343" s="23" t="s">
        <v>3253</v>
      </c>
      <c r="C343" s="28" t="s">
        <v>493</v>
      </c>
      <c r="H343" s="29">
        <f>Financing!H54</f>
        <v>0</v>
      </c>
      <c r="I343" s="29">
        <f>Financing!I54</f>
        <v>0</v>
      </c>
      <c r="J343" s="29">
        <f>Financing!J54</f>
        <v>0</v>
      </c>
      <c r="K343" s="29">
        <f>Financing!K54</f>
        <v>0</v>
      </c>
      <c r="L343" s="29">
        <f>Financing!L54</f>
        <v>3.4156499999999999</v>
      </c>
      <c r="M343" s="29">
        <f>Financing!M54</f>
        <v>8.5391250000000003</v>
      </c>
      <c r="N343" s="29">
        <f>Financing!N54</f>
        <v>8.5391250000000003</v>
      </c>
      <c r="O343" s="29">
        <f>Financing!O54</f>
        <v>7.8559950000000001</v>
      </c>
      <c r="P343" s="29">
        <f>Financing!P54</f>
        <v>6.1481700000000004</v>
      </c>
      <c r="Q343" s="29">
        <f>Financing!Q54</f>
        <v>4.4403449999999998</v>
      </c>
      <c r="R343" s="29">
        <f>Financing!R54</f>
        <v>2.7325200000000001</v>
      </c>
      <c r="S343" s="29">
        <f>Financing!S54</f>
        <v>1.0246949999999999</v>
      </c>
      <c r="T343" s="29">
        <f>Financing!T54</f>
        <v>0</v>
      </c>
    </row>
    <row r="344" spans="2:20" x14ac:dyDescent="0.25">
      <c r="B344" s="23" t="s">
        <v>3224</v>
      </c>
      <c r="C344" s="28" t="s">
        <v>493</v>
      </c>
      <c r="H344" s="159">
        <f>Inputs!H522*MAX(0,H342-H343)</f>
        <v>0</v>
      </c>
      <c r="I344" s="159">
        <f>Inputs!I522*MAX(0,I342-I343)</f>
        <v>0</v>
      </c>
      <c r="J344" s="159">
        <f>Inputs!J522*MAX(0,J342-J343)</f>
        <v>0</v>
      </c>
      <c r="K344" s="159">
        <f>Inputs!K522*MAX(0,K342-K343)</f>
        <v>0</v>
      </c>
      <c r="L344" s="159">
        <f>Inputs!L522*MAX(0,L342-L343)</f>
        <v>0</v>
      </c>
      <c r="M344" s="159">
        <f>Inputs!M522*MAX(0,M342-M343)</f>
        <v>0</v>
      </c>
      <c r="N344" s="159">
        <f>Inputs!N522*MAX(0,N342-N343)</f>
        <v>1.884694900752823E-2</v>
      </c>
      <c r="O344" s="159">
        <f>Inputs!O522*MAX(0,O342-O343)</f>
        <v>1.1671655490075288</v>
      </c>
      <c r="P344" s="159">
        <f>Inputs!P522*MAX(0,P342-P343)</f>
        <v>2.035044252977412</v>
      </c>
      <c r="Q344" s="159">
        <f>Inputs!Q522*MAX(0,Q342-Q343)</f>
        <v>2.4176235490075286</v>
      </c>
      <c r="R344" s="159">
        <f>Inputs!R522*MAX(0,R342-R343)</f>
        <v>2.79334504900753</v>
      </c>
      <c r="S344" s="159">
        <f>Inputs!S522*MAX(0,S342-S343)</f>
        <v>3.1690665490075287</v>
      </c>
      <c r="T344" s="159">
        <f>Inputs!T522*MAX(0,T342-T343)</f>
        <v>3.387641652977412</v>
      </c>
    </row>
    <row r="345" spans="2:20" x14ac:dyDescent="0.25">
      <c r="B345" s="23" t="s">
        <v>3225</v>
      </c>
      <c r="C345" s="28" t="s">
        <v>493</v>
      </c>
      <c r="H345" s="159">
        <f t="shared" ref="H345:T345" si="90">H342-H343-H344</f>
        <v>0</v>
      </c>
      <c r="I345" s="159">
        <f t="shared" si="90"/>
        <v>0</v>
      </c>
      <c r="J345" s="159">
        <f t="shared" si="90"/>
        <v>0</v>
      </c>
      <c r="K345" s="159">
        <f t="shared" si="90"/>
        <v>0</v>
      </c>
      <c r="L345" s="159">
        <f t="shared" si="90"/>
        <v>-4.9156499999999994</v>
      </c>
      <c r="M345" s="159">
        <f t="shared" si="90"/>
        <v>-6.7190820499657811</v>
      </c>
      <c r="N345" s="159">
        <f t="shared" si="90"/>
        <v>6.6821001026691002E-2</v>
      </c>
      <c r="O345" s="159">
        <f t="shared" si="90"/>
        <v>4.1381324010266924</v>
      </c>
      <c r="P345" s="159">
        <f t="shared" si="90"/>
        <v>7.2151568969199147</v>
      </c>
      <c r="Q345" s="159">
        <f t="shared" si="90"/>
        <v>8.5715744010266928</v>
      </c>
      <c r="R345" s="159">
        <f t="shared" si="90"/>
        <v>9.9036779010266969</v>
      </c>
      <c r="S345" s="159">
        <f t="shared" si="90"/>
        <v>11.235781401026692</v>
      </c>
      <c r="T345" s="159">
        <f t="shared" si="90"/>
        <v>12.010729496919915</v>
      </c>
    </row>
    <row r="346" spans="2:20" x14ac:dyDescent="0.25">
      <c r="B346" s="23" t="s">
        <v>3226</v>
      </c>
      <c r="C346" s="28" t="s">
        <v>493</v>
      </c>
      <c r="H346" s="159">
        <f>-Inputs!H522*MAX(0,H342)</f>
        <v>0</v>
      </c>
      <c r="I346" s="159">
        <f>-Inputs!I522*MAX(0,I342)</f>
        <v>0</v>
      </c>
      <c r="J346" s="159">
        <f>-Inputs!J522*MAX(0,J342)</f>
        <v>0</v>
      </c>
      <c r="K346" s="159">
        <f>-Inputs!K522*MAX(0,K342)</f>
        <v>0</v>
      </c>
      <c r="L346" s="159">
        <f>-Inputs!L522*MAX(0,L342)</f>
        <v>0</v>
      </c>
      <c r="M346" s="159">
        <f>-Inputs!M522*MAX(0,M342)</f>
        <v>-0.40040944900752823</v>
      </c>
      <c r="N346" s="159">
        <f>-Inputs!N522*MAX(0,N342)</f>
        <v>-1.8974544490075282</v>
      </c>
      <c r="O346" s="159">
        <f>-Inputs!O522*MAX(0,O342)</f>
        <v>-2.8954844490075287</v>
      </c>
      <c r="P346" s="159">
        <f>-Inputs!P522*MAX(0,P342)</f>
        <v>-3.387641652977412</v>
      </c>
      <c r="Q346" s="159">
        <f>-Inputs!Q522*MAX(0,Q342)</f>
        <v>-3.3944994490075282</v>
      </c>
      <c r="R346" s="159">
        <f>-Inputs!R522*MAX(0,R342)</f>
        <v>-3.3944994490075304</v>
      </c>
      <c r="S346" s="159">
        <f>-Inputs!S522*MAX(0,S342)</f>
        <v>-3.3944994490075282</v>
      </c>
      <c r="T346" s="159">
        <f>-Inputs!T522*MAX(0,T342)</f>
        <v>-3.387641652977412</v>
      </c>
    </row>
    <row r="347" spans="2:20" x14ac:dyDescent="0.25">
      <c r="B347" s="23" t="s">
        <v>3227</v>
      </c>
      <c r="C347" s="28" t="s">
        <v>493</v>
      </c>
      <c r="H347" s="159">
        <f>-'Capex &amp; Depreciation'!H280</f>
        <v>0</v>
      </c>
      <c r="I347" s="159">
        <f>-'Capex &amp; Depreciation'!I280</f>
        <v>0</v>
      </c>
      <c r="J347" s="159">
        <f>-'Capex &amp; Depreciation'!J280</f>
        <v>0</v>
      </c>
      <c r="K347" s="159">
        <f>-'Capex &amp; Depreciation'!K280</f>
        <v>-65.06</v>
      </c>
      <c r="L347" s="159">
        <f>-'Capex &amp; Depreciation'!L280</f>
        <v>-97.59</v>
      </c>
      <c r="M347" s="159">
        <f>-'Capex &amp; Depreciation'!M280</f>
        <v>0</v>
      </c>
      <c r="N347" s="159">
        <f>-'Capex &amp; Depreciation'!N280</f>
        <v>0</v>
      </c>
      <c r="O347" s="159">
        <f>-'Capex &amp; Depreciation'!O280</f>
        <v>0</v>
      </c>
      <c r="P347" s="159">
        <f>-'Capex &amp; Depreciation'!P280</f>
        <v>0</v>
      </c>
      <c r="Q347" s="159">
        <f>-'Capex &amp; Depreciation'!Q280</f>
        <v>0</v>
      </c>
      <c r="R347" s="159">
        <f>-'Capex &amp; Depreciation'!R280</f>
        <v>0</v>
      </c>
      <c r="S347" s="159">
        <f>-'Capex &amp; Depreciation'!S280</f>
        <v>0</v>
      </c>
      <c r="T347" s="159">
        <f>-'Capex &amp; Depreciation'!T280</f>
        <v>0</v>
      </c>
    </row>
    <row r="348" spans="2:20" x14ac:dyDescent="0.25">
      <c r="B348" s="23" t="s">
        <v>3228</v>
      </c>
      <c r="C348" s="28" t="s">
        <v>493</v>
      </c>
      <c r="H348" s="159">
        <f>-('Working Capital'!H103-'Working Capital'!G103)</f>
        <v>0</v>
      </c>
      <c r="I348" s="159">
        <f>-('Working Capital'!I103-'Working Capital'!H103)</f>
        <v>0</v>
      </c>
      <c r="J348" s="159">
        <f>-('Working Capital'!J103-'Working Capital'!I103)</f>
        <v>0</v>
      </c>
      <c r="K348" s="159">
        <f>-('Working Capital'!K103-'Working Capital'!J103)</f>
        <v>0</v>
      </c>
      <c r="L348" s="159">
        <f>-('Working Capital'!L103-'Working Capital'!K103)</f>
        <v>0</v>
      </c>
      <c r="M348" s="159">
        <f>-('Working Capital'!M103-'Working Capital'!L103)</f>
        <v>-2.5718013698630138</v>
      </c>
      <c r="N348" s="159">
        <f>-('Working Capital'!N103-'Working Capital'!M103)</f>
        <v>-0.90881506849315041</v>
      </c>
      <c r="O348" s="159">
        <f>-('Working Capital'!O103-'Working Capital'!N103)</f>
        <v>-0.60587671232876783</v>
      </c>
      <c r="P348" s="159">
        <f>-('Working Capital'!P103-'Working Capital'!O103)</f>
        <v>-0.2909453739052319</v>
      </c>
      <c r="Q348" s="159">
        <f>-('Working Capital'!Q103-'Working Capital'!P103)</f>
        <v>-1.1992982259151574E-2</v>
      </c>
      <c r="R348" s="159">
        <f>-('Working Capital'!R103-'Working Capital'!Q103)</f>
        <v>0</v>
      </c>
      <c r="S348" s="159">
        <f>-('Working Capital'!S103-'Working Capital'!R103)</f>
        <v>0</v>
      </c>
      <c r="T348" s="159">
        <f>-('Working Capital'!T103-'Working Capital'!S103)</f>
        <v>1.1992982259151574E-2</v>
      </c>
    </row>
    <row r="349" spans="2:20" ht="26.25" customHeight="1" x14ac:dyDescent="0.25">
      <c r="B349" s="133" t="s">
        <v>3229</v>
      </c>
      <c r="C349" s="28" t="s">
        <v>493</v>
      </c>
      <c r="H349" s="160">
        <f t="shared" ref="H349:T349" si="91">H341+H346+H347+H348</f>
        <v>0</v>
      </c>
      <c r="I349" s="160">
        <f t="shared" si="91"/>
        <v>0</v>
      </c>
      <c r="J349" s="160">
        <f t="shared" si="91"/>
        <v>0</v>
      </c>
      <c r="K349" s="160">
        <f t="shared" si="91"/>
        <v>-65.06</v>
      </c>
      <c r="L349" s="160">
        <f t="shared" si="91"/>
        <v>-99.09</v>
      </c>
      <c r="M349" s="160">
        <f t="shared" si="91"/>
        <v>10.225539181129456</v>
      </c>
      <c r="N349" s="160">
        <f t="shared" si="91"/>
        <v>17.196230482499317</v>
      </c>
      <c r="O349" s="160">
        <f t="shared" si="91"/>
        <v>21.0376388386637</v>
      </c>
      <c r="P349" s="160">
        <f t="shared" si="91"/>
        <v>23.128662973117358</v>
      </c>
      <c r="Q349" s="160">
        <f t="shared" si="91"/>
        <v>23.400757568733319</v>
      </c>
      <c r="R349" s="160">
        <f t="shared" si="91"/>
        <v>23.41275055099247</v>
      </c>
      <c r="S349" s="160">
        <f t="shared" si="91"/>
        <v>23.41275055099247</v>
      </c>
      <c r="T349" s="160">
        <f t="shared" si="91"/>
        <v>23.43160132928174</v>
      </c>
    </row>
    <row r="350" spans="2:20" x14ac:dyDescent="0.25">
      <c r="B350" s="23" t="s">
        <v>3230</v>
      </c>
      <c r="C350" s="28" t="s">
        <v>493</v>
      </c>
      <c r="E350" s="159">
        <f>'Cost Calculation'!T214-MAX(0,Inputs!$E$554*('Cost Calculation'!T214-Inputs!$E$550*'Revenue Calculation'!T186))-Inputs!$E$550*'Revenue Calculation'!T186</f>
        <v>19.405970999999997</v>
      </c>
      <c r="F350" s="29">
        <f>'Working Capital'!T103</f>
        <v>4.3774385245901639</v>
      </c>
      <c r="H350" s="159">
        <f>IF('Revenue Calculation'!H7=2036,IF(Inputs!$E$558&gt;Inputs!$E$559,((1+Inputs!$E$559)*$E$350-Inputs!$E$559*$F$350)/(Inputs!$E$558-Inputs!$E$559),0),0)</f>
        <v>0</v>
      </c>
      <c r="I350" s="159">
        <f>IF('Revenue Calculation'!I7=2036,IF(Inputs!$E$558&gt;Inputs!$E$559,((1+Inputs!$E$559)*$E$350-Inputs!$E$559*$F$350)/(Inputs!$E$558-Inputs!$E$559),0),0)</f>
        <v>0</v>
      </c>
      <c r="J350" s="159">
        <f>IF('Revenue Calculation'!J7=2036,IF(Inputs!$E$558&gt;Inputs!$E$559,((1+Inputs!$E$559)*$E$350-Inputs!$E$559*$F$350)/(Inputs!$E$558-Inputs!$E$559),0),0)</f>
        <v>0</v>
      </c>
      <c r="K350" s="159">
        <f>IF('Revenue Calculation'!K7=2036,IF(Inputs!$E$558&gt;Inputs!$E$559,((1+Inputs!$E$559)*$E$350-Inputs!$E$559*$F$350)/(Inputs!$E$558-Inputs!$E$559),0),0)</f>
        <v>0</v>
      </c>
      <c r="L350" s="159">
        <f>IF('Revenue Calculation'!L7=2036,IF(Inputs!$E$558&gt;Inputs!$E$559,((1+Inputs!$E$559)*$E$350-Inputs!$E$559*$F$350)/(Inputs!$E$558-Inputs!$E$559),0),0)</f>
        <v>0</v>
      </c>
      <c r="M350" s="159">
        <f>IF('Revenue Calculation'!M7=2036,IF(Inputs!$E$558&gt;Inputs!$E$559,((1+Inputs!$E$559)*$E$350-Inputs!$E$559*$F$350)/(Inputs!$E$558-Inputs!$E$559),0),0)</f>
        <v>0</v>
      </c>
      <c r="N350" s="159">
        <f>IF('Revenue Calculation'!N7=2036,IF(Inputs!$E$558&gt;Inputs!$E$559,((1+Inputs!$E$559)*$E$350-Inputs!$E$559*$F$350)/(Inputs!$E$558-Inputs!$E$559),0),0)</f>
        <v>0</v>
      </c>
      <c r="O350" s="159">
        <f>IF('Revenue Calculation'!O7=2036,IF(Inputs!$E$558&gt;Inputs!$E$559,((1+Inputs!$E$559)*$E$350-Inputs!$E$559*$F$350)/(Inputs!$E$558-Inputs!$E$559),0),0)</f>
        <v>0</v>
      </c>
      <c r="P350" s="159">
        <f>IF('Revenue Calculation'!P7=2036,IF(Inputs!$E$558&gt;Inputs!$E$559,((1+Inputs!$E$559)*$E$350-Inputs!$E$559*$F$350)/(Inputs!$E$558-Inputs!$E$559),0),0)</f>
        <v>0</v>
      </c>
      <c r="Q350" s="159">
        <f>IF('Revenue Calculation'!Q7=2036,IF(Inputs!$E$558&gt;Inputs!$E$559,((1+Inputs!$E$559)*$E$350-Inputs!$E$559*$F$350)/(Inputs!$E$558-Inputs!$E$559),0),0)</f>
        <v>0</v>
      </c>
      <c r="R350" s="159">
        <f>IF('Revenue Calculation'!R7=2036,IF(Inputs!$E$558&gt;Inputs!$E$559,((1+Inputs!$E$559)*$E$350-Inputs!$E$559*$F$350)/(Inputs!$E$558-Inputs!$E$559),0),0)</f>
        <v>0</v>
      </c>
      <c r="S350" s="159">
        <f>IF('Revenue Calculation'!S7=2036,IF(Inputs!$E$558&gt;Inputs!$E$559,((1+Inputs!$E$559)*$E$350-Inputs!$E$559*$F$350)/(Inputs!$E$558-Inputs!$E$559),0),0)</f>
        <v>0</v>
      </c>
      <c r="T350" s="159">
        <f>IF('Revenue Calculation'!T7=2036,IF(Inputs!$E$558&gt;Inputs!$E$559,((1+Inputs!$E$559)*$E$350-Inputs!$E$559*$F$350)/(Inputs!$E$558-Inputs!$E$559),0),0)</f>
        <v>223.95308295147279</v>
      </c>
    </row>
    <row r="351" spans="2:20" x14ac:dyDescent="0.25">
      <c r="B351" s="23" t="s">
        <v>3231</v>
      </c>
      <c r="C351" s="28" t="s">
        <v>493</v>
      </c>
      <c r="G351" s="159">
        <v>0</v>
      </c>
      <c r="H351" s="159">
        <f t="shared" ref="H351:T351" si="92">H349+H350</f>
        <v>0</v>
      </c>
      <c r="I351" s="159">
        <f t="shared" si="92"/>
        <v>0</v>
      </c>
      <c r="J351" s="159">
        <f t="shared" si="92"/>
        <v>0</v>
      </c>
      <c r="K351" s="159">
        <f t="shared" si="92"/>
        <v>-65.06</v>
      </c>
      <c r="L351" s="159">
        <f t="shared" si="92"/>
        <v>-99.09</v>
      </c>
      <c r="M351" s="159">
        <f t="shared" si="92"/>
        <v>10.225539181129456</v>
      </c>
      <c r="N351" s="159">
        <f t="shared" si="92"/>
        <v>17.196230482499317</v>
      </c>
      <c r="O351" s="159">
        <f t="shared" si="92"/>
        <v>21.0376388386637</v>
      </c>
      <c r="P351" s="159">
        <f t="shared" si="92"/>
        <v>23.128662973117358</v>
      </c>
      <c r="Q351" s="159">
        <f t="shared" si="92"/>
        <v>23.400757568733319</v>
      </c>
      <c r="R351" s="159">
        <f t="shared" si="92"/>
        <v>23.41275055099247</v>
      </c>
      <c r="S351" s="159">
        <f t="shared" si="92"/>
        <v>23.41275055099247</v>
      </c>
      <c r="T351" s="159">
        <f t="shared" si="92"/>
        <v>247.38468428075453</v>
      </c>
    </row>
    <row r="352" spans="2:20" x14ac:dyDescent="0.25">
      <c r="B352" s="23" t="s">
        <v>3232</v>
      </c>
      <c r="C352" s="28" t="s">
        <v>493</v>
      </c>
      <c r="G352" s="159">
        <f>G351</f>
        <v>0</v>
      </c>
      <c r="H352" s="159">
        <f t="shared" ref="H352:T352" si="93">G352+H349</f>
        <v>0</v>
      </c>
      <c r="I352" s="159">
        <f t="shared" si="93"/>
        <v>0</v>
      </c>
      <c r="J352" s="159">
        <f t="shared" si="93"/>
        <v>0</v>
      </c>
      <c r="K352" s="159">
        <f t="shared" si="93"/>
        <v>-65.06</v>
      </c>
      <c r="L352" s="159">
        <f t="shared" si="93"/>
        <v>-164.15</v>
      </c>
      <c r="M352" s="159">
        <f t="shared" si="93"/>
        <v>-153.92446081887056</v>
      </c>
      <c r="N352" s="159">
        <f t="shared" si="93"/>
        <v>-136.72823033637124</v>
      </c>
      <c r="O352" s="159">
        <f t="shared" si="93"/>
        <v>-115.69059149770754</v>
      </c>
      <c r="P352" s="159">
        <f t="shared" si="93"/>
        <v>-92.561928524590186</v>
      </c>
      <c r="Q352" s="159">
        <f t="shared" si="93"/>
        <v>-69.161170955856875</v>
      </c>
      <c r="R352" s="159">
        <f t="shared" si="93"/>
        <v>-45.748420404864405</v>
      </c>
      <c r="S352" s="159">
        <f t="shared" si="93"/>
        <v>-22.335669853871934</v>
      </c>
      <c r="T352" s="159">
        <f t="shared" si="93"/>
        <v>1.095931475409806</v>
      </c>
    </row>
    <row r="354" spans="2:20" x14ac:dyDescent="0.25">
      <c r="B354" s="58" t="s">
        <v>3254</v>
      </c>
      <c r="C354" s="19"/>
      <c r="D354" s="19"/>
      <c r="E354" s="19"/>
      <c r="F354" s="19"/>
      <c r="G354" s="19"/>
      <c r="H354" s="19"/>
      <c r="I354" s="19"/>
      <c r="J354" s="19"/>
      <c r="K354" s="19"/>
      <c r="L354" s="19"/>
      <c r="M354" s="19"/>
      <c r="N354" s="19"/>
      <c r="O354" s="19"/>
      <c r="P354" s="19"/>
      <c r="Q354" s="19"/>
      <c r="R354" s="19"/>
      <c r="S354" s="19"/>
      <c r="T354" s="19"/>
    </row>
    <row r="355" spans="2:20" x14ac:dyDescent="0.25">
      <c r="B355" s="23" t="s">
        <v>3255</v>
      </c>
      <c r="C355" s="28" t="s">
        <v>493</v>
      </c>
      <c r="E355" s="159">
        <f>$E$64+$E$155+$E$207</f>
        <v>131.59227053925764</v>
      </c>
      <c r="F355" s="159">
        <f>$F$64+$F$155+$F$207</f>
        <v>26.569120453809049</v>
      </c>
      <c r="H355" s="159">
        <f t="shared" ref="H355:T355" si="94">H63+H154+H206</f>
        <v>80.160746263983484</v>
      </c>
      <c r="I355" s="159">
        <f t="shared" si="94"/>
        <v>98.699581793222194</v>
      </c>
      <c r="J355" s="159">
        <f t="shared" si="94"/>
        <v>40.060326126376552</v>
      </c>
      <c r="K355" s="159">
        <f t="shared" si="94"/>
        <v>113.5832236145896</v>
      </c>
      <c r="L355" s="159">
        <f t="shared" si="94"/>
        <v>117.77129393935532</v>
      </c>
      <c r="M355" s="159">
        <f t="shared" si="94"/>
        <v>123.89173990891709</v>
      </c>
      <c r="N355" s="159">
        <f t="shared" si="94"/>
        <v>127.22350084254862</v>
      </c>
      <c r="O355" s="159">
        <f t="shared" si="94"/>
        <v>129.89855375641721</v>
      </c>
      <c r="P355" s="159">
        <f t="shared" si="94"/>
        <v>136.91439472509319</v>
      </c>
      <c r="Q355" s="159">
        <f t="shared" si="94"/>
        <v>140.42789870077704</v>
      </c>
      <c r="R355" s="159">
        <f t="shared" si="94"/>
        <v>143.45943817673233</v>
      </c>
      <c r="S355" s="159">
        <f t="shared" si="94"/>
        <v>146.47614574840154</v>
      </c>
      <c r="T355" s="159">
        <f t="shared" si="94"/>
        <v>149.61593586786924</v>
      </c>
    </row>
    <row r="356" spans="2:20" x14ac:dyDescent="0.25">
      <c r="B356" s="23" t="s">
        <v>3256</v>
      </c>
      <c r="C356" s="28" t="s">
        <v>493</v>
      </c>
      <c r="E356" s="159">
        <f>$E$311</f>
        <v>0</v>
      </c>
      <c r="F356" s="159">
        <f>$F$311</f>
        <v>0</v>
      </c>
      <c r="H356" s="159">
        <f t="shared" ref="H356:T356" si="95">H310</f>
        <v>0</v>
      </c>
      <c r="I356" s="159">
        <f t="shared" si="95"/>
        <v>0</v>
      </c>
      <c r="J356" s="159">
        <f t="shared" si="95"/>
        <v>0</v>
      </c>
      <c r="K356" s="159">
        <f t="shared" si="95"/>
        <v>0</v>
      </c>
      <c r="L356" s="159">
        <f t="shared" si="95"/>
        <v>0</v>
      </c>
      <c r="M356" s="159">
        <f t="shared" si="95"/>
        <v>0</v>
      </c>
      <c r="N356" s="159">
        <f t="shared" si="95"/>
        <v>0</v>
      </c>
      <c r="O356" s="159">
        <f t="shared" si="95"/>
        <v>0</v>
      </c>
      <c r="P356" s="159">
        <f t="shared" si="95"/>
        <v>0</v>
      </c>
      <c r="Q356" s="159">
        <f t="shared" si="95"/>
        <v>0</v>
      </c>
      <c r="R356" s="159">
        <f t="shared" si="95"/>
        <v>0</v>
      </c>
      <c r="S356" s="159">
        <f t="shared" si="95"/>
        <v>0</v>
      </c>
      <c r="T356" s="159">
        <f t="shared" si="95"/>
        <v>0</v>
      </c>
    </row>
    <row r="357" spans="2:20" x14ac:dyDescent="0.25">
      <c r="B357" s="23" t="s">
        <v>3257</v>
      </c>
      <c r="C357" s="28" t="s">
        <v>493</v>
      </c>
      <c r="E357" s="159">
        <f>$E$324</f>
        <v>0</v>
      </c>
      <c r="F357" s="159">
        <f>$F$324</f>
        <v>0</v>
      </c>
      <c r="H357" s="159">
        <f t="shared" ref="H357:T357" si="96">H323</f>
        <v>0</v>
      </c>
      <c r="I357" s="159">
        <f t="shared" si="96"/>
        <v>0</v>
      </c>
      <c r="J357" s="159">
        <f t="shared" si="96"/>
        <v>0</v>
      </c>
      <c r="K357" s="159">
        <f t="shared" si="96"/>
        <v>0</v>
      </c>
      <c r="L357" s="159">
        <f t="shared" si="96"/>
        <v>0</v>
      </c>
      <c r="M357" s="159">
        <f t="shared" si="96"/>
        <v>0</v>
      </c>
      <c r="N357" s="159">
        <f t="shared" si="96"/>
        <v>0</v>
      </c>
      <c r="O357" s="159">
        <f t="shared" si="96"/>
        <v>0</v>
      </c>
      <c r="P357" s="159">
        <f t="shared" si="96"/>
        <v>0</v>
      </c>
      <c r="Q357" s="159">
        <f t="shared" si="96"/>
        <v>0</v>
      </c>
      <c r="R357" s="159">
        <f t="shared" si="96"/>
        <v>0</v>
      </c>
      <c r="S357" s="159">
        <f t="shared" si="96"/>
        <v>0</v>
      </c>
      <c r="T357" s="159">
        <f t="shared" si="96"/>
        <v>0</v>
      </c>
    </row>
    <row r="358" spans="2:20" x14ac:dyDescent="0.25">
      <c r="B358" s="23" t="s">
        <v>3258</v>
      </c>
      <c r="C358" s="28" t="s">
        <v>493</v>
      </c>
      <c r="E358" s="159">
        <f>$E$337</f>
        <v>0</v>
      </c>
      <c r="F358" s="159">
        <f>$F$337</f>
        <v>0</v>
      </c>
      <c r="H358" s="159">
        <f t="shared" ref="H358:T358" si="97">H336</f>
        <v>0</v>
      </c>
      <c r="I358" s="159">
        <f t="shared" si="97"/>
        <v>0</v>
      </c>
      <c r="J358" s="159">
        <f t="shared" si="97"/>
        <v>0</v>
      </c>
      <c r="K358" s="159">
        <f t="shared" si="97"/>
        <v>0</v>
      </c>
      <c r="L358" s="159">
        <f t="shared" si="97"/>
        <v>0</v>
      </c>
      <c r="M358" s="159">
        <f t="shared" si="97"/>
        <v>0</v>
      </c>
      <c r="N358" s="159">
        <f t="shared" si="97"/>
        <v>0</v>
      </c>
      <c r="O358" s="159">
        <f t="shared" si="97"/>
        <v>0</v>
      </c>
      <c r="P358" s="159">
        <f t="shared" si="97"/>
        <v>0</v>
      </c>
      <c r="Q358" s="159">
        <f t="shared" si="97"/>
        <v>0</v>
      </c>
      <c r="R358" s="159">
        <f t="shared" si="97"/>
        <v>0</v>
      </c>
      <c r="S358" s="159">
        <f t="shared" si="97"/>
        <v>0</v>
      </c>
      <c r="T358" s="159">
        <f t="shared" si="97"/>
        <v>0</v>
      </c>
    </row>
    <row r="359" spans="2:20" x14ac:dyDescent="0.25">
      <c r="B359" s="23" t="s">
        <v>3259</v>
      </c>
      <c r="C359" s="28" t="s">
        <v>493</v>
      </c>
      <c r="E359" s="159">
        <f>$E$350</f>
        <v>19.405970999999997</v>
      </c>
      <c r="F359" s="159">
        <f>$F$350</f>
        <v>4.3774385245901639</v>
      </c>
      <c r="H359" s="159">
        <f t="shared" ref="H359:T359" si="98">H349</f>
        <v>0</v>
      </c>
      <c r="I359" s="159">
        <f t="shared" si="98"/>
        <v>0</v>
      </c>
      <c r="J359" s="159">
        <f t="shared" si="98"/>
        <v>0</v>
      </c>
      <c r="K359" s="159">
        <f t="shared" si="98"/>
        <v>-65.06</v>
      </c>
      <c r="L359" s="159">
        <f t="shared" si="98"/>
        <v>-99.09</v>
      </c>
      <c r="M359" s="159">
        <f t="shared" si="98"/>
        <v>10.225539181129456</v>
      </c>
      <c r="N359" s="159">
        <f t="shared" si="98"/>
        <v>17.196230482499317</v>
      </c>
      <c r="O359" s="159">
        <f t="shared" si="98"/>
        <v>21.0376388386637</v>
      </c>
      <c r="P359" s="159">
        <f t="shared" si="98"/>
        <v>23.128662973117358</v>
      </c>
      <c r="Q359" s="159">
        <f t="shared" si="98"/>
        <v>23.400757568733319</v>
      </c>
      <c r="R359" s="159">
        <f t="shared" si="98"/>
        <v>23.41275055099247</v>
      </c>
      <c r="S359" s="159">
        <f t="shared" si="98"/>
        <v>23.41275055099247</v>
      </c>
      <c r="T359" s="159">
        <f t="shared" si="98"/>
        <v>23.43160132928174</v>
      </c>
    </row>
    <row r="360" spans="2:20" ht="38.25" customHeight="1" x14ac:dyDescent="0.25">
      <c r="B360" s="133" t="s">
        <v>3260</v>
      </c>
      <c r="C360" s="28" t="s">
        <v>493</v>
      </c>
      <c r="E360" s="159">
        <f>(1-Inputs!$E$531)*$E$355+(1-IF(ISNUMBER(Inputs!$E$606),Inputs!$E$606,1))*$E$356+(1-IF(ISNUMBER(Inputs!$E$640),Inputs!$E$640,1))*$E$357+(1-IF(ISNUMBER(Inputs!$E$674),Inputs!$E$674,1))*$E$358+(1-Inputs!$E$569)*$E$359</f>
        <v>46.057294688740171</v>
      </c>
      <c r="F360" s="159">
        <f>(1-Inputs!$E$531)*$F$355+(1-IF(ISNUMBER(Inputs!$E$606),Inputs!$E$606,1))*$F$356+(1-IF(ISNUMBER(Inputs!$E$640),Inputs!$E$640,1))*$F$357+(1-IF(ISNUMBER(Inputs!$E$674),Inputs!$E$674,1))*$F$358+(1-Inputs!$E$569)*$F$359</f>
        <v>9.2991921588331667</v>
      </c>
      <c r="H360" s="160">
        <f>(1-Inputs!$E$531)*H355+(1-IF(ISNUMBER(Inputs!$E$606),Inputs!$E$606,1))*H356+(1-IF(ISNUMBER(Inputs!$E$640),Inputs!$E$640,1))*H357+(1-IF(ISNUMBER(Inputs!$E$674),Inputs!$E$674,1))*H358+(1-Inputs!$E$569)*H359</f>
        <v>28.056261192394217</v>
      </c>
      <c r="I360" s="160">
        <f>(1-Inputs!$E$531)*I355+(1-IF(ISNUMBER(Inputs!$E$606),Inputs!$E$606,1))*I356+(1-IF(ISNUMBER(Inputs!$E$640),Inputs!$E$640,1))*I357+(1-IF(ISNUMBER(Inputs!$E$674),Inputs!$E$674,1))*I358+(1-Inputs!$E$569)*I359</f>
        <v>34.544853627627766</v>
      </c>
      <c r="J360" s="160">
        <f>(1-Inputs!$E$531)*J355+(1-IF(ISNUMBER(Inputs!$E$606),Inputs!$E$606,1))*J356+(1-IF(ISNUMBER(Inputs!$E$640),Inputs!$E$640,1))*J357+(1-IF(ISNUMBER(Inputs!$E$674),Inputs!$E$674,1))*J358+(1-Inputs!$E$569)*J359</f>
        <v>14.021114144231792</v>
      </c>
      <c r="K360" s="160">
        <f>(1-Inputs!$E$531)*K355+(1-IF(ISNUMBER(Inputs!$E$606),Inputs!$E$606,1))*K356+(1-IF(ISNUMBER(Inputs!$E$640),Inputs!$E$640,1))*K357+(1-IF(ISNUMBER(Inputs!$E$674),Inputs!$E$674,1))*K358+(1-Inputs!$E$569)*K359</f>
        <v>39.75412826510636</v>
      </c>
      <c r="L360" s="160">
        <f>(1-Inputs!$E$531)*L355+(1-IF(ISNUMBER(Inputs!$E$606),Inputs!$E$606,1))*L356+(1-IF(ISNUMBER(Inputs!$E$640),Inputs!$E$640,1))*L357+(1-IF(ISNUMBER(Inputs!$E$674),Inputs!$E$674,1))*L358+(1-Inputs!$E$569)*L359</f>
        <v>41.219952878774357</v>
      </c>
      <c r="M360" s="160">
        <f>(1-Inputs!$E$531)*M355+(1-IF(ISNUMBER(Inputs!$E$606),Inputs!$E$606,1))*M356+(1-IF(ISNUMBER(Inputs!$E$640),Inputs!$E$640,1))*M357+(1-IF(ISNUMBER(Inputs!$E$674),Inputs!$E$674,1))*M358+(1-Inputs!$E$569)*M359</f>
        <v>43.362108968120978</v>
      </c>
      <c r="N360" s="160">
        <f>(1-Inputs!$E$531)*N355+(1-IF(ISNUMBER(Inputs!$E$606),Inputs!$E$606,1))*N356+(1-IF(ISNUMBER(Inputs!$E$640),Inputs!$E$640,1))*N357+(1-IF(ISNUMBER(Inputs!$E$674),Inputs!$E$674,1))*N358+(1-Inputs!$E$569)*N359</f>
        <v>44.52822529489201</v>
      </c>
      <c r="O360" s="160">
        <f>(1-Inputs!$E$531)*O355+(1-IF(ISNUMBER(Inputs!$E$606),Inputs!$E$606,1))*O356+(1-IF(ISNUMBER(Inputs!$E$640),Inputs!$E$640,1))*O357+(1-IF(ISNUMBER(Inputs!$E$674),Inputs!$E$674,1))*O358+(1-Inputs!$E$569)*O359</f>
        <v>45.464493814746021</v>
      </c>
      <c r="P360" s="160">
        <f>(1-Inputs!$E$531)*P355+(1-IF(ISNUMBER(Inputs!$E$606),Inputs!$E$606,1))*P356+(1-IF(ISNUMBER(Inputs!$E$640),Inputs!$E$640,1))*P357+(1-IF(ISNUMBER(Inputs!$E$674),Inputs!$E$674,1))*P358+(1-Inputs!$E$569)*P359</f>
        <v>47.920038153782613</v>
      </c>
      <c r="Q360" s="160">
        <f>(1-Inputs!$E$531)*Q355+(1-IF(ISNUMBER(Inputs!$E$606),Inputs!$E$606,1))*Q356+(1-IF(ISNUMBER(Inputs!$E$640),Inputs!$E$640,1))*Q357+(1-IF(ISNUMBER(Inputs!$E$674),Inputs!$E$674,1))*Q358+(1-Inputs!$E$569)*Q359</f>
        <v>49.149764545271957</v>
      </c>
      <c r="R360" s="160">
        <f>(1-Inputs!$E$531)*R355+(1-IF(ISNUMBER(Inputs!$E$606),Inputs!$E$606,1))*R356+(1-IF(ISNUMBER(Inputs!$E$640),Inputs!$E$640,1))*R357+(1-IF(ISNUMBER(Inputs!$E$674),Inputs!$E$674,1))*R358+(1-Inputs!$E$569)*R359</f>
        <v>50.210803361856314</v>
      </c>
      <c r="S360" s="160">
        <f>(1-Inputs!$E$531)*S355+(1-IF(ISNUMBER(Inputs!$E$606),Inputs!$E$606,1))*S356+(1-IF(ISNUMBER(Inputs!$E$640),Inputs!$E$640,1))*S357+(1-IF(ISNUMBER(Inputs!$E$674),Inputs!$E$674,1))*S358+(1-Inputs!$E$569)*S359</f>
        <v>51.266651011940532</v>
      </c>
      <c r="T360" s="160">
        <f>(1-Inputs!$E$531)*T355+(1-IF(ISNUMBER(Inputs!$E$606),Inputs!$E$606,1))*T356+(1-IF(ISNUMBER(Inputs!$E$640),Inputs!$E$640,1))*T357+(1-IF(ISNUMBER(Inputs!$E$674),Inputs!$E$674,1))*T358+(1-Inputs!$E$569)*T359</f>
        <v>52.365577553754228</v>
      </c>
    </row>
    <row r="361" spans="2:20" x14ac:dyDescent="0.25">
      <c r="B361" s="23" t="s">
        <v>3261</v>
      </c>
      <c r="C361" s="28" t="s">
        <v>493</v>
      </c>
      <c r="E361" s="159">
        <f>$E$64+$E$155+$E$207+$E$259</f>
        <v>161.51923832457322</v>
      </c>
      <c r="F361" s="159">
        <f>$F$64+$F$155+$F$207+$F$259</f>
        <v>36.196397323264868</v>
      </c>
      <c r="H361" s="159">
        <f t="shared" ref="H361:T361" si="99">H63+H154+H206+H258</f>
        <v>80.160746263983484</v>
      </c>
      <c r="I361" s="159">
        <f t="shared" si="99"/>
        <v>98.699581793222194</v>
      </c>
      <c r="J361" s="159">
        <f t="shared" si="99"/>
        <v>55.145576314890242</v>
      </c>
      <c r="K361" s="159">
        <f t="shared" si="99"/>
        <v>136.30425574060865</v>
      </c>
      <c r="L361" s="159">
        <f t="shared" si="99"/>
        <v>141.19477856685918</v>
      </c>
      <c r="M361" s="159">
        <f t="shared" si="99"/>
        <v>147.97566135370647</v>
      </c>
      <c r="N361" s="159">
        <f t="shared" si="99"/>
        <v>152.05138611451704</v>
      </c>
      <c r="O361" s="159">
        <f t="shared" si="99"/>
        <v>155.47127558654469</v>
      </c>
      <c r="P361" s="159">
        <f t="shared" si="99"/>
        <v>163.27773303424834</v>
      </c>
      <c r="Q361" s="159">
        <f t="shared" si="99"/>
        <v>167.53456446623542</v>
      </c>
      <c r="R361" s="159">
        <f t="shared" si="99"/>
        <v>171.40344178400204</v>
      </c>
      <c r="S361" s="159">
        <f t="shared" si="99"/>
        <v>175.25846946388933</v>
      </c>
      <c r="T361" s="159">
        <f t="shared" si="99"/>
        <v>179.2881053958339</v>
      </c>
    </row>
    <row r="362" spans="2:20" x14ac:dyDescent="0.25">
      <c r="B362" s="23" t="s">
        <v>3262</v>
      </c>
      <c r="C362" s="28" t="s">
        <v>493</v>
      </c>
      <c r="E362" s="159">
        <f>$E$311</f>
        <v>0</v>
      </c>
      <c r="F362" s="159">
        <f>$F$311</f>
        <v>0</v>
      </c>
      <c r="H362" s="159">
        <f t="shared" ref="H362:T362" si="100">H310</f>
        <v>0</v>
      </c>
      <c r="I362" s="159">
        <f t="shared" si="100"/>
        <v>0</v>
      </c>
      <c r="J362" s="159">
        <f t="shared" si="100"/>
        <v>0</v>
      </c>
      <c r="K362" s="159">
        <f t="shared" si="100"/>
        <v>0</v>
      </c>
      <c r="L362" s="159">
        <f t="shared" si="100"/>
        <v>0</v>
      </c>
      <c r="M362" s="159">
        <f t="shared" si="100"/>
        <v>0</v>
      </c>
      <c r="N362" s="159">
        <f t="shared" si="100"/>
        <v>0</v>
      </c>
      <c r="O362" s="159">
        <f t="shared" si="100"/>
        <v>0</v>
      </c>
      <c r="P362" s="159">
        <f t="shared" si="100"/>
        <v>0</v>
      </c>
      <c r="Q362" s="159">
        <f t="shared" si="100"/>
        <v>0</v>
      </c>
      <c r="R362" s="159">
        <f t="shared" si="100"/>
        <v>0</v>
      </c>
      <c r="S362" s="159">
        <f t="shared" si="100"/>
        <v>0</v>
      </c>
      <c r="T362" s="159">
        <f t="shared" si="100"/>
        <v>0</v>
      </c>
    </row>
    <row r="363" spans="2:20" x14ac:dyDescent="0.25">
      <c r="B363" s="23" t="s">
        <v>3263</v>
      </c>
      <c r="C363" s="28" t="s">
        <v>493</v>
      </c>
      <c r="E363" s="159">
        <f>$E$324</f>
        <v>0</v>
      </c>
      <c r="F363" s="159">
        <f>$F$324</f>
        <v>0</v>
      </c>
      <c r="H363" s="159">
        <f t="shared" ref="H363:T363" si="101">H323</f>
        <v>0</v>
      </c>
      <c r="I363" s="159">
        <f t="shared" si="101"/>
        <v>0</v>
      </c>
      <c r="J363" s="159">
        <f t="shared" si="101"/>
        <v>0</v>
      </c>
      <c r="K363" s="159">
        <f t="shared" si="101"/>
        <v>0</v>
      </c>
      <c r="L363" s="159">
        <f t="shared" si="101"/>
        <v>0</v>
      </c>
      <c r="M363" s="159">
        <f t="shared" si="101"/>
        <v>0</v>
      </c>
      <c r="N363" s="159">
        <f t="shared" si="101"/>
        <v>0</v>
      </c>
      <c r="O363" s="159">
        <f t="shared" si="101"/>
        <v>0</v>
      </c>
      <c r="P363" s="159">
        <f t="shared" si="101"/>
        <v>0</v>
      </c>
      <c r="Q363" s="159">
        <f t="shared" si="101"/>
        <v>0</v>
      </c>
      <c r="R363" s="159">
        <f t="shared" si="101"/>
        <v>0</v>
      </c>
      <c r="S363" s="159">
        <f t="shared" si="101"/>
        <v>0</v>
      </c>
      <c r="T363" s="159">
        <f t="shared" si="101"/>
        <v>0</v>
      </c>
    </row>
    <row r="364" spans="2:20" x14ac:dyDescent="0.25">
      <c r="B364" s="23" t="s">
        <v>3264</v>
      </c>
      <c r="C364" s="28" t="s">
        <v>493</v>
      </c>
      <c r="E364" s="159">
        <f>$E$337</f>
        <v>0</v>
      </c>
      <c r="F364" s="159">
        <f>$F$337</f>
        <v>0</v>
      </c>
      <c r="H364" s="159">
        <f t="shared" ref="H364:T364" si="102">H336</f>
        <v>0</v>
      </c>
      <c r="I364" s="159">
        <f t="shared" si="102"/>
        <v>0</v>
      </c>
      <c r="J364" s="159">
        <f t="shared" si="102"/>
        <v>0</v>
      </c>
      <c r="K364" s="159">
        <f t="shared" si="102"/>
        <v>0</v>
      </c>
      <c r="L364" s="159">
        <f t="shared" si="102"/>
        <v>0</v>
      </c>
      <c r="M364" s="159">
        <f t="shared" si="102"/>
        <v>0</v>
      </c>
      <c r="N364" s="159">
        <f t="shared" si="102"/>
        <v>0</v>
      </c>
      <c r="O364" s="159">
        <f t="shared" si="102"/>
        <v>0</v>
      </c>
      <c r="P364" s="159">
        <f t="shared" si="102"/>
        <v>0</v>
      </c>
      <c r="Q364" s="159">
        <f t="shared" si="102"/>
        <v>0</v>
      </c>
      <c r="R364" s="159">
        <f t="shared" si="102"/>
        <v>0</v>
      </c>
      <c r="S364" s="159">
        <f t="shared" si="102"/>
        <v>0</v>
      </c>
      <c r="T364" s="159">
        <f t="shared" si="102"/>
        <v>0</v>
      </c>
    </row>
    <row r="365" spans="2:20" x14ac:dyDescent="0.25">
      <c r="B365" s="23" t="s">
        <v>3265</v>
      </c>
      <c r="C365" s="28" t="s">
        <v>493</v>
      </c>
      <c r="E365" s="159">
        <f>$E$350</f>
        <v>19.405970999999997</v>
      </c>
      <c r="F365" s="159">
        <f>$F$350</f>
        <v>4.3774385245901639</v>
      </c>
      <c r="H365" s="159">
        <f t="shared" ref="H365:T365" si="103">H349</f>
        <v>0</v>
      </c>
      <c r="I365" s="159">
        <f t="shared" si="103"/>
        <v>0</v>
      </c>
      <c r="J365" s="159">
        <f t="shared" si="103"/>
        <v>0</v>
      </c>
      <c r="K365" s="159">
        <f t="shared" si="103"/>
        <v>-65.06</v>
      </c>
      <c r="L365" s="159">
        <f t="shared" si="103"/>
        <v>-99.09</v>
      </c>
      <c r="M365" s="159">
        <f t="shared" si="103"/>
        <v>10.225539181129456</v>
      </c>
      <c r="N365" s="159">
        <f t="shared" si="103"/>
        <v>17.196230482499317</v>
      </c>
      <c r="O365" s="159">
        <f t="shared" si="103"/>
        <v>21.0376388386637</v>
      </c>
      <c r="P365" s="159">
        <f t="shared" si="103"/>
        <v>23.128662973117358</v>
      </c>
      <c r="Q365" s="159">
        <f t="shared" si="103"/>
        <v>23.400757568733319</v>
      </c>
      <c r="R365" s="159">
        <f t="shared" si="103"/>
        <v>23.41275055099247</v>
      </c>
      <c r="S365" s="159">
        <f t="shared" si="103"/>
        <v>23.41275055099247</v>
      </c>
      <c r="T365" s="159">
        <f t="shared" si="103"/>
        <v>23.43160132928174</v>
      </c>
    </row>
    <row r="366" spans="2:20" ht="26.25" customHeight="1" x14ac:dyDescent="0.25">
      <c r="B366" s="133" t="s">
        <v>3266</v>
      </c>
      <c r="C366" s="28" t="s">
        <v>493</v>
      </c>
      <c r="E366" s="159">
        <f>(1-Inputs!$E$531)*$E$361+(1-IF(ISNUMBER(Inputs!$E$606),Inputs!$E$606,1))*$E$362+(1-IF(ISNUMBER(Inputs!$E$640),Inputs!$E$640,1))*$E$363+(1-IF(ISNUMBER(Inputs!$E$674),Inputs!$E$674,1))*$E$364+(1-Inputs!$E$569)*$E$365</f>
        <v>56.531733413600627</v>
      </c>
      <c r="F366" s="159">
        <f>(1-Inputs!$E$531)*$F$361+(1-IF(ISNUMBER(Inputs!$E$606),Inputs!$E$606,1))*$F$362+(1-IF(ISNUMBER(Inputs!$E$640),Inputs!$E$640,1))*$F$363+(1-IF(ISNUMBER(Inputs!$E$674),Inputs!$E$674,1))*$F$364+(1-Inputs!$E$569)*$F$365</f>
        <v>12.668739063142704</v>
      </c>
      <c r="H366" s="160">
        <f>(1-Inputs!$E$531)*H361+(1-IF(ISNUMBER(Inputs!$E$606),Inputs!$E$606,1))*H362+(1-IF(ISNUMBER(Inputs!$E$640),Inputs!$E$640,1))*H363+(1-IF(ISNUMBER(Inputs!$E$674),Inputs!$E$674,1))*H364+(1-Inputs!$E$569)*H365</f>
        <v>28.056261192394217</v>
      </c>
      <c r="I366" s="160">
        <f>(1-Inputs!$E$531)*I361+(1-IF(ISNUMBER(Inputs!$E$606),Inputs!$E$606,1))*I362+(1-IF(ISNUMBER(Inputs!$E$640),Inputs!$E$640,1))*I363+(1-IF(ISNUMBER(Inputs!$E$674),Inputs!$E$674,1))*I364+(1-Inputs!$E$569)*I365</f>
        <v>34.544853627627766</v>
      </c>
      <c r="J366" s="160">
        <f>(1-Inputs!$E$531)*J361+(1-IF(ISNUMBER(Inputs!$E$606),Inputs!$E$606,1))*J362+(1-IF(ISNUMBER(Inputs!$E$640),Inputs!$E$640,1))*J363+(1-IF(ISNUMBER(Inputs!$E$674),Inputs!$E$674,1))*J364+(1-Inputs!$E$569)*J365</f>
        <v>19.300951710211585</v>
      </c>
      <c r="K366" s="160">
        <f>(1-Inputs!$E$531)*K361+(1-IF(ISNUMBER(Inputs!$E$606),Inputs!$E$606,1))*K362+(1-IF(ISNUMBER(Inputs!$E$640),Inputs!$E$640,1))*K363+(1-IF(ISNUMBER(Inputs!$E$674),Inputs!$E$674,1))*K364+(1-Inputs!$E$569)*K365</f>
        <v>47.706489509213029</v>
      </c>
      <c r="L366" s="160">
        <f>(1-Inputs!$E$531)*L361+(1-IF(ISNUMBER(Inputs!$E$606),Inputs!$E$606,1))*L362+(1-IF(ISNUMBER(Inputs!$E$640),Inputs!$E$640,1))*L363+(1-IF(ISNUMBER(Inputs!$E$674),Inputs!$E$674,1))*L364+(1-Inputs!$E$569)*L365</f>
        <v>49.418172498400715</v>
      </c>
      <c r="M366" s="160">
        <f>(1-Inputs!$E$531)*M361+(1-IF(ISNUMBER(Inputs!$E$606),Inputs!$E$606,1))*M362+(1-IF(ISNUMBER(Inputs!$E$640),Inputs!$E$640,1))*M363+(1-IF(ISNUMBER(Inputs!$E$674),Inputs!$E$674,1))*M364+(1-Inputs!$E$569)*M365</f>
        <v>51.791481473797262</v>
      </c>
      <c r="N366" s="160">
        <f>(1-Inputs!$E$531)*N361+(1-IF(ISNUMBER(Inputs!$E$606),Inputs!$E$606,1))*N362+(1-IF(ISNUMBER(Inputs!$E$640),Inputs!$E$640,1))*N363+(1-IF(ISNUMBER(Inputs!$E$674),Inputs!$E$674,1))*N364+(1-Inputs!$E$569)*N365</f>
        <v>53.217985140080962</v>
      </c>
      <c r="O366" s="160">
        <f>(1-Inputs!$E$531)*O361+(1-IF(ISNUMBER(Inputs!$E$606),Inputs!$E$606,1))*O362+(1-IF(ISNUMBER(Inputs!$E$640),Inputs!$E$640,1))*O363+(1-IF(ISNUMBER(Inputs!$E$674),Inputs!$E$674,1))*O364+(1-Inputs!$E$569)*O365</f>
        <v>54.414946455290639</v>
      </c>
      <c r="P366" s="160">
        <f>(1-Inputs!$E$531)*P361+(1-IF(ISNUMBER(Inputs!$E$606),Inputs!$E$606,1))*P362+(1-IF(ISNUMBER(Inputs!$E$640),Inputs!$E$640,1))*P363+(1-IF(ISNUMBER(Inputs!$E$674),Inputs!$E$674,1))*P364+(1-Inputs!$E$569)*P365</f>
        <v>57.147206561986913</v>
      </c>
      <c r="Q366" s="160">
        <f>(1-Inputs!$E$531)*Q361+(1-IF(ISNUMBER(Inputs!$E$606),Inputs!$E$606,1))*Q362+(1-IF(ISNUMBER(Inputs!$E$640),Inputs!$E$640,1))*Q363+(1-IF(ISNUMBER(Inputs!$E$674),Inputs!$E$674,1))*Q364+(1-Inputs!$E$569)*Q365</f>
        <v>58.637097563182394</v>
      </c>
      <c r="R366" s="160">
        <f>(1-Inputs!$E$531)*R361+(1-IF(ISNUMBER(Inputs!$E$606),Inputs!$E$606,1))*R362+(1-IF(ISNUMBER(Inputs!$E$640),Inputs!$E$640,1))*R363+(1-IF(ISNUMBER(Inputs!$E$674),Inputs!$E$674,1))*R364+(1-Inputs!$E$569)*R365</f>
        <v>59.991204624400709</v>
      </c>
      <c r="S366" s="160">
        <f>(1-Inputs!$E$531)*S361+(1-IF(ISNUMBER(Inputs!$E$606),Inputs!$E$606,1))*S362+(1-IF(ISNUMBER(Inputs!$E$640),Inputs!$E$640,1))*S363+(1-IF(ISNUMBER(Inputs!$E$674),Inputs!$E$674,1))*S364+(1-Inputs!$E$569)*S365</f>
        <v>61.340464312361263</v>
      </c>
      <c r="T366" s="160">
        <f>(1-Inputs!$E$531)*T361+(1-IF(ISNUMBER(Inputs!$E$606),Inputs!$E$606,1))*T362+(1-IF(ISNUMBER(Inputs!$E$640),Inputs!$E$640,1))*T363+(1-IF(ISNUMBER(Inputs!$E$674),Inputs!$E$674,1))*T364+(1-Inputs!$E$569)*T365</f>
        <v>62.750836888541862</v>
      </c>
    </row>
    <row r="368" spans="2:20" x14ac:dyDescent="0.25">
      <c r="B368" s="58" t="s">
        <v>3267</v>
      </c>
      <c r="C368" s="19"/>
      <c r="D368" s="19"/>
      <c r="E368" s="19"/>
      <c r="F368" s="19"/>
      <c r="G368" s="19"/>
      <c r="H368" s="19"/>
      <c r="I368" s="19"/>
      <c r="J368" s="19"/>
      <c r="K368" s="19"/>
      <c r="L368" s="19"/>
      <c r="M368" s="19"/>
      <c r="N368" s="19"/>
      <c r="O368" s="19"/>
      <c r="P368" s="19"/>
      <c r="Q368" s="19"/>
      <c r="R368" s="19"/>
      <c r="S368" s="19"/>
      <c r="T368" s="19"/>
    </row>
    <row r="369" spans="2:20" x14ac:dyDescent="0.25">
      <c r="B369" s="23" t="s">
        <v>3268</v>
      </c>
      <c r="C369" s="28" t="s">
        <v>493</v>
      </c>
      <c r="H369" s="159">
        <f>Inputs!H479*'Revenue Calculation'!H185</f>
        <v>0</v>
      </c>
      <c r="I369" s="159">
        <f>Inputs!I479*'Revenue Calculation'!I185</f>
        <v>0</v>
      </c>
      <c r="J369" s="159">
        <f>Inputs!J479*'Revenue Calculation'!J185</f>
        <v>0</v>
      </c>
      <c r="K369" s="159">
        <f>Inputs!K479*'Revenue Calculation'!K185</f>
        <v>0</v>
      </c>
      <c r="L369" s="159">
        <f>Inputs!L479*'Revenue Calculation'!L185</f>
        <v>0</v>
      </c>
      <c r="M369" s="159">
        <f>Inputs!M479*'Revenue Calculation'!M185</f>
        <v>0</v>
      </c>
      <c r="N369" s="159">
        <f>Inputs!N479*'Revenue Calculation'!N185</f>
        <v>0</v>
      </c>
      <c r="O369" s="159">
        <f>Inputs!O479*'Revenue Calculation'!O185</f>
        <v>0</v>
      </c>
      <c r="P369" s="159">
        <f>Inputs!P479*'Revenue Calculation'!P185</f>
        <v>0</v>
      </c>
      <c r="Q369" s="159">
        <f>Inputs!Q479*'Revenue Calculation'!Q185</f>
        <v>0</v>
      </c>
      <c r="R369" s="159">
        <f>Inputs!R479*'Revenue Calculation'!R185</f>
        <v>0</v>
      </c>
      <c r="S369" s="159">
        <f>Inputs!S479*'Revenue Calculation'!S185</f>
        <v>0</v>
      </c>
      <c r="T369" s="159">
        <f>Inputs!T479*'Revenue Calculation'!T185</f>
        <v>0</v>
      </c>
    </row>
    <row r="370" spans="2:20" x14ac:dyDescent="0.25">
      <c r="B370" s="23" t="s">
        <v>3269</v>
      </c>
      <c r="C370" s="28" t="s">
        <v>493</v>
      </c>
      <c r="H370" s="159">
        <f>SUMPRODUCT($H$369:$T$369,--($H$49:$T$49&lt;='Revenue Calculation'!H7),--($H$49:$T$49&gt;'Revenue Calculation'!H7-Inputs!$E$480))/Inputs!$E$480</f>
        <v>0</v>
      </c>
      <c r="I370" s="159">
        <f>SUMPRODUCT($H$369:$T$369,--($H$49:$T$49&lt;='Revenue Calculation'!I7),--($H$49:$T$49&gt;'Revenue Calculation'!I7-Inputs!$E$480))/Inputs!$E$480</f>
        <v>0</v>
      </c>
      <c r="J370" s="159">
        <f>SUMPRODUCT($H$369:$T$369,--($H$49:$T$49&lt;='Revenue Calculation'!J7),--($H$49:$T$49&gt;'Revenue Calculation'!J7-Inputs!$E$480))/Inputs!$E$480</f>
        <v>0</v>
      </c>
      <c r="K370" s="159">
        <f>SUMPRODUCT($H$369:$T$369,--($H$49:$T$49&lt;='Revenue Calculation'!K7),--($H$49:$T$49&gt;'Revenue Calculation'!K7-Inputs!$E$480))/Inputs!$E$480</f>
        <v>0</v>
      </c>
      <c r="L370" s="159">
        <f>SUMPRODUCT($H$369:$T$369,--($H$49:$T$49&lt;='Revenue Calculation'!L7),--($H$49:$T$49&gt;'Revenue Calculation'!L7-Inputs!$E$480))/Inputs!$E$480</f>
        <v>0</v>
      </c>
      <c r="M370" s="159">
        <f>SUMPRODUCT($H$369:$T$369,--($H$49:$T$49&lt;='Revenue Calculation'!M7),--($H$49:$T$49&gt;'Revenue Calculation'!M7-Inputs!$E$480))/Inputs!$E$480</f>
        <v>0</v>
      </c>
      <c r="N370" s="159">
        <f>SUMPRODUCT($H$369:$T$369,--($H$49:$T$49&lt;='Revenue Calculation'!N7),--($H$49:$T$49&gt;'Revenue Calculation'!N7-Inputs!$E$480))/Inputs!$E$480</f>
        <v>0</v>
      </c>
      <c r="O370" s="159">
        <f>SUMPRODUCT($H$369:$T$369,--($H$49:$T$49&lt;='Revenue Calculation'!O7),--($H$49:$T$49&gt;'Revenue Calculation'!O7-Inputs!$E$480))/Inputs!$E$480</f>
        <v>0</v>
      </c>
      <c r="P370" s="159">
        <f>SUMPRODUCT($H$369:$T$369,--($H$49:$T$49&lt;='Revenue Calculation'!P7),--($H$49:$T$49&gt;'Revenue Calculation'!P7-Inputs!$E$480))/Inputs!$E$480</f>
        <v>0</v>
      </c>
      <c r="Q370" s="159">
        <f>SUMPRODUCT($H$369:$T$369,--($H$49:$T$49&lt;='Revenue Calculation'!Q7),--($H$49:$T$49&gt;'Revenue Calculation'!Q7-Inputs!$E$480))/Inputs!$E$480</f>
        <v>0</v>
      </c>
      <c r="R370" s="159">
        <f>SUMPRODUCT($H$369:$T$369,--($H$49:$T$49&lt;='Revenue Calculation'!R7),--($H$49:$T$49&gt;'Revenue Calculation'!R7-Inputs!$E$480))/Inputs!$E$480</f>
        <v>0</v>
      </c>
      <c r="S370" s="159">
        <f>SUMPRODUCT($H$369:$T$369,--($H$49:$T$49&lt;='Revenue Calculation'!S7),--($H$49:$T$49&gt;'Revenue Calculation'!S7-Inputs!$E$480))/Inputs!$E$480</f>
        <v>0</v>
      </c>
      <c r="T370" s="159">
        <f>SUMPRODUCT($H$369:$T$369,--($H$49:$T$49&lt;='Revenue Calculation'!T7),--($H$49:$T$49&gt;'Revenue Calculation'!T7-Inputs!$E$480))/Inputs!$E$480</f>
        <v>0</v>
      </c>
    </row>
    <row r="371" spans="2:20" x14ac:dyDescent="0.25">
      <c r="B371" s="23" t="s">
        <v>3270</v>
      </c>
      <c r="C371" s="28" t="s">
        <v>493</v>
      </c>
      <c r="H371" s="159">
        <f>'Cost Calculation'!H210-'Capex &amp; Depreciation'!H170-H370</f>
        <v>0</v>
      </c>
      <c r="I371" s="159">
        <f>'Cost Calculation'!I210-'Capex &amp; Depreciation'!I170-I370</f>
        <v>0</v>
      </c>
      <c r="J371" s="159">
        <f>'Cost Calculation'!J210-'Capex &amp; Depreciation'!J170-J370</f>
        <v>0</v>
      </c>
      <c r="K371" s="159">
        <f>'Cost Calculation'!K210-'Capex &amp; Depreciation'!K170-K370</f>
        <v>0</v>
      </c>
      <c r="L371" s="159">
        <f>'Cost Calculation'!L210-'Capex &amp; Depreciation'!L170-L370</f>
        <v>-1.5</v>
      </c>
      <c r="M371" s="159">
        <f>'Cost Calculation'!M210-'Capex &amp; Depreciation'!M170-M370</f>
        <v>1.8200429500342192</v>
      </c>
      <c r="N371" s="159">
        <f>'Cost Calculation'!N210-'Capex &amp; Depreciation'!N170-N370</f>
        <v>8.6247929500342195</v>
      </c>
      <c r="O371" s="159">
        <f>'Cost Calculation'!O210-'Capex &amp; Depreciation'!O170-O370</f>
        <v>13.161292950034222</v>
      </c>
      <c r="P371" s="159">
        <f>'Cost Calculation'!P210-'Capex &amp; Depreciation'!P170-P370</f>
        <v>15.398371149897327</v>
      </c>
      <c r="Q371" s="159">
        <f>'Cost Calculation'!Q210-'Capex &amp; Depreciation'!Q170-Q370</f>
        <v>15.42954295003422</v>
      </c>
      <c r="R371" s="159">
        <f>'Cost Calculation'!R210-'Capex &amp; Depreciation'!R170-R370</f>
        <v>15.429542950034229</v>
      </c>
      <c r="S371" s="159">
        <f>'Cost Calculation'!S210-'Capex &amp; Depreciation'!S170-S370</f>
        <v>15.42954295003422</v>
      </c>
      <c r="T371" s="159">
        <f>'Cost Calculation'!T210-'Capex &amp; Depreciation'!T170-T370</f>
        <v>15.398371149897327</v>
      </c>
    </row>
    <row r="372" spans="2:20" x14ac:dyDescent="0.25">
      <c r="B372" s="23" t="s">
        <v>3271</v>
      </c>
      <c r="C372" s="28" t="s">
        <v>493</v>
      </c>
      <c r="H372" s="159">
        <f>-Inputs!H522*MAX(0,H371)</f>
        <v>0</v>
      </c>
      <c r="I372" s="159">
        <f>-Inputs!I522*MAX(0,I371)</f>
        <v>0</v>
      </c>
      <c r="J372" s="159">
        <f>-Inputs!J522*MAX(0,J371)</f>
        <v>0</v>
      </c>
      <c r="K372" s="159">
        <f>-Inputs!K522*MAX(0,K371)</f>
        <v>0</v>
      </c>
      <c r="L372" s="159">
        <f>-Inputs!L522*MAX(0,L371)</f>
        <v>0</v>
      </c>
      <c r="M372" s="159">
        <f>-Inputs!M522*MAX(0,M371)</f>
        <v>-0.40040944900752823</v>
      </c>
      <c r="N372" s="159">
        <f>-Inputs!N522*MAX(0,N371)</f>
        <v>-1.8974544490075282</v>
      </c>
      <c r="O372" s="159">
        <f>-Inputs!O522*MAX(0,O371)</f>
        <v>-2.8954844490075287</v>
      </c>
      <c r="P372" s="159">
        <f>-Inputs!P522*MAX(0,P371)</f>
        <v>-3.387641652977412</v>
      </c>
      <c r="Q372" s="159">
        <f>-Inputs!Q522*MAX(0,Q371)</f>
        <v>-3.3944994490075282</v>
      </c>
      <c r="R372" s="159">
        <f>-Inputs!R522*MAX(0,R371)</f>
        <v>-3.3944994490075304</v>
      </c>
      <c r="S372" s="159">
        <f>-Inputs!S522*MAX(0,S371)</f>
        <v>-3.3944994490075282</v>
      </c>
      <c r="T372" s="159">
        <f>-Inputs!T522*MAX(0,T371)</f>
        <v>-3.387641652977412</v>
      </c>
    </row>
    <row r="373" spans="2:20" ht="26.25" customHeight="1" x14ac:dyDescent="0.25">
      <c r="B373" s="133" t="s">
        <v>3272</v>
      </c>
      <c r="C373" s="28" t="s">
        <v>493</v>
      </c>
      <c r="H373" s="160">
        <f>'Cost Calculation'!H210+H372-'Capex &amp; Depreciation'!H75-H369-('Working Capital'!H108-'Working Capital'!G108)</f>
        <v>0</v>
      </c>
      <c r="I373" s="160">
        <f>'Cost Calculation'!I210+I372-'Capex &amp; Depreciation'!I75-I369-('Working Capital'!I108-'Working Capital'!H108)</f>
        <v>0</v>
      </c>
      <c r="J373" s="160">
        <f>'Cost Calculation'!J210+J372-'Capex &amp; Depreciation'!J75-J369-('Working Capital'!J108-'Working Capital'!I108)</f>
        <v>0</v>
      </c>
      <c r="K373" s="160">
        <f>'Cost Calculation'!K210+K372-'Capex &amp; Depreciation'!K75-K369-('Working Capital'!K108-'Working Capital'!J108)</f>
        <v>-65.06</v>
      </c>
      <c r="L373" s="160">
        <f>'Cost Calculation'!L210+L372-'Capex &amp; Depreciation'!L75-L369-('Working Capital'!L108-'Working Capital'!K108)</f>
        <v>-99.09</v>
      </c>
      <c r="M373" s="160">
        <f>'Cost Calculation'!M210+M372-'Capex &amp; Depreciation'!M75-M369-('Working Capital'!M108-'Working Capital'!L108)</f>
        <v>10.225539181129456</v>
      </c>
      <c r="N373" s="160">
        <f>'Cost Calculation'!N210+N372-'Capex &amp; Depreciation'!N75-N369-('Working Capital'!N108-'Working Capital'!M108)</f>
        <v>17.196230482499317</v>
      </c>
      <c r="O373" s="160">
        <f>'Cost Calculation'!O210+O372-'Capex &amp; Depreciation'!O75-O369-('Working Capital'!O108-'Working Capital'!N108)</f>
        <v>21.0376388386637</v>
      </c>
      <c r="P373" s="160">
        <f>'Cost Calculation'!P210+P372-'Capex &amp; Depreciation'!P75-P369-('Working Capital'!P108-'Working Capital'!O108)</f>
        <v>23.128662973117358</v>
      </c>
      <c r="Q373" s="160">
        <f>'Cost Calculation'!Q210+Q372-'Capex &amp; Depreciation'!Q75-Q369-('Working Capital'!Q108-'Working Capital'!P108)</f>
        <v>23.400757568733319</v>
      </c>
      <c r="R373" s="160">
        <f>'Cost Calculation'!R210+R372-'Capex &amp; Depreciation'!R75-R369-('Working Capital'!R108-'Working Capital'!Q108)</f>
        <v>23.41275055099247</v>
      </c>
      <c r="S373" s="160">
        <f>'Cost Calculation'!S210+S372-'Capex &amp; Depreciation'!S75-S369-('Working Capital'!S108-'Working Capital'!R108)</f>
        <v>23.41275055099247</v>
      </c>
      <c r="T373" s="160">
        <f>'Cost Calculation'!T210+T372-'Capex &amp; Depreciation'!T75-T369-('Working Capital'!T108-'Working Capital'!S108)</f>
        <v>23.43160132928174</v>
      </c>
    </row>
    <row r="374" spans="2:20" x14ac:dyDescent="0.25">
      <c r="B374" s="23" t="s">
        <v>3273</v>
      </c>
      <c r="C374" s="28" t="s">
        <v>493</v>
      </c>
      <c r="E374" s="159">
        <f>'Cost Calculation'!T210-MAX(0,Inputs!$E$554*('Cost Calculation'!T210-Inputs!$E$550*'Revenue Calculation'!T185))-Inputs!$E$550*'Revenue Calculation'!T185</f>
        <v>19.405970999999997</v>
      </c>
      <c r="H374" s="159">
        <f>IF('Revenue Calculation'!H7=2036,IF(Inputs!$E$558&gt;Inputs!$E$559,((1+Inputs!$E$559)*$E$374-Inputs!$E$559*'Working Capital'!T108)/(Inputs!$E$558-Inputs!$E$559),0),0)</f>
        <v>0</v>
      </c>
      <c r="I374" s="159">
        <f>IF('Revenue Calculation'!I7=2036,IF(Inputs!$E$558&gt;Inputs!$E$559,((1+Inputs!$E$559)*$E$374-Inputs!$E$559*'Working Capital'!T108)/(Inputs!$E$558-Inputs!$E$559),0),0)</f>
        <v>0</v>
      </c>
      <c r="J374" s="159">
        <f>IF('Revenue Calculation'!J7=2036,IF(Inputs!$E$558&gt;Inputs!$E$559,((1+Inputs!$E$559)*$E$374-Inputs!$E$559*'Working Capital'!T108)/(Inputs!$E$558-Inputs!$E$559),0),0)</f>
        <v>0</v>
      </c>
      <c r="K374" s="159">
        <f>IF('Revenue Calculation'!K7=2036,IF(Inputs!$E$558&gt;Inputs!$E$559,((1+Inputs!$E$559)*$E$374-Inputs!$E$559*'Working Capital'!T108)/(Inputs!$E$558-Inputs!$E$559),0),0)</f>
        <v>0</v>
      </c>
      <c r="L374" s="159">
        <f>IF('Revenue Calculation'!L7=2036,IF(Inputs!$E$558&gt;Inputs!$E$559,((1+Inputs!$E$559)*$E$374-Inputs!$E$559*'Working Capital'!T108)/(Inputs!$E$558-Inputs!$E$559),0),0)</f>
        <v>0</v>
      </c>
      <c r="M374" s="159">
        <f>IF('Revenue Calculation'!M7=2036,IF(Inputs!$E$558&gt;Inputs!$E$559,((1+Inputs!$E$559)*$E$374-Inputs!$E$559*'Working Capital'!T108)/(Inputs!$E$558-Inputs!$E$559),0),0)</f>
        <v>0</v>
      </c>
      <c r="N374" s="159">
        <f>IF('Revenue Calculation'!N7=2036,IF(Inputs!$E$558&gt;Inputs!$E$559,((1+Inputs!$E$559)*$E$374-Inputs!$E$559*'Working Capital'!T108)/(Inputs!$E$558-Inputs!$E$559),0),0)</f>
        <v>0</v>
      </c>
      <c r="O374" s="159">
        <f>IF('Revenue Calculation'!O7=2036,IF(Inputs!$E$558&gt;Inputs!$E$559,((1+Inputs!$E$559)*$E$374-Inputs!$E$559*'Working Capital'!T108)/(Inputs!$E$558-Inputs!$E$559),0),0)</f>
        <v>0</v>
      </c>
      <c r="P374" s="159">
        <f>IF('Revenue Calculation'!P7=2036,IF(Inputs!$E$558&gt;Inputs!$E$559,((1+Inputs!$E$559)*$E$374-Inputs!$E$559*'Working Capital'!T108)/(Inputs!$E$558-Inputs!$E$559),0),0)</f>
        <v>0</v>
      </c>
      <c r="Q374" s="159">
        <f>IF('Revenue Calculation'!Q7=2036,IF(Inputs!$E$558&gt;Inputs!$E$559,((1+Inputs!$E$559)*$E$374-Inputs!$E$559*'Working Capital'!T108)/(Inputs!$E$558-Inputs!$E$559),0),0)</f>
        <v>0</v>
      </c>
      <c r="R374" s="159">
        <f>IF('Revenue Calculation'!R7=2036,IF(Inputs!$E$558&gt;Inputs!$E$559,((1+Inputs!$E$559)*$E$374-Inputs!$E$559*'Working Capital'!T108)/(Inputs!$E$558-Inputs!$E$559),0),0)</f>
        <v>0</v>
      </c>
      <c r="S374" s="159">
        <f>IF('Revenue Calculation'!S7=2036,IF(Inputs!$E$558&gt;Inputs!$E$559,((1+Inputs!$E$559)*$E$374-Inputs!$E$559*'Working Capital'!T108)/(Inputs!$E$558-Inputs!$E$559),0),0)</f>
        <v>0</v>
      </c>
      <c r="T374" s="159">
        <f>IF('Revenue Calculation'!T7=2036,IF(Inputs!$E$558&gt;Inputs!$E$559,((1+Inputs!$E$559)*$E$374-Inputs!$E$559*'Working Capital'!T108)/(Inputs!$E$558-Inputs!$E$559),0),0)</f>
        <v>223.95308295147279</v>
      </c>
    </row>
    <row r="375" spans="2:20" x14ac:dyDescent="0.25">
      <c r="B375" s="23" t="s">
        <v>3274</v>
      </c>
      <c r="C375" s="28" t="s">
        <v>493</v>
      </c>
      <c r="G375" s="159">
        <v>0</v>
      </c>
      <c r="H375" s="159">
        <f t="shared" ref="H375:T375" si="104">H373+H374</f>
        <v>0</v>
      </c>
      <c r="I375" s="159">
        <f t="shared" si="104"/>
        <v>0</v>
      </c>
      <c r="J375" s="159">
        <f t="shared" si="104"/>
        <v>0</v>
      </c>
      <c r="K375" s="159">
        <f t="shared" si="104"/>
        <v>-65.06</v>
      </c>
      <c r="L375" s="159">
        <f t="shared" si="104"/>
        <v>-99.09</v>
      </c>
      <c r="M375" s="159">
        <f t="shared" si="104"/>
        <v>10.225539181129456</v>
      </c>
      <c r="N375" s="159">
        <f t="shared" si="104"/>
        <v>17.196230482499317</v>
      </c>
      <c r="O375" s="159">
        <f t="shared" si="104"/>
        <v>21.0376388386637</v>
      </c>
      <c r="P375" s="159">
        <f t="shared" si="104"/>
        <v>23.128662973117358</v>
      </c>
      <c r="Q375" s="159">
        <f t="shared" si="104"/>
        <v>23.400757568733319</v>
      </c>
      <c r="R375" s="159">
        <f t="shared" si="104"/>
        <v>23.41275055099247</v>
      </c>
      <c r="S375" s="159">
        <f t="shared" si="104"/>
        <v>23.41275055099247</v>
      </c>
      <c r="T375" s="159">
        <f t="shared" si="104"/>
        <v>247.38468428075453</v>
      </c>
    </row>
    <row r="376" spans="2:20" x14ac:dyDescent="0.25">
      <c r="B376" s="23" t="s">
        <v>3232</v>
      </c>
      <c r="C376" s="28" t="s">
        <v>493</v>
      </c>
      <c r="G376" s="159">
        <v>0</v>
      </c>
      <c r="H376" s="159">
        <f t="shared" ref="H376:T376" si="105">G376+H373</f>
        <v>0</v>
      </c>
      <c r="I376" s="159">
        <f t="shared" si="105"/>
        <v>0</v>
      </c>
      <c r="J376" s="159">
        <f t="shared" si="105"/>
        <v>0</v>
      </c>
      <c r="K376" s="159">
        <f t="shared" si="105"/>
        <v>-65.06</v>
      </c>
      <c r="L376" s="159">
        <f t="shared" si="105"/>
        <v>-164.15</v>
      </c>
      <c r="M376" s="159">
        <f t="shared" si="105"/>
        <v>-153.92446081887056</v>
      </c>
      <c r="N376" s="159">
        <f t="shared" si="105"/>
        <v>-136.72823033637124</v>
      </c>
      <c r="O376" s="159">
        <f t="shared" si="105"/>
        <v>-115.69059149770754</v>
      </c>
      <c r="P376" s="159">
        <f t="shared" si="105"/>
        <v>-92.561928524590186</v>
      </c>
      <c r="Q376" s="159">
        <f t="shared" si="105"/>
        <v>-69.161170955856875</v>
      </c>
      <c r="R376" s="159">
        <f t="shared" si="105"/>
        <v>-45.748420404864405</v>
      </c>
      <c r="S376" s="159">
        <f t="shared" si="105"/>
        <v>-22.335669853871934</v>
      </c>
      <c r="T376" s="159">
        <f t="shared" si="105"/>
        <v>1.095931475409806</v>
      </c>
    </row>
    <row r="377" spans="2:20" x14ac:dyDescent="0.25">
      <c r="B377" s="23" t="s">
        <v>3275</v>
      </c>
      <c r="C377" s="28" t="s">
        <v>493</v>
      </c>
      <c r="H377" s="159">
        <f>-Inputs!H522*MAX(0,H371-Financing!H51)</f>
        <v>0</v>
      </c>
      <c r="I377" s="159">
        <f>-Inputs!I522*MAX(0,I371-Financing!I51)</f>
        <v>0</v>
      </c>
      <c r="J377" s="159">
        <f>-Inputs!J522*MAX(0,J371-Financing!J51)</f>
        <v>0</v>
      </c>
      <c r="K377" s="159">
        <f>-Inputs!K522*MAX(0,K371-Financing!K51)</f>
        <v>0</v>
      </c>
      <c r="L377" s="159">
        <f>-Inputs!L522*MAX(0,L371-Financing!L51)</f>
        <v>0</v>
      </c>
      <c r="M377" s="159">
        <f>-Inputs!M522*MAX(0,M371-Financing!M51)</f>
        <v>0</v>
      </c>
      <c r="N377" s="159">
        <f>-Inputs!N522*MAX(0,N371-Financing!N51)</f>
        <v>-1.884694900752823E-2</v>
      </c>
      <c r="O377" s="159">
        <f>-Inputs!O522*MAX(0,O371-Financing!O51)</f>
        <v>-1.1671655490075288</v>
      </c>
      <c r="P377" s="159">
        <f>-Inputs!P522*MAX(0,P371-Financing!P51)</f>
        <v>-2.035044252977412</v>
      </c>
      <c r="Q377" s="159">
        <f>-Inputs!Q522*MAX(0,Q371-Financing!Q51)</f>
        <v>-2.4176235490075286</v>
      </c>
      <c r="R377" s="159">
        <f>-Inputs!R522*MAX(0,R371-Financing!R51)</f>
        <v>-2.79334504900753</v>
      </c>
      <c r="S377" s="159">
        <f>-Inputs!S522*MAX(0,S371-Financing!S51)</f>
        <v>-3.1690665490075287</v>
      </c>
      <c r="T377" s="159">
        <f>-Inputs!T522*MAX(0,T371-Financing!T51)</f>
        <v>-3.387641652977412</v>
      </c>
    </row>
    <row r="378" spans="2:20" ht="38.25" customHeight="1" x14ac:dyDescent="0.25">
      <c r="B378" s="133" t="s">
        <v>3276</v>
      </c>
      <c r="C378" s="28" t="s">
        <v>493</v>
      </c>
      <c r="G378" s="160">
        <v>0</v>
      </c>
      <c r="H378" s="160">
        <f>'Cost Calculation'!H210+H377-'Capex &amp; Depreciation'!H75-H369-('Working Capital'!H108-'Working Capital'!G108)+Financing!H48-Financing!H51-Financing!H49</f>
        <v>0</v>
      </c>
      <c r="I378" s="160">
        <f>'Cost Calculation'!I210+I377-'Capex &amp; Depreciation'!I75-I369-('Working Capital'!I108-'Working Capital'!H108)+Financing!I48-Financing!I51-Financing!I49</f>
        <v>0</v>
      </c>
      <c r="J378" s="160">
        <f>'Cost Calculation'!J210+J377-'Capex &amp; Depreciation'!J75-J369-('Working Capital'!J108-'Working Capital'!I108)+Financing!J48-Financing!J51-Financing!J49</f>
        <v>0</v>
      </c>
      <c r="K378" s="160">
        <f>'Cost Calculation'!K210+K377-'Capex &amp; Depreciation'!K75-K369-('Working Capital'!K108-'Working Capital'!J108)+Financing!K48-Financing!K51-Financing!K49</f>
        <v>-32.53</v>
      </c>
      <c r="L378" s="160">
        <f>'Cost Calculation'!L210+L377-'Capex &amp; Depreciation'!L75-L369-('Working Capital'!L108-'Working Capital'!K108)+Financing!L48-Financing!L51-Financing!L49</f>
        <v>-53.710650000000001</v>
      </c>
      <c r="M378" s="160">
        <f>'Cost Calculation'!M210+M377-'Capex &amp; Depreciation'!M75-M369-('Working Capital'!M108-'Working Capital'!L108)+Financing!M48-Financing!M51-Financing!M49</f>
        <v>2.0868236301369834</v>
      </c>
      <c r="N378" s="160">
        <f>'Cost Calculation'!N210+N377-'Capex &amp; Depreciation'!N75-N369-('Working Capital'!N108-'Working Capital'!M108)+Financing!N48-Financing!N51-Financing!N49</f>
        <v>4.0297129824993174</v>
      </c>
      <c r="O378" s="160">
        <f>'Cost Calculation'!O210+O377-'Capex &amp; Depreciation'!O75-O369-('Working Capital'!O108-'Working Capital'!N108)+Financing!O48-Financing!O51-Financing!O49</f>
        <v>-1.3550372613362995</v>
      </c>
      <c r="P378" s="160">
        <f>'Cost Calculation'!P210+P377-'Capex &amp; Depreciation'!P75-P369-('Working Capital'!P108-'Working Capital'!O108)+Financing!P48-Financing!P51-Financing!P49</f>
        <v>2.0680903731173572</v>
      </c>
      <c r="Q378" s="160">
        <f>'Cost Calculation'!Q210+Q377-'Capex &amp; Depreciation'!Q75-Q369-('Working Capital'!Q108-'Working Capital'!P108)+Financing!Q48-Financing!Q51-Financing!Q49</f>
        <v>3.672288468733317</v>
      </c>
      <c r="R378" s="160">
        <f>'Cost Calculation'!R210+R377-'Capex &amp; Depreciation'!R75-R369-('Working Capital'!R108-'Working Capital'!Q108)+Financing!R48-Financing!R51-Financing!R49</f>
        <v>5.0163849509924674</v>
      </c>
      <c r="S378" s="160">
        <f>'Cost Calculation'!S210+S377-'Capex &amp; Depreciation'!S75-S369-('Working Capital'!S108-'Working Capital'!R108)+Financing!S48-Financing!S51-Financing!S49</f>
        <v>12.85448845099247</v>
      </c>
      <c r="T378" s="160">
        <f>'Cost Calculation'!T210+T377-'Capex &amp; Depreciation'!T75-T369-('Working Capital'!T108-'Working Capital'!S108)+Financing!T48-Financing!T51-Financing!T49+T374-Financing!T50</f>
        <v>247.38468428075453</v>
      </c>
    </row>
    <row r="379" spans="2:20" x14ac:dyDescent="0.25">
      <c r="B379" s="21" t="s">
        <v>3277</v>
      </c>
      <c r="C379" s="28" t="s">
        <v>493</v>
      </c>
      <c r="E379" s="160">
        <f>SUMPRODUCT($H$373:$T$373,$H$52:$T$52)+T374*$E$53</f>
        <v>14.116098408150656</v>
      </c>
    </row>
    <row r="380" spans="2:20" x14ac:dyDescent="0.25">
      <c r="B380" s="21" t="s">
        <v>3278</v>
      </c>
      <c r="C380" s="28" t="s">
        <v>292</v>
      </c>
      <c r="E380" s="200">
        <f>IF(AND(COUNTIF($G$375:$T$375,"&lt;0")&gt;0,COUNTIF($G$375:$T$375,"&gt;0")&gt;0),IF(SUM($G$375:$T$375)&lt;=0,"Not meaningful",IFERROR(IF(ABS(XIRR($G$375:$T$375,$G$50:$T$50))&gt;10,"Not meaningful",XIRR($G$375:$T$375,$G$50:$T$50)),"Not meaningful")),"Not meaningful")</f>
        <v>2.9802322387695314E-9</v>
      </c>
    </row>
    <row r="381" spans="2:20" x14ac:dyDescent="0.25">
      <c r="B381" s="23" t="s">
        <v>3279</v>
      </c>
      <c r="C381" s="28" t="s">
        <v>292</v>
      </c>
      <c r="E381" s="105">
        <f>IF(AND(COUNTIF(INDEX($G$375:$T$375,1,Inputs!$E$560-2021):T$375,"&lt;0")&gt;0,COUNTIF(INDEX($G$375:$T$375,1,Inputs!$E$560-2021):T$375,"&gt;0")&gt;0),IF(SUM(INDEX($G$375:$T$375,1,Inputs!$E$560-2021):T$375)&lt;=0,"Not meaningful",IFERROR(IF(ABS(XIRR(INDEX($G$375:$T$375,1,Inputs!$E$560-2021):T$375,INDEX($G$50:$T$50,1,Inputs!$E$560-2021):T$50))&gt;10,"Not meaningful",XIRR(INDEX($G$375:$T$375,1,Inputs!$E$560-2021):T$375,INDEX($G$50:$T$50,1,Inputs!$E$560-2021):T$50)),"Not meaningful")),"Not meaningful")</f>
        <v>0.13550329804420469</v>
      </c>
    </row>
    <row r="382" spans="2:20" x14ac:dyDescent="0.25">
      <c r="B382" s="21" t="s">
        <v>3280</v>
      </c>
      <c r="C382" s="28" t="s">
        <v>292</v>
      </c>
      <c r="E382" s="200">
        <f>IF(AND(COUNTIF($G$378:$T$378,"&lt;0")&gt;0,COUNTIF($G$378:$T$378,"&gt;0")&gt;0),IF(SUM($G$378:$T$378)&lt;=0,"Not meaningful",IFERROR(IF(ABS(XIRR($G$378:$T$378,$G$50:$T$50))&gt;10,"Not meaningful",XIRR($G$378:$T$378,$G$50:$T$50)),"Not meaningful")),"Not meaningful")</f>
        <v>2.9802322387695314E-9</v>
      </c>
    </row>
    <row r="383" spans="2:20" x14ac:dyDescent="0.25">
      <c r="B383" s="23" t="s">
        <v>3281</v>
      </c>
      <c r="C383" s="28" t="s">
        <v>816</v>
      </c>
      <c r="E383" s="165">
        <f>IF((9999-SUMPRODUCT(MAX(($G$375:$T$375&lt;0)*(9999-$G$49:$T$49))))=9999,"Not meaningful",IF(SUMPRODUCT(MAX(($G$376:$T$376&lt;0)*$G$49:$T$49))&gt;=2036,"&gt; FY2036",SUMPRODUCT(MAX(($G$376:$T$376&lt;0)*$G$49:$T$49))-(9999-SUMPRODUCT(MAX(($G$375:$T$375&lt;0)*(9999-$G$49:$T$49))))+1+(-INDEX($G$376:$T$376,1,SUMPRODUCT(MAX(($G$376:$T$376&lt;0)*$G$49:$T$49))-2022))/INDEX($H$373:$T$373,1,SUMPRODUCT(MAX(($G$376:$T$376&lt;0)*$G$49:$T$49))-2022)))</f>
        <v>9.9532284857526889</v>
      </c>
    </row>
    <row r="384" spans="2:20" x14ac:dyDescent="0.25">
      <c r="B384" s="23" t="s">
        <v>3282</v>
      </c>
      <c r="C384" s="28" t="s">
        <v>493</v>
      </c>
      <c r="E384" s="159">
        <f>MAX(0,-MIN($G$376:$T$376))</f>
        <v>164.15</v>
      </c>
    </row>
    <row r="385" spans="2:20" ht="26.25" customHeight="1" x14ac:dyDescent="0.25">
      <c r="B385" s="64" t="s">
        <v>3283</v>
      </c>
      <c r="C385" s="28" t="s">
        <v>493</v>
      </c>
      <c r="H385" s="161">
        <f>ROUND(H349-H373*Inputs!$H$82,6)</f>
        <v>0</v>
      </c>
      <c r="I385" s="161">
        <f>ROUND(I349-I373*Inputs!$H$82,6)</f>
        <v>0</v>
      </c>
      <c r="J385" s="161">
        <f>ROUND(J349-J373*Inputs!$H$82,6)</f>
        <v>0</v>
      </c>
      <c r="K385" s="161">
        <f>ROUND(K349-K373*Inputs!$H$82,6)</f>
        <v>0</v>
      </c>
      <c r="L385" s="161">
        <f>ROUND(L349-L373*Inputs!$H$82,6)</f>
        <v>0</v>
      </c>
      <c r="M385" s="161">
        <f>ROUND(M349-M373*Inputs!$H$82,6)</f>
        <v>0</v>
      </c>
      <c r="N385" s="161">
        <f>ROUND(N349-N373*Inputs!$H$82,6)</f>
        <v>0</v>
      </c>
      <c r="O385" s="161">
        <f>ROUND(O349-O373*Inputs!$H$82,6)</f>
        <v>0</v>
      </c>
      <c r="P385" s="161">
        <f>ROUND(P349-P373*Inputs!$H$82,6)</f>
        <v>0</v>
      </c>
      <c r="Q385" s="161">
        <f>ROUND(Q349-Q373*Inputs!$H$82,6)</f>
        <v>0</v>
      </c>
      <c r="R385" s="161">
        <f>ROUND(R349-R373*Inputs!$H$82,6)</f>
        <v>0</v>
      </c>
      <c r="S385" s="161">
        <f>ROUND(S349-S373*Inputs!$H$82,6)</f>
        <v>0</v>
      </c>
      <c r="T385" s="161">
        <f>ROUND(T349-T373*Inputs!$H$82,6)</f>
        <v>0</v>
      </c>
    </row>
    <row r="386" spans="2:20" x14ac:dyDescent="0.25">
      <c r="B386" s="145" t="s">
        <v>3284</v>
      </c>
    </row>
    <row r="388" spans="2:20" x14ac:dyDescent="0.25">
      <c r="B388" s="58" t="s">
        <v>3285</v>
      </c>
      <c r="C388" s="19"/>
      <c r="D388" s="19"/>
      <c r="E388" s="19"/>
      <c r="F388" s="19"/>
      <c r="G388" s="19"/>
      <c r="H388" s="19"/>
      <c r="I388" s="19"/>
      <c r="J388" s="19"/>
      <c r="K388" s="19"/>
      <c r="L388" s="19"/>
      <c r="M388" s="19"/>
      <c r="N388" s="19"/>
      <c r="O388" s="19"/>
      <c r="P388" s="19"/>
      <c r="Q388" s="19"/>
      <c r="R388" s="19"/>
      <c r="S388" s="19"/>
      <c r="T388" s="19"/>
    </row>
    <row r="389" spans="2:20" x14ac:dyDescent="0.25">
      <c r="B389" s="154" t="s">
        <v>3286</v>
      </c>
    </row>
    <row r="390" spans="2:20" x14ac:dyDescent="0.25">
      <c r="B390" s="23" t="s">
        <v>3287</v>
      </c>
      <c r="C390" s="28" t="s">
        <v>493</v>
      </c>
      <c r="G390" s="159">
        <f t="shared" ref="G390:T390" si="106">G117+G130+G143+G156+G169+G182+G195+G299+G312+G325+G338+G351</f>
        <v>-197.41043441971001</v>
      </c>
      <c r="H390" s="159">
        <f t="shared" si="106"/>
        <v>-125.24050000000001</v>
      </c>
      <c r="I390" s="159">
        <f t="shared" si="106"/>
        <v>53.490308009723613</v>
      </c>
      <c r="J390" s="159">
        <f t="shared" si="106"/>
        <v>-318.99603245693493</v>
      </c>
      <c r="K390" s="159">
        <f t="shared" si="106"/>
        <v>-78.984078828680808</v>
      </c>
      <c r="L390" s="159">
        <f t="shared" si="106"/>
        <v>84.368270194091139</v>
      </c>
      <c r="M390" s="159">
        <f t="shared" si="106"/>
        <v>221.58104610765693</v>
      </c>
      <c r="N390" s="159">
        <f t="shared" si="106"/>
        <v>240.28511157119556</v>
      </c>
      <c r="O390" s="159">
        <f t="shared" si="106"/>
        <v>263.04648860878837</v>
      </c>
      <c r="P390" s="159">
        <f t="shared" si="106"/>
        <v>276.04226995728288</v>
      </c>
      <c r="Q390" s="159">
        <f t="shared" si="106"/>
        <v>296.48046342954257</v>
      </c>
      <c r="R390" s="159">
        <f t="shared" si="106"/>
        <v>307.45218536163736</v>
      </c>
      <c r="S390" s="159">
        <f t="shared" si="106"/>
        <v>297.43546878325674</v>
      </c>
      <c r="T390" s="159">
        <f t="shared" si="106"/>
        <v>3477.7729989929039</v>
      </c>
    </row>
    <row r="391" spans="2:20" x14ac:dyDescent="0.25">
      <c r="B391" s="23" t="s">
        <v>3232</v>
      </c>
      <c r="C391" s="28" t="s">
        <v>493</v>
      </c>
      <c r="G391" s="159">
        <f>G390</f>
        <v>-197.41043441971001</v>
      </c>
      <c r="H391" s="159">
        <f t="shared" ref="H391:T391" si="107">G391+H115+H128+H141+H154+H167+H180+H193+H297+H310+H323+H336+H349</f>
        <v>-322.65093441971004</v>
      </c>
      <c r="I391" s="159">
        <f t="shared" si="107"/>
        <v>-269.16062640998643</v>
      </c>
      <c r="J391" s="159">
        <f t="shared" si="107"/>
        <v>-588.15665886692148</v>
      </c>
      <c r="K391" s="159">
        <f t="shared" si="107"/>
        <v>-667.14073769560241</v>
      </c>
      <c r="L391" s="159">
        <f t="shared" si="107"/>
        <v>-582.77246750151119</v>
      </c>
      <c r="M391" s="159">
        <f t="shared" si="107"/>
        <v>-361.19142139385423</v>
      </c>
      <c r="N391" s="159">
        <f t="shared" si="107"/>
        <v>-120.90630982265867</v>
      </c>
      <c r="O391" s="159">
        <f t="shared" si="107"/>
        <v>142.14017878612967</v>
      </c>
      <c r="P391" s="159">
        <f t="shared" si="107"/>
        <v>418.18244874341252</v>
      </c>
      <c r="Q391" s="159">
        <f t="shared" si="107"/>
        <v>714.66291217295509</v>
      </c>
      <c r="R391" s="159">
        <f t="shared" si="107"/>
        <v>1022.1150975345925</v>
      </c>
      <c r="S391" s="159">
        <f t="shared" si="107"/>
        <v>1319.5505663178492</v>
      </c>
      <c r="T391" s="159">
        <f t="shared" si="107"/>
        <v>1622.6742591507571</v>
      </c>
    </row>
    <row r="392" spans="2:20" x14ac:dyDescent="0.25">
      <c r="B392" s="21" t="s">
        <v>3288</v>
      </c>
      <c r="C392" s="28" t="s">
        <v>493</v>
      </c>
      <c r="E392" s="160">
        <f>N($E$11)+N($E$12)+N($E$13)+N($E$14)+N($E$15)+N($E$16)+N($E$17)+N($E$25)+N($E$26)+N($E$27)+N($E$28)+N($E$29)</f>
        <v>2101.7403186214578</v>
      </c>
    </row>
    <row r="393" spans="2:20" x14ac:dyDescent="0.25">
      <c r="B393" s="21" t="s">
        <v>3289</v>
      </c>
      <c r="E393" s="200">
        <f>IF(AND(COUNTIF($G$390:$T$390,"&lt;0")&gt;0,COUNTIF($G$390:$T$390,"&gt;0")&gt;0),IF(SUM($G$390:$T$390)&lt;=0,"Not meaningful",IFERROR(IF(ABS(XIRR($G$390:$T$390,$G$50:$T$50))&gt;10,"Not meaningful",XIRR($G$390:$T$390,$G$50:$T$50)),"Not meaningful")),"Not meaningful")</f>
        <v>0.25850284695625303</v>
      </c>
    </row>
    <row r="394" spans="2:20" x14ac:dyDescent="0.25">
      <c r="B394" s="21" t="s">
        <v>3290</v>
      </c>
      <c r="E394" s="200">
        <f>IF(AND(COUNTIF(INDEX($G$390:$T$390,1,Inputs!$E$560-2021):T$390,"&lt;0")&gt;0,COUNTIF(INDEX($G$390:$T$390,1,Inputs!$E$560-2021):T$390,"&gt;0")&gt;0),IF(SUM(INDEX($G$390:$T$390,1,Inputs!$E$560-2021):T$390)&lt;=0,"Not meaningful",IFERROR(IF(ABS(XIRR(INDEX($G$390:$T$390,1,Inputs!$E$560-2021):T$390,INDEX($G$50:$T$50,1,Inputs!$E$560-2021):T$50))&gt;10,"Not meaningful",XIRR(INDEX($G$390:$T$390,1,Inputs!$E$560-2021):T$390,INDEX($G$50:$T$50,1,Inputs!$E$560-2021):T$50)),"Not meaningful")),"Not meaningful")</f>
        <v>1.7516409277915952</v>
      </c>
    </row>
    <row r="395" spans="2:20" x14ac:dyDescent="0.25">
      <c r="B395" s="23" t="s">
        <v>3291</v>
      </c>
      <c r="C395" s="28" t="s">
        <v>493</v>
      </c>
      <c r="E395" s="159">
        <f>MAX(0,-MIN($G$391:$T$391))</f>
        <v>667.14073769560241</v>
      </c>
    </row>
    <row r="396" spans="2:20" x14ac:dyDescent="0.25">
      <c r="B396" s="154" t="s">
        <v>3292</v>
      </c>
    </row>
    <row r="397" spans="2:20" x14ac:dyDescent="0.25">
      <c r="B397" s="23" t="s">
        <v>3287</v>
      </c>
      <c r="C397" s="28" t="s">
        <v>493</v>
      </c>
      <c r="G397" s="159">
        <f t="shared" ref="G397:T397" si="108">G117+G130+G143+G156+G169+G182+G195+G208+G221+G234+G247+G260+G273+G286+G299+G312+G325+G338+G351</f>
        <v>-197.41043441971001</v>
      </c>
      <c r="H397" s="159">
        <f t="shared" si="108"/>
        <v>-125.24050000000001</v>
      </c>
      <c r="I397" s="159">
        <f t="shared" si="108"/>
        <v>53.490308009723613</v>
      </c>
      <c r="J397" s="159">
        <f t="shared" si="108"/>
        <v>-289.22627208259331</v>
      </c>
      <c r="K397" s="159">
        <f t="shared" si="108"/>
        <v>-30.456224601918251</v>
      </c>
      <c r="L397" s="159">
        <f t="shared" si="108"/>
        <v>135.53833283685771</v>
      </c>
      <c r="M397" s="159">
        <f t="shared" si="108"/>
        <v>274.49240349848765</v>
      </c>
      <c r="N397" s="159">
        <f t="shared" si="108"/>
        <v>295.07730115379661</v>
      </c>
      <c r="O397" s="159">
        <f t="shared" si="108"/>
        <v>319.72056063868331</v>
      </c>
      <c r="P397" s="159">
        <f t="shared" si="108"/>
        <v>334.69164321540404</v>
      </c>
      <c r="Q397" s="159">
        <f t="shared" si="108"/>
        <v>356.98759412397311</v>
      </c>
      <c r="R397" s="159">
        <f t="shared" si="108"/>
        <v>370.03379315513109</v>
      </c>
      <c r="S397" s="159">
        <f t="shared" si="108"/>
        <v>360.04215706872139</v>
      </c>
      <c r="T397" s="159">
        <f t="shared" si="108"/>
        <v>4276.2075797963189</v>
      </c>
    </row>
    <row r="398" spans="2:20" x14ac:dyDescent="0.25">
      <c r="B398" s="23" t="s">
        <v>3232</v>
      </c>
      <c r="C398" s="28" t="s">
        <v>493</v>
      </c>
      <c r="G398" s="159">
        <f>G397</f>
        <v>-197.41043441971001</v>
      </c>
      <c r="H398" s="159">
        <f t="shared" ref="H398:T398" si="109">G398+H115+H128+H141+H154+H167+H180+H193+H206+H219+H232+H245+H258+H271+H284+H297+H310+H323+H336+H349</f>
        <v>-322.65093441971004</v>
      </c>
      <c r="I398" s="159">
        <f t="shared" si="109"/>
        <v>-269.16062640998643</v>
      </c>
      <c r="J398" s="159">
        <f t="shared" si="109"/>
        <v>-558.3868984925798</v>
      </c>
      <c r="K398" s="159">
        <f t="shared" si="109"/>
        <v>-588.84312309449797</v>
      </c>
      <c r="L398" s="159">
        <f t="shared" si="109"/>
        <v>-453.30479025764032</v>
      </c>
      <c r="M398" s="159">
        <f t="shared" si="109"/>
        <v>-178.81238675915264</v>
      </c>
      <c r="N398" s="159">
        <f t="shared" si="109"/>
        <v>116.26491439464399</v>
      </c>
      <c r="O398" s="159">
        <f t="shared" si="109"/>
        <v>435.9854750333273</v>
      </c>
      <c r="P398" s="159">
        <f t="shared" si="109"/>
        <v>770.67711824873152</v>
      </c>
      <c r="Q398" s="159">
        <f t="shared" si="109"/>
        <v>1127.6647123727041</v>
      </c>
      <c r="R398" s="159">
        <f t="shared" si="109"/>
        <v>1497.6985055278353</v>
      </c>
      <c r="S398" s="159">
        <f t="shared" si="109"/>
        <v>1857.7406625965571</v>
      </c>
      <c r="T398" s="159">
        <f t="shared" si="109"/>
        <v>2224.2970764468591</v>
      </c>
    </row>
    <row r="399" spans="2:20" x14ac:dyDescent="0.25">
      <c r="B399" s="21" t="s">
        <v>3288</v>
      </c>
      <c r="C399" s="28" t="s">
        <v>493</v>
      </c>
      <c r="E399" s="160">
        <f>N($E$11)+N($E$12)+N($E$13)+N($E$14)+N($E$15)+N($E$16)+N($E$17)+N($E$18)+N($E$19)+N($E$20)+N($E$21)+N($E$22)+N($E$23)+N($E$24)+N($E$25)+N($E$26)+N($E$27)+N($E$28)+N($E$29)</f>
        <v>2657.1688860097115</v>
      </c>
    </row>
    <row r="400" spans="2:20" x14ac:dyDescent="0.25">
      <c r="B400" s="21" t="s">
        <v>3289</v>
      </c>
      <c r="E400" s="200">
        <f>IF(AND(COUNTIF($G$397:$T$397,"&lt;0")&gt;0,COUNTIF($G$397:$T$397,"&gt;0")&gt;0),IF(SUM($G$397:$T$397)&lt;=0,"Not meaningful",IFERROR(IF(ABS(XIRR($G$397:$T$397,$G$50:$T$50))&gt;10,"Not meaningful",XIRR($G$397:$T$397,$G$50:$T$50)),"Not meaningful")),"Not meaningful")</f>
        <v>0.3034991681575776</v>
      </c>
    </row>
    <row r="401" spans="2:20" x14ac:dyDescent="0.25">
      <c r="B401" s="21" t="s">
        <v>3290</v>
      </c>
      <c r="E401" s="200">
        <f>IF(AND(COUNTIF(INDEX($G$397:$T$397,1,Inputs!$E$560-2021):T$397,"&lt;0")&gt;0,COUNTIF(INDEX($G$397:$T$397,1,Inputs!$E$560-2021):T$397,"&gt;0")&gt;0),IF(SUM(INDEX($G$397:$T$397,1,Inputs!$E$560-2021):T$397)&lt;=0,"Not meaningful",IFERROR(IF(ABS(XIRR(INDEX($G$397:$T$397,1,Inputs!$E$560-2021):T$397,INDEX($G$50:$T$50,1,Inputs!$E$560-2021):T$50))&gt;10,"Not meaningful",XIRR(INDEX($G$397:$T$397,1,Inputs!$E$560-2021):T$397,INDEX($G$50:$T$50,1,Inputs!$E$560-2021):T$50)),"Not meaningful")),"Not meaningful")</f>
        <v>5.1836772441864012</v>
      </c>
    </row>
    <row r="402" spans="2:20" x14ac:dyDescent="0.25">
      <c r="B402" s="23" t="s">
        <v>3291</v>
      </c>
      <c r="C402" s="28" t="s">
        <v>493</v>
      </c>
      <c r="E402" s="159">
        <f>MAX(0,-MIN($G$398:$T$398))</f>
        <v>588.84312309449797</v>
      </c>
    </row>
    <row r="404" spans="2:20" x14ac:dyDescent="0.25">
      <c r="B404" s="58" t="s">
        <v>3293</v>
      </c>
      <c r="C404" s="19"/>
      <c r="D404" s="19"/>
      <c r="E404" s="19"/>
      <c r="F404" s="19"/>
      <c r="G404" s="19"/>
      <c r="H404" s="19"/>
      <c r="I404" s="19"/>
      <c r="J404" s="19"/>
      <c r="K404" s="19"/>
      <c r="L404" s="19"/>
      <c r="M404" s="19"/>
      <c r="N404" s="19"/>
      <c r="O404" s="19"/>
      <c r="P404" s="19"/>
      <c r="Q404" s="19"/>
      <c r="R404" s="19"/>
      <c r="S404" s="19"/>
      <c r="T404" s="19"/>
    </row>
    <row r="405" spans="2:20" x14ac:dyDescent="0.25">
      <c r="B405" s="154" t="s">
        <v>2509</v>
      </c>
    </row>
    <row r="406" spans="2:20" x14ac:dyDescent="0.25">
      <c r="B406" s="23" t="s">
        <v>3294</v>
      </c>
      <c r="C406" s="28" t="s">
        <v>493</v>
      </c>
      <c r="H406" s="159">
        <f t="shared" ref="H406:T406" si="110">H63+H76+H89+H102+H115+H128+H141+H154+H167+H180+H193+H206+H219+H232+H245+H258+H271+H284+H297+H310+H323+H336+H349</f>
        <v>-18.458283227188701</v>
      </c>
      <c r="I406" s="159">
        <f t="shared" si="110"/>
        <v>196.1722315230071</v>
      </c>
      <c r="J406" s="159">
        <f t="shared" si="110"/>
        <v>-134.66195882390994</v>
      </c>
      <c r="K406" s="159">
        <f t="shared" si="110"/>
        <v>137.93782050833391</v>
      </c>
      <c r="L406" s="159">
        <f t="shared" si="110"/>
        <v>311.02671932730607</v>
      </c>
      <c r="M406" s="159">
        <f t="shared" si="110"/>
        <v>465.24752411573456</v>
      </c>
      <c r="N406" s="159">
        <f t="shared" si="110"/>
        <v>494.12547615474375</v>
      </c>
      <c r="O406" s="159">
        <f t="shared" si="110"/>
        <v>528.55294107244356</v>
      </c>
      <c r="P406" s="159">
        <f t="shared" si="110"/>
        <v>555.88323167773649</v>
      </c>
      <c r="Q406" s="159">
        <f t="shared" si="110"/>
        <v>589.69382435316857</v>
      </c>
      <c r="R406" s="159">
        <f t="shared" si="110"/>
        <v>609.75245990641588</v>
      </c>
      <c r="S406" s="159">
        <f t="shared" si="110"/>
        <v>606.34717800696205</v>
      </c>
      <c r="T406" s="159">
        <f t="shared" si="110"/>
        <v>620.74081139618761</v>
      </c>
    </row>
    <row r="407" spans="2:20" ht="26.25" customHeight="1" x14ac:dyDescent="0.25">
      <c r="B407" s="64" t="s">
        <v>3295</v>
      </c>
      <c r="C407" s="28" t="s">
        <v>493</v>
      </c>
      <c r="H407" s="159">
        <f>-(H60+H73+H86+H99+H112+H125+H138+H151+H164+H177+H190+H203+H216+H229+H242+H255+H268+H281+H294+H307+H320+H333+H346)-'FSL Output - With BUMN'!H231</f>
        <v>0</v>
      </c>
      <c r="I407" s="159">
        <f>-(I60+I73+I86+I99+I112+I125+I138+I151+I164+I177+I190+I203+I216+I229+I242+I255+I268+I281+I294+I307+I320+I333+I346)-'FSL Output - With BUMN'!I231</f>
        <v>0</v>
      </c>
      <c r="J407" s="159">
        <f>-(J60+J73+J86+J99+J112+J125+J138+J151+J164+J177+J190+J203+J216+J229+J242+J255+J268+J281+J294+J307+J320+J333+J346)-'FSL Output - With BUMN'!J231</f>
        <v>2.9859598999999832</v>
      </c>
      <c r="K407" s="159">
        <f>-(K60+K73+K86+K99+K112+K125+K138+K151+K164+K177+K190+K203+K216+K229+K242+K255+K268+K281+K294+K307+K320+K333+K346)-'FSL Output - With BUMN'!K231</f>
        <v>1.2303592334219928</v>
      </c>
      <c r="L407" s="159">
        <f>-(L60+L73+L86+L99+L112+L125+L138+L151+L164+L177+L190+L203+L216+L229+L242+L255+L268+L281+L294+L307+L320+L333+L346)-'FSL Output - With BUMN'!L231</f>
        <v>0.72571193740765239</v>
      </c>
      <c r="M407" s="159">
        <f>-(M60+M73+M86+M99+M112+M125+M138+M151+M164+M177+M190+M203+M216+M229+M242+M255+M268+M281+M294+M307+M320+M333+M346)-'FSL Output - With BUMN'!M231</f>
        <v>0.19240258460440884</v>
      </c>
      <c r="N407" s="159">
        <f>-(N60+N73+N86+N99+N112+N125+N138+N151+N164+N177+N190+N203+N216+N229+N242+N255+N268+N281+N294+N307+N320+N333+N346)-'FSL Output - With BUMN'!N231</f>
        <v>0</v>
      </c>
      <c r="O407" s="159">
        <f>-(O60+O73+O86+O99+O112+O125+O138+O151+O164+O177+O190+O203+O216+O229+O242+O255+O268+O281+O294+O307+O320+O333+O346)-'FSL Output - With BUMN'!O231</f>
        <v>0</v>
      </c>
      <c r="P407" s="159">
        <f>-(P60+P73+P86+P99+P112+P125+P138+P151+P164+P177+P190+P203+P216+P229+P242+P255+P268+P281+P294+P307+P320+P333+P346)-'FSL Output - With BUMN'!P231</f>
        <v>0</v>
      </c>
      <c r="Q407" s="159">
        <f>-(Q60+Q73+Q86+Q99+Q112+Q125+Q138+Q151+Q164+Q177+Q190+Q203+Q216+Q229+Q242+Q255+Q268+Q281+Q294+Q307+Q320+Q333+Q346)-'FSL Output - With BUMN'!Q231</f>
        <v>0</v>
      </c>
      <c r="R407" s="159">
        <f>-(R60+R73+R86+R99+R112+R125+R138+R151+R164+R177+R190+R203+R216+R229+R242+R255+R268+R281+R294+R307+R320+R333+R346)-'FSL Output - With BUMN'!R231</f>
        <v>0</v>
      </c>
      <c r="S407" s="159">
        <f>-(S60+S73+S86+S99+S112+S125+S138+S151+S164+S177+S190+S203+S216+S229+S242+S255+S268+S281+S294+S307+S320+S333+S346)-'FSL Output - With BUMN'!S231</f>
        <v>2.9859598999999832</v>
      </c>
      <c r="T407" s="159">
        <f>-(T60+T73+T86+T99+T112+T125+T138+T151+T164+T177+T190+T203+T216+T229+T242+T255+T268+T281+T294+T307+T320+T333+T346)-'FSL Output - With BUMN'!T231</f>
        <v>2.9859599000000401</v>
      </c>
    </row>
    <row r="408" spans="2:20" ht="26.25" customHeight="1" x14ac:dyDescent="0.25">
      <c r="B408" s="64" t="s">
        <v>3296</v>
      </c>
      <c r="C408" s="28" t="s">
        <v>493</v>
      </c>
      <c r="H408" s="159">
        <f>'Valuation — With BUMN'!H41-(H62+H75+H88+H101+H114+H127+H140+H153+H166+H179+H192+H205+H218+H231+H244+H257+H270+H283+H296+H309+H322+H335+H348)</f>
        <v>30.328014017095104</v>
      </c>
      <c r="I408" s="159">
        <f>'Valuation — With BUMN'!I41-(I62+I75+I88+I101+I114+I127+I140+I153+I166+I179+I192+I205+I218+I231+I244+I257+I270+I283+I296+I309+I322+I335+I348)</f>
        <v>0</v>
      </c>
      <c r="J408" s="159">
        <f>'Valuation — With BUMN'!J41-(J62+J75+J88+J101+J114+J127+J140+J153+J166+J179+J192+J205+J218+J231+J244+J257+J270+J283+J296+J309+J322+J335+J348)</f>
        <v>0</v>
      </c>
      <c r="K408" s="159">
        <f>'Valuation — With BUMN'!K41-(K62+K75+K88+K101+K114+K127+K140+K153+K166+K179+K192+K205+K218+K231+K244+K257+K270+K283+K296+K309+K322+K335+K348)</f>
        <v>0</v>
      </c>
      <c r="L408" s="159">
        <f>'Valuation — With BUMN'!L41-(L62+L75+L88+L101+L114+L127+L140+L153+L166+L179+L192+L205+L218+L231+L244+L257+L270+L283+L296+L309+L322+L335+L348)</f>
        <v>0</v>
      </c>
      <c r="M408" s="159">
        <f>'Valuation — With BUMN'!M41-(M62+M75+M88+M101+M114+M127+M140+M153+M166+M179+M192+M205+M218+M231+M244+M257+M270+M283+M296+M309+M322+M335+M348)</f>
        <v>0</v>
      </c>
      <c r="N408" s="159">
        <f>'Valuation — With BUMN'!N41-(N62+N75+N88+N101+N114+N127+N140+N153+N166+N179+N192+N205+N218+N231+N244+N257+N270+N283+N296+N309+N322+N335+N348)</f>
        <v>-1.4210854715202004E-14</v>
      </c>
      <c r="O408" s="159">
        <f>'Valuation — With BUMN'!O41-(O62+O75+O88+O101+O114+O127+O140+O153+O166+O179+O192+O205+O218+O231+O244+O257+O270+O283+O296+O309+O322+O335+O348)</f>
        <v>0</v>
      </c>
      <c r="P408" s="159">
        <f>'Valuation — With BUMN'!P41-(P62+P75+P88+P101+P114+P127+P140+P153+P166+P179+P192+P205+P218+P231+P244+P257+P270+P283+P296+P309+P322+P335+P348)</f>
        <v>4.8849813083506888E-14</v>
      </c>
      <c r="Q408" s="159">
        <f>'Valuation — With BUMN'!Q41-(Q62+Q75+Q88+Q101+Q114+Q127+Q140+Q153+Q166+Q179+Q192+Q205+Q218+Q231+Q244+Q257+Q270+Q283+Q296+Q309+Q322+Q335+Q348)</f>
        <v>-8.8817841970012523E-15</v>
      </c>
      <c r="R408" s="159">
        <f>'Valuation — With BUMN'!R41-(R62+R75+R88+R101+R114+R127+R140+R153+R166+R179+R192+R205+R218+R231+R244+R257+R270+R283+R296+R309+R322+R335+R348)</f>
        <v>0.51981068748260695</v>
      </c>
      <c r="S408" s="159">
        <f>'Valuation — With BUMN'!S41-(S62+S75+S88+S101+S114+S127+S140+S153+S166+S179+S192+S205+S218+S231+S244+S257+S270+S283+S296+S309+S322+S335+S348)</f>
        <v>-5.773159728050814E-15</v>
      </c>
      <c r="T408" s="159">
        <f>'Valuation — With BUMN'!T41-(T62+T75+T88+T101+T114+T127+T140+T153+T166+T179+T192+T205+T218+T231+T244+T257+T270+T283+T296+T309+T322+T335+T348)</f>
        <v>-3.7747582837255322E-14</v>
      </c>
    </row>
    <row r="409" spans="2:20" x14ac:dyDescent="0.25">
      <c r="B409" s="23" t="s">
        <v>3297</v>
      </c>
      <c r="C409" s="28" t="s">
        <v>493</v>
      </c>
      <c r="H409" s="159">
        <f>-'Cost Calculation'!H299</f>
        <v>0</v>
      </c>
      <c r="I409" s="159">
        <f>-'Cost Calculation'!I299</f>
        <v>0</v>
      </c>
      <c r="J409" s="159">
        <f>-'Cost Calculation'!J299</f>
        <v>0</v>
      </c>
      <c r="K409" s="159">
        <f>-'Cost Calculation'!K299</f>
        <v>0</v>
      </c>
      <c r="L409" s="159">
        <f>-'Cost Calculation'!L299</f>
        <v>0</v>
      </c>
      <c r="M409" s="159">
        <f>-'Cost Calculation'!M299</f>
        <v>0</v>
      </c>
      <c r="N409" s="159">
        <f>-'Cost Calculation'!N299</f>
        <v>0</v>
      </c>
      <c r="O409" s="159">
        <f>-'Cost Calculation'!O299</f>
        <v>0</v>
      </c>
      <c r="P409" s="159">
        <f>-'Cost Calculation'!P299</f>
        <v>0</v>
      </c>
      <c r="Q409" s="159">
        <f>-'Cost Calculation'!Q299</f>
        <v>0</v>
      </c>
      <c r="R409" s="159">
        <f>-'Cost Calculation'!R299</f>
        <v>0</v>
      </c>
      <c r="S409" s="159">
        <f>-'Cost Calculation'!S299</f>
        <v>0</v>
      </c>
      <c r="T409" s="159">
        <f>-'Cost Calculation'!T299</f>
        <v>0</v>
      </c>
    </row>
    <row r="410" spans="2:20" x14ac:dyDescent="0.25">
      <c r="B410" s="21" t="s">
        <v>3298</v>
      </c>
      <c r="C410" s="28" t="s">
        <v>493</v>
      </c>
      <c r="H410" s="26">
        <f>'Valuation — With BUMN'!H42</f>
        <v>11.86973078990642</v>
      </c>
      <c r="I410" s="26">
        <f>'Valuation — With BUMN'!I42</f>
        <v>196.1722315230071</v>
      </c>
      <c r="J410" s="26">
        <f>'Valuation — With BUMN'!J42</f>
        <v>-131.67599892390993</v>
      </c>
      <c r="K410" s="26">
        <f>'Valuation — With BUMN'!K42</f>
        <v>139.16817974175589</v>
      </c>
      <c r="L410" s="26">
        <f>'Valuation — With BUMN'!L42</f>
        <v>311.75243126471378</v>
      </c>
      <c r="M410" s="26">
        <f>'Valuation — With BUMN'!M42</f>
        <v>465.43992670033907</v>
      </c>
      <c r="N410" s="26">
        <f>'Valuation — With BUMN'!N42</f>
        <v>494.12547615474364</v>
      </c>
      <c r="O410" s="26">
        <f>'Valuation — With BUMN'!O42</f>
        <v>528.55294107244345</v>
      </c>
      <c r="P410" s="26">
        <f>'Valuation — With BUMN'!P42</f>
        <v>555.8832316777366</v>
      </c>
      <c r="Q410" s="26">
        <f>'Valuation — With BUMN'!Q42</f>
        <v>589.69382435316902</v>
      </c>
      <c r="R410" s="26">
        <f>'Valuation — With BUMN'!R42</f>
        <v>610.27227059389872</v>
      </c>
      <c r="S410" s="26">
        <f>'Valuation — With BUMN'!S42</f>
        <v>609.33313790696207</v>
      </c>
      <c r="T410" s="26">
        <f>'Valuation — With BUMN'!T42</f>
        <v>623.72677129618762</v>
      </c>
    </row>
    <row r="411" spans="2:20" x14ac:dyDescent="0.25">
      <c r="B411" s="23" t="s">
        <v>3299</v>
      </c>
      <c r="C411" s="28" t="s">
        <v>493</v>
      </c>
      <c r="H411" s="161">
        <f t="shared" ref="H411:T411" si="111">ROUND(H406+H407+H408+H409-H410,6)</f>
        <v>0</v>
      </c>
      <c r="I411" s="161">
        <f t="shared" si="111"/>
        <v>0</v>
      </c>
      <c r="J411" s="161">
        <f t="shared" si="111"/>
        <v>0</v>
      </c>
      <c r="K411" s="161">
        <f t="shared" si="111"/>
        <v>0</v>
      </c>
      <c r="L411" s="161">
        <f t="shared" si="111"/>
        <v>0</v>
      </c>
      <c r="M411" s="161">
        <f t="shared" si="111"/>
        <v>0</v>
      </c>
      <c r="N411" s="161">
        <f t="shared" si="111"/>
        <v>0</v>
      </c>
      <c r="O411" s="161">
        <f t="shared" si="111"/>
        <v>0</v>
      </c>
      <c r="P411" s="161">
        <f t="shared" si="111"/>
        <v>0</v>
      </c>
      <c r="Q411" s="161">
        <f t="shared" si="111"/>
        <v>0</v>
      </c>
      <c r="R411" s="161">
        <f t="shared" si="111"/>
        <v>0</v>
      </c>
      <c r="S411" s="161">
        <f t="shared" si="111"/>
        <v>0</v>
      </c>
      <c r="T411" s="161">
        <f t="shared" si="111"/>
        <v>0</v>
      </c>
    </row>
    <row r="412" spans="2:20" x14ac:dyDescent="0.25">
      <c r="B412" s="23" t="s">
        <v>3300</v>
      </c>
      <c r="C412" s="28" t="s">
        <v>493</v>
      </c>
      <c r="E412" s="159">
        <f>'Valuation — With BUMN'!$E$59-(T64+T77+T90+T103+T116+T129+T142+T155+T168+T181+T194+T207+T220+T233+T246+T259+T272+T285+T298+T311+T324+T337+T350)</f>
        <v>-62.54309597836982</v>
      </c>
    </row>
    <row r="413" spans="2:20" x14ac:dyDescent="0.25">
      <c r="B413" s="21" t="s">
        <v>3301</v>
      </c>
      <c r="C413" s="28" t="s">
        <v>493</v>
      </c>
      <c r="E413" s="160">
        <f>SUMPRODUCT($H$407:$T$407,$H$52:$T$52)+SUMPRODUCT($H$408:$T$408,$H$52:$T$52)+SUMPRODUCT($H$409:$T$409,$H$52:$T$52)+$E$412*$E$53</f>
        <v>-16.288315927161026</v>
      </c>
    </row>
    <row r="414" spans="2:20" x14ac:dyDescent="0.25">
      <c r="B414" s="23" t="s">
        <v>3302</v>
      </c>
      <c r="C414" s="28" t="s">
        <v>493</v>
      </c>
      <c r="E414" s="159">
        <f>N($E$7)+N($E$8)+N($E$9)+N($E$10)+N($E$11)+N($E$12)+N($E$13)+N($E$14)+N($E$15)+N($E$16)+N($E$17)+N($E$18)+N($E$19)+N($E$20)+N($E$21)+N($E$22)+N($E$23)+N($E$24)+N($E$25)+N($E$26)+N($E$27)+N($E$28)+N($E$29)+$E$413</f>
        <v>4633.2654972130404</v>
      </c>
    </row>
    <row r="415" spans="2:20" x14ac:dyDescent="0.25">
      <c r="B415" s="23" t="s">
        <v>3303</v>
      </c>
      <c r="E415" s="161">
        <f>ROUND($E$414-'Valuation — With BUMN'!$E$67,4)</f>
        <v>0</v>
      </c>
    </row>
    <row r="416" spans="2:20" x14ac:dyDescent="0.25">
      <c r="B416" s="154" t="s">
        <v>2517</v>
      </c>
    </row>
    <row r="417" spans="2:20" x14ac:dyDescent="0.25">
      <c r="B417" s="23" t="s">
        <v>3294</v>
      </c>
      <c r="C417" s="28" t="s">
        <v>493</v>
      </c>
      <c r="H417" s="159">
        <f t="shared" ref="H417:T417" si="112">H63+H76+H89+H102+H115+H128+H141+H154+H167+H180+H193+H206+H219+H232+H245+H297+H310+H323+H336+H349</f>
        <v>-18.458283227188701</v>
      </c>
      <c r="I417" s="159">
        <f t="shared" si="112"/>
        <v>196.1722315230071</v>
      </c>
      <c r="J417" s="159">
        <f t="shared" si="112"/>
        <v>-164.43171919825159</v>
      </c>
      <c r="K417" s="159">
        <f t="shared" si="112"/>
        <v>90.8740064522446</v>
      </c>
      <c r="L417" s="159">
        <f t="shared" si="112"/>
        <v>261.95719223171716</v>
      </c>
      <c r="M417" s="159">
        <f t="shared" si="112"/>
        <v>414.5688325873794</v>
      </c>
      <c r="N417" s="159">
        <f t="shared" si="112"/>
        <v>441.65387420069703</v>
      </c>
      <c r="O417" s="159">
        <f t="shared" si="112"/>
        <v>474.29106024696785</v>
      </c>
      <c r="P417" s="159">
        <f t="shared" si="112"/>
        <v>499.73173890875739</v>
      </c>
      <c r="Q417" s="159">
        <f t="shared" si="112"/>
        <v>531.76689501220119</v>
      </c>
      <c r="R417" s="159">
        <f t="shared" si="112"/>
        <v>549.8405446078259</v>
      </c>
      <c r="S417" s="159">
        <f t="shared" si="112"/>
        <v>546.50179127002605</v>
      </c>
      <c r="T417" s="159">
        <f t="shared" si="112"/>
        <v>560.16606046295976</v>
      </c>
    </row>
    <row r="418" spans="2:20" ht="26.25" customHeight="1" x14ac:dyDescent="0.25">
      <c r="B418" s="64" t="s">
        <v>3295</v>
      </c>
      <c r="C418" s="28" t="s">
        <v>493</v>
      </c>
      <c r="H418" s="159">
        <f>-(H60+H73+H86+H99+H112+H125+H138+H151+H164+H177+H190+H203+H216+H229+H242+H294+H307+H320+H333+H346)-'FSL Output - Without BUMN'!H180</f>
        <v>0</v>
      </c>
      <c r="I418" s="159">
        <f>-(I60+I73+I86+I99+I112+I125+I138+I151+I164+I177+I190+I203+I216+I229+I242+I294+I307+I320+I333+I346)-'FSL Output - Without BUMN'!I180</f>
        <v>0</v>
      </c>
      <c r="J418" s="159">
        <f>-(J60+J73+J86+J99+J112+J125+J138+J151+J164+J177+J190+J203+J216+J229+J242+J294+J307+J320+J333+J346)-'FSL Output - Without BUMN'!J180</f>
        <v>2.9859598999999903</v>
      </c>
      <c r="K418" s="159">
        <f>-(K60+K73+K86+K99+K112+K125+K138+K151+K164+K177+K190+K203+K216+K229+K242+K294+K307+K320+K333+K346)-'FSL Output - Without BUMN'!K180</f>
        <v>1.2303592334219928</v>
      </c>
      <c r="L418" s="159">
        <f>-(L60+L73+L86+L99+L112+L125+L138+L151+L164+L177+L190+L203+L216+L229+L242+L294+L307+L320+L333+L346)-'FSL Output - Without BUMN'!L180</f>
        <v>0.72571193740765239</v>
      </c>
      <c r="M418" s="159">
        <f>-(M60+M73+M86+M99+M112+M125+M138+M151+M164+M177+M190+M203+M216+M229+M242+M294+M307+M320+M333+M346)-'FSL Output - Without BUMN'!M180</f>
        <v>0.19240258460439463</v>
      </c>
      <c r="N418" s="159">
        <f>-(N60+N73+N86+N99+N112+N125+N138+N151+N164+N177+N190+N203+N216+N229+N242+N294+N307+N320+N333+N346)-'FSL Output - Without BUMN'!N180</f>
        <v>0</v>
      </c>
      <c r="O418" s="159">
        <f>-(O60+O73+O86+O99+O112+O125+O138+O151+O164+O177+O190+O203+O216+O229+O242+O294+O307+O320+O333+O346)-'FSL Output - Without BUMN'!O180</f>
        <v>0</v>
      </c>
      <c r="P418" s="159">
        <f>-(P60+P73+P86+P99+P112+P125+P138+P151+P164+P177+P190+P203+P216+P229+P242+P294+P307+P320+P333+P346)-'FSL Output - Without BUMN'!P180</f>
        <v>0</v>
      </c>
      <c r="Q418" s="159">
        <f>-(Q60+Q73+Q86+Q99+Q112+Q125+Q138+Q151+Q164+Q177+Q190+Q203+Q216+Q229+Q242+Q294+Q307+Q320+Q333+Q346)-'FSL Output - Without BUMN'!Q180</f>
        <v>0</v>
      </c>
      <c r="R418" s="159">
        <f>-(R60+R73+R86+R99+R112+R125+R138+R151+R164+R177+R190+R203+R216+R229+R242+R294+R307+R320+R333+R346)-'FSL Output - Without BUMN'!R180</f>
        <v>0</v>
      </c>
      <c r="S418" s="159">
        <f>-(S60+S73+S86+S99+S112+S125+S138+S151+S164+S177+S190+S203+S216+S229+S242+S294+S307+S320+S333+S346)-'FSL Output - Without BUMN'!S180</f>
        <v>2.9859598999999974</v>
      </c>
      <c r="T418" s="159">
        <f>-(T60+T73+T86+T99+T112+T125+T138+T151+T164+T177+T190+T203+T216+T229+T242+T294+T307+T320+T333+T346)-'FSL Output - Without BUMN'!T180</f>
        <v>2.9859598999999974</v>
      </c>
    </row>
    <row r="419" spans="2:20" ht="26.25" customHeight="1" x14ac:dyDescent="0.25">
      <c r="B419" s="64" t="s">
        <v>3296</v>
      </c>
      <c r="C419" s="28" t="s">
        <v>493</v>
      </c>
      <c r="H419" s="159">
        <f>'Valuation — Without BUMN'!H41-(H62+H75+H88+H101+H114+H127+H140+H153+H166+H179+H192+H205+H218+H231+H244+H296+H309+H322+H335+H348)</f>
        <v>30.328014017095104</v>
      </c>
      <c r="I419" s="159">
        <f>'Valuation — Without BUMN'!I41-(I62+I75+I88+I101+I114+I127+I140+I153+I166+I179+I192+I205+I218+I231+I244+I296+I309+I322+I335+I348)</f>
        <v>0</v>
      </c>
      <c r="J419" s="159">
        <f>'Valuation — Without BUMN'!J41-(J62+J75+J88+J101+J114+J127+J140+J153+J166+J179+J192+J205+J218+J231+J244+J296+J309+J322+J335+J348)</f>
        <v>0</v>
      </c>
      <c r="K419" s="159">
        <f>'Valuation — Without BUMN'!K41-(K62+K75+K88+K101+K114+K127+K140+K153+K166+K179+K192+K205+K218+K231+K244+K296+K309+K322+K335+K348)</f>
        <v>0</v>
      </c>
      <c r="L419" s="159">
        <f>'Valuation — Without BUMN'!L41-(L62+L75+L88+L101+L114+L127+L140+L153+L166+L179+L192+L205+L218+L231+L244+L296+L309+L322+L335+L348)</f>
        <v>0</v>
      </c>
      <c r="M419" s="159">
        <f>'Valuation — Without BUMN'!M41-(M62+M75+M88+M101+M114+M127+M140+M153+M166+M179+M192+M205+M218+M231+M244+M296+M309+M322+M335+M348)</f>
        <v>0</v>
      </c>
      <c r="N419" s="159">
        <f>'Valuation — Without BUMN'!N41-(N62+N75+N88+N101+N114+N127+N140+N153+N166+N179+N192+N205+N218+N231+N244+N296+N309+N322+N335+N348)</f>
        <v>0</v>
      </c>
      <c r="O419" s="159">
        <f>'Valuation — Without BUMN'!O41-(O62+O75+O88+O101+O114+O127+O140+O153+O166+O179+O192+O205+O218+O231+O244+O296+O309+O322+O335+O348)</f>
        <v>-4.1744385725905886E-14</v>
      </c>
      <c r="P419" s="159">
        <f>'Valuation — Without BUMN'!P41-(P62+P75+P88+P101+P114+P127+P140+P153+P166+P179+P192+P205+P218+P231+P244+P296+P309+P322+P335+P348)</f>
        <v>2.4868995751603507E-14</v>
      </c>
      <c r="Q419" s="159">
        <f>'Valuation — Without BUMN'!Q41-(Q62+Q75+Q88+Q101+Q114+Q127+Q140+Q153+Q166+Q179+Q192+Q205+Q218+Q231+Q244+Q296+Q309+Q322+Q335+Q348)</f>
        <v>2.8421709430404007E-14</v>
      </c>
      <c r="R419" s="159">
        <f>'Valuation — Without BUMN'!R41-(R62+R75+R88+R101+R114+R127+R140+R153+R166+R179+R192+R205+R218+R231+R244+R296+R309+R322+R335+R348)</f>
        <v>0.51981068748258474</v>
      </c>
      <c r="S419" s="159">
        <f>'Valuation — Without BUMN'!S41-(S62+S75+S88+S101+S114+S127+S140+S153+S166+S179+S192+S205+S218+S231+S244+S296+S309+S322+S335+S348)</f>
        <v>2.6645352591003757E-14</v>
      </c>
      <c r="T419" s="159">
        <f>'Valuation — Without BUMN'!T41-(T62+T75+T88+T101+T114+T127+T140+T153+T166+T179+T192+T205+T218+T231+T244+T296+T309+T322+T335+T348)</f>
        <v>-4.0412118096355698E-14</v>
      </c>
    </row>
    <row r="420" spans="2:20" x14ac:dyDescent="0.25">
      <c r="B420" s="23" t="s">
        <v>3297</v>
      </c>
      <c r="C420" s="28" t="s">
        <v>493</v>
      </c>
      <c r="H420" s="159">
        <f>-'Cost Calculation'!H299</f>
        <v>0</v>
      </c>
      <c r="I420" s="159">
        <f>-'Cost Calculation'!I299</f>
        <v>0</v>
      </c>
      <c r="J420" s="159">
        <f>-'Cost Calculation'!J299</f>
        <v>0</v>
      </c>
      <c r="K420" s="159">
        <f>-'Cost Calculation'!K299</f>
        <v>0</v>
      </c>
      <c r="L420" s="159">
        <f>-'Cost Calculation'!L299</f>
        <v>0</v>
      </c>
      <c r="M420" s="159">
        <f>-'Cost Calculation'!M299</f>
        <v>0</v>
      </c>
      <c r="N420" s="159">
        <f>-'Cost Calculation'!N299</f>
        <v>0</v>
      </c>
      <c r="O420" s="159">
        <f>-'Cost Calculation'!O299</f>
        <v>0</v>
      </c>
      <c r="P420" s="159">
        <f>-'Cost Calculation'!P299</f>
        <v>0</v>
      </c>
      <c r="Q420" s="159">
        <f>-'Cost Calculation'!Q299</f>
        <v>0</v>
      </c>
      <c r="R420" s="159">
        <f>-'Cost Calculation'!R299</f>
        <v>0</v>
      </c>
      <c r="S420" s="159">
        <f>-'Cost Calculation'!S299</f>
        <v>0</v>
      </c>
      <c r="T420" s="159">
        <f>-'Cost Calculation'!T299</f>
        <v>0</v>
      </c>
    </row>
    <row r="421" spans="2:20" x14ac:dyDescent="0.25">
      <c r="B421" s="21" t="s">
        <v>3304</v>
      </c>
      <c r="C421" s="28" t="s">
        <v>493</v>
      </c>
      <c r="H421" s="26">
        <f>'Valuation — Without BUMN'!H42</f>
        <v>11.86973078990642</v>
      </c>
      <c r="I421" s="26">
        <f>'Valuation — Without BUMN'!I42</f>
        <v>196.1722315230071</v>
      </c>
      <c r="J421" s="26">
        <f>'Valuation — Without BUMN'!J42</f>
        <v>-161.44575929825157</v>
      </c>
      <c r="K421" s="26">
        <f>'Valuation — Without BUMN'!K42</f>
        <v>92.104365685666693</v>
      </c>
      <c r="L421" s="26">
        <f>'Valuation — Without BUMN'!L42</f>
        <v>262.68290416912492</v>
      </c>
      <c r="M421" s="26">
        <f>'Valuation — Without BUMN'!M42</f>
        <v>414.76123517198391</v>
      </c>
      <c r="N421" s="26">
        <f>'Valuation — Without BUMN'!N42</f>
        <v>441.65387420069686</v>
      </c>
      <c r="O421" s="26">
        <f>'Valuation — Without BUMN'!O42</f>
        <v>474.29106024696762</v>
      </c>
      <c r="P421" s="26">
        <f>'Valuation — Without BUMN'!P42</f>
        <v>499.73173890875745</v>
      </c>
      <c r="Q421" s="26">
        <f>'Valuation — Without BUMN'!Q42</f>
        <v>531.76689501220142</v>
      </c>
      <c r="R421" s="26">
        <f>'Valuation — Without BUMN'!R42</f>
        <v>550.36035529530864</v>
      </c>
      <c r="S421" s="26">
        <f>'Valuation — Without BUMN'!S42</f>
        <v>549.48775117002606</v>
      </c>
      <c r="T421" s="26">
        <f>'Valuation — Without BUMN'!T42</f>
        <v>563.15202036295966</v>
      </c>
    </row>
    <row r="422" spans="2:20" x14ac:dyDescent="0.25">
      <c r="B422" s="23" t="s">
        <v>3305</v>
      </c>
      <c r="C422" s="28" t="s">
        <v>493</v>
      </c>
      <c r="H422" s="161">
        <f t="shared" ref="H422:T422" si="113">ROUND(H417+H418+H419+H420-H421,6)</f>
        <v>0</v>
      </c>
      <c r="I422" s="161">
        <f t="shared" si="113"/>
        <v>0</v>
      </c>
      <c r="J422" s="161">
        <f t="shared" si="113"/>
        <v>0</v>
      </c>
      <c r="K422" s="161">
        <f t="shared" si="113"/>
        <v>0</v>
      </c>
      <c r="L422" s="161">
        <f t="shared" si="113"/>
        <v>0</v>
      </c>
      <c r="M422" s="161">
        <f t="shared" si="113"/>
        <v>0</v>
      </c>
      <c r="N422" s="161">
        <f t="shared" si="113"/>
        <v>0</v>
      </c>
      <c r="O422" s="161">
        <f t="shared" si="113"/>
        <v>0</v>
      </c>
      <c r="P422" s="161">
        <f t="shared" si="113"/>
        <v>0</v>
      </c>
      <c r="Q422" s="161">
        <f t="shared" si="113"/>
        <v>0</v>
      </c>
      <c r="R422" s="161">
        <f t="shared" si="113"/>
        <v>0</v>
      </c>
      <c r="S422" s="161">
        <f t="shared" si="113"/>
        <v>0</v>
      </c>
      <c r="T422" s="161">
        <f t="shared" si="113"/>
        <v>0</v>
      </c>
    </row>
    <row r="423" spans="2:20" x14ac:dyDescent="0.25">
      <c r="B423" s="23" t="s">
        <v>3300</v>
      </c>
      <c r="C423" s="28" t="s">
        <v>493</v>
      </c>
      <c r="E423" s="159">
        <f>'Valuation — Without BUMN'!$E$59-(T64+T77+T90+T103+T116+T129+T142+T155+T168+T181+T194+T207+T220+T233+T246+T298+T311+T324+T337+T350)</f>
        <v>-0.44184478854185727</v>
      </c>
    </row>
    <row r="424" spans="2:20" x14ac:dyDescent="0.25">
      <c r="B424" s="21" t="s">
        <v>3301</v>
      </c>
      <c r="C424" s="28" t="s">
        <v>493</v>
      </c>
      <c r="E424" s="160">
        <f>SUMPRODUCT($H$418:$T$418,$H$52:$T$52)+SUMPRODUCT($H$419:$T$419,$H$52:$T$52)+SUMPRODUCT($H$420:$T$420,$H$52:$T$52)+$E$423*$E$53</f>
        <v>3.9465057024512964</v>
      </c>
    </row>
    <row r="425" spans="2:20" x14ac:dyDescent="0.25">
      <c r="B425" s="23" t="s">
        <v>3302</v>
      </c>
      <c r="C425" s="28" t="s">
        <v>493</v>
      </c>
      <c r="E425" s="159">
        <f>N($E$7)+N($E$8)+N($E$9)+N($E$10)+N($E$11)+N($E$12)+N($E$13)+N($E$14)+N($E$15)+N($E$16)+N($E$17)+N($E$18)+N($E$19)+N($E$20)+N($E$21)+N($E$25)+N($E$26)+N($E$27)+N($E$28)+N($E$29)+$E$424</f>
        <v>4121.4079207574396</v>
      </c>
    </row>
    <row r="426" spans="2:20" x14ac:dyDescent="0.25">
      <c r="B426" s="23" t="s">
        <v>3306</v>
      </c>
      <c r="E426" s="161">
        <f>ROUND($E$425-'Valuation — Without BUMN'!$E$67,4)</f>
        <v>0</v>
      </c>
    </row>
    <row r="427" spans="2:20" x14ac:dyDescent="0.25">
      <c r="B427" s="145" t="s">
        <v>3307</v>
      </c>
    </row>
  </sheetData>
  <hyperlinks>
    <hyperlink ref="C3" location="'Model Flow'!A1" display="Model Flow" xr:uid="{00000000-0004-0000-0E00-000000000000}"/>
    <hyperlink ref="D3" location="Inputs!A1" display="Inputs" xr:uid="{00000000-0004-0000-0E00-000001000000}"/>
    <hyperlink ref="E3" location="'FS Data Request'!A1" display="FS Request" xr:uid="{00000000-0004-0000-0E00-000002000000}"/>
    <hyperlink ref="F3" location="'Revenue Calculation'!A1" display="Revenue" xr:uid="{00000000-0004-0000-0E00-000003000000}"/>
    <hyperlink ref="G3" location="'Cost Calculation'!A1" display="Costs" xr:uid="{00000000-0004-0000-0E00-000004000000}"/>
    <hyperlink ref="H3" location="'BUMN Synergy Calculation'!A1" display="BUMN Synergy" xr:uid="{00000000-0004-0000-0E00-000005000000}"/>
    <hyperlink ref="I3" location="'Capex &amp; Depreciation'!A1" display="Capex" xr:uid="{00000000-0004-0000-0E00-000006000000}"/>
    <hyperlink ref="J3" location="'Working Capital'!A1" display="Work. cap." xr:uid="{00000000-0004-0000-0E00-000007000000}"/>
    <hyperlink ref="K3" location="Financing!A1" display="Financing" xr:uid="{00000000-0004-0000-0E00-000008000000}"/>
    <hyperlink ref="L3" location="'Funding Requirement'!A1" display="Funding" xr:uid="{00000000-0004-0000-0E00-000009000000}"/>
    <hyperlink ref="M3" location="'FSL Output - Without BUMN'!A1" display="Out: w/o BUMN" xr:uid="{00000000-0004-0000-0E00-00000A000000}"/>
    <hyperlink ref="N3" location="'FSL Output - With BUMN'!A1" display="Out: With BUMN" xr:uid="{00000000-0004-0000-0E00-00000B000000}"/>
    <hyperlink ref="O3" location="'Valuation — Without BUMN'!A1" display="Val: w/o BUMN" xr:uid="{00000000-0004-0000-0E00-00000C000000}"/>
    <hyperlink ref="P3" location="'Valuation — With BUMN'!A1" display="Val: With BUMN" xr:uid="{00000000-0004-0000-0E00-00000D000000}"/>
    <hyperlink ref="R3" location="'Project Summary'!A1" display="Proj. Summary" xr:uid="{00000000-0004-0000-0E00-00000E000000}"/>
    <hyperlink ref="S3" location="'Checks &amp; Reconciliation'!A1" display="Checks" xr:uid="{00000000-0004-0000-0E00-00000F000000}"/>
    <hyperlink ref="T3" location="'Source Data'!A1" display="Source Data" xr:uid="{00000000-0004-0000-0E00-000010000000}"/>
  </hyperlinks>
  <pageMargins left="0.4" right="0.4" top="0.5" bottom="0.5" header="0.511811023622047" footer="0.5"/>
  <pageSetup paperSize="9" fitToHeight="0" orientation="landscape" horizontalDpi="300" verticalDpi="300"/>
  <headerFooter>
    <oddFooter>&amp;L&amp;A&amp;RPage &amp;P of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C00000"/>
    <pageSetUpPr fitToPage="1"/>
  </sheetPr>
  <dimension ref="B1:U1440"/>
  <sheetViews>
    <sheetView showGridLines="0" zoomScale="85" zoomScaleNormal="85"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5703125" customWidth="1"/>
    <col min="2" max="2" width="66" customWidth="1"/>
    <col min="3" max="3" width="11" customWidth="1"/>
    <col min="4" max="4" width="22" customWidth="1"/>
    <col min="5" max="5" width="30" customWidth="1"/>
    <col min="6" max="6" width="12" customWidth="1"/>
    <col min="7" max="20" width="10.5703125" customWidth="1"/>
    <col min="21" max="21" width="55" customWidth="1"/>
  </cols>
  <sheetData>
    <row r="1" spans="2:20" ht="18" x14ac:dyDescent="0.25">
      <c r="B1" s="13" t="s">
        <v>3451</v>
      </c>
    </row>
    <row r="2" spans="2:20" x14ac:dyDescent="0.25">
      <c r="B2" s="14" t="s">
        <v>3452</v>
      </c>
    </row>
    <row r="3" spans="2:20" x14ac:dyDescent="0.25">
      <c r="B3" s="15" t="s">
        <v>2</v>
      </c>
      <c r="C3" s="17" t="s">
        <v>422</v>
      </c>
      <c r="D3" s="17" t="s">
        <v>4</v>
      </c>
      <c r="E3" s="17" t="s">
        <v>5</v>
      </c>
      <c r="F3" s="17" t="s">
        <v>6</v>
      </c>
      <c r="G3" s="17" t="s">
        <v>7</v>
      </c>
      <c r="H3" s="17" t="s">
        <v>8</v>
      </c>
      <c r="I3" s="17" t="s">
        <v>9</v>
      </c>
      <c r="J3" s="17" t="s">
        <v>10</v>
      </c>
      <c r="K3" s="17" t="s">
        <v>11</v>
      </c>
      <c r="L3" s="17" t="s">
        <v>12</v>
      </c>
      <c r="M3" s="17" t="s">
        <v>13</v>
      </c>
      <c r="N3" s="17" t="s">
        <v>14</v>
      </c>
      <c r="O3" s="17" t="s">
        <v>15</v>
      </c>
      <c r="P3" s="17" t="s">
        <v>16</v>
      </c>
      <c r="Q3" s="17" t="s">
        <v>17</v>
      </c>
      <c r="R3" s="17" t="s">
        <v>18</v>
      </c>
      <c r="S3" s="16" t="s">
        <v>3453</v>
      </c>
      <c r="T3" s="17" t="s">
        <v>20</v>
      </c>
    </row>
    <row r="5" spans="2:20" x14ac:dyDescent="0.25">
      <c r="B5" s="58" t="s">
        <v>3454</v>
      </c>
      <c r="C5" s="19"/>
      <c r="D5" s="19"/>
      <c r="E5" s="19"/>
      <c r="F5" s="19"/>
      <c r="G5" s="19"/>
      <c r="H5" s="19"/>
      <c r="I5" s="19"/>
      <c r="J5" s="19"/>
      <c r="K5" s="19"/>
      <c r="L5" s="19"/>
    </row>
    <row r="6" spans="2:20" x14ac:dyDescent="0.25">
      <c r="B6" s="208" t="s">
        <v>3455</v>
      </c>
    </row>
    <row r="7" spans="2:20" x14ac:dyDescent="0.25">
      <c r="B7" s="209" t="s">
        <v>3456</v>
      </c>
      <c r="C7" s="253" t="str">
        <f>IF(($E$827+$E$478)=0,IF(($E$826+$E$477)=0,"YES - every line matches v29 or differs only through the requested changes: With BUMN "&amp;$E$475&amp;" match / "&amp;$E$476&amp;" requested-change lines, Without BUMN "&amp;$E$824&amp;" / "&amp;$E$825&amp;" (of "&amp;$E$479&amp;"); unaffected lines within "&amp;TEXT(MAX($E$830,$E$481),"0.000000")&amp;" IDR bn","Differs - inputs / switches changed: "&amp;($E$826+$E$477)&amp;" line(s) affected"),"NO - UNEXPLAINED: "&amp;($E$827+$E$478)&amp;" line(s) differ from v29 with no requested or input change")</f>
        <v>Differs - inputs / switches changed: 46 line(s) affected</v>
      </c>
      <c r="D7" s="253"/>
      <c r="E7" s="253"/>
      <c r="F7" s="253"/>
      <c r="G7" s="253"/>
      <c r="H7" s="253"/>
      <c r="I7" s="253"/>
      <c r="J7" s="253"/>
      <c r="K7" s="253"/>
      <c r="L7" s="253"/>
      <c r="M7" s="253"/>
      <c r="N7" s="253"/>
      <c r="O7" s="253"/>
      <c r="P7" s="253"/>
      <c r="Q7" s="253"/>
      <c r="R7" s="253"/>
      <c r="S7" s="253"/>
      <c r="T7" s="253"/>
    </row>
    <row r="8" spans="2:20" x14ac:dyDescent="0.25">
      <c r="B8" s="209" t="s">
        <v>3457</v>
      </c>
      <c r="C8" s="253" t="str">
        <f>IF($E$1284&lt;=Inputs!$E$50,"YES - all 16 v29 business blocks reproduced ("&amp;$E$1285&amp;" identical; "&amp;$E$1286&amp;" differ only through the LT loan interest in FY2026-27)",IF($E$21&gt;0,"Differs - inputs changed","NO - UNEXPLAINED block differences"))</f>
        <v>YES - all 16 v29 business blocks reproduced (14 identical; 2 differ only through the LT loan interest in FY2026-27)</v>
      </c>
      <c r="D8" s="253"/>
      <c r="E8" s="253"/>
      <c r="F8" s="253"/>
      <c r="G8" s="253"/>
      <c r="H8" s="253"/>
      <c r="I8" s="253"/>
      <c r="J8" s="253"/>
      <c r="K8" s="253"/>
      <c r="L8" s="253"/>
      <c r="M8" s="253"/>
      <c r="N8" s="253"/>
      <c r="O8" s="253"/>
      <c r="P8" s="253"/>
      <c r="Q8" s="253"/>
      <c r="R8" s="253"/>
      <c r="S8" s="253"/>
      <c r="T8" s="253"/>
    </row>
    <row r="9" spans="2:20" x14ac:dyDescent="0.25">
      <c r="B9" s="209" t="s">
        <v>3458</v>
      </c>
      <c r="C9" s="253" t="str">
        <f>IF(MAX($E$1359,$E$1384)&lt;=Inputs!$E$50,"YES - net profit, cash, borrowings and equity differences are fully explained by the LT loan and the funding basis",IF($E$21&gt;0,"Differs - inputs changed","NO - unexplained remainder"))</f>
        <v>Differs - inputs changed</v>
      </c>
      <c r="D9" s="253"/>
      <c r="E9" s="253"/>
      <c r="F9" s="253"/>
      <c r="G9" s="253"/>
      <c r="H9" s="253"/>
      <c r="I9" s="253"/>
      <c r="J9" s="253"/>
      <c r="K9" s="253"/>
      <c r="L9" s="253"/>
      <c r="M9" s="253"/>
      <c r="N9" s="253"/>
      <c r="O9" s="253"/>
      <c r="P9" s="253"/>
      <c r="Q9" s="253"/>
      <c r="R9" s="253"/>
      <c r="S9" s="253"/>
      <c r="T9" s="253"/>
    </row>
    <row r="10" spans="2:20" x14ac:dyDescent="0.25">
      <c r="B10" s="209" t="s">
        <v>3459</v>
      </c>
      <c r="C10" s="253" t="str">
        <f>IF(COUNTIF(F66:F78,"OK")+COUNTIF(F66:F78,"INFO*")+COUNTIF(F66:F78,"SOURCE*")=COUNTA(F66:F78),"YES - v29 data complete, Without BUMN benchmark consistent, Sapphire excluded once, IRR / payback reproduced","NO - a v29 validation fails")</f>
        <v>YES - v29 data complete, Without BUMN benchmark consistent, Sapphire excluded once, IRR / payback reproduced</v>
      </c>
      <c r="D10" s="253"/>
      <c r="E10" s="253"/>
      <c r="F10" s="253"/>
      <c r="G10" s="253"/>
      <c r="H10" s="253"/>
      <c r="I10" s="253"/>
      <c r="J10" s="253"/>
      <c r="K10" s="253"/>
      <c r="L10" s="253"/>
      <c r="M10" s="253"/>
      <c r="N10" s="253"/>
      <c r="O10" s="253"/>
      <c r="P10" s="253"/>
      <c r="Q10" s="253"/>
      <c r="R10" s="253"/>
      <c r="S10" s="253"/>
      <c r="T10" s="253"/>
    </row>
    <row r="11" spans="2:20" x14ac:dyDescent="0.25">
      <c r="B11" s="208" t="s">
        <v>3460</v>
      </c>
    </row>
    <row r="12" spans="2:20" x14ac:dyDescent="0.25">
      <c r="B12" s="209" t="s">
        <v>3461</v>
      </c>
      <c r="C12" s="253" t="str">
        <f>IF(COUNTIF(F29:F64,"OK")=COUNTA(F29:F64),"YES - all "&amp;COUNTA(F29:F64)&amp;" checks pass (balance sheet, cash, roll-forwards, funding sources = uses, tax, bridges, valuation, capex, Badas, summaries)","NO - "&amp;(COUNTA(F29:F64)-COUNTIF(F29:F64,"OK"))&amp;" check(s) fail")</f>
        <v>YES - all 36 checks pass (balance sheet, cash, roll-forwards, funding sources = uses, tax, bridges, valuation, capex, Badas, summaries)</v>
      </c>
      <c r="D12" s="253"/>
      <c r="E12" s="253"/>
      <c r="F12" s="253"/>
      <c r="G12" s="253"/>
      <c r="H12" s="253"/>
      <c r="I12" s="253"/>
      <c r="J12" s="253"/>
      <c r="K12" s="253"/>
      <c r="L12" s="253"/>
      <c r="M12" s="253"/>
      <c r="N12" s="253"/>
      <c r="O12" s="253"/>
      <c r="P12" s="253"/>
      <c r="Q12" s="253"/>
      <c r="R12" s="253"/>
      <c r="S12" s="253"/>
      <c r="T12" s="253"/>
    </row>
    <row r="13" spans="2:20" x14ac:dyDescent="0.25">
      <c r="B13" s="209" t="s">
        <v>3462</v>
      </c>
      <c r="C13" s="253" t="str">
        <f>IF(COUNTIF(F81:F90,"WARNING*")=0,"None",COUNTIF(F81:F90,"WARNING*")&amp;" warning(s) about the result - see section B")</f>
        <v>1 warning(s) about the result - see section B</v>
      </c>
      <c r="D13" s="253"/>
      <c r="E13" s="253"/>
      <c r="F13" s="253"/>
      <c r="G13" s="253"/>
      <c r="H13" s="253"/>
      <c r="I13" s="253"/>
      <c r="J13" s="253"/>
      <c r="K13" s="253"/>
      <c r="L13" s="253"/>
      <c r="M13" s="253"/>
      <c r="N13" s="253"/>
      <c r="O13" s="253"/>
      <c r="P13" s="253"/>
      <c r="Q13" s="253"/>
      <c r="R13" s="253"/>
      <c r="S13" s="253"/>
      <c r="T13" s="253"/>
    </row>
    <row r="14" spans="2:20" x14ac:dyDescent="0.25">
      <c r="B14" s="208" t="s">
        <v>3463</v>
      </c>
    </row>
    <row r="15" spans="2:20" x14ac:dyDescent="0.25">
      <c r="B15" s="209" t="s">
        <v>3464</v>
      </c>
      <c r="C15" s="253" t="str">
        <f>"13 v29 source issues documented; corrections ON: "&amp;Inputs!$E$753&amp;" of 13"&amp;IF(Inputs!$E$753=0," - v29 treatment kept (incl. its 0.006 balance-sheet residual and negative fixed assets)"," - see column U on Inputs section 16")</f>
        <v>13 v29 source issues documented; corrections ON: 0 of 13 - v29 treatment kept (incl. its 0.006 balance-sheet residual and negative fixed assets)</v>
      </c>
      <c r="D15" s="253"/>
      <c r="E15" s="253"/>
      <c r="F15" s="253"/>
      <c r="G15" s="253"/>
      <c r="H15" s="253"/>
      <c r="I15" s="253"/>
      <c r="J15" s="253"/>
      <c r="K15" s="253"/>
      <c r="L15" s="253"/>
      <c r="M15" s="253"/>
      <c r="N15" s="253"/>
      <c r="O15" s="253"/>
      <c r="P15" s="253"/>
      <c r="Q15" s="253"/>
      <c r="R15" s="253"/>
      <c r="S15" s="253"/>
      <c r="T15" s="253"/>
    </row>
    <row r="16" spans="2:20" x14ac:dyDescent="0.25">
      <c r="B16" s="209" t="s">
        <v>3465</v>
      </c>
      <c r="C16" s="253" t="str">
        <f>COUNTIF(F94:F126,"TO CONFIRM")&amp;" item(s): provisional valuation / funding parameters, the LT loan terms, Badas FS data and open source questions"</f>
        <v>33 item(s): provisional valuation / funding parameters, the LT loan terms, Badas FS data and open source questions</v>
      </c>
      <c r="D16" s="253"/>
      <c r="E16" s="253"/>
      <c r="F16" s="253"/>
      <c r="G16" s="253"/>
      <c r="H16" s="253"/>
      <c r="I16" s="253"/>
      <c r="J16" s="253"/>
      <c r="K16" s="253"/>
      <c r="L16" s="253"/>
      <c r="M16" s="253"/>
      <c r="N16" s="253"/>
      <c r="O16" s="253"/>
      <c r="P16" s="253"/>
      <c r="Q16" s="253"/>
      <c r="R16" s="253"/>
      <c r="S16" s="253"/>
      <c r="T16" s="253"/>
    </row>
    <row r="17" spans="2:20" x14ac:dyDescent="0.25">
      <c r="B17" s="208" t="s">
        <v>3466</v>
      </c>
    </row>
    <row r="18" spans="2:20" x14ac:dyDescent="0.25">
      <c r="B18" s="209" t="s">
        <v>3467</v>
      </c>
      <c r="C18" s="253" t="str">
        <f>"Requested changes active: "&amp;$E$24&amp;" | inputs changed vs the delivered baseline: "&amp;IF($E$21=0,"none",$E$21&amp;" row(s) / switch(es) (Inputs column U)")&amp;" | "&amp;Inputs!$G$753</f>
        <v>Requested changes active: LT loan repaid FY2027 + equity = residual requirement | inputs changed vs the delivered baseline: 1 row(s) / switch(es) (Inputs column U) | Corrections ON: none</v>
      </c>
      <c r="D18" s="253"/>
      <c r="E18" s="253"/>
      <c r="F18" s="253"/>
      <c r="G18" s="253"/>
      <c r="H18" s="253"/>
      <c r="I18" s="253"/>
      <c r="J18" s="253"/>
      <c r="K18" s="253"/>
      <c r="L18" s="253"/>
      <c r="M18" s="253"/>
      <c r="N18" s="253"/>
      <c r="O18" s="253"/>
      <c r="P18" s="253"/>
      <c r="Q18" s="253"/>
      <c r="R18" s="253"/>
      <c r="S18" s="253"/>
      <c r="T18" s="253"/>
    </row>
    <row r="19" spans="2:20" x14ac:dyDescent="0.25">
      <c r="B19" s="209" t="s">
        <v>3468</v>
      </c>
      <c r="C19" s="253" t="str">
        <f>"Scenario "&amp;Inputs!$E$56&amp;" | projects in the valuation: "&amp;Inputs!$H$88&amp;" of 19 | BUMN control: "&amp;IF(Inputs!$E$43=1,"ON","OFF (With = Without)")&amp;" | valuation date "&amp;TEXT(Inputs!$E$93,"dd-mmm-yyyy")&amp;" | Badas "&amp;IF(Inputs!$H$82=1,"IN the valuation (DUMMY)","outside the valuation")</f>
        <v>Scenario 1 | projects in the valuation: 15 of 19 | BUMN control: ON | valuation date 31-Dec-2026 | Badas IN the valuation (DUMMY)</v>
      </c>
      <c r="D19" s="253"/>
      <c r="E19" s="253"/>
      <c r="F19" s="253"/>
      <c r="G19" s="253"/>
      <c r="H19" s="253"/>
      <c r="I19" s="253"/>
      <c r="J19" s="253"/>
      <c r="K19" s="253"/>
      <c r="L19" s="253"/>
      <c r="M19" s="253"/>
      <c r="N19" s="253"/>
      <c r="O19" s="253"/>
      <c r="P19" s="253"/>
      <c r="Q19" s="253"/>
      <c r="R19" s="253"/>
      <c r="S19" s="253"/>
      <c r="T19" s="253"/>
    </row>
    <row r="20" spans="2:20" x14ac:dyDescent="0.25">
      <c r="B20" s="63" t="s">
        <v>3469</v>
      </c>
      <c r="E20" s="45">
        <f>COUNTIF(Inputs!U40:U756,"?*")-COUNTIF(Inputs!U40:U756,"Diff")</f>
        <v>0</v>
      </c>
    </row>
    <row r="21" spans="2:20" x14ac:dyDescent="0.25">
      <c r="B21" s="63" t="s">
        <v>3470</v>
      </c>
      <c r="E21" s="45">
        <f>$E$20+Inputs!$E$88</f>
        <v>1</v>
      </c>
    </row>
    <row r="22" spans="2:20" x14ac:dyDescent="0.25">
      <c r="B22" s="63" t="s">
        <v>3471</v>
      </c>
      <c r="E22" s="45">
        <f>IF(YEAR(Inputs!$E$494)&lt;&gt;2025,1,0)</f>
        <v>1</v>
      </c>
    </row>
    <row r="23" spans="2:20" x14ac:dyDescent="0.25">
      <c r="B23" s="63" t="s">
        <v>3472</v>
      </c>
      <c r="E23" s="45">
        <f>IF(Inputs!$E$44=1,1,0)</f>
        <v>1</v>
      </c>
    </row>
    <row r="24" spans="2:20" x14ac:dyDescent="0.25">
      <c r="B24" s="63" t="s">
        <v>3473</v>
      </c>
      <c r="E24" s="23" t="str">
        <f>IF($E$22+$E$23=0,"none (v29 mode)",IF($E$22=1,"LT loan repaid FY"&amp;YEAR(Inputs!$E$494),"")&amp;IF($E$22*$E$23=1," + ","")&amp;IF($E$23=1,"equity = residual requirement",""))</f>
        <v>LT loan repaid FY2027 + equity = residual requirement</v>
      </c>
    </row>
    <row r="25" spans="2:20" x14ac:dyDescent="0.25">
      <c r="B25" s="63" t="s">
        <v>3474</v>
      </c>
    </row>
    <row r="28" spans="2:20" x14ac:dyDescent="0.25">
      <c r="B28" s="59" t="s">
        <v>3475</v>
      </c>
      <c r="C28" s="59" t="s">
        <v>3476</v>
      </c>
      <c r="D28" s="59" t="s">
        <v>3477</v>
      </c>
      <c r="E28" s="59" t="s">
        <v>3478</v>
      </c>
      <c r="F28" s="59" t="s">
        <v>1690</v>
      </c>
      <c r="G28" s="59" t="s">
        <v>3479</v>
      </c>
    </row>
    <row r="29" spans="2:20" ht="24.75" customHeight="1" x14ac:dyDescent="0.25">
      <c r="B29" s="75" t="s">
        <v>3480</v>
      </c>
      <c r="C29" s="44" t="s">
        <v>2675</v>
      </c>
      <c r="D29" s="178">
        <f>$E$1388</f>
        <v>0</v>
      </c>
      <c r="E29" s="210">
        <v>1E-3</v>
      </c>
      <c r="F29" s="135" t="str">
        <f t="shared" ref="F29:F52" si="0">IF(ABS(D29)&lt;=0.001,"OK","ERROR: outside tolerance")</f>
        <v>OK</v>
      </c>
      <c r="G29" s="22" t="s">
        <v>3481</v>
      </c>
    </row>
    <row r="30" spans="2:20" ht="24.75" customHeight="1" x14ac:dyDescent="0.25">
      <c r="B30" s="75" t="s">
        <v>3480</v>
      </c>
      <c r="C30" s="44" t="s">
        <v>2676</v>
      </c>
      <c r="D30" s="178">
        <f>$E$1389</f>
        <v>0</v>
      </c>
      <c r="E30" s="210">
        <v>1E-3</v>
      </c>
      <c r="F30" s="135" t="str">
        <f t="shared" si="0"/>
        <v>OK</v>
      </c>
      <c r="G30" s="22" t="s">
        <v>3482</v>
      </c>
    </row>
    <row r="31" spans="2:20" x14ac:dyDescent="0.25">
      <c r="B31" s="70" t="s">
        <v>3483</v>
      </c>
      <c r="C31" s="44" t="s">
        <v>2675</v>
      </c>
      <c r="D31" s="178">
        <f>$E$1390</f>
        <v>0</v>
      </c>
      <c r="E31" s="210">
        <v>1E-3</v>
      </c>
      <c r="F31" s="135" t="str">
        <f t="shared" si="0"/>
        <v>OK</v>
      </c>
      <c r="G31" s="22" t="s">
        <v>3484</v>
      </c>
    </row>
    <row r="32" spans="2:20" x14ac:dyDescent="0.25">
      <c r="B32" s="70" t="s">
        <v>3483</v>
      </c>
      <c r="C32" s="44" t="s">
        <v>2676</v>
      </c>
      <c r="D32" s="178">
        <f>$E$1391</f>
        <v>0</v>
      </c>
      <c r="E32" s="210">
        <v>1E-3</v>
      </c>
      <c r="F32" s="135" t="str">
        <f t="shared" si="0"/>
        <v>OK</v>
      </c>
      <c r="G32" s="22" t="s">
        <v>3485</v>
      </c>
    </row>
    <row r="33" spans="2:7" x14ac:dyDescent="0.25">
      <c r="B33" s="70" t="s">
        <v>3486</v>
      </c>
      <c r="C33" s="44" t="s">
        <v>2675</v>
      </c>
      <c r="D33" s="178">
        <f>$E$1392</f>
        <v>0</v>
      </c>
      <c r="E33" s="210">
        <v>1E-3</v>
      </c>
      <c r="F33" s="135" t="str">
        <f t="shared" si="0"/>
        <v>OK</v>
      </c>
      <c r="G33" s="22" t="s">
        <v>3487</v>
      </c>
    </row>
    <row r="34" spans="2:7" x14ac:dyDescent="0.25">
      <c r="B34" s="70" t="s">
        <v>3486</v>
      </c>
      <c r="C34" s="44" t="s">
        <v>2676</v>
      </c>
      <c r="D34" s="178">
        <f>$E$1393</f>
        <v>0</v>
      </c>
      <c r="E34" s="210">
        <v>1E-3</v>
      </c>
      <c r="F34" s="135" t="str">
        <f t="shared" si="0"/>
        <v>OK</v>
      </c>
      <c r="G34" s="22" t="s">
        <v>3488</v>
      </c>
    </row>
    <row r="35" spans="2:7" ht="24.75" customHeight="1" x14ac:dyDescent="0.25">
      <c r="B35" s="75" t="s">
        <v>3489</v>
      </c>
      <c r="C35" s="44" t="s">
        <v>2675</v>
      </c>
      <c r="D35" s="178">
        <f>$E$1394+$E$1395</f>
        <v>0</v>
      </c>
      <c r="E35" s="210">
        <v>1E-3</v>
      </c>
      <c r="F35" s="135" t="str">
        <f t="shared" si="0"/>
        <v>OK</v>
      </c>
      <c r="G35" s="22" t="s">
        <v>3490</v>
      </c>
    </row>
    <row r="36" spans="2:7" ht="24.75" customHeight="1" x14ac:dyDescent="0.25">
      <c r="B36" s="75" t="s">
        <v>3489</v>
      </c>
      <c r="C36" s="44" t="s">
        <v>2676</v>
      </c>
      <c r="D36" s="178">
        <f>$E$1396+$E$1397</f>
        <v>0</v>
      </c>
      <c r="E36" s="210">
        <v>1E-3</v>
      </c>
      <c r="F36" s="135" t="str">
        <f t="shared" si="0"/>
        <v>OK</v>
      </c>
      <c r="G36" s="22" t="s">
        <v>3491</v>
      </c>
    </row>
    <row r="37" spans="2:7" x14ac:dyDescent="0.25">
      <c r="B37" s="70" t="s">
        <v>3492</v>
      </c>
      <c r="C37" s="44" t="s">
        <v>2675</v>
      </c>
      <c r="D37" s="178">
        <f>$E$1398+$E$1399+$E$1400+$E$1401</f>
        <v>0</v>
      </c>
      <c r="E37" s="210">
        <v>1E-3</v>
      </c>
      <c r="F37" s="135" t="str">
        <f t="shared" si="0"/>
        <v>OK</v>
      </c>
      <c r="G37" s="22" t="s">
        <v>3493</v>
      </c>
    </row>
    <row r="38" spans="2:7" x14ac:dyDescent="0.25">
      <c r="B38" s="70" t="s">
        <v>3492</v>
      </c>
      <c r="C38" s="44" t="s">
        <v>2676</v>
      </c>
      <c r="D38" s="178">
        <f>$E$1402+$E$1403+$E$1400+$E$1401</f>
        <v>0</v>
      </c>
      <c r="E38" s="210">
        <v>1E-3</v>
      </c>
      <c r="F38" s="135" t="str">
        <f t="shared" si="0"/>
        <v>OK</v>
      </c>
      <c r="G38" s="22" t="s">
        <v>3494</v>
      </c>
    </row>
    <row r="39" spans="2:7" ht="24.75" customHeight="1" x14ac:dyDescent="0.25">
      <c r="B39" s="75" t="s">
        <v>3495</v>
      </c>
      <c r="C39" s="44" t="s">
        <v>2675</v>
      </c>
      <c r="D39" s="178">
        <f>$E$1404+SUM('Funding Requirement'!$H$64:$T$64)</f>
        <v>0</v>
      </c>
      <c r="E39" s="210">
        <v>1E-3</v>
      </c>
      <c r="F39" s="135" t="str">
        <f t="shared" si="0"/>
        <v>OK</v>
      </c>
      <c r="G39" s="22" t="s">
        <v>3496</v>
      </c>
    </row>
    <row r="40" spans="2:7" ht="24.75" customHeight="1" x14ac:dyDescent="0.25">
      <c r="B40" s="75" t="s">
        <v>3495</v>
      </c>
      <c r="C40" s="44" t="s">
        <v>2676</v>
      </c>
      <c r="D40" s="178">
        <f>$E$1405+SUM('Funding Requirement'!$H$96:$T$96)</f>
        <v>0</v>
      </c>
      <c r="E40" s="210">
        <v>1E-3</v>
      </c>
      <c r="F40" s="135" t="str">
        <f t="shared" si="0"/>
        <v>OK</v>
      </c>
      <c r="G40" s="22" t="s">
        <v>3497</v>
      </c>
    </row>
    <row r="41" spans="2:7" x14ac:dyDescent="0.25">
      <c r="B41" s="70" t="s">
        <v>3498</v>
      </c>
      <c r="C41" s="44" t="s">
        <v>2675</v>
      </c>
      <c r="D41" s="178">
        <f>$E$1406+$E$1407</f>
        <v>0</v>
      </c>
      <c r="E41" s="210">
        <v>1E-3</v>
      </c>
      <c r="F41" s="135" t="str">
        <f t="shared" si="0"/>
        <v>OK</v>
      </c>
      <c r="G41" s="22" t="s">
        <v>3499</v>
      </c>
    </row>
    <row r="42" spans="2:7" x14ac:dyDescent="0.25">
      <c r="B42" s="70" t="s">
        <v>3498</v>
      </c>
      <c r="C42" s="44" t="s">
        <v>2676</v>
      </c>
      <c r="D42" s="178">
        <f>$E$1408+$E$1409</f>
        <v>0</v>
      </c>
      <c r="E42" s="210">
        <v>1E-3</v>
      </c>
      <c r="F42" s="135" t="str">
        <f t="shared" si="0"/>
        <v>OK</v>
      </c>
      <c r="G42" s="22" t="s">
        <v>3500</v>
      </c>
    </row>
    <row r="43" spans="2:7" x14ac:dyDescent="0.25">
      <c r="B43" s="70" t="s">
        <v>3501</v>
      </c>
      <c r="C43" s="44" t="s">
        <v>2675</v>
      </c>
      <c r="D43" s="178">
        <f>$E$1410+$E$1411</f>
        <v>0</v>
      </c>
      <c r="E43" s="210">
        <v>1E-3</v>
      </c>
      <c r="F43" s="135" t="str">
        <f t="shared" si="0"/>
        <v>OK</v>
      </c>
      <c r="G43" s="22" t="s">
        <v>3502</v>
      </c>
    </row>
    <row r="44" spans="2:7" ht="24.75" customHeight="1" x14ac:dyDescent="0.25">
      <c r="B44" s="75" t="s">
        <v>3503</v>
      </c>
      <c r="C44" s="44" t="s">
        <v>3504</v>
      </c>
      <c r="D44" s="178">
        <f>$E$1412+$E$1413+$E$1414+$E$1415+$E$1416+$E$1417+$E$1418+$E$1419+$E$1420+$E$1421</f>
        <v>0</v>
      </c>
      <c r="E44" s="210">
        <v>1E-3</v>
      </c>
      <c r="F44" s="135" t="str">
        <f t="shared" si="0"/>
        <v>OK</v>
      </c>
      <c r="G44" s="22" t="s">
        <v>3505</v>
      </c>
    </row>
    <row r="45" spans="2:7" ht="24.75" customHeight="1" x14ac:dyDescent="0.25">
      <c r="B45" s="75" t="s">
        <v>3506</v>
      </c>
      <c r="C45" s="44" t="s">
        <v>3507</v>
      </c>
      <c r="D45" s="178">
        <f>$E$1422+$E$1423+$E$1424+$E$1425</f>
        <v>0</v>
      </c>
      <c r="E45" s="210">
        <v>1E-3</v>
      </c>
      <c r="F45" s="135" t="str">
        <f t="shared" si="0"/>
        <v>OK</v>
      </c>
      <c r="G45" s="22" t="s">
        <v>3508</v>
      </c>
    </row>
    <row r="46" spans="2:7" x14ac:dyDescent="0.25">
      <c r="B46" s="70" t="s">
        <v>3509</v>
      </c>
      <c r="C46" s="44" t="s">
        <v>3507</v>
      </c>
      <c r="D46" s="178">
        <f>$E$1426</f>
        <v>0</v>
      </c>
      <c r="E46" s="210">
        <v>1E-3</v>
      </c>
      <c r="F46" s="135" t="str">
        <f t="shared" si="0"/>
        <v>OK</v>
      </c>
      <c r="G46" s="22" t="s">
        <v>3510</v>
      </c>
    </row>
    <row r="47" spans="2:7" ht="24.75" customHeight="1" x14ac:dyDescent="0.25">
      <c r="B47" s="75" t="s">
        <v>3511</v>
      </c>
      <c r="C47" s="44" t="s">
        <v>2675</v>
      </c>
      <c r="D47" s="178">
        <f>$E$1427+ABS('Project Cash Flows'!$E$415)</f>
        <v>0</v>
      </c>
      <c r="E47" s="210">
        <v>1E-3</v>
      </c>
      <c r="F47" s="135" t="str">
        <f t="shared" si="0"/>
        <v>OK</v>
      </c>
      <c r="G47" s="22" t="s">
        <v>3512</v>
      </c>
    </row>
    <row r="48" spans="2:7" ht="24.75" customHeight="1" x14ac:dyDescent="0.25">
      <c r="B48" s="75" t="s">
        <v>3511</v>
      </c>
      <c r="C48" s="44" t="s">
        <v>2676</v>
      </c>
      <c r="D48" s="178">
        <f>$E$1428+ABS('Project Cash Flows'!$E$426)</f>
        <v>0</v>
      </c>
      <c r="E48" s="210">
        <v>1E-3</v>
      </c>
      <c r="F48" s="135" t="str">
        <f t="shared" si="0"/>
        <v>OK</v>
      </c>
      <c r="G48" s="22" t="s">
        <v>3513</v>
      </c>
    </row>
    <row r="49" spans="2:7" x14ac:dyDescent="0.25">
      <c r="B49" s="70" t="s">
        <v>3514</v>
      </c>
      <c r="C49" s="44" t="s">
        <v>2675</v>
      </c>
      <c r="D49" s="178">
        <f>ABS('Valuation — With BUMN'!$E$106)</f>
        <v>0</v>
      </c>
      <c r="E49" s="210">
        <v>1E-3</v>
      </c>
      <c r="F49" s="135" t="str">
        <f t="shared" si="0"/>
        <v>OK</v>
      </c>
      <c r="G49" s="22" t="s">
        <v>3515</v>
      </c>
    </row>
    <row r="50" spans="2:7" x14ac:dyDescent="0.25">
      <c r="B50" s="70" t="s">
        <v>3514</v>
      </c>
      <c r="C50" s="44" t="s">
        <v>2676</v>
      </c>
      <c r="D50" s="178">
        <f>ABS('Valuation — Without BUMN'!$E$106)</f>
        <v>0</v>
      </c>
      <c r="E50" s="210">
        <v>1E-3</v>
      </c>
      <c r="F50" s="135" t="str">
        <f t="shared" si="0"/>
        <v>OK</v>
      </c>
      <c r="G50" s="22" t="s">
        <v>3516</v>
      </c>
    </row>
    <row r="51" spans="2:7" ht="24.75" customHeight="1" x14ac:dyDescent="0.25">
      <c r="B51" s="75" t="s">
        <v>3517</v>
      </c>
      <c r="C51" s="44" t="s">
        <v>2675</v>
      </c>
      <c r="D51" s="178">
        <f>ABS('Valuation — With BUMN'!$E$94)</f>
        <v>0</v>
      </c>
      <c r="E51" s="210">
        <v>1E-3</v>
      </c>
      <c r="F51" s="135" t="str">
        <f t="shared" si="0"/>
        <v>OK</v>
      </c>
      <c r="G51" s="22" t="s">
        <v>3518</v>
      </c>
    </row>
    <row r="52" spans="2:7" ht="24.75" customHeight="1" x14ac:dyDescent="0.25">
      <c r="B52" s="75" t="s">
        <v>3517</v>
      </c>
      <c r="C52" s="44" t="s">
        <v>2676</v>
      </c>
      <c r="D52" s="178">
        <f>ABS('Valuation — Without BUMN'!$E$94)</f>
        <v>0</v>
      </c>
      <c r="E52" s="210">
        <v>1E-3</v>
      </c>
      <c r="F52" s="135" t="str">
        <f t="shared" si="0"/>
        <v>OK</v>
      </c>
      <c r="G52" s="22" t="s">
        <v>3519</v>
      </c>
    </row>
    <row r="53" spans="2:7" ht="24.75" customHeight="1" x14ac:dyDescent="0.25">
      <c r="B53" s="75" t="s">
        <v>3520</v>
      </c>
      <c r="C53" s="44" t="s">
        <v>2675</v>
      </c>
      <c r="D53" s="178">
        <f>$E$1429</f>
        <v>0</v>
      </c>
      <c r="E53" s="210">
        <v>9.9999999999999995E-7</v>
      </c>
      <c r="F53" s="135" t="str">
        <f>IF(ABS(D53)&lt;=0.000001,"OK","ERROR: outside tolerance")</f>
        <v>OK</v>
      </c>
      <c r="G53" s="22" t="s">
        <v>3521</v>
      </c>
    </row>
    <row r="54" spans="2:7" ht="24.75" customHeight="1" x14ac:dyDescent="0.25">
      <c r="B54" s="75" t="s">
        <v>3520</v>
      </c>
      <c r="C54" s="44" t="s">
        <v>2676</v>
      </c>
      <c r="D54" s="178">
        <f>$E$1430</f>
        <v>0</v>
      </c>
      <c r="E54" s="210">
        <v>9.9999999999999995E-7</v>
      </c>
      <c r="F54" s="135" t="str">
        <f>IF(ABS(D54)&lt;=0.000001,"OK","ERROR: outside tolerance")</f>
        <v>OK</v>
      </c>
      <c r="G54" s="22" t="s">
        <v>3522</v>
      </c>
    </row>
    <row r="55" spans="2:7" ht="24.75" customHeight="1" x14ac:dyDescent="0.25">
      <c r="B55" s="75" t="s">
        <v>3523</v>
      </c>
      <c r="C55" s="44" t="s">
        <v>3524</v>
      </c>
      <c r="D55" s="178">
        <f>ABS('Valuation — With BUMN'!$E$117)</f>
        <v>0</v>
      </c>
      <c r="E55" s="210">
        <v>1E-3</v>
      </c>
      <c r="F55" s="135" t="str">
        <f>IF(ABS(D55)&lt;=0.001,"OK","ERROR: outside tolerance")</f>
        <v>OK</v>
      </c>
      <c r="G55" s="22" t="s">
        <v>3525</v>
      </c>
    </row>
    <row r="56" spans="2:7" ht="24.75" customHeight="1" x14ac:dyDescent="0.25">
      <c r="B56" s="75" t="s">
        <v>3526</v>
      </c>
      <c r="C56" s="44" t="s">
        <v>3527</v>
      </c>
      <c r="D56" s="178">
        <f>ABS(INDEX(Financing!$G$14:$T$14,1,Inputs!$E$560-2022)-IF(Inputs!$E$494&gt;Inputs!$E$93,Inputs!$E$493,0))+ABS(SUM(Financing!$H$13:$T$13)-Inputs!$E$493)+ABS(Financing!T14)</f>
        <v>0</v>
      </c>
      <c r="E56" s="210">
        <v>1E-3</v>
      </c>
      <c r="F56" s="135" t="str">
        <f>IF(ABS(D56)&lt;=0.001,"OK","ERROR: outside tolerance")</f>
        <v>OK</v>
      </c>
      <c r="G56" s="22" t="s">
        <v>3528</v>
      </c>
    </row>
    <row r="57" spans="2:7" ht="24.75" customHeight="1" x14ac:dyDescent="0.25">
      <c r="B57" s="75" t="s">
        <v>3529</v>
      </c>
      <c r="C57" s="44" t="s">
        <v>9</v>
      </c>
      <c r="D57" s="178">
        <f>ABS('Capex &amp; Depreciation'!$N$45)+'Capex &amp; Depreciation'!G25</f>
        <v>0</v>
      </c>
      <c r="E57" s="210">
        <v>9.9999999999999995E-7</v>
      </c>
      <c r="F57" s="135" t="str">
        <f>IF(ABS(D57)&lt;=0.000001,"OK","ERROR: outside tolerance")</f>
        <v>OK</v>
      </c>
      <c r="G57" s="22" t="s">
        <v>3530</v>
      </c>
    </row>
    <row r="58" spans="2:7" ht="24.75" customHeight="1" x14ac:dyDescent="0.25">
      <c r="B58" s="75" t="s">
        <v>3531</v>
      </c>
      <c r="C58" s="44" t="s">
        <v>597</v>
      </c>
      <c r="D58" s="178">
        <f>SUMPRODUCT(ABS('Capex &amp; Depreciation'!$H$76:$T$76+'Capex &amp; Depreciation'!$H$347:$T$347-'Capex &amp; Depreciation'!$H$75:$T$75*(Inputs!$H$82+(1-Inputs!$H$82)*Inputs!$E$568)))+$E$1431</f>
        <v>0</v>
      </c>
      <c r="E58" s="210">
        <v>1E-3</v>
      </c>
      <c r="F58" s="135" t="str">
        <f t="shared" ref="F58:F63" si="1">IF(ABS(D58)&lt;=0.001,"OK","ERROR: outside tolerance")</f>
        <v>OK</v>
      </c>
      <c r="G58" s="22" t="s">
        <v>3532</v>
      </c>
    </row>
    <row r="59" spans="2:7" ht="24.75" customHeight="1" x14ac:dyDescent="0.25">
      <c r="B59" s="75" t="s">
        <v>3533</v>
      </c>
      <c r="C59" s="44" t="s">
        <v>12</v>
      </c>
      <c r="D59" s="178">
        <f>$E$1432</f>
        <v>0</v>
      </c>
      <c r="E59" s="210">
        <v>1E-3</v>
      </c>
      <c r="F59" s="135" t="str">
        <f t="shared" si="1"/>
        <v>OK</v>
      </c>
      <c r="G59" s="22" t="s">
        <v>3534</v>
      </c>
    </row>
    <row r="60" spans="2:7" ht="24.75" customHeight="1" x14ac:dyDescent="0.25">
      <c r="B60" s="75" t="s">
        <v>3535</v>
      </c>
      <c r="C60" s="44" t="s">
        <v>2675</v>
      </c>
      <c r="D60" s="178">
        <f>$E$1433</f>
        <v>0</v>
      </c>
      <c r="E60" s="210">
        <v>1E-3</v>
      </c>
      <c r="F60" s="135" t="str">
        <f t="shared" si="1"/>
        <v>OK</v>
      </c>
      <c r="G60" s="22" t="s">
        <v>3536</v>
      </c>
    </row>
    <row r="61" spans="2:7" ht="24.75" customHeight="1" x14ac:dyDescent="0.25">
      <c r="B61" s="75" t="s">
        <v>3535</v>
      </c>
      <c r="C61" s="44" t="s">
        <v>2676</v>
      </c>
      <c r="D61" s="178">
        <f>$E$1434</f>
        <v>0</v>
      </c>
      <c r="E61" s="210">
        <v>1E-3</v>
      </c>
      <c r="F61" s="135" t="str">
        <f t="shared" si="1"/>
        <v>OK</v>
      </c>
      <c r="G61" s="22" t="s">
        <v>3537</v>
      </c>
    </row>
    <row r="62" spans="2:7" x14ac:dyDescent="0.25">
      <c r="B62" s="70" t="s">
        <v>3538</v>
      </c>
      <c r="C62" s="44" t="s">
        <v>3539</v>
      </c>
      <c r="D62" s="178">
        <f>ABS('Source Data'!$H$777)</f>
        <v>0</v>
      </c>
      <c r="E62" s="210">
        <v>1E-3</v>
      </c>
      <c r="F62" s="135" t="str">
        <f t="shared" si="1"/>
        <v>OK</v>
      </c>
      <c r="G62" s="22" t="s">
        <v>3540</v>
      </c>
    </row>
    <row r="63" spans="2:7" x14ac:dyDescent="0.25">
      <c r="B63" s="70" t="s">
        <v>3541</v>
      </c>
      <c r="C63" s="44" t="s">
        <v>3542</v>
      </c>
      <c r="D63" s="178">
        <f>(1-Inputs!$H$79)*(SUM('Revenue Calculation'!$H$163:$T$163)+SUM('Capex &amp; Depreciation'!$H$72:$T$72))+(1-Inputs!$H$80)*(SUM('Revenue Calculation'!$H$167:$T$167)+SUM('Capex &amp; Depreciation'!$H$73:$T$73))+(1-Inputs!$H$81)*(SUM('Revenue Calculation'!$H$171:$T$171)+SUM('Capex &amp; Depreciation'!$H$74:$T$74))</f>
        <v>0</v>
      </c>
      <c r="E63" s="210">
        <v>1E-3</v>
      </c>
      <c r="F63" s="135" t="str">
        <f t="shared" si="1"/>
        <v>OK</v>
      </c>
      <c r="G63" s="22" t="s">
        <v>3543</v>
      </c>
    </row>
    <row r="64" spans="2:7" x14ac:dyDescent="0.25">
      <c r="B64" s="70" t="s">
        <v>3544</v>
      </c>
      <c r="C64" s="44" t="s">
        <v>3524</v>
      </c>
      <c r="D64" s="178">
        <f>MAX(0,Inputs!$E$559-Inputs!$E$558+0.0001)</f>
        <v>0</v>
      </c>
      <c r="E64" s="210">
        <v>0</v>
      </c>
      <c r="F64" s="135" t="str">
        <f>IF(ABS(D64)&lt;=0,"OK","ERROR: outside tolerance")</f>
        <v>OK</v>
      </c>
      <c r="G64" s="22" t="s">
        <v>3545</v>
      </c>
    </row>
    <row r="65" spans="2:12" x14ac:dyDescent="0.25">
      <c r="B65" s="154" t="s">
        <v>3546</v>
      </c>
    </row>
    <row r="66" spans="2:12" ht="24.75" customHeight="1" x14ac:dyDescent="0.25">
      <c r="B66" s="75" t="s">
        <v>3547</v>
      </c>
      <c r="C66" s="44" t="s">
        <v>432</v>
      </c>
      <c r="D66" s="178">
        <f>$E$1435</f>
        <v>4.5474735088646412E-13</v>
      </c>
      <c r="E66" s="210">
        <v>0.01</v>
      </c>
      <c r="F66" s="135" t="str">
        <f>IF(ABS(D66)&lt;=0.01,"OK","ERROR: outside tolerance")</f>
        <v>OK</v>
      </c>
      <c r="G66" s="22" t="s">
        <v>3548</v>
      </c>
    </row>
    <row r="67" spans="2:12" ht="24.75" customHeight="1" x14ac:dyDescent="0.25">
      <c r="B67" s="75" t="s">
        <v>3549</v>
      </c>
      <c r="C67" s="44" t="s">
        <v>432</v>
      </c>
      <c r="D67" s="178">
        <f>$E$1436+$E$1437+$E$1438</f>
        <v>5.6843418860808015E-12</v>
      </c>
      <c r="E67" s="210">
        <v>1E-3</v>
      </c>
      <c r="F67" s="135" t="str">
        <f>IF(ABS(D67)&lt;=0.001,"OK","ERROR: outside tolerance")</f>
        <v>OK</v>
      </c>
      <c r="G67" s="22" t="s">
        <v>3550</v>
      </c>
    </row>
    <row r="68" spans="2:12" ht="24.75" customHeight="1" x14ac:dyDescent="0.25">
      <c r="B68" s="75" t="s">
        <v>3551</v>
      </c>
      <c r="C68" s="44" t="s">
        <v>432</v>
      </c>
      <c r="D68" s="178">
        <f>ABS('Source Data'!$E$967)+$E$1439+$E$1440</f>
        <v>0</v>
      </c>
      <c r="E68" s="210">
        <v>1E-3</v>
      </c>
      <c r="F68" s="135" t="str">
        <f>IF(ABS(D68)&lt;=0.001,"OK","ERROR: outside tolerance")</f>
        <v>OK</v>
      </c>
      <c r="G68" s="22" t="s">
        <v>3552</v>
      </c>
    </row>
    <row r="69" spans="2:12" ht="24.75" customHeight="1" x14ac:dyDescent="0.25">
      <c r="B69" s="75" t="s">
        <v>3553</v>
      </c>
      <c r="C69" s="44" t="s">
        <v>2675</v>
      </c>
      <c r="D69" s="129">
        <f>$E$478</f>
        <v>0</v>
      </c>
      <c r="E69" s="211">
        <v>0</v>
      </c>
      <c r="F69" s="135" t="str">
        <f>IF(D69=0,"OK","ERROR: count differs")</f>
        <v>OK</v>
      </c>
      <c r="G69" s="22" t="s">
        <v>3554</v>
      </c>
    </row>
    <row r="70" spans="2:12" ht="24.75" customHeight="1" x14ac:dyDescent="0.25">
      <c r="B70" s="75" t="s">
        <v>3553</v>
      </c>
      <c r="C70" s="44" t="s">
        <v>2676</v>
      </c>
      <c r="D70" s="129">
        <f>$E$827</f>
        <v>0</v>
      </c>
      <c r="E70" s="211">
        <v>0</v>
      </c>
      <c r="F70" s="135" t="str">
        <f>IF(D70=0,"OK","ERROR: count differs")</f>
        <v>OK</v>
      </c>
      <c r="G70" s="22" t="s">
        <v>3554</v>
      </c>
    </row>
    <row r="71" spans="2:12" x14ac:dyDescent="0.25">
      <c r="B71" s="70" t="s">
        <v>3555</v>
      </c>
      <c r="C71" s="44" t="s">
        <v>2675</v>
      </c>
      <c r="D71" s="178">
        <f>$E$481</f>
        <v>163.82</v>
      </c>
      <c r="E71" s="210" t="s">
        <v>3556</v>
      </c>
      <c r="F71" s="135" t="str">
        <f>IF(D71&lt;=Inputs!$E$50,"OK",IF($E$21&gt;0,"INFO - differs because inputs / switches were changed","ERROR: unexplained difference"))</f>
        <v>INFO - differs because inputs / switches were changed</v>
      </c>
      <c r="G71" s="22" t="s">
        <v>3554</v>
      </c>
    </row>
    <row r="72" spans="2:12" x14ac:dyDescent="0.25">
      <c r="B72" s="70" t="s">
        <v>3555</v>
      </c>
      <c r="C72" s="44" t="s">
        <v>2676</v>
      </c>
      <c r="D72" s="178">
        <f>$E$830</f>
        <v>163.82</v>
      </c>
      <c r="E72" s="210" t="s">
        <v>3556</v>
      </c>
      <c r="F72" s="135" t="str">
        <f>IF(D72&lt;=Inputs!$E$50,"OK",IF($E$21&gt;0,"INFO - differs because inputs / switches were changed","ERROR: unexplained difference"))</f>
        <v>INFO - differs because inputs / switches were changed</v>
      </c>
      <c r="G72" s="22" t="s">
        <v>3554</v>
      </c>
    </row>
    <row r="73" spans="2:12" x14ac:dyDescent="0.25">
      <c r="B73" s="70" t="s">
        <v>3557</v>
      </c>
      <c r="C73" s="44" t="s">
        <v>2675</v>
      </c>
      <c r="D73" s="178">
        <f>IF(ISNUMBER('FSL Output - With BUMN'!$E$303),ABS('FSL Output - With BUMN'!$E$303-'Source Data'!$E$876),99)+ABS('FSL Output - With BUMN'!$E$304-'Source Data'!$E$877)</f>
        <v>0.64355765202666881</v>
      </c>
      <c r="E73" s="210">
        <v>9.9999999999999995E-7</v>
      </c>
      <c r="F73" s="135" t="str">
        <f>IF(D73&lt;=0.000001,"OK",IF($E$21&gt;0,"INFO - differs because inputs / switches were changed","ERROR: unexplained difference"))</f>
        <v>INFO - differs because inputs / switches were changed</v>
      </c>
      <c r="G73" s="22" t="s">
        <v>3558</v>
      </c>
    </row>
    <row r="74" spans="2:12" x14ac:dyDescent="0.25">
      <c r="B74" s="70" t="s">
        <v>3557</v>
      </c>
      <c r="C74" s="44" t="s">
        <v>2676</v>
      </c>
      <c r="D74" s="178">
        <f>IF(ISNUMBER('FSL Output - Without BUMN'!$E$252),ABS('FSL Output - Without BUMN'!$E$252-'Source Data'!$E$941),99)+ABS('FSL Output - Without BUMN'!$E$253-'Source Data'!$E$942)</f>
        <v>0.58495193370613885</v>
      </c>
      <c r="E74" s="210">
        <v>9.9999999999999995E-7</v>
      </c>
      <c r="F74" s="135" t="str">
        <f>IF(D74&lt;=0.000001,"OK",IF($E$21&gt;0,"INFO - differs because inputs / switches were changed","ERROR: unexplained difference"))</f>
        <v>INFO - differs because inputs / switches were changed</v>
      </c>
      <c r="G74" s="22" t="s">
        <v>3559</v>
      </c>
    </row>
    <row r="75" spans="2:12" ht="24.75" customHeight="1" x14ac:dyDescent="0.25">
      <c r="B75" s="75" t="s">
        <v>3560</v>
      </c>
      <c r="C75" s="44" t="s">
        <v>2675</v>
      </c>
      <c r="D75" s="178">
        <f>$E$1284</f>
        <v>0</v>
      </c>
      <c r="E75" s="210" t="s">
        <v>3556</v>
      </c>
      <c r="F75" s="135" t="str">
        <f>IF(D75&lt;=Inputs!$E$50,"OK",IF($E$21&gt;0,"INFO - differs because inputs / switches were changed","ERROR: unexplained difference"))</f>
        <v>OK</v>
      </c>
      <c r="G75" s="22" t="s">
        <v>3561</v>
      </c>
    </row>
    <row r="76" spans="2:12" ht="36" customHeight="1" x14ac:dyDescent="0.25">
      <c r="B76" s="75" t="s">
        <v>3562</v>
      </c>
      <c r="C76" s="44" t="s">
        <v>432</v>
      </c>
      <c r="D76" s="178">
        <f>ABS('Source Data'!$E$813)</f>
        <v>6.1319023219539304E-3</v>
      </c>
      <c r="E76" s="210"/>
      <c r="F76" s="212" t="str">
        <f>"SOURCE ISSUE - v29, not the rebuild"</f>
        <v>SOURCE ISSUE - v29, not the rebuild</v>
      </c>
      <c r="G76" s="22" t="s">
        <v>3563</v>
      </c>
    </row>
    <row r="77" spans="2:12" ht="24.75" customHeight="1" x14ac:dyDescent="0.25">
      <c r="B77" s="75" t="s">
        <v>3564</v>
      </c>
      <c r="C77" s="44" t="s">
        <v>2675</v>
      </c>
      <c r="D77" s="178">
        <f>$E$1359</f>
        <v>162.64999999999827</v>
      </c>
      <c r="E77" s="210" t="s">
        <v>3556</v>
      </c>
      <c r="F77" s="135" t="str">
        <f>IF(D77&lt;=Inputs!$E$50,"OK",IF($E$21&gt;0,"INFO - differs because inputs / switches were changed","ERROR: unexplained difference"))</f>
        <v>INFO - differs because inputs / switches were changed</v>
      </c>
      <c r="G77" s="22" t="s">
        <v>3565</v>
      </c>
    </row>
    <row r="78" spans="2:12" ht="24.75" customHeight="1" x14ac:dyDescent="0.25">
      <c r="B78" s="75" t="s">
        <v>3564</v>
      </c>
      <c r="C78" s="44" t="s">
        <v>2676</v>
      </c>
      <c r="D78" s="178">
        <f>$E$1384</f>
        <v>162.64999999999893</v>
      </c>
      <c r="E78" s="210" t="s">
        <v>3556</v>
      </c>
      <c r="F78" s="135" t="str">
        <f>IF(D78&lt;=Inputs!$E$50,"OK",IF($E$21&gt;0,"INFO - differs because inputs / switches were changed","ERROR: unexplained difference"))</f>
        <v>INFO - differs because inputs / switches were changed</v>
      </c>
      <c r="G78" s="22" t="s">
        <v>3566</v>
      </c>
    </row>
    <row r="80" spans="2:12" x14ac:dyDescent="0.25">
      <c r="B80" s="58" t="s">
        <v>3567</v>
      </c>
      <c r="C80" s="19"/>
      <c r="D80" s="19"/>
      <c r="E80" s="19"/>
      <c r="F80" s="19"/>
      <c r="G80" s="19"/>
      <c r="H80" s="19"/>
      <c r="I80" s="19"/>
      <c r="J80" s="19"/>
      <c r="K80" s="19"/>
      <c r="L80" s="19"/>
    </row>
    <row r="81" spans="2:12" x14ac:dyDescent="0.25">
      <c r="B81" s="70" t="s">
        <v>3568</v>
      </c>
      <c r="C81" s="44" t="s">
        <v>2675</v>
      </c>
      <c r="D81" s="213">
        <f>'Funding Requirement'!$E$25</f>
        <v>0</v>
      </c>
      <c r="E81" s="210">
        <v>1E-3</v>
      </c>
      <c r="F81" s="135" t="str">
        <f>IF(D81&lt;=0.001,"OK","WARNING")</f>
        <v>OK</v>
      </c>
      <c r="G81" s="22" t="s">
        <v>3569</v>
      </c>
    </row>
    <row r="82" spans="2:12" x14ac:dyDescent="0.25">
      <c r="B82" s="70" t="s">
        <v>3570</v>
      </c>
      <c r="C82" s="44" t="s">
        <v>2676</v>
      </c>
      <c r="D82" s="213">
        <f>'Funding Requirement'!$F$25</f>
        <v>0</v>
      </c>
      <c r="E82" s="210">
        <v>1E-3</v>
      </c>
      <c r="F82" s="135" t="str">
        <f>IF(D82&lt;=0.001,"OK","WARNING")</f>
        <v>OK</v>
      </c>
      <c r="G82" s="22" t="s">
        <v>3569</v>
      </c>
    </row>
    <row r="83" spans="2:12" x14ac:dyDescent="0.25">
      <c r="B83" s="70" t="s">
        <v>3571</v>
      </c>
      <c r="C83" s="44" t="s">
        <v>4</v>
      </c>
      <c r="D83" s="178">
        <f>Inputs!$E$79*(1-Inputs!$E$634)+Inputs!$E$80*(1-Inputs!$E$668)+Inputs!$E$81*(1-Inputs!$E$702)</f>
        <v>0</v>
      </c>
      <c r="E83" s="210">
        <v>0</v>
      </c>
      <c r="F83" s="135" t="str">
        <f>IF(D83&lt;=0,"OK","WARNING")</f>
        <v>OK</v>
      </c>
      <c r="G83" s="22" t="s">
        <v>3572</v>
      </c>
    </row>
    <row r="84" spans="2:12" ht="24.75" customHeight="1" x14ac:dyDescent="0.25">
      <c r="B84" s="75" t="s">
        <v>3573</v>
      </c>
      <c r="C84" s="44" t="s">
        <v>2675</v>
      </c>
      <c r="D84" s="214">
        <f>IF(ISNUMBER(Financing!$E$84),Financing!$E$84,99)</f>
        <v>1.8035958311207219</v>
      </c>
      <c r="E84" s="215" t="s">
        <v>3574</v>
      </c>
      <c r="F84" s="135" t="str">
        <f>IF(D84&gt;=Inputs!$E$505,"OK","WARNING: below the covenant level")</f>
        <v>OK</v>
      </c>
      <c r="G84" s="22" t="s">
        <v>3575</v>
      </c>
    </row>
    <row r="85" spans="2:12" x14ac:dyDescent="0.25">
      <c r="B85" s="70" t="s">
        <v>3576</v>
      </c>
      <c r="C85" s="44" t="s">
        <v>2675</v>
      </c>
      <c r="D85" s="178">
        <f>SUMPRODUCT(--(Financing!$H$78:$T$78&lt;0))</f>
        <v>0</v>
      </c>
      <c r="E85" s="210">
        <v>0</v>
      </c>
      <c r="F85" s="135" t="str">
        <f>IF(D85&lt;=0,"OK","WARNING")</f>
        <v>OK</v>
      </c>
      <c r="G85" s="22" t="s">
        <v>3577</v>
      </c>
    </row>
    <row r="86" spans="2:12" ht="24.75" customHeight="1" x14ac:dyDescent="0.25">
      <c r="B86" s="75" t="s">
        <v>3578</v>
      </c>
      <c r="C86" s="44" t="s">
        <v>3542</v>
      </c>
      <c r="D86" s="178">
        <f>SUM('Capex &amp; Depreciation'!$H$335:$T$335)+SUM('Capex &amp; Depreciation'!$H$327:$T$327)</f>
        <v>4</v>
      </c>
      <c r="E86" s="210">
        <v>0</v>
      </c>
      <c r="F86" s="135" t="str">
        <f>IF(D86&lt;=0,"OK","WARNING")</f>
        <v>WARNING</v>
      </c>
      <c r="G86" s="22" t="s">
        <v>3579</v>
      </c>
    </row>
    <row r="87" spans="2:12" x14ac:dyDescent="0.25">
      <c r="B87" s="70" t="s">
        <v>3580</v>
      </c>
      <c r="C87" s="44" t="s">
        <v>9</v>
      </c>
      <c r="D87" s="213">
        <f>'Capex &amp; Depreciation'!$E$46</f>
        <v>0</v>
      </c>
      <c r="E87" s="210">
        <v>0</v>
      </c>
      <c r="F87" s="135" t="str">
        <f>IF(D87&lt;=0,"OK","WARNING")</f>
        <v>OK</v>
      </c>
      <c r="G87" s="22" t="s">
        <v>3581</v>
      </c>
    </row>
    <row r="88" spans="2:12" ht="47.25" customHeight="1" x14ac:dyDescent="0.25">
      <c r="B88" s="75" t="s">
        <v>3582</v>
      </c>
      <c r="C88" s="44" t="s">
        <v>597</v>
      </c>
      <c r="D88" s="213">
        <f>'FS Data Request'!$E$5</f>
        <v>30</v>
      </c>
      <c r="E88" s="210"/>
      <c r="F88" s="212" t="str">
        <f>"INFO - DUMMY data in use (count in column D)"</f>
        <v>INFO - DUMMY data in use (count in column D)</v>
      </c>
      <c r="G88" s="22" t="s">
        <v>3583</v>
      </c>
    </row>
    <row r="89" spans="2:12" ht="24.75" customHeight="1" x14ac:dyDescent="0.25">
      <c r="B89" s="75" t="s">
        <v>3584</v>
      </c>
      <c r="C89" s="44" t="s">
        <v>2676</v>
      </c>
      <c r="D89" s="178">
        <f>MAX(0,-'Funding Requirement'!$F$26)</f>
        <v>0</v>
      </c>
      <c r="E89" s="210">
        <v>1E-3</v>
      </c>
      <c r="F89" s="135" t="str">
        <f>IF(D89&lt;=0.001,"OK","WARNING")</f>
        <v>OK</v>
      </c>
      <c r="G89" s="22" t="s">
        <v>3585</v>
      </c>
    </row>
    <row r="90" spans="2:12" ht="36" customHeight="1" x14ac:dyDescent="0.25">
      <c r="B90" s="75" t="s">
        <v>3586</v>
      </c>
      <c r="C90" s="44" t="s">
        <v>4</v>
      </c>
      <c r="D90" s="178">
        <f>$E$21</f>
        <v>1</v>
      </c>
      <c r="E90" s="210"/>
      <c r="F90" s="212" t="str">
        <f>"INFO - see column U on Inputs"</f>
        <v>INFO - see column U on Inputs</v>
      </c>
      <c r="G90" s="22" t="s">
        <v>3587</v>
      </c>
    </row>
    <row r="92" spans="2:12" x14ac:dyDescent="0.25">
      <c r="B92" s="58" t="s">
        <v>3588</v>
      </c>
      <c r="C92" s="19"/>
      <c r="D92" s="19"/>
      <c r="E92" s="19"/>
      <c r="F92" s="19"/>
      <c r="G92" s="19"/>
      <c r="H92" s="19"/>
      <c r="I92" s="19"/>
      <c r="J92" s="19"/>
      <c r="K92" s="19"/>
      <c r="L92" s="19"/>
    </row>
    <row r="93" spans="2:12" x14ac:dyDescent="0.25">
      <c r="B93" s="59" t="s">
        <v>3589</v>
      </c>
      <c r="C93" s="59" t="s">
        <v>1636</v>
      </c>
      <c r="D93" s="59" t="s">
        <v>3590</v>
      </c>
      <c r="E93" s="59" t="s">
        <v>3591</v>
      </c>
      <c r="G93" s="59" t="s">
        <v>3479</v>
      </c>
    </row>
    <row r="94" spans="2:12" x14ac:dyDescent="0.25">
      <c r="B94" s="70" t="s">
        <v>3592</v>
      </c>
      <c r="C94" s="44" t="s">
        <v>3593</v>
      </c>
      <c r="D94" s="148">
        <f>Inputs!$E$94</f>
        <v>2</v>
      </c>
      <c r="E94" s="44" t="s">
        <v>3594</v>
      </c>
      <c r="F94" s="135" t="s">
        <v>440</v>
      </c>
      <c r="G94" s="22" t="s">
        <v>3595</v>
      </c>
    </row>
    <row r="95" spans="2:12" ht="24.75" customHeight="1" x14ac:dyDescent="0.25">
      <c r="B95" s="75" t="s">
        <v>3596</v>
      </c>
      <c r="C95" s="44" t="s">
        <v>3593</v>
      </c>
      <c r="D95" s="216">
        <f>Inputs!$E$481</f>
        <v>0.1</v>
      </c>
      <c r="E95" s="85" t="s">
        <v>3597</v>
      </c>
      <c r="F95" s="135" t="s">
        <v>440</v>
      </c>
      <c r="G95" s="22" t="s">
        <v>3598</v>
      </c>
    </row>
    <row r="96" spans="2:12" ht="24.75" customHeight="1" x14ac:dyDescent="0.25">
      <c r="B96" s="70" t="s">
        <v>3599</v>
      </c>
      <c r="C96" s="44" t="s">
        <v>3593</v>
      </c>
      <c r="D96" s="217">
        <f>Inputs!$E$501</f>
        <v>800</v>
      </c>
      <c r="E96" s="85" t="s">
        <v>3600</v>
      </c>
      <c r="F96" s="135" t="s">
        <v>440</v>
      </c>
      <c r="G96" s="22" t="s">
        <v>3601</v>
      </c>
    </row>
    <row r="97" spans="2:7" ht="24.75" customHeight="1" x14ac:dyDescent="0.25">
      <c r="B97" s="70" t="s">
        <v>3602</v>
      </c>
      <c r="C97" s="44" t="s">
        <v>3593</v>
      </c>
      <c r="D97" s="218">
        <f>Inputs!$E$502</f>
        <v>0.01</v>
      </c>
      <c r="E97" s="85" t="s">
        <v>3603</v>
      </c>
      <c r="F97" s="135" t="s">
        <v>440</v>
      </c>
      <c r="G97" s="22" t="s">
        <v>3604</v>
      </c>
    </row>
    <row r="98" spans="2:7" x14ac:dyDescent="0.25">
      <c r="B98" s="70" t="s">
        <v>3605</v>
      </c>
      <c r="C98" s="44" t="s">
        <v>3593</v>
      </c>
      <c r="D98" s="219">
        <f>Inputs!$E$505</f>
        <v>1.2</v>
      </c>
      <c r="E98" s="44" t="s">
        <v>3606</v>
      </c>
      <c r="F98" s="135" t="s">
        <v>440</v>
      </c>
      <c r="G98" s="22" t="s">
        <v>3607</v>
      </c>
    </row>
    <row r="99" spans="2:7" ht="24.75" customHeight="1" x14ac:dyDescent="0.25">
      <c r="B99" s="75" t="s">
        <v>3608</v>
      </c>
      <c r="C99" s="44" t="s">
        <v>3609</v>
      </c>
      <c r="D99" s="217">
        <f>Inputs!K508</f>
        <v>0</v>
      </c>
      <c r="E99" s="85" t="s">
        <v>3610</v>
      </c>
      <c r="F99" s="135" t="s">
        <v>440</v>
      </c>
      <c r="G99" s="22" t="s">
        <v>3611</v>
      </c>
    </row>
    <row r="100" spans="2:7" ht="24.75" customHeight="1" x14ac:dyDescent="0.25">
      <c r="B100" s="75" t="s">
        <v>3612</v>
      </c>
      <c r="C100" s="44" t="s">
        <v>3593</v>
      </c>
      <c r="D100" s="217">
        <f>Inputs!$E$524</f>
        <v>0</v>
      </c>
      <c r="E100" s="44" t="s">
        <v>3613</v>
      </c>
      <c r="F100" s="135" t="s">
        <v>440</v>
      </c>
      <c r="G100" s="22" t="s">
        <v>3614</v>
      </c>
    </row>
    <row r="101" spans="2:7" ht="24.75" customHeight="1" x14ac:dyDescent="0.25">
      <c r="B101" s="75" t="s">
        <v>3615</v>
      </c>
      <c r="C101" s="44" t="s">
        <v>3593</v>
      </c>
      <c r="D101" s="217">
        <f>Inputs!$E$525</f>
        <v>0</v>
      </c>
      <c r="E101" s="44" t="s">
        <v>3613</v>
      </c>
      <c r="F101" s="135" t="s">
        <v>440</v>
      </c>
      <c r="G101" s="22" t="s">
        <v>3616</v>
      </c>
    </row>
    <row r="102" spans="2:7" ht="24.75" customHeight="1" x14ac:dyDescent="0.25">
      <c r="B102" s="75" t="s">
        <v>3617</v>
      </c>
      <c r="C102" s="44" t="s">
        <v>3593</v>
      </c>
      <c r="D102" s="217">
        <f>Inputs!$E$526</f>
        <v>0</v>
      </c>
      <c r="E102" s="44" t="s">
        <v>3613</v>
      </c>
      <c r="F102" s="135" t="s">
        <v>440</v>
      </c>
      <c r="G102" s="22" t="s">
        <v>3618</v>
      </c>
    </row>
    <row r="103" spans="2:7" x14ac:dyDescent="0.25">
      <c r="B103" s="70" t="s">
        <v>3619</v>
      </c>
      <c r="C103" s="44" t="s">
        <v>3593</v>
      </c>
      <c r="D103" s="217">
        <f>Inputs!$E$527</f>
        <v>0</v>
      </c>
      <c r="E103" s="44" t="s">
        <v>3613</v>
      </c>
      <c r="F103" s="135" t="s">
        <v>440</v>
      </c>
      <c r="G103" s="22" t="s">
        <v>3620</v>
      </c>
    </row>
    <row r="104" spans="2:7" ht="24.75" customHeight="1" x14ac:dyDescent="0.25">
      <c r="B104" s="75" t="s">
        <v>3621</v>
      </c>
      <c r="C104" s="44" t="s">
        <v>3593</v>
      </c>
      <c r="D104" s="217">
        <f>Inputs!$E$528</f>
        <v>0</v>
      </c>
      <c r="E104" s="44" t="s">
        <v>3613</v>
      </c>
      <c r="F104" s="135" t="s">
        <v>440</v>
      </c>
      <c r="G104" s="22" t="s">
        <v>3622</v>
      </c>
    </row>
    <row r="105" spans="2:7" ht="24.75" customHeight="1" x14ac:dyDescent="0.25">
      <c r="B105" s="75" t="s">
        <v>3623</v>
      </c>
      <c r="C105" s="44" t="s">
        <v>3593</v>
      </c>
      <c r="D105" s="217">
        <f>Inputs!$E$529</f>
        <v>0</v>
      </c>
      <c r="E105" s="44" t="s">
        <v>3613</v>
      </c>
      <c r="F105" s="135" t="s">
        <v>440</v>
      </c>
      <c r="G105" s="22" t="s">
        <v>3624</v>
      </c>
    </row>
    <row r="106" spans="2:7" ht="24.75" customHeight="1" x14ac:dyDescent="0.25">
      <c r="B106" s="75" t="s">
        <v>3625</v>
      </c>
      <c r="C106" s="44" t="s">
        <v>3593</v>
      </c>
      <c r="D106" s="217">
        <f>Inputs!$E$530</f>
        <v>0</v>
      </c>
      <c r="E106" s="44" t="s">
        <v>3613</v>
      </c>
      <c r="F106" s="135" t="s">
        <v>440</v>
      </c>
      <c r="G106" s="22" t="s">
        <v>3626</v>
      </c>
    </row>
    <row r="107" spans="2:7" x14ac:dyDescent="0.25">
      <c r="B107" s="70" t="s">
        <v>3627</v>
      </c>
      <c r="C107" s="44" t="s">
        <v>3593</v>
      </c>
      <c r="D107" s="218">
        <f>Inputs!$E$542</f>
        <v>7.0099999999999996E-2</v>
      </c>
      <c r="E107" s="44" t="s">
        <v>3628</v>
      </c>
      <c r="F107" s="135" t="s">
        <v>440</v>
      </c>
      <c r="G107" s="22" t="s">
        <v>3629</v>
      </c>
    </row>
    <row r="108" spans="2:7" x14ac:dyDescent="0.25">
      <c r="B108" s="70" t="s">
        <v>3630</v>
      </c>
      <c r="C108" s="44" t="s">
        <v>3593</v>
      </c>
      <c r="D108" s="218">
        <f>Inputs!$E$543</f>
        <v>1.6199999999999999E-2</v>
      </c>
      <c r="E108" s="44" t="s">
        <v>3631</v>
      </c>
      <c r="F108" s="135" t="s">
        <v>440</v>
      </c>
      <c r="G108" s="22" t="s">
        <v>3632</v>
      </c>
    </row>
    <row r="109" spans="2:7" x14ac:dyDescent="0.25">
      <c r="B109" s="70" t="s">
        <v>3633</v>
      </c>
      <c r="C109" s="44" t="s">
        <v>3593</v>
      </c>
      <c r="D109" s="218">
        <f>Inputs!$E$544</f>
        <v>6.6900000000000001E-2</v>
      </c>
      <c r="E109" s="44" t="s">
        <v>3631</v>
      </c>
      <c r="F109" s="135" t="s">
        <v>440</v>
      </c>
      <c r="G109" s="22" t="s">
        <v>3634</v>
      </c>
    </row>
    <row r="110" spans="2:7" x14ac:dyDescent="0.25">
      <c r="B110" s="70" t="s">
        <v>3635</v>
      </c>
      <c r="C110" s="44" t="s">
        <v>3593</v>
      </c>
      <c r="D110" s="219">
        <f>Inputs!$E$545</f>
        <v>0.8</v>
      </c>
      <c r="E110" s="44" t="s">
        <v>3631</v>
      </c>
      <c r="F110" s="135" t="s">
        <v>440</v>
      </c>
      <c r="G110" s="22" t="s">
        <v>3636</v>
      </c>
    </row>
    <row r="111" spans="2:7" x14ac:dyDescent="0.25">
      <c r="B111" s="70" t="s">
        <v>3637</v>
      </c>
      <c r="C111" s="44" t="s">
        <v>3593</v>
      </c>
      <c r="D111" s="216">
        <f>Inputs!$E$546</f>
        <v>0.2</v>
      </c>
      <c r="E111" s="44" t="s">
        <v>3638</v>
      </c>
      <c r="F111" s="135" t="s">
        <v>440</v>
      </c>
      <c r="G111" s="22" t="s">
        <v>3639</v>
      </c>
    </row>
    <row r="112" spans="2:7" x14ac:dyDescent="0.25">
      <c r="B112" s="70" t="s">
        <v>3640</v>
      </c>
      <c r="C112" s="44" t="s">
        <v>3593</v>
      </c>
      <c r="D112" s="218">
        <f>Inputs!$E$548</f>
        <v>0.01</v>
      </c>
      <c r="E112" s="44" t="s">
        <v>3631</v>
      </c>
      <c r="F112" s="135" t="s">
        <v>440</v>
      </c>
      <c r="G112" s="22" t="s">
        <v>3641</v>
      </c>
    </row>
    <row r="113" spans="2:20" x14ac:dyDescent="0.25">
      <c r="B113" s="70" t="s">
        <v>3642</v>
      </c>
      <c r="C113" s="44" t="s">
        <v>3593</v>
      </c>
      <c r="D113" s="218">
        <f>Inputs!$E$549</f>
        <v>0.03</v>
      </c>
      <c r="E113" s="44" t="s">
        <v>3643</v>
      </c>
      <c r="F113" s="135" t="s">
        <v>440</v>
      </c>
      <c r="G113" s="22" t="s">
        <v>3644</v>
      </c>
    </row>
    <row r="114" spans="2:20" x14ac:dyDescent="0.25">
      <c r="B114" s="70" t="s">
        <v>3645</v>
      </c>
      <c r="C114" s="44" t="s">
        <v>3593</v>
      </c>
      <c r="D114" s="218">
        <f>Inputs!$E$550</f>
        <v>0.04</v>
      </c>
      <c r="E114" s="44" t="s">
        <v>3646</v>
      </c>
      <c r="F114" s="135" t="s">
        <v>440</v>
      </c>
      <c r="G114" s="22" t="s">
        <v>3647</v>
      </c>
    </row>
    <row r="115" spans="2:20" ht="36" customHeight="1" x14ac:dyDescent="0.25">
      <c r="B115" s="70" t="s">
        <v>3648</v>
      </c>
      <c r="C115" s="44" t="s">
        <v>3593</v>
      </c>
      <c r="D115" s="182">
        <f>Inputs!$E$577</f>
        <v>10</v>
      </c>
      <c r="E115" s="85" t="s">
        <v>3649</v>
      </c>
      <c r="F115" s="135" t="s">
        <v>440</v>
      </c>
      <c r="G115" s="22" t="s">
        <v>3650</v>
      </c>
    </row>
    <row r="116" spans="2:20" ht="24.75" customHeight="1" x14ac:dyDescent="0.25">
      <c r="B116" s="70" t="s">
        <v>3651</v>
      </c>
      <c r="C116" s="44" t="s">
        <v>3593</v>
      </c>
      <c r="D116" s="216">
        <f>Inputs!$E$735</f>
        <v>0</v>
      </c>
      <c r="E116" s="85" t="s">
        <v>3652</v>
      </c>
      <c r="F116" s="135" t="s">
        <v>440</v>
      </c>
      <c r="G116" s="22" t="s">
        <v>3653</v>
      </c>
    </row>
    <row r="117" spans="2:20" x14ac:dyDescent="0.25">
      <c r="B117" s="70" t="s">
        <v>3654</v>
      </c>
      <c r="C117" s="44" t="s">
        <v>3655</v>
      </c>
      <c r="F117" s="135" t="s">
        <v>440</v>
      </c>
      <c r="G117" s="22" t="s">
        <v>3656</v>
      </c>
    </row>
    <row r="118" spans="2:20" x14ac:dyDescent="0.25">
      <c r="B118" s="70" t="s">
        <v>3657</v>
      </c>
      <c r="C118" s="44" t="s">
        <v>3655</v>
      </c>
      <c r="F118" s="135" t="s">
        <v>440</v>
      </c>
      <c r="G118" s="22" t="s">
        <v>3658</v>
      </c>
    </row>
    <row r="119" spans="2:20" x14ac:dyDescent="0.25">
      <c r="B119" s="70" t="s">
        <v>3659</v>
      </c>
      <c r="C119" s="44" t="s">
        <v>3655</v>
      </c>
      <c r="F119" s="135" t="s">
        <v>440</v>
      </c>
      <c r="G119" s="22" t="s">
        <v>3660</v>
      </c>
    </row>
    <row r="120" spans="2:20" x14ac:dyDescent="0.25">
      <c r="B120" s="70" t="s">
        <v>3661</v>
      </c>
      <c r="C120" s="44" t="s">
        <v>3655</v>
      </c>
      <c r="F120" s="135" t="s">
        <v>440</v>
      </c>
      <c r="G120" s="22" t="s">
        <v>3662</v>
      </c>
    </row>
    <row r="121" spans="2:20" x14ac:dyDescent="0.25">
      <c r="B121" s="70" t="s">
        <v>3663</v>
      </c>
      <c r="C121" s="44" t="s">
        <v>3655</v>
      </c>
      <c r="F121" s="135" t="s">
        <v>440</v>
      </c>
      <c r="G121" s="22" t="s">
        <v>3664</v>
      </c>
    </row>
    <row r="122" spans="2:20" ht="24.75" customHeight="1" x14ac:dyDescent="0.25">
      <c r="B122" s="75" t="s">
        <v>3665</v>
      </c>
      <c r="C122" s="44" t="s">
        <v>3666</v>
      </c>
      <c r="F122" s="135" t="s">
        <v>440</v>
      </c>
      <c r="G122" s="22" t="s">
        <v>3667</v>
      </c>
    </row>
    <row r="123" spans="2:20" ht="24.75" customHeight="1" x14ac:dyDescent="0.25">
      <c r="B123" s="75" t="s">
        <v>3668</v>
      </c>
      <c r="C123" s="44" t="s">
        <v>3666</v>
      </c>
      <c r="F123" s="135" t="s">
        <v>440</v>
      </c>
      <c r="G123" s="22" t="s">
        <v>3669</v>
      </c>
    </row>
    <row r="124" spans="2:20" x14ac:dyDescent="0.25">
      <c r="B124" s="70" t="s">
        <v>3670</v>
      </c>
      <c r="C124" s="44" t="s">
        <v>3671</v>
      </c>
      <c r="F124" s="135" t="s">
        <v>440</v>
      </c>
      <c r="G124" s="22" t="s">
        <v>3583</v>
      </c>
    </row>
    <row r="125" spans="2:20" ht="24.75" customHeight="1" x14ac:dyDescent="0.25">
      <c r="B125" s="75" t="s">
        <v>3672</v>
      </c>
      <c r="C125" s="44" t="s">
        <v>3666</v>
      </c>
      <c r="F125" s="135" t="s">
        <v>440</v>
      </c>
      <c r="G125" s="22" t="s">
        <v>3614</v>
      </c>
    </row>
    <row r="126" spans="2:20" ht="24.75" customHeight="1" x14ac:dyDescent="0.25">
      <c r="B126" s="75" t="s">
        <v>3673</v>
      </c>
      <c r="C126" s="44" t="s">
        <v>3666</v>
      </c>
      <c r="F126" s="135" t="s">
        <v>440</v>
      </c>
      <c r="G126" s="22" t="s">
        <v>3674</v>
      </c>
    </row>
    <row r="128" spans="2:20" x14ac:dyDescent="0.25">
      <c r="B128" s="58" t="s">
        <v>3675</v>
      </c>
      <c r="C128" s="19"/>
      <c r="D128" s="19"/>
      <c r="E128" s="19"/>
      <c r="F128" s="19"/>
      <c r="G128" s="19"/>
      <c r="H128" s="19"/>
      <c r="I128" s="19"/>
      <c r="J128" s="19"/>
      <c r="K128" s="19"/>
      <c r="L128" s="19"/>
      <c r="M128" s="19"/>
      <c r="N128" s="19"/>
      <c r="O128" s="19"/>
      <c r="P128" s="19"/>
      <c r="Q128" s="19"/>
      <c r="R128" s="19"/>
      <c r="S128" s="19"/>
      <c r="T128" s="19"/>
    </row>
    <row r="129" spans="2:21" x14ac:dyDescent="0.25">
      <c r="B129" s="145" t="s">
        <v>3676</v>
      </c>
    </row>
    <row r="130" spans="2:21" x14ac:dyDescent="0.25">
      <c r="B130" s="145" t="str">
        <f>"Column E and the sentences show FY"&amp;Inputs!$E$49&amp;" (Inputs section 1). Tolerance: "&amp;TEXT(Inputs!$E$50,"0.000")&amp;" IDR bn. Requested changes active: "&amp;$E$24&amp;" | input changes vs the delivered baseline: "&amp;$E$21&amp;" | "&amp;Inputs!$G$753</f>
        <v>Column E and the sentences show FY2036 (Inputs section 1). Tolerance: 0.001 IDR bn. Requested changes active: LT loan repaid FY2027 + equity = residual requirement | input changes vs the delivered baseline: 1 | Corrections ON: none</v>
      </c>
    </row>
    <row r="131" spans="2:21" x14ac:dyDescent="0.25">
      <c r="B131" s="145" t="s">
        <v>3677</v>
      </c>
    </row>
    <row r="132" spans="2:21" x14ac:dyDescent="0.25">
      <c r="G132" s="77" t="s">
        <v>1878</v>
      </c>
      <c r="H132" s="77" t="s">
        <v>1879</v>
      </c>
      <c r="I132" s="77" t="s">
        <v>1879</v>
      </c>
      <c r="J132" s="77" t="s">
        <v>1879</v>
      </c>
      <c r="K132" s="77" t="s">
        <v>1879</v>
      </c>
      <c r="L132" s="77" t="s">
        <v>1879</v>
      </c>
      <c r="M132" s="77" t="s">
        <v>1879</v>
      </c>
      <c r="N132" s="77" t="s">
        <v>1879</v>
      </c>
      <c r="O132" s="77" t="s">
        <v>1879</v>
      </c>
      <c r="P132" s="77" t="s">
        <v>1879</v>
      </c>
      <c r="Q132" s="77" t="s">
        <v>1879</v>
      </c>
      <c r="R132" s="77" t="s">
        <v>1879</v>
      </c>
      <c r="S132" s="77" t="s">
        <v>1879</v>
      </c>
      <c r="T132" s="77" t="s">
        <v>1879</v>
      </c>
    </row>
    <row r="133" spans="2:21" x14ac:dyDescent="0.25">
      <c r="B133" s="150" t="s">
        <v>3678</v>
      </c>
      <c r="C133" s="150" t="s">
        <v>466</v>
      </c>
      <c r="D133" s="59" t="s">
        <v>3679</v>
      </c>
      <c r="E133" s="59" t="str">
        <f>"FY"&amp;Inputs!$E$49&amp;" (selected)"</f>
        <v>FY2036 (selected)</v>
      </c>
      <c r="F133" s="60"/>
      <c r="G133" s="151">
        <v>2023</v>
      </c>
      <c r="H133" s="152">
        <v>2024</v>
      </c>
      <c r="I133" s="152">
        <v>2025</v>
      </c>
      <c r="J133" s="152">
        <v>2026</v>
      </c>
      <c r="K133" s="152">
        <v>2027</v>
      </c>
      <c r="L133" s="152">
        <v>2028</v>
      </c>
      <c r="M133" s="152">
        <v>2029</v>
      </c>
      <c r="N133" s="152">
        <v>2030</v>
      </c>
      <c r="O133" s="152">
        <v>2031</v>
      </c>
      <c r="P133" s="152">
        <v>2032</v>
      </c>
      <c r="Q133" s="152">
        <v>2033</v>
      </c>
      <c r="R133" s="152">
        <v>2034</v>
      </c>
      <c r="S133" s="152">
        <v>2035</v>
      </c>
      <c r="T133" s="152">
        <v>2036</v>
      </c>
      <c r="U133" s="59" t="s">
        <v>1882</v>
      </c>
    </row>
    <row r="134" spans="2:21" x14ac:dyDescent="0.25">
      <c r="B134" s="220" t="s">
        <v>3680</v>
      </c>
    </row>
    <row r="135" spans="2:21" x14ac:dyDescent="0.25">
      <c r="B135" s="221" t="s">
        <v>3681</v>
      </c>
      <c r="C135" s="222" t="s">
        <v>493</v>
      </c>
      <c r="D135" s="223" t="s">
        <v>3682</v>
      </c>
      <c r="E135" s="224" t="str">
        <f>IF(MAX(MAX(H138:T138),-MIN(H138:T138))&lt;=Inputs!$E$50,"Matches v29",IF($E$21&gt;0,"Differs - inputs changed","UNEXPLAINED"))</f>
        <v>Differs - inputs changed</v>
      </c>
      <c r="F135" s="225">
        <f>MAX(MAX(H138:T138),-MIN(H138:T138))</f>
        <v>48.195</v>
      </c>
      <c r="G135" s="226">
        <f>MAX(MAX(H138:T138),-MIN(H138:T138))</f>
        <v>48.195</v>
      </c>
    </row>
    <row r="136" spans="2:21" x14ac:dyDescent="0.25">
      <c r="B136" s="23" t="s">
        <v>3683</v>
      </c>
      <c r="C136" s="28" t="s">
        <v>493</v>
      </c>
      <c r="D136" s="155" t="s">
        <v>3684</v>
      </c>
      <c r="E136" s="178">
        <f>INDEX($G$136:$T$136,1,Inputs!$E$49-2022)</f>
        <v>1212.28951630494</v>
      </c>
      <c r="H136" s="30">
        <f>'Source Data'!H828</f>
        <v>305.288636575314</v>
      </c>
      <c r="I136" s="30">
        <f>'Source Data'!I828</f>
        <v>427.60286647031597</v>
      </c>
      <c r="J136" s="30">
        <f>'Source Data'!J828</f>
        <v>622.06488628652903</v>
      </c>
      <c r="K136" s="30">
        <f>'Source Data'!K828</f>
        <v>754.46283287559299</v>
      </c>
      <c r="L136" s="30">
        <f>'Source Data'!L828</f>
        <v>841.309577025576</v>
      </c>
      <c r="M136" s="30">
        <f>'Source Data'!M828</f>
        <v>917.90703723101205</v>
      </c>
      <c r="N136" s="30">
        <f>'Source Data'!N828</f>
        <v>957.01687917243305</v>
      </c>
      <c r="O136" s="30">
        <f>'Source Data'!O828</f>
        <v>1021.44310957036</v>
      </c>
      <c r="P136" s="30">
        <f>'Source Data'!P828</f>
        <v>1068.32911720014</v>
      </c>
      <c r="Q136" s="30">
        <f>'Source Data'!Q828</f>
        <v>1137.221937108</v>
      </c>
      <c r="R136" s="30">
        <f>'Source Data'!R828</f>
        <v>1162.5819669451801</v>
      </c>
      <c r="S136" s="30">
        <f>'Source Data'!S828</f>
        <v>1171.2143622958599</v>
      </c>
      <c r="T136" s="30">
        <f>'Source Data'!T828</f>
        <v>1212.28951630494</v>
      </c>
    </row>
    <row r="137" spans="2:21" x14ac:dyDescent="0.25">
      <c r="B137" s="23" t="s">
        <v>3685</v>
      </c>
      <c r="C137" s="28" t="s">
        <v>493</v>
      </c>
      <c r="D137" s="227" t="s">
        <v>3686</v>
      </c>
      <c r="E137" s="178">
        <f>INDEX($G$137:$T$137,1,Inputs!$E$49-2022)</f>
        <v>1260.4845163049374</v>
      </c>
      <c r="H137" s="30">
        <f>'FSL Output - With BUMN'!H59</f>
        <v>305.28863657531394</v>
      </c>
      <c r="I137" s="30">
        <f>'FSL Output - With BUMN'!I59</f>
        <v>427.60286647031643</v>
      </c>
      <c r="J137" s="30">
        <f>'FSL Output - With BUMN'!J59</f>
        <v>622.0648862865288</v>
      </c>
      <c r="K137" s="30">
        <f>'FSL Output - With BUMN'!K59</f>
        <v>754.46283287559299</v>
      </c>
      <c r="L137" s="30">
        <f>'FSL Output - With BUMN'!L59</f>
        <v>841.309577025576</v>
      </c>
      <c r="M137" s="30">
        <f>'FSL Output - With BUMN'!M59</f>
        <v>949.09203723101211</v>
      </c>
      <c r="N137" s="30">
        <f>'FSL Output - With BUMN'!N59</f>
        <v>996.70687917243333</v>
      </c>
      <c r="O137" s="30">
        <f>'FSL Output - With BUMN'!O59</f>
        <v>1066.803109570357</v>
      </c>
      <c r="P137" s="30">
        <f>'FSL Output - With BUMN'!P59</f>
        <v>1116.5241172001438</v>
      </c>
      <c r="Q137" s="30">
        <f>'FSL Output - With BUMN'!Q59</f>
        <v>1185.4169371080031</v>
      </c>
      <c r="R137" s="30">
        <f>'FSL Output - With BUMN'!R59</f>
        <v>1210.7769669451768</v>
      </c>
      <c r="S137" s="30">
        <f>'FSL Output - With BUMN'!S59</f>
        <v>1219.4093622958555</v>
      </c>
      <c r="T137" s="30">
        <f>'FSL Output - With BUMN'!T59</f>
        <v>1260.4845163049374</v>
      </c>
    </row>
    <row r="138" spans="2:21" x14ac:dyDescent="0.25">
      <c r="B138" s="21" t="s">
        <v>3687</v>
      </c>
      <c r="C138" s="28" t="s">
        <v>493</v>
      </c>
      <c r="E138" s="228">
        <f>INDEX($G$138:$T$138,1,Inputs!$E$49-2022)</f>
        <v>48.195</v>
      </c>
      <c r="H138" s="229">
        <f t="shared" ref="H138:T138" si="2">ROUND(H137-H136,9)</f>
        <v>0</v>
      </c>
      <c r="I138" s="229">
        <f t="shared" si="2"/>
        <v>0</v>
      </c>
      <c r="J138" s="229">
        <f t="shared" si="2"/>
        <v>0</v>
      </c>
      <c r="K138" s="229">
        <f t="shared" si="2"/>
        <v>0</v>
      </c>
      <c r="L138" s="229">
        <f t="shared" si="2"/>
        <v>0</v>
      </c>
      <c r="M138" s="229">
        <f t="shared" si="2"/>
        <v>31.184999999999999</v>
      </c>
      <c r="N138" s="229">
        <f t="shared" si="2"/>
        <v>39.69</v>
      </c>
      <c r="O138" s="229">
        <f t="shared" si="2"/>
        <v>45.36</v>
      </c>
      <c r="P138" s="229">
        <f t="shared" si="2"/>
        <v>48.195</v>
      </c>
      <c r="Q138" s="229">
        <f t="shared" si="2"/>
        <v>48.195</v>
      </c>
      <c r="R138" s="229">
        <f t="shared" si="2"/>
        <v>48.195</v>
      </c>
      <c r="S138" s="229">
        <f t="shared" si="2"/>
        <v>48.195</v>
      </c>
      <c r="T138" s="229">
        <f t="shared" si="2"/>
        <v>48.195</v>
      </c>
    </row>
    <row r="139" spans="2:21" ht="27.75" customHeight="1" x14ac:dyDescent="0.25">
      <c r="B139" s="63" t="s">
        <v>3688</v>
      </c>
      <c r="G139" s="254" t="str">
        <f>"With-IS01 FY"&amp;Inputs!$E$49&amp;": model "&amp;TEXT(E137,"#,##0.000")&amp;" vs v29 "&amp;TEXT(E136,"#,##0.000")&amp;" (difference "&amp;TEXT(ROUND(E138,3),"+#,##0.000;-#,##0.000;0.000")&amp;")"&amp;IF(ABS(E138)&lt;=Inputs!$E$50," - matches v29.",IF(LEFT(E135,19)="Differs - requested"," - due to the requested change: "&amp;MID(E135,29,200),IF($E$21&gt;0," - differs because inputs / switches were changed."," - UNEXPLAINED: no input was changed.")))</f>
        <v>With-IS01 FY2036: model 1,260.485 vs v29 1,212.290 (difference +48.195) - differs because inputs / switches were changed.</v>
      </c>
      <c r="H139" s="254"/>
      <c r="I139" s="254"/>
      <c r="J139" s="254"/>
      <c r="K139" s="254"/>
      <c r="L139" s="254"/>
      <c r="M139" s="254"/>
      <c r="N139" s="254"/>
      <c r="O139" s="254"/>
      <c r="P139" s="254"/>
      <c r="Q139" s="254"/>
      <c r="R139" s="254"/>
      <c r="S139" s="254"/>
      <c r="T139" s="254"/>
    </row>
    <row r="140" spans="2:21" x14ac:dyDescent="0.25">
      <c r="B140" s="221" t="s">
        <v>3689</v>
      </c>
      <c r="C140" s="222" t="s">
        <v>493</v>
      </c>
      <c r="D140" s="223" t="s">
        <v>3690</v>
      </c>
      <c r="E140" s="224" t="str">
        <f>IF(MAX(MAX(H143:T143),-MIN(H143:T143))&lt;=Inputs!$E$50,"Matches v29",IF($E$21&gt;0,"Differs - inputs changed","UNEXPLAINED"))</f>
        <v>Differs - inputs changed</v>
      </c>
      <c r="F140" s="225">
        <f>MAX(MAX(H143:T143),-MIN(H143:T143))</f>
        <v>18.88775</v>
      </c>
      <c r="G140" s="226">
        <f>MAX(MAX(H143:T143),-MIN(H143:T143))</f>
        <v>18.88775</v>
      </c>
    </row>
    <row r="141" spans="2:21" x14ac:dyDescent="0.25">
      <c r="B141" s="23" t="s">
        <v>3683</v>
      </c>
      <c r="C141" s="28" t="s">
        <v>493</v>
      </c>
      <c r="D141" s="155" t="s">
        <v>3691</v>
      </c>
      <c r="E141" s="178">
        <f>INDEX($G$141:$T$141,1,Inputs!$E$49-2022)</f>
        <v>-216.931142504853</v>
      </c>
      <c r="H141" s="30">
        <f>'Source Data'!H829</f>
        <v>-122.543058427959</v>
      </c>
      <c r="I141" s="30">
        <f>'Source Data'!I829</f>
        <v>-114.658762824422</v>
      </c>
      <c r="J141" s="30">
        <f>'Source Data'!J829</f>
        <v>-112.224966728287</v>
      </c>
      <c r="K141" s="30">
        <f>'Source Data'!K829</f>
        <v>-124.58113550223101</v>
      </c>
      <c r="L141" s="30">
        <f>'Source Data'!L829</f>
        <v>-146.73492706822401</v>
      </c>
      <c r="M141" s="30">
        <f>'Source Data'!M829</f>
        <v>-157.56435050601601</v>
      </c>
      <c r="N141" s="30">
        <f>'Source Data'!N829</f>
        <v>-167.62312796545601</v>
      </c>
      <c r="O141" s="30">
        <f>'Source Data'!O829</f>
        <v>-179.279132373637</v>
      </c>
      <c r="P141" s="30">
        <f>'Source Data'!P829</f>
        <v>-190.134995813909</v>
      </c>
      <c r="Q141" s="30">
        <f>'Source Data'!Q829</f>
        <v>-201.60267788366599</v>
      </c>
      <c r="R141" s="30">
        <f>'Source Data'!R829</f>
        <v>-197.45913659428501</v>
      </c>
      <c r="S141" s="30">
        <f>'Source Data'!S829</f>
        <v>-206.40946772791</v>
      </c>
      <c r="T141" s="30">
        <f>'Source Data'!T829</f>
        <v>-216.931142504853</v>
      </c>
    </row>
    <row r="142" spans="2:21" x14ac:dyDescent="0.25">
      <c r="B142" s="23" t="s">
        <v>3685</v>
      </c>
      <c r="C142" s="28" t="s">
        <v>493</v>
      </c>
      <c r="D142" s="227" t="s">
        <v>3692</v>
      </c>
      <c r="E142" s="178">
        <f>INDEX($G$142:$T$142,1,Inputs!$E$49-2022)</f>
        <v>-235.8188925048529</v>
      </c>
      <c r="H142" s="30">
        <f>'FSL Output - With BUMN'!H63</f>
        <v>-122.54305842795951</v>
      </c>
      <c r="I142" s="30">
        <f>'FSL Output - With BUMN'!I63</f>
        <v>-114.65876282442217</v>
      </c>
      <c r="J142" s="30">
        <f>'FSL Output - With BUMN'!J63</f>
        <v>-112.22496672828655</v>
      </c>
      <c r="K142" s="30">
        <f>'FSL Output - With BUMN'!K63</f>
        <v>-124.58113550223146</v>
      </c>
      <c r="L142" s="30">
        <f>'FSL Output - With BUMN'!L63</f>
        <v>-146.73492706822378</v>
      </c>
      <c r="M142" s="30">
        <f>'FSL Output - With BUMN'!M63</f>
        <v>-173.05160050601611</v>
      </c>
      <c r="N142" s="30">
        <f>'FSL Output - With BUMN'!N63</f>
        <v>-184.81062796545601</v>
      </c>
      <c r="O142" s="30">
        <f>'FSL Output - With BUMN'!O63</f>
        <v>-197.60013237363654</v>
      </c>
      <c r="P142" s="30">
        <f>'FSL Output - With BUMN'!P63</f>
        <v>-209.02274581390924</v>
      </c>
      <c r="Q142" s="30">
        <f>'FSL Output - With BUMN'!Q63</f>
        <v>-220.49042788366614</v>
      </c>
      <c r="R142" s="30">
        <f>'FSL Output - With BUMN'!R63</f>
        <v>-216.34688659428522</v>
      </c>
      <c r="S142" s="30">
        <f>'FSL Output - With BUMN'!S63</f>
        <v>-225.29721772791021</v>
      </c>
      <c r="T142" s="30">
        <f>'FSL Output - With BUMN'!T63</f>
        <v>-235.8188925048529</v>
      </c>
    </row>
    <row r="143" spans="2:21" x14ac:dyDescent="0.25">
      <c r="B143" s="21" t="s">
        <v>3687</v>
      </c>
      <c r="C143" s="28" t="s">
        <v>493</v>
      </c>
      <c r="E143" s="228">
        <f>INDEX($G$143:$T$143,1,Inputs!$E$49-2022)</f>
        <v>-18.88775</v>
      </c>
      <c r="H143" s="229">
        <f t="shared" ref="H143:T143" si="3">ROUND(H142-H141,9)</f>
        <v>0</v>
      </c>
      <c r="I143" s="229">
        <f t="shared" si="3"/>
        <v>0</v>
      </c>
      <c r="J143" s="229">
        <f t="shared" si="3"/>
        <v>0</v>
      </c>
      <c r="K143" s="229">
        <f t="shared" si="3"/>
        <v>0</v>
      </c>
      <c r="L143" s="229">
        <f t="shared" si="3"/>
        <v>0</v>
      </c>
      <c r="M143" s="229">
        <f t="shared" si="3"/>
        <v>-15.48725</v>
      </c>
      <c r="N143" s="229">
        <f t="shared" si="3"/>
        <v>-17.1875</v>
      </c>
      <c r="O143" s="229">
        <f t="shared" si="3"/>
        <v>-18.321000000000002</v>
      </c>
      <c r="P143" s="229">
        <f t="shared" si="3"/>
        <v>-18.88775</v>
      </c>
      <c r="Q143" s="229">
        <f t="shared" si="3"/>
        <v>-18.88775</v>
      </c>
      <c r="R143" s="229">
        <f t="shared" si="3"/>
        <v>-18.88775</v>
      </c>
      <c r="S143" s="229">
        <f t="shared" si="3"/>
        <v>-18.88775</v>
      </c>
      <c r="T143" s="229">
        <f t="shared" si="3"/>
        <v>-18.88775</v>
      </c>
    </row>
    <row r="144" spans="2:21" ht="27.75" customHeight="1" x14ac:dyDescent="0.25">
      <c r="B144" s="63" t="s">
        <v>3688</v>
      </c>
      <c r="G144" s="254" t="str">
        <f>"With-IS02 FY"&amp;Inputs!$E$49&amp;": model "&amp;TEXT(E142,"#,##0.000")&amp;" vs v29 "&amp;TEXT(E141,"#,##0.000")&amp;" (difference "&amp;TEXT(ROUND(E143,3),"+#,##0.000;-#,##0.000;0.000")&amp;")"&amp;IF(ABS(E143)&lt;=Inputs!$E$50," - matches v29.",IF(LEFT(E140,19)="Differs - requested"," - due to the requested change: "&amp;MID(E140,29,200),IF($E$21&gt;0," - differs because inputs / switches were changed."," - UNEXPLAINED: no input was changed.")))</f>
        <v>With-IS02 FY2036: model -235.819 vs v29 -216.931 (difference -18.888) - differs because inputs / switches were changed.</v>
      </c>
      <c r="H144" s="254"/>
      <c r="I144" s="254"/>
      <c r="J144" s="254"/>
      <c r="K144" s="254"/>
      <c r="L144" s="254"/>
      <c r="M144" s="254"/>
      <c r="N144" s="254"/>
      <c r="O144" s="254"/>
      <c r="P144" s="254"/>
      <c r="Q144" s="254"/>
      <c r="R144" s="254"/>
      <c r="S144" s="254"/>
      <c r="T144" s="254"/>
    </row>
    <row r="145" spans="2:20" x14ac:dyDescent="0.25">
      <c r="B145" s="221" t="s">
        <v>3693</v>
      </c>
      <c r="C145" s="222" t="s">
        <v>493</v>
      </c>
      <c r="D145" s="223" t="s">
        <v>3694</v>
      </c>
      <c r="E145" s="224" t="str">
        <f>IF(MAX(MAX(H148:T148),-MIN(H148:T148))&lt;=Inputs!$E$50,"Matches v29",IF($E$21&gt;0,"Differs - inputs changed","UNEXPLAINED"))</f>
        <v>Differs - inputs changed</v>
      </c>
      <c r="F145" s="225">
        <f>MAX(MAX(H148:T148),-MIN(H148:T148))</f>
        <v>29.30725</v>
      </c>
      <c r="G145" s="226">
        <f>MAX(MAX(H148:T148),-MIN(H148:T148))</f>
        <v>29.30725</v>
      </c>
    </row>
    <row r="146" spans="2:20" x14ac:dyDescent="0.25">
      <c r="B146" s="23" t="s">
        <v>3683</v>
      </c>
      <c r="C146" s="28" t="s">
        <v>493</v>
      </c>
      <c r="D146" s="155" t="s">
        <v>3695</v>
      </c>
      <c r="E146" s="178">
        <f>INDEX($G$146:$T$146,1,Inputs!$E$49-2022)</f>
        <v>995.358373800084</v>
      </c>
      <c r="H146" s="30">
        <f>'Source Data'!H830</f>
        <v>182.745578147354</v>
      </c>
      <c r="I146" s="30">
        <f>'Source Data'!I830</f>
        <v>312.94410364589402</v>
      </c>
      <c r="J146" s="30">
        <f>'Source Data'!J830</f>
        <v>509.839919558242</v>
      </c>
      <c r="K146" s="30">
        <f>'Source Data'!K830</f>
        <v>629.88169737336204</v>
      </c>
      <c r="L146" s="30">
        <f>'Source Data'!L830</f>
        <v>694.57464995735199</v>
      </c>
      <c r="M146" s="30">
        <f>'Source Data'!M830</f>
        <v>760.34268672499604</v>
      </c>
      <c r="N146" s="30">
        <f>'Source Data'!N830</f>
        <v>789.39375120697696</v>
      </c>
      <c r="O146" s="30">
        <f>'Source Data'!O830</f>
        <v>842.16397719672102</v>
      </c>
      <c r="P146" s="30">
        <f>'Source Data'!P830</f>
        <v>878.19412138623397</v>
      </c>
      <c r="Q146" s="30">
        <f>'Source Data'!Q830</f>
        <v>935.61925922433704</v>
      </c>
      <c r="R146" s="30">
        <f>'Source Data'!R830</f>
        <v>965.12283035089195</v>
      </c>
      <c r="S146" s="30">
        <f>'Source Data'!S830</f>
        <v>964.80489456794498</v>
      </c>
      <c r="T146" s="30">
        <f>'Source Data'!T830</f>
        <v>995.358373800084</v>
      </c>
    </row>
    <row r="147" spans="2:20" x14ac:dyDescent="0.25">
      <c r="B147" s="23" t="s">
        <v>3685</v>
      </c>
      <c r="C147" s="28" t="s">
        <v>493</v>
      </c>
      <c r="D147" s="227" t="s">
        <v>3696</v>
      </c>
      <c r="E147" s="178">
        <f>INDEX($G$147:$T$147,1,Inputs!$E$49-2022)</f>
        <v>1024.6656238000846</v>
      </c>
      <c r="H147" s="30">
        <f>'FSL Output - With BUMN'!H64</f>
        <v>182.74557814735442</v>
      </c>
      <c r="I147" s="30">
        <f>'FSL Output - With BUMN'!I64</f>
        <v>312.94410364589424</v>
      </c>
      <c r="J147" s="30">
        <f>'FSL Output - With BUMN'!J64</f>
        <v>509.83991955824229</v>
      </c>
      <c r="K147" s="30">
        <f>'FSL Output - With BUMN'!K64</f>
        <v>629.88169737336148</v>
      </c>
      <c r="L147" s="30">
        <f>'FSL Output - With BUMN'!L64</f>
        <v>694.57464995735222</v>
      </c>
      <c r="M147" s="30">
        <f>'FSL Output - With BUMN'!M64</f>
        <v>776.04043672499597</v>
      </c>
      <c r="N147" s="30">
        <f>'FSL Output - With BUMN'!N64</f>
        <v>811.89625120697735</v>
      </c>
      <c r="O147" s="30">
        <f>'FSL Output - With BUMN'!O64</f>
        <v>869.20297719672044</v>
      </c>
      <c r="P147" s="30">
        <f>'FSL Output - With BUMN'!P64</f>
        <v>907.5013713862345</v>
      </c>
      <c r="Q147" s="30">
        <f>'FSL Output - With BUMN'!Q64</f>
        <v>964.926509224337</v>
      </c>
      <c r="R147" s="30">
        <f>'FSL Output - With BUMN'!R64</f>
        <v>994.43008035089156</v>
      </c>
      <c r="S147" s="30">
        <f>'FSL Output - With BUMN'!S64</f>
        <v>994.11214456794528</v>
      </c>
      <c r="T147" s="30">
        <f>'FSL Output - With BUMN'!T64</f>
        <v>1024.6656238000846</v>
      </c>
    </row>
    <row r="148" spans="2:20" x14ac:dyDescent="0.25">
      <c r="B148" s="21" t="s">
        <v>3687</v>
      </c>
      <c r="C148" s="28" t="s">
        <v>493</v>
      </c>
      <c r="E148" s="228">
        <f>INDEX($G$148:$T$148,1,Inputs!$E$49-2022)</f>
        <v>29.30725</v>
      </c>
      <c r="H148" s="229">
        <f t="shared" ref="H148:T148" si="4">ROUND(H147-H146,9)</f>
        <v>0</v>
      </c>
      <c r="I148" s="229">
        <f t="shared" si="4"/>
        <v>0</v>
      </c>
      <c r="J148" s="229">
        <f t="shared" si="4"/>
        <v>0</v>
      </c>
      <c r="K148" s="229">
        <f t="shared" si="4"/>
        <v>0</v>
      </c>
      <c r="L148" s="229">
        <f t="shared" si="4"/>
        <v>0</v>
      </c>
      <c r="M148" s="229">
        <f t="shared" si="4"/>
        <v>15.697749999999999</v>
      </c>
      <c r="N148" s="229">
        <f t="shared" si="4"/>
        <v>22.502500000000001</v>
      </c>
      <c r="O148" s="229">
        <f t="shared" si="4"/>
        <v>27.039000000000001</v>
      </c>
      <c r="P148" s="229">
        <f t="shared" si="4"/>
        <v>29.30725</v>
      </c>
      <c r="Q148" s="229">
        <f t="shared" si="4"/>
        <v>29.30725</v>
      </c>
      <c r="R148" s="229">
        <f t="shared" si="4"/>
        <v>29.30725</v>
      </c>
      <c r="S148" s="229">
        <f t="shared" si="4"/>
        <v>29.30725</v>
      </c>
      <c r="T148" s="229">
        <f t="shared" si="4"/>
        <v>29.30725</v>
      </c>
    </row>
    <row r="149" spans="2:20" ht="27.75" customHeight="1" x14ac:dyDescent="0.25">
      <c r="B149" s="63" t="s">
        <v>3688</v>
      </c>
      <c r="G149" s="254" t="str">
        <f>"With-IS03 FY"&amp;Inputs!$E$49&amp;": model "&amp;TEXT(E147,"#,##0.000")&amp;" vs v29 "&amp;TEXT(E146,"#,##0.000")&amp;" (difference "&amp;TEXT(ROUND(E148,3),"+#,##0.000;-#,##0.000;0.000")&amp;")"&amp;IF(ABS(E148)&lt;=Inputs!$E$50," - matches v29.",IF(LEFT(E145,19)="Differs - requested"," - due to the requested change: "&amp;MID(E145,29,200),IF($E$21&gt;0," - differs because inputs / switches were changed."," - UNEXPLAINED: no input was changed.")))</f>
        <v>With-IS03 FY2036: model 1,024.666 vs v29 995.358 (difference +29.307) - differs because inputs / switches were changed.</v>
      </c>
      <c r="H149" s="254"/>
      <c r="I149" s="254"/>
      <c r="J149" s="254"/>
      <c r="K149" s="254"/>
      <c r="L149" s="254"/>
      <c r="M149" s="254"/>
      <c r="N149" s="254"/>
      <c r="O149" s="254"/>
      <c r="P149" s="254"/>
      <c r="Q149" s="254"/>
      <c r="R149" s="254"/>
      <c r="S149" s="254"/>
      <c r="T149" s="254"/>
    </row>
    <row r="150" spans="2:20" x14ac:dyDescent="0.25">
      <c r="B150" s="221" t="s">
        <v>3697</v>
      </c>
      <c r="C150" s="222" t="s">
        <v>493</v>
      </c>
      <c r="D150" s="223" t="s">
        <v>3698</v>
      </c>
      <c r="E150" s="224" t="str">
        <f>IF(MAX(MAX(H153:T153),-MIN(H153:T153))&lt;=Inputs!$E$50,"Matches v29",IF($E$21&gt;0,"Differs - inputs changed","UNEXPLAINED"))</f>
        <v>Differs - inputs changed</v>
      </c>
      <c r="F150" s="225">
        <f>MAX(MAX(H153:T153),-MIN(H153:T153))</f>
        <v>2.5</v>
      </c>
      <c r="G150" s="226">
        <f>MAX(MAX(H153:T153),-MIN(H153:T153))</f>
        <v>2.5</v>
      </c>
    </row>
    <row r="151" spans="2:20" x14ac:dyDescent="0.25">
      <c r="B151" s="23" t="s">
        <v>3683</v>
      </c>
      <c r="C151" s="28" t="s">
        <v>493</v>
      </c>
      <c r="D151" s="155" t="s">
        <v>3699</v>
      </c>
      <c r="E151" s="178">
        <f>INDEX($G$151:$T$151,1,Inputs!$E$49-2022)</f>
        <v>-261.085332887954</v>
      </c>
      <c r="H151" s="30">
        <f>'Source Data'!H831</f>
        <v>-28.510102744491402</v>
      </c>
      <c r="I151" s="30">
        <f>'Source Data'!I831</f>
        <v>-49.385569867169998</v>
      </c>
      <c r="J151" s="30">
        <f>'Source Data'!J831</f>
        <v>-142.34963152703699</v>
      </c>
      <c r="K151" s="30">
        <f>'Source Data'!K831</f>
        <v>-179.633564043588</v>
      </c>
      <c r="L151" s="30">
        <f>'Source Data'!L831</f>
        <v>-195.40514447930599</v>
      </c>
      <c r="M151" s="30">
        <f>'Source Data'!M831</f>
        <v>-206.352346578354</v>
      </c>
      <c r="N151" s="30">
        <f>'Source Data'!N831</f>
        <v>-214.027735579395</v>
      </c>
      <c r="O151" s="30">
        <f>'Source Data'!O831</f>
        <v>-223.79128417303701</v>
      </c>
      <c r="P151" s="30">
        <f>'Source Data'!P831</f>
        <v>-231.12485212079099</v>
      </c>
      <c r="Q151" s="30">
        <f>'Source Data'!Q831</f>
        <v>-241.32737311622901</v>
      </c>
      <c r="R151" s="30">
        <f>'Source Data'!R831</f>
        <v>-249.21333487689901</v>
      </c>
      <c r="S151" s="30">
        <f>'Source Data'!S831</f>
        <v>-253.45950834919199</v>
      </c>
      <c r="T151" s="30">
        <f>'Source Data'!T831</f>
        <v>-261.085332887954</v>
      </c>
    </row>
    <row r="152" spans="2:20" ht="21.75" customHeight="1" x14ac:dyDescent="0.25">
      <c r="B152" s="23" t="s">
        <v>3685</v>
      </c>
      <c r="C152" s="28" t="s">
        <v>493</v>
      </c>
      <c r="D152" s="230" t="s">
        <v>3700</v>
      </c>
      <c r="E152" s="178">
        <f>INDEX($G$152:$T$152,1,Inputs!$E$49-2022)</f>
        <v>-263.58533288795428</v>
      </c>
      <c r="H152" s="161">
        <f>'FSL Output - With BUMN'!H65+'FSL Output - With BUMN'!H66</f>
        <v>-28.510102744491377</v>
      </c>
      <c r="I152" s="161">
        <f>'FSL Output - With BUMN'!I65+'FSL Output - With BUMN'!I66</f>
        <v>-49.385569867169949</v>
      </c>
      <c r="J152" s="161">
        <f>'FSL Output - With BUMN'!J65+'FSL Output - With BUMN'!J66</f>
        <v>-142.34963152703656</v>
      </c>
      <c r="K152" s="161">
        <f>'FSL Output - With BUMN'!K65+'FSL Output - With BUMN'!K66</f>
        <v>-179.63356404358828</v>
      </c>
      <c r="L152" s="161">
        <f>'FSL Output - With BUMN'!L65+'FSL Output - With BUMN'!L66</f>
        <v>-196.90514447930576</v>
      </c>
      <c r="M152" s="161">
        <f>'FSL Output - With BUMN'!M65+'FSL Output - With BUMN'!M66</f>
        <v>-208.85234657835412</v>
      </c>
      <c r="N152" s="161">
        <f>'FSL Output - With BUMN'!N65+'FSL Output - With BUMN'!N66</f>
        <v>-216.52773557939491</v>
      </c>
      <c r="O152" s="161">
        <f>'FSL Output - With BUMN'!O65+'FSL Output - With BUMN'!O66</f>
        <v>-226.29128417303738</v>
      </c>
      <c r="P152" s="161">
        <f>'FSL Output - With BUMN'!P65+'FSL Output - With BUMN'!P66</f>
        <v>-233.62485212079082</v>
      </c>
      <c r="Q152" s="161">
        <f>'FSL Output - With BUMN'!Q65+'FSL Output - With BUMN'!Q66</f>
        <v>-243.82737311622887</v>
      </c>
      <c r="R152" s="161">
        <f>'FSL Output - With BUMN'!R65+'FSL Output - With BUMN'!R66</f>
        <v>-251.7133348768989</v>
      </c>
      <c r="S152" s="161">
        <f>'FSL Output - With BUMN'!S65+'FSL Output - With BUMN'!S66</f>
        <v>-255.95950834919208</v>
      </c>
      <c r="T152" s="161">
        <f>'FSL Output - With BUMN'!T65+'FSL Output - With BUMN'!T66</f>
        <v>-263.58533288795428</v>
      </c>
    </row>
    <row r="153" spans="2:20" x14ac:dyDescent="0.25">
      <c r="B153" s="21" t="s">
        <v>3687</v>
      </c>
      <c r="C153" s="28" t="s">
        <v>493</v>
      </c>
      <c r="E153" s="228">
        <f>INDEX($G$153:$T$153,1,Inputs!$E$49-2022)</f>
        <v>-2.5</v>
      </c>
      <c r="H153" s="229">
        <f t="shared" ref="H153:T153" si="5">ROUND(H152-H151,9)</f>
        <v>0</v>
      </c>
      <c r="I153" s="229">
        <f t="shared" si="5"/>
        <v>0</v>
      </c>
      <c r="J153" s="229">
        <f t="shared" si="5"/>
        <v>0</v>
      </c>
      <c r="K153" s="229">
        <f t="shared" si="5"/>
        <v>0</v>
      </c>
      <c r="L153" s="229">
        <f t="shared" si="5"/>
        <v>-1.5</v>
      </c>
      <c r="M153" s="229">
        <f t="shared" si="5"/>
        <v>-2.5</v>
      </c>
      <c r="N153" s="229">
        <f t="shared" si="5"/>
        <v>-2.5</v>
      </c>
      <c r="O153" s="229">
        <f t="shared" si="5"/>
        <v>-2.5</v>
      </c>
      <c r="P153" s="229">
        <f t="shared" si="5"/>
        <v>-2.5</v>
      </c>
      <c r="Q153" s="229">
        <f t="shared" si="5"/>
        <v>-2.5</v>
      </c>
      <c r="R153" s="229">
        <f t="shared" si="5"/>
        <v>-2.5</v>
      </c>
      <c r="S153" s="229">
        <f t="shared" si="5"/>
        <v>-2.5</v>
      </c>
      <c r="T153" s="229">
        <f t="shared" si="5"/>
        <v>-2.5</v>
      </c>
    </row>
    <row r="154" spans="2:20" ht="27.75" customHeight="1" x14ac:dyDescent="0.25">
      <c r="B154" s="63" t="s">
        <v>3701</v>
      </c>
      <c r="G154" s="254" t="str">
        <f>"With-IS04 FY"&amp;Inputs!$E$49&amp;": model "&amp;TEXT(E152,"#,##0.000")&amp;" vs v29 "&amp;TEXT(E151,"#,##0.000")&amp;" (difference "&amp;TEXT(ROUND(E153,3),"+#,##0.000;-#,##0.000;0.000")&amp;")"&amp;IF(ABS(E153)&lt;=Inputs!$E$50," - matches v29.",IF(LEFT(E150,19)="Differs - requested"," - due to the requested change: "&amp;MID(E150,29,200),IF($E$21&gt;0," - differs because inputs / switches were changed."," - UNEXPLAINED: no input was changed.")))</f>
        <v>With-IS04 FY2036: model -263.585 vs v29 -261.085 (difference -2.500) - differs because inputs / switches were changed.</v>
      </c>
      <c r="H154" s="254"/>
      <c r="I154" s="254"/>
      <c r="J154" s="254"/>
      <c r="K154" s="254"/>
      <c r="L154" s="254"/>
      <c r="M154" s="254"/>
      <c r="N154" s="254"/>
      <c r="O154" s="254"/>
      <c r="P154" s="254"/>
      <c r="Q154" s="254"/>
      <c r="R154" s="254"/>
      <c r="S154" s="254"/>
      <c r="T154" s="254"/>
    </row>
    <row r="155" spans="2:20" x14ac:dyDescent="0.25">
      <c r="B155" s="221" t="s">
        <v>3702</v>
      </c>
      <c r="C155" s="222" t="s">
        <v>493</v>
      </c>
      <c r="D155" s="223" t="s">
        <v>3703</v>
      </c>
      <c r="E155" s="224" t="str">
        <f>IF(MAX(MAX(H158:T158),-MIN(H158:T158))&lt;=Inputs!$E$50,"Matches v29",IF($E$21&gt;0,"Differs - inputs changed","UNEXPLAINED"))</f>
        <v>Differs - inputs changed</v>
      </c>
      <c r="F155" s="225">
        <f>MAX(MAX(H158:T158),-MIN(H158:T158))</f>
        <v>26.80725</v>
      </c>
      <c r="G155" s="226">
        <f>MAX(MAX(H158:T158),-MIN(H158:T158))</f>
        <v>26.80725</v>
      </c>
    </row>
    <row r="156" spans="2:20" x14ac:dyDescent="0.25">
      <c r="B156" s="23" t="s">
        <v>3683</v>
      </c>
      <c r="C156" s="28" t="s">
        <v>493</v>
      </c>
      <c r="D156" s="155" t="s">
        <v>3704</v>
      </c>
      <c r="E156" s="178">
        <f>INDEX($G$156:$T$156,1,Inputs!$E$49-2022)</f>
        <v>734.27304091213</v>
      </c>
      <c r="H156" s="30">
        <f>'Source Data'!H832</f>
        <v>154.23547540286299</v>
      </c>
      <c r="I156" s="30">
        <f>'Source Data'!I832</f>
        <v>263.55853377872398</v>
      </c>
      <c r="J156" s="30">
        <f>'Source Data'!J832</f>
        <v>367.49028803120598</v>
      </c>
      <c r="K156" s="30">
        <f>'Source Data'!K832</f>
        <v>450.248133329773</v>
      </c>
      <c r="L156" s="30">
        <f>'Source Data'!L832</f>
        <v>499.16950547804601</v>
      </c>
      <c r="M156" s="30">
        <f>'Source Data'!M832</f>
        <v>553.99034014664198</v>
      </c>
      <c r="N156" s="30">
        <f>'Source Data'!N832</f>
        <v>575.36601562758199</v>
      </c>
      <c r="O156" s="30">
        <f>'Source Data'!O832</f>
        <v>618.37269302368304</v>
      </c>
      <c r="P156" s="30">
        <f>'Source Data'!P832</f>
        <v>647.06926926544304</v>
      </c>
      <c r="Q156" s="30">
        <f>'Source Data'!Q832</f>
        <v>694.29188610810797</v>
      </c>
      <c r="R156" s="30">
        <f>'Source Data'!R832</f>
        <v>715.90949547399305</v>
      </c>
      <c r="S156" s="30">
        <f>'Source Data'!S832</f>
        <v>711.34538621875299</v>
      </c>
      <c r="T156" s="30">
        <f>'Source Data'!T832</f>
        <v>734.27304091213</v>
      </c>
    </row>
    <row r="157" spans="2:20" x14ac:dyDescent="0.25">
      <c r="B157" s="23" t="s">
        <v>3685</v>
      </c>
      <c r="C157" s="28" t="s">
        <v>493</v>
      </c>
      <c r="D157" s="227" t="s">
        <v>3705</v>
      </c>
      <c r="E157" s="178">
        <f>INDEX($G$157:$T$157,1,Inputs!$E$49-2022)</f>
        <v>761.08029091213029</v>
      </c>
      <c r="H157" s="30">
        <f>'FSL Output - With BUMN'!H67</f>
        <v>154.23547540286305</v>
      </c>
      <c r="I157" s="30">
        <f>'FSL Output - With BUMN'!I67</f>
        <v>263.55853377872427</v>
      </c>
      <c r="J157" s="30">
        <f>'FSL Output - With BUMN'!J67</f>
        <v>367.49028803120575</v>
      </c>
      <c r="K157" s="30">
        <f>'FSL Output - With BUMN'!K67</f>
        <v>450.24813332977317</v>
      </c>
      <c r="L157" s="30">
        <f>'FSL Output - With BUMN'!L67</f>
        <v>497.66950547804646</v>
      </c>
      <c r="M157" s="30">
        <f>'FSL Output - With BUMN'!M67</f>
        <v>567.1880901466418</v>
      </c>
      <c r="N157" s="30">
        <f>'FSL Output - With BUMN'!N67</f>
        <v>595.36851562758238</v>
      </c>
      <c r="O157" s="30">
        <f>'FSL Output - With BUMN'!O67</f>
        <v>642.91169302368303</v>
      </c>
      <c r="P157" s="30">
        <f>'FSL Output - With BUMN'!P67</f>
        <v>673.87651926544368</v>
      </c>
      <c r="Q157" s="30">
        <f>'FSL Output - With BUMN'!Q67</f>
        <v>721.09913610810815</v>
      </c>
      <c r="R157" s="30">
        <f>'FSL Output - With BUMN'!R67</f>
        <v>742.71674547399266</v>
      </c>
      <c r="S157" s="30">
        <f>'FSL Output - With BUMN'!S67</f>
        <v>738.15263621875317</v>
      </c>
      <c r="T157" s="30">
        <f>'FSL Output - With BUMN'!T67</f>
        <v>761.08029091213029</v>
      </c>
    </row>
    <row r="158" spans="2:20" x14ac:dyDescent="0.25">
      <c r="B158" s="21" t="s">
        <v>3687</v>
      </c>
      <c r="C158" s="28" t="s">
        <v>493</v>
      </c>
      <c r="E158" s="228">
        <f>INDEX($G$158:$T$158,1,Inputs!$E$49-2022)</f>
        <v>26.80725</v>
      </c>
      <c r="H158" s="229">
        <f t="shared" ref="H158:T158" si="6">ROUND(H157-H156,9)</f>
        <v>0</v>
      </c>
      <c r="I158" s="229">
        <f t="shared" si="6"/>
        <v>0</v>
      </c>
      <c r="J158" s="229">
        <f t="shared" si="6"/>
        <v>0</v>
      </c>
      <c r="K158" s="229">
        <f t="shared" si="6"/>
        <v>0</v>
      </c>
      <c r="L158" s="229">
        <f t="shared" si="6"/>
        <v>-1.5</v>
      </c>
      <c r="M158" s="229">
        <f t="shared" si="6"/>
        <v>13.197749999999999</v>
      </c>
      <c r="N158" s="229">
        <f t="shared" si="6"/>
        <v>20.002500000000001</v>
      </c>
      <c r="O158" s="229">
        <f t="shared" si="6"/>
        <v>24.539000000000001</v>
      </c>
      <c r="P158" s="229">
        <f t="shared" si="6"/>
        <v>26.80725</v>
      </c>
      <c r="Q158" s="229">
        <f t="shared" si="6"/>
        <v>26.80725</v>
      </c>
      <c r="R158" s="229">
        <f t="shared" si="6"/>
        <v>26.80725</v>
      </c>
      <c r="S158" s="229">
        <f t="shared" si="6"/>
        <v>26.80725</v>
      </c>
      <c r="T158" s="229">
        <f t="shared" si="6"/>
        <v>26.80725</v>
      </c>
    </row>
    <row r="159" spans="2:20" ht="27.75" customHeight="1" x14ac:dyDescent="0.25">
      <c r="B159" s="63" t="s">
        <v>3688</v>
      </c>
      <c r="G159" s="254" t="str">
        <f>"With-IS05 FY"&amp;Inputs!$E$49&amp;": model "&amp;TEXT(E157,"#,##0.000")&amp;" vs v29 "&amp;TEXT(E156,"#,##0.000")&amp;" (difference "&amp;TEXT(ROUND(E158,3),"+#,##0.000;-#,##0.000;0.000")&amp;")"&amp;IF(ABS(E158)&lt;=Inputs!$E$50," - matches v29.",IF(LEFT(E155,19)="Differs - requested"," - due to the requested change: "&amp;MID(E155,29,200),IF($E$21&gt;0," - differs because inputs / switches were changed."," - UNEXPLAINED: no input was changed.")))</f>
        <v>With-IS05 FY2036: model 761.080 vs v29 734.273 (difference +26.807) - differs because inputs / switches were changed.</v>
      </c>
      <c r="H159" s="254"/>
      <c r="I159" s="254"/>
      <c r="J159" s="254"/>
      <c r="K159" s="254"/>
      <c r="L159" s="254"/>
      <c r="M159" s="254"/>
      <c r="N159" s="254"/>
      <c r="O159" s="254"/>
      <c r="P159" s="254"/>
      <c r="Q159" s="254"/>
      <c r="R159" s="254"/>
      <c r="S159" s="254"/>
      <c r="T159" s="254"/>
    </row>
    <row r="160" spans="2:20" x14ac:dyDescent="0.25">
      <c r="B160" s="221" t="s">
        <v>3706</v>
      </c>
      <c r="C160" s="222" t="s">
        <v>493</v>
      </c>
      <c r="D160" s="223" t="s">
        <v>3707</v>
      </c>
      <c r="E160" s="224" t="str">
        <f>IF(MAX(MAX(H163:T163),-MIN(H163:T163))&lt;=Inputs!$E$50,"Matches v29",IF($E$21&gt;0,"Differs - inputs changed","UNEXPLAINED"))</f>
        <v>Differs - inputs changed</v>
      </c>
      <c r="F160" s="225">
        <f>MAX(MAX(H163:T163),-MIN(H163:T163))</f>
        <v>11.408878850000001</v>
      </c>
      <c r="G160" s="226">
        <f>MAX(MAX(H163:T163),-MIN(H163:T163))</f>
        <v>11.408878850000001</v>
      </c>
    </row>
    <row r="161" spans="2:20" x14ac:dyDescent="0.25">
      <c r="B161" s="23" t="s">
        <v>3683</v>
      </c>
      <c r="C161" s="28" t="s">
        <v>493</v>
      </c>
      <c r="D161" s="155" t="s">
        <v>3708</v>
      </c>
      <c r="E161" s="178">
        <f>INDEX($G$161:$T$161,1,Inputs!$E$49-2022)</f>
        <v>-142.73553211478</v>
      </c>
      <c r="H161" s="30">
        <f>'Source Data'!H833</f>
        <v>-88.373062408935297</v>
      </c>
      <c r="I161" s="30">
        <f>'Source Data'!I833</f>
        <v>-113.59968518200201</v>
      </c>
      <c r="J161" s="30">
        <f>'Source Data'!J833</f>
        <v>-134.96780390311301</v>
      </c>
      <c r="K161" s="30">
        <f>'Source Data'!K833</f>
        <v>-136.94134168720899</v>
      </c>
      <c r="L161" s="30">
        <f>'Source Data'!L833</f>
        <v>-144.19843006333599</v>
      </c>
      <c r="M161" s="30">
        <f>'Source Data'!M833</f>
        <v>-146.20716215698599</v>
      </c>
      <c r="N161" s="30">
        <f>'Source Data'!N833</f>
        <v>-146.21606889250901</v>
      </c>
      <c r="O161" s="30">
        <f>'Source Data'!O833</f>
        <v>-146.225153762742</v>
      </c>
      <c r="P161" s="30">
        <f>'Source Data'!P833</f>
        <v>-148.23442033038</v>
      </c>
      <c r="Q161" s="30">
        <f>'Source Data'!Q833</f>
        <v>-148.24387222937099</v>
      </c>
      <c r="R161" s="30">
        <f>'Source Data'!R833</f>
        <v>-142.71566792824601</v>
      </c>
      <c r="S161" s="30">
        <f>'Source Data'!S833</f>
        <v>-142.725501683956</v>
      </c>
      <c r="T161" s="30">
        <f>'Source Data'!T833</f>
        <v>-142.73553211478</v>
      </c>
    </row>
    <row r="162" spans="2:20" x14ac:dyDescent="0.25">
      <c r="B162" s="23" t="s">
        <v>3685</v>
      </c>
      <c r="C162" s="28" t="s">
        <v>493</v>
      </c>
      <c r="D162" s="227" t="s">
        <v>3709</v>
      </c>
      <c r="E162" s="178">
        <f>INDEX($G$162:$T$162,1,Inputs!$E$49-2022)</f>
        <v>-154.14441096488284</v>
      </c>
      <c r="H162" s="30">
        <f>'FSL Output - With BUMN'!H68</f>
        <v>-88.373062408935311</v>
      </c>
      <c r="I162" s="30">
        <f>'FSL Output - With BUMN'!I68</f>
        <v>-113.59968518200155</v>
      </c>
      <c r="J162" s="30">
        <f>'FSL Output - With BUMN'!J68</f>
        <v>-134.96780390311255</v>
      </c>
      <c r="K162" s="30">
        <f>'FSL Output - With BUMN'!K68</f>
        <v>-136.94134168720865</v>
      </c>
      <c r="L162" s="30">
        <f>'FSL Output - With BUMN'!L68</f>
        <v>-144.19843006333596</v>
      </c>
      <c r="M162" s="30">
        <f>'FSL Output - With BUMN'!M68</f>
        <v>-157.58486920695159</v>
      </c>
      <c r="N162" s="30">
        <f>'FSL Output - With BUMN'!N68</f>
        <v>-157.59377594247448</v>
      </c>
      <c r="O162" s="30">
        <f>'FSL Output - With BUMN'!O68</f>
        <v>-157.60286081270777</v>
      </c>
      <c r="P162" s="30">
        <f>'FSL Output - With BUMN'!P68</f>
        <v>-159.64329918048264</v>
      </c>
      <c r="Q162" s="30">
        <f>'FSL Output - With BUMN'!Q68</f>
        <v>-159.62157927933652</v>
      </c>
      <c r="R162" s="30">
        <f>'FSL Output - With BUMN'!R68</f>
        <v>-154.09337497821181</v>
      </c>
      <c r="S162" s="30">
        <f>'FSL Output - With BUMN'!S68</f>
        <v>-154.10320873392178</v>
      </c>
      <c r="T162" s="30">
        <f>'FSL Output - With BUMN'!T68</f>
        <v>-154.14441096488284</v>
      </c>
    </row>
    <row r="163" spans="2:20" x14ac:dyDescent="0.25">
      <c r="B163" s="21" t="s">
        <v>3687</v>
      </c>
      <c r="C163" s="28" t="s">
        <v>493</v>
      </c>
      <c r="E163" s="228">
        <f>INDEX($G$163:$T$163,1,Inputs!$E$49-2022)</f>
        <v>-11.408878850000001</v>
      </c>
      <c r="H163" s="229">
        <f t="shared" ref="H163:T163" si="7">ROUND(H162-H161,9)</f>
        <v>0</v>
      </c>
      <c r="I163" s="229">
        <f t="shared" si="7"/>
        <v>0</v>
      </c>
      <c r="J163" s="229">
        <f t="shared" si="7"/>
        <v>0</v>
      </c>
      <c r="K163" s="229">
        <f t="shared" si="7"/>
        <v>0</v>
      </c>
      <c r="L163" s="229">
        <f t="shared" si="7"/>
        <v>0</v>
      </c>
      <c r="M163" s="229">
        <f t="shared" si="7"/>
        <v>-11.37770705</v>
      </c>
      <c r="N163" s="229">
        <f t="shared" si="7"/>
        <v>-11.37770705</v>
      </c>
      <c r="O163" s="229">
        <f t="shared" si="7"/>
        <v>-11.37770705</v>
      </c>
      <c r="P163" s="229">
        <f t="shared" si="7"/>
        <v>-11.408878850000001</v>
      </c>
      <c r="Q163" s="229">
        <f t="shared" si="7"/>
        <v>-11.37770705</v>
      </c>
      <c r="R163" s="229">
        <f t="shared" si="7"/>
        <v>-11.37770705</v>
      </c>
      <c r="S163" s="229">
        <f t="shared" si="7"/>
        <v>-11.37770705</v>
      </c>
      <c r="T163" s="229">
        <f t="shared" si="7"/>
        <v>-11.408878850000001</v>
      </c>
    </row>
    <row r="164" spans="2:20" ht="27.75" customHeight="1" x14ac:dyDescent="0.25">
      <c r="B164" s="63" t="s">
        <v>3688</v>
      </c>
      <c r="G164" s="254" t="str">
        <f>"With-IS06 FY"&amp;Inputs!$E$49&amp;": model "&amp;TEXT(E162,"#,##0.000")&amp;" vs v29 "&amp;TEXT(E161,"#,##0.000")&amp;" (difference "&amp;TEXT(ROUND(E163,3),"+#,##0.000;-#,##0.000;0.000")&amp;")"&amp;IF(ABS(E163)&lt;=Inputs!$E$50," - matches v29.",IF(LEFT(E160,19)="Differs - requested"," - due to the requested change: "&amp;MID(E160,29,200),IF($E$21&gt;0," - differs because inputs / switches were changed."," - UNEXPLAINED: no input was changed.")))</f>
        <v>With-IS06 FY2036: model -154.144 vs v29 -142.736 (difference -11.409) - differs because inputs / switches were changed.</v>
      </c>
      <c r="H164" s="254"/>
      <c r="I164" s="254"/>
      <c r="J164" s="254"/>
      <c r="K164" s="254"/>
      <c r="L164" s="254"/>
      <c r="M164" s="254"/>
      <c r="N164" s="254"/>
      <c r="O164" s="254"/>
      <c r="P164" s="254"/>
      <c r="Q164" s="254"/>
      <c r="R164" s="254"/>
      <c r="S164" s="254"/>
      <c r="T164" s="254"/>
    </row>
    <row r="165" spans="2:20" x14ac:dyDescent="0.25">
      <c r="B165" s="221" t="s">
        <v>3710</v>
      </c>
      <c r="C165" s="222" t="s">
        <v>493</v>
      </c>
      <c r="D165" s="223" t="s">
        <v>3711</v>
      </c>
      <c r="E165" s="224" t="str">
        <f>IF(MAX(MAX(H168:T168),-MIN(H168:T168))&lt;=Inputs!$E$50,"Matches v29",IF($E$21&gt;0,"Differs - inputs changed","UNEXPLAINED"))</f>
        <v>Differs - inputs changed</v>
      </c>
      <c r="F165" s="225">
        <f>MAX(MAX(H168:T168),-MIN(H168:T168))</f>
        <v>15.42954295</v>
      </c>
      <c r="G165" s="226">
        <f>MAX(MAX(H168:T168),-MIN(H168:T168))</f>
        <v>15.42954295</v>
      </c>
    </row>
    <row r="166" spans="2:20" x14ac:dyDescent="0.25">
      <c r="B166" s="23" t="s">
        <v>3683</v>
      </c>
      <c r="C166" s="28" t="s">
        <v>493</v>
      </c>
      <c r="D166" s="155" t="s">
        <v>3712</v>
      </c>
      <c r="E166" s="178">
        <f>INDEX($G$166:$T$166,1,Inputs!$E$49-2022)</f>
        <v>591.53750879735003</v>
      </c>
      <c r="H166" s="30">
        <f>'Source Data'!H834</f>
        <v>65.862412993927705</v>
      </c>
      <c r="I166" s="30">
        <f>'Source Data'!I834</f>
        <v>149.95884859672299</v>
      </c>
      <c r="J166" s="30">
        <f>'Source Data'!J834</f>
        <v>232.522484128093</v>
      </c>
      <c r="K166" s="30">
        <f>'Source Data'!K834</f>
        <v>313.30679164256497</v>
      </c>
      <c r="L166" s="30">
        <f>'Source Data'!L834</f>
        <v>354.97107541471098</v>
      </c>
      <c r="M166" s="30">
        <f>'Source Data'!M834</f>
        <v>407.783177989656</v>
      </c>
      <c r="N166" s="30">
        <f>'Source Data'!N834</f>
        <v>429.14994673507402</v>
      </c>
      <c r="O166" s="30">
        <f>'Source Data'!O834</f>
        <v>472.14753926094102</v>
      </c>
      <c r="P166" s="30">
        <f>'Source Data'!P834</f>
        <v>498.83484893506301</v>
      </c>
      <c r="Q166" s="30">
        <f>'Source Data'!Q834</f>
        <v>546.04801387873704</v>
      </c>
      <c r="R166" s="30">
        <f>'Source Data'!R834</f>
        <v>573.19382754574701</v>
      </c>
      <c r="S166" s="30">
        <f>'Source Data'!S834</f>
        <v>568.61988453479705</v>
      </c>
      <c r="T166" s="30">
        <f>'Source Data'!T834</f>
        <v>591.53750879735003</v>
      </c>
    </row>
    <row r="167" spans="2:20" x14ac:dyDescent="0.25">
      <c r="B167" s="23" t="s">
        <v>3685</v>
      </c>
      <c r="C167" s="28" t="s">
        <v>493</v>
      </c>
      <c r="D167" s="227" t="s">
        <v>3713</v>
      </c>
      <c r="E167" s="178">
        <f>INDEX($G$167:$T$167,1,Inputs!$E$49-2022)</f>
        <v>606.93587994724749</v>
      </c>
      <c r="H167" s="30">
        <f>'FSL Output - With BUMN'!H69</f>
        <v>65.862412993927734</v>
      </c>
      <c r="I167" s="30">
        <f>'FSL Output - With BUMN'!I69</f>
        <v>149.9588485967227</v>
      </c>
      <c r="J167" s="30">
        <f>'FSL Output - With BUMN'!J69</f>
        <v>232.5224841280932</v>
      </c>
      <c r="K167" s="30">
        <f>'FSL Output - With BUMN'!K69</f>
        <v>313.30679164256452</v>
      </c>
      <c r="L167" s="30">
        <f>'FSL Output - With BUMN'!L69</f>
        <v>353.47107541471053</v>
      </c>
      <c r="M167" s="30">
        <f>'FSL Output - With BUMN'!M69</f>
        <v>409.60322093969023</v>
      </c>
      <c r="N167" s="30">
        <f>'FSL Output - With BUMN'!N69</f>
        <v>437.77473968510787</v>
      </c>
      <c r="O167" s="30">
        <f>'FSL Output - With BUMN'!O69</f>
        <v>485.30883221097525</v>
      </c>
      <c r="P167" s="30">
        <f>'FSL Output - With BUMN'!P69</f>
        <v>514.23322008496098</v>
      </c>
      <c r="Q167" s="30">
        <f>'FSL Output - With BUMN'!Q69</f>
        <v>561.47755682877164</v>
      </c>
      <c r="R167" s="30">
        <f>'FSL Output - With BUMN'!R69</f>
        <v>588.62337049578082</v>
      </c>
      <c r="S167" s="30">
        <f>'FSL Output - With BUMN'!S69</f>
        <v>584.04942748483143</v>
      </c>
      <c r="T167" s="30">
        <f>'FSL Output - With BUMN'!T69</f>
        <v>606.93587994724749</v>
      </c>
    </row>
    <row r="168" spans="2:20" x14ac:dyDescent="0.25">
      <c r="B168" s="21" t="s">
        <v>3687</v>
      </c>
      <c r="C168" s="28" t="s">
        <v>493</v>
      </c>
      <c r="E168" s="228">
        <f>INDEX($G$168:$T$168,1,Inputs!$E$49-2022)</f>
        <v>15.398371149999999</v>
      </c>
      <c r="H168" s="229">
        <f t="shared" ref="H168:T168" si="8">ROUND(H167-H166,9)</f>
        <v>0</v>
      </c>
      <c r="I168" s="229">
        <f t="shared" si="8"/>
        <v>0</v>
      </c>
      <c r="J168" s="229">
        <f t="shared" si="8"/>
        <v>0</v>
      </c>
      <c r="K168" s="229">
        <f t="shared" si="8"/>
        <v>0</v>
      </c>
      <c r="L168" s="229">
        <f t="shared" si="8"/>
        <v>-1.5</v>
      </c>
      <c r="M168" s="229">
        <f t="shared" si="8"/>
        <v>1.8200429499999999</v>
      </c>
      <c r="N168" s="229">
        <f t="shared" si="8"/>
        <v>8.6247929499999998</v>
      </c>
      <c r="O168" s="229">
        <f t="shared" si="8"/>
        <v>13.16129295</v>
      </c>
      <c r="P168" s="229">
        <f t="shared" si="8"/>
        <v>15.398371149999999</v>
      </c>
      <c r="Q168" s="229">
        <f t="shared" si="8"/>
        <v>15.42954295</v>
      </c>
      <c r="R168" s="229">
        <f t="shared" si="8"/>
        <v>15.42954295</v>
      </c>
      <c r="S168" s="229">
        <f t="shared" si="8"/>
        <v>15.42954295</v>
      </c>
      <c r="T168" s="229">
        <f t="shared" si="8"/>
        <v>15.398371149999999</v>
      </c>
    </row>
    <row r="169" spans="2:20" ht="27.75" customHeight="1" x14ac:dyDescent="0.25">
      <c r="B169" s="63" t="s">
        <v>3688</v>
      </c>
      <c r="G169" s="254" t="str">
        <f>"With-IS07 FY"&amp;Inputs!$E$49&amp;": model "&amp;TEXT(E167,"#,##0.000")&amp;" vs v29 "&amp;TEXT(E166,"#,##0.000")&amp;" (difference "&amp;TEXT(ROUND(E168,3),"+#,##0.000;-#,##0.000;0.000")&amp;")"&amp;IF(ABS(E168)&lt;=Inputs!$E$50," - matches v29.",IF(LEFT(E165,19)="Differs - requested"," - due to the requested change: "&amp;MID(E165,29,200),IF($E$21&gt;0," - differs because inputs / switches were changed."," - UNEXPLAINED: no input was changed.")))</f>
        <v>With-IS07 FY2036: model 606.936 vs v29 591.538 (difference +15.398) - differs because inputs / switches were changed.</v>
      </c>
      <c r="H169" s="254"/>
      <c r="I169" s="254"/>
      <c r="J169" s="254"/>
      <c r="K169" s="254"/>
      <c r="L169" s="254"/>
      <c r="M169" s="254"/>
      <c r="N169" s="254"/>
      <c r="O169" s="254"/>
      <c r="P169" s="254"/>
      <c r="Q169" s="254"/>
      <c r="R169" s="254"/>
      <c r="S169" s="254"/>
      <c r="T169" s="254"/>
    </row>
    <row r="170" spans="2:20" ht="24.75" customHeight="1" x14ac:dyDescent="0.25">
      <c r="B170" s="221" t="s">
        <v>3714</v>
      </c>
      <c r="C170" s="222" t="s">
        <v>493</v>
      </c>
      <c r="D170" s="231" t="s">
        <v>3715</v>
      </c>
      <c r="E170" s="232" t="str">
        <f>IF(MAX(MAX(H173:T173),-MIN(H173:T173))&lt;=Inputs!$E$50,"Matches v29",IF(OR($E$22=1),"Differs - requested change: "&amp;IF($E$22=1,"LT loan repaid in 2027 (not 2025); ","")&amp;IF($E$21&gt;0," (and inputs changed)",""),IF($E$21&gt;0,"Differs - inputs changed","UNEXPLAINED")))</f>
        <v>Differs - requested change: LT loan repaid in 2027 (not 2025);  (and inputs changed)</v>
      </c>
      <c r="F170" s="225">
        <f>MAX(MAX(H173:T173),-MIN(H173:T173))</f>
        <v>15.273450177999999</v>
      </c>
      <c r="G170" s="226">
        <f>IF(OR($E$22=1),0,MAX(MAX(H173:T173),-MIN(H173:T173)))</f>
        <v>0</v>
      </c>
    </row>
    <row r="171" spans="2:20" x14ac:dyDescent="0.25">
      <c r="B171" s="23" t="s">
        <v>3683</v>
      </c>
      <c r="C171" s="28" t="s">
        <v>493</v>
      </c>
      <c r="D171" s="155" t="s">
        <v>3716</v>
      </c>
      <c r="E171" s="178">
        <f>INDEX($G$171:$T$171,1,Inputs!$E$49-2022)</f>
        <v>0</v>
      </c>
      <c r="H171" s="30">
        <f>'Source Data'!H835</f>
        <v>-5.4709055176610004</v>
      </c>
      <c r="I171" s="30">
        <f>'Source Data'!I835</f>
        <v>-15.2734501777697</v>
      </c>
      <c r="J171" s="30">
        <f>'Source Data'!J835</f>
        <v>0</v>
      </c>
      <c r="K171" s="30">
        <f>'Source Data'!K835</f>
        <v>0</v>
      </c>
      <c r="L171" s="30">
        <f>'Source Data'!L835</f>
        <v>0</v>
      </c>
      <c r="M171" s="30">
        <f>'Source Data'!M835</f>
        <v>0</v>
      </c>
      <c r="N171" s="30">
        <f>'Source Data'!N835</f>
        <v>0</v>
      </c>
      <c r="O171" s="30">
        <f>'Source Data'!O835</f>
        <v>0</v>
      </c>
      <c r="P171" s="30">
        <f>'Source Data'!P835</f>
        <v>0</v>
      </c>
      <c r="Q171" s="30">
        <f>'Source Data'!Q835</f>
        <v>0</v>
      </c>
      <c r="R171" s="30">
        <f>'Source Data'!R835</f>
        <v>0</v>
      </c>
      <c r="S171" s="30">
        <f>'Source Data'!S835</f>
        <v>0</v>
      </c>
      <c r="T171" s="30">
        <f>'Source Data'!T835</f>
        <v>0</v>
      </c>
    </row>
    <row r="172" spans="2:20" x14ac:dyDescent="0.25">
      <c r="B172" s="23" t="s">
        <v>3685</v>
      </c>
      <c r="C172" s="28" t="s">
        <v>493</v>
      </c>
      <c r="D172" s="227" t="s">
        <v>3717</v>
      </c>
      <c r="E172" s="178">
        <f>INDEX($G$172:$T$172,1,Inputs!$E$49-2022)</f>
        <v>0</v>
      </c>
      <c r="H172" s="30">
        <f>'FSL Output - With BUMN'!H74</f>
        <v>-5.4709055176610004</v>
      </c>
      <c r="I172" s="30">
        <f>'FSL Output - With BUMN'!I74</f>
        <v>-15.273450177769661</v>
      </c>
      <c r="J172" s="30">
        <f>'FSL Output - With BUMN'!J74</f>
        <v>-15.273450177769659</v>
      </c>
      <c r="K172" s="30">
        <f>'FSL Output - With BUMN'!K74</f>
        <v>-7.5739574854145442</v>
      </c>
      <c r="L172" s="30">
        <f>'FSL Output - With BUMN'!L74</f>
        <v>-3.4156499999999999</v>
      </c>
      <c r="M172" s="30">
        <f>'FSL Output - With BUMN'!M74</f>
        <v>-8.5391250000000003</v>
      </c>
      <c r="N172" s="30">
        <f>'FSL Output - With BUMN'!N74</f>
        <v>-8.5391250000000003</v>
      </c>
      <c r="O172" s="30">
        <f>'FSL Output - With BUMN'!O74</f>
        <v>-7.8559950000000001</v>
      </c>
      <c r="P172" s="30">
        <f>'FSL Output - With BUMN'!P74</f>
        <v>-6.1481700000000004</v>
      </c>
      <c r="Q172" s="30">
        <f>'FSL Output - With BUMN'!Q74</f>
        <v>-4.4403449999999998</v>
      </c>
      <c r="R172" s="30">
        <f>'FSL Output - With BUMN'!R74</f>
        <v>-2.7325200000000001</v>
      </c>
      <c r="S172" s="30">
        <f>'FSL Output - With BUMN'!S74</f>
        <v>-1.0246949999999999</v>
      </c>
      <c r="T172" s="30">
        <f>'FSL Output - With BUMN'!T74</f>
        <v>0</v>
      </c>
    </row>
    <row r="173" spans="2:20" x14ac:dyDescent="0.25">
      <c r="B173" s="21" t="s">
        <v>3687</v>
      </c>
      <c r="C173" s="28" t="s">
        <v>493</v>
      </c>
      <c r="E173" s="228">
        <f>INDEX($G$173:$T$173,1,Inputs!$E$49-2022)</f>
        <v>0</v>
      </c>
      <c r="H173" s="229">
        <f t="shared" ref="H173:T173" si="9">ROUND(H172-H171,9)</f>
        <v>0</v>
      </c>
      <c r="I173" s="229">
        <f t="shared" si="9"/>
        <v>0</v>
      </c>
      <c r="J173" s="229">
        <f t="shared" si="9"/>
        <v>-15.273450177999999</v>
      </c>
      <c r="K173" s="229">
        <f t="shared" si="9"/>
        <v>-7.5739574850000002</v>
      </c>
      <c r="L173" s="229">
        <f t="shared" si="9"/>
        <v>-3.4156499999999999</v>
      </c>
      <c r="M173" s="229">
        <f t="shared" si="9"/>
        <v>-8.5391250000000003</v>
      </c>
      <c r="N173" s="229">
        <f t="shared" si="9"/>
        <v>-8.5391250000000003</v>
      </c>
      <c r="O173" s="229">
        <f t="shared" si="9"/>
        <v>-7.8559950000000001</v>
      </c>
      <c r="P173" s="229">
        <f t="shared" si="9"/>
        <v>-6.1481700000000004</v>
      </c>
      <c r="Q173" s="229">
        <f t="shared" si="9"/>
        <v>-4.4403449999999998</v>
      </c>
      <c r="R173" s="229">
        <f t="shared" si="9"/>
        <v>-2.7325200000000001</v>
      </c>
      <c r="S173" s="229">
        <f t="shared" si="9"/>
        <v>-1.0246949999999999</v>
      </c>
      <c r="T173" s="229">
        <f t="shared" si="9"/>
        <v>0</v>
      </c>
    </row>
    <row r="174" spans="2:20" ht="27.75" customHeight="1" x14ac:dyDescent="0.25">
      <c r="B174" s="63" t="s">
        <v>3718</v>
      </c>
      <c r="G174" s="254" t="str">
        <f>"With-IS08 FY"&amp;Inputs!$E$49&amp;": model "&amp;TEXT(E172,"#,##0.000")&amp;" vs v29 "&amp;TEXT(E171,"#,##0.000")&amp;" (difference "&amp;TEXT(ROUND(E173,3),"+#,##0.000;-#,##0.000;0.000")&amp;")"&amp;IF(ABS(E173)&lt;=Inputs!$E$50," - matches v29.",IF(LEFT(E170,19)="Differs - requested"," - due to the requested change: "&amp;MID(E170,29,200),IF($E$21&gt;0," - differs because inputs / switches were changed."," - UNEXPLAINED: no input was changed.")))</f>
        <v>With-IS08 FY2036: model 0.000 vs v29 0.000 (difference 0.000) - matches v29.</v>
      </c>
      <c r="H174" s="254"/>
      <c r="I174" s="254"/>
      <c r="J174" s="254"/>
      <c r="K174" s="254"/>
      <c r="L174" s="254"/>
      <c r="M174" s="254"/>
      <c r="N174" s="254"/>
      <c r="O174" s="254"/>
      <c r="P174" s="254"/>
      <c r="Q174" s="254"/>
      <c r="R174" s="254"/>
      <c r="S174" s="254"/>
      <c r="T174" s="254"/>
    </row>
    <row r="175" spans="2:20" ht="24.75" customHeight="1" x14ac:dyDescent="0.25">
      <c r="B175" s="221" t="s">
        <v>3719</v>
      </c>
      <c r="C175" s="222" t="s">
        <v>493</v>
      </c>
      <c r="D175" s="231" t="s">
        <v>3720</v>
      </c>
      <c r="E175" s="232" t="str">
        <f>IF(MAX(MAX(H178:T178),-MIN(H178:T178))&lt;=Inputs!$E$50,"Matches v29",IF(OR($E$22=1),"Differs - requested change: "&amp;IF($E$22=1,"LT loan repaid in 2027 (not 2025); ","")&amp;IF($E$21&gt;0," (and inputs changed)",""),IF($E$21&gt;0,"Differs - inputs changed","UNEXPLAINED")))</f>
        <v>Differs - requested change: LT loan repaid in 2027 (not 2025);  (and inputs changed)</v>
      </c>
      <c r="F175" s="225">
        <f>MAX(MAX(H178:T178),-MIN(H178:T178))</f>
        <v>15.398371149999999</v>
      </c>
      <c r="G175" s="226">
        <f>IF(OR($E$22=1),0,MAX(MAX(H178:T178),-MIN(H178:T178)))</f>
        <v>0</v>
      </c>
    </row>
    <row r="176" spans="2:20" x14ac:dyDescent="0.25">
      <c r="B176" s="23" t="s">
        <v>3683</v>
      </c>
      <c r="C176" s="28" t="s">
        <v>493</v>
      </c>
      <c r="D176" s="155" t="s">
        <v>3721</v>
      </c>
      <c r="E176" s="178">
        <f>INDEX($G$176:$T$176,1,Inputs!$E$49-2022)</f>
        <v>591.53750879735003</v>
      </c>
      <c r="H176" s="30">
        <f>'Source Data'!H836</f>
        <v>60.391507476266703</v>
      </c>
      <c r="I176" s="30">
        <f>'Source Data'!I836</f>
        <v>134.68539841895301</v>
      </c>
      <c r="J176" s="30">
        <f>'Source Data'!J836</f>
        <v>232.522484128093</v>
      </c>
      <c r="K176" s="30">
        <f>'Source Data'!K836</f>
        <v>313.30679164256497</v>
      </c>
      <c r="L176" s="30">
        <f>'Source Data'!L836</f>
        <v>354.97107541471098</v>
      </c>
      <c r="M176" s="30">
        <f>'Source Data'!M836</f>
        <v>407.783177989656</v>
      </c>
      <c r="N176" s="30">
        <f>'Source Data'!N836</f>
        <v>429.14994673507402</v>
      </c>
      <c r="O176" s="30">
        <f>'Source Data'!O836</f>
        <v>472.14753926094102</v>
      </c>
      <c r="P176" s="30">
        <f>'Source Data'!P836</f>
        <v>498.83484893506301</v>
      </c>
      <c r="Q176" s="30">
        <f>'Source Data'!Q836</f>
        <v>546.04801387873704</v>
      </c>
      <c r="R176" s="30">
        <f>'Source Data'!R836</f>
        <v>573.19382754574701</v>
      </c>
      <c r="S176" s="30">
        <f>'Source Data'!S836</f>
        <v>568.61988453479705</v>
      </c>
      <c r="T176" s="30">
        <f>'Source Data'!T836</f>
        <v>591.53750879735003</v>
      </c>
    </row>
    <row r="177" spans="2:20" x14ac:dyDescent="0.25">
      <c r="B177" s="23" t="s">
        <v>3685</v>
      </c>
      <c r="C177" s="28" t="s">
        <v>493</v>
      </c>
      <c r="D177" s="227" t="s">
        <v>3722</v>
      </c>
      <c r="E177" s="178">
        <f>INDEX($G$177:$T$177,1,Inputs!$E$49-2022)</f>
        <v>606.93587994724749</v>
      </c>
      <c r="H177" s="30">
        <f>'FSL Output - With BUMN'!H75</f>
        <v>60.391507476266732</v>
      </c>
      <c r="I177" s="30">
        <f>'FSL Output - With BUMN'!I75</f>
        <v>134.68539841895304</v>
      </c>
      <c r="J177" s="30">
        <f>'FSL Output - With BUMN'!J75</f>
        <v>217.24903395032354</v>
      </c>
      <c r="K177" s="30">
        <f>'FSL Output - With BUMN'!K75</f>
        <v>305.73283415714997</v>
      </c>
      <c r="L177" s="30">
        <f>'FSL Output - With BUMN'!L75</f>
        <v>350.0554254147105</v>
      </c>
      <c r="M177" s="30">
        <f>'FSL Output - With BUMN'!M75</f>
        <v>401.06409593969022</v>
      </c>
      <c r="N177" s="30">
        <f>'FSL Output - With BUMN'!N75</f>
        <v>429.23561468510786</v>
      </c>
      <c r="O177" s="30">
        <f>'FSL Output - With BUMN'!O75</f>
        <v>477.45283721097525</v>
      </c>
      <c r="P177" s="30">
        <f>'FSL Output - With BUMN'!P75</f>
        <v>508.08505008496098</v>
      </c>
      <c r="Q177" s="30">
        <f>'FSL Output - With BUMN'!Q75</f>
        <v>557.03721182877166</v>
      </c>
      <c r="R177" s="30">
        <f>'FSL Output - With BUMN'!R75</f>
        <v>585.8908504957808</v>
      </c>
      <c r="S177" s="30">
        <f>'FSL Output - With BUMN'!S75</f>
        <v>583.02473248483147</v>
      </c>
      <c r="T177" s="30">
        <f>'FSL Output - With BUMN'!T75</f>
        <v>606.93587994724749</v>
      </c>
    </row>
    <row r="178" spans="2:20" x14ac:dyDescent="0.25">
      <c r="B178" s="21" t="s">
        <v>3687</v>
      </c>
      <c r="C178" s="28" t="s">
        <v>493</v>
      </c>
      <c r="E178" s="228">
        <f>INDEX($G$178:$T$178,1,Inputs!$E$49-2022)</f>
        <v>15.398371149999999</v>
      </c>
      <c r="H178" s="229">
        <f t="shared" ref="H178:T178" si="10">ROUND(H177-H176,9)</f>
        <v>0</v>
      </c>
      <c r="I178" s="229">
        <f t="shared" si="10"/>
        <v>0</v>
      </c>
      <c r="J178" s="229">
        <f t="shared" si="10"/>
        <v>-15.273450177999999</v>
      </c>
      <c r="K178" s="229">
        <f t="shared" si="10"/>
        <v>-7.5739574850000002</v>
      </c>
      <c r="L178" s="229">
        <f t="shared" si="10"/>
        <v>-4.9156500000000003</v>
      </c>
      <c r="M178" s="229">
        <f t="shared" si="10"/>
        <v>-6.7190820499999999</v>
      </c>
      <c r="N178" s="229">
        <f t="shared" si="10"/>
        <v>8.5667950000000007E-2</v>
      </c>
      <c r="O178" s="229">
        <f t="shared" si="10"/>
        <v>5.3052979499999999</v>
      </c>
      <c r="P178" s="229">
        <f t="shared" si="10"/>
        <v>9.2502011500000005</v>
      </c>
      <c r="Q178" s="229">
        <f t="shared" si="10"/>
        <v>10.989197949999999</v>
      </c>
      <c r="R178" s="229">
        <f t="shared" si="10"/>
        <v>12.697022949999999</v>
      </c>
      <c r="S178" s="229">
        <f t="shared" si="10"/>
        <v>14.404847950000001</v>
      </c>
      <c r="T178" s="229">
        <f t="shared" si="10"/>
        <v>15.398371149999999</v>
      </c>
    </row>
    <row r="179" spans="2:20" ht="27.75" customHeight="1" x14ac:dyDescent="0.25">
      <c r="B179" s="63" t="s">
        <v>3688</v>
      </c>
      <c r="G179" s="254" t="str">
        <f>"With-IS09 FY"&amp;Inputs!$E$49&amp;": model "&amp;TEXT(E177,"#,##0.000")&amp;" vs v29 "&amp;TEXT(E176,"#,##0.000")&amp;" (difference "&amp;TEXT(ROUND(E178,3),"+#,##0.000;-#,##0.000;0.000")&amp;")"&amp;IF(ABS(E178)&lt;=Inputs!$E$50," - matches v29.",IF(LEFT(E175,19)="Differs - requested"," - due to the requested change: "&amp;MID(E175,29,200),IF($E$21&gt;0," - differs because inputs / switches were changed."," - UNEXPLAINED: no input was changed.")))</f>
        <v>With-IS09 FY2036: model 606.936 vs v29 591.538 (difference +15.398) - due to the requested change: LT loan repaid in 2027 (not 2025);  (and inputs changed)</v>
      </c>
      <c r="H179" s="254"/>
      <c r="I179" s="254"/>
      <c r="J179" s="254"/>
      <c r="K179" s="254"/>
      <c r="L179" s="254"/>
      <c r="M179" s="254"/>
      <c r="N179" s="254"/>
      <c r="O179" s="254"/>
      <c r="P179" s="254"/>
      <c r="Q179" s="254"/>
      <c r="R179" s="254"/>
      <c r="S179" s="254"/>
      <c r="T179" s="254"/>
    </row>
    <row r="180" spans="2:20" ht="24.75" customHeight="1" x14ac:dyDescent="0.25">
      <c r="B180" s="221" t="s">
        <v>3723</v>
      </c>
      <c r="C180" s="222" t="s">
        <v>493</v>
      </c>
      <c r="D180" s="231" t="s">
        <v>3724</v>
      </c>
      <c r="E180" s="232" t="str">
        <f>IF(MAX(MAX(H183:T183),-MIN(H183:T183))&lt;=Inputs!$E$50,"Matches v29",IF(OR($E$22=1),"Differs - requested change: "&amp;IF($E$22=1,"LT loan repaid in 2027 (not 2025); ","")&amp;IF($E$21&gt;0," (and inputs changed)",""),IF($E$21&gt;0,"Differs - inputs changed","UNEXPLAINED")))</f>
        <v>Differs - requested change: LT loan repaid in 2027 (not 2025);  (and inputs changed)</v>
      </c>
      <c r="F180" s="225">
        <f>MAX(MAX(H183:T183),-MIN(H183:T183))</f>
        <v>3.3876416530000002</v>
      </c>
      <c r="G180" s="226">
        <f>IF(OR($E$22=1),0,MAX(MAX(H183:T183),-MIN(H183:T183)))</f>
        <v>0</v>
      </c>
    </row>
    <row r="181" spans="2:20" x14ac:dyDescent="0.25">
      <c r="B181" s="23" t="s">
        <v>3683</v>
      </c>
      <c r="C181" s="28" t="s">
        <v>493</v>
      </c>
      <c r="D181" s="155" t="s">
        <v>3725</v>
      </c>
      <c r="E181" s="178">
        <f>INDEX($G$181:$T$181,1,Inputs!$E$49-2022)</f>
        <v>-130.138251935417</v>
      </c>
      <c r="H181" s="30">
        <f>'Source Data'!H837</f>
        <v>-19.962283512427799</v>
      </c>
      <c r="I181" s="30">
        <f>'Source Data'!I837</f>
        <v>-34.011742338910203</v>
      </c>
      <c r="J181" s="30">
        <f>'Source Data'!J837</f>
        <v>-55.219449591529802</v>
      </c>
      <c r="K181" s="30">
        <f>'Source Data'!K837</f>
        <v>-70.708869592703493</v>
      </c>
      <c r="L181" s="30">
        <f>'Source Data'!L837</f>
        <v>-79.691245471648998</v>
      </c>
      <c r="M181" s="30">
        <f>'Source Data'!M837</f>
        <v>-89.972075216019107</v>
      </c>
      <c r="N181" s="30">
        <f>'Source Data'!N837</f>
        <v>-94.441757452377104</v>
      </c>
      <c r="O181" s="30">
        <f>'Source Data'!O837</f>
        <v>-103.87245863740699</v>
      </c>
      <c r="P181" s="30">
        <f>'Source Data'!P837</f>
        <v>-109.743666765714</v>
      </c>
      <c r="Q181" s="30">
        <f>'Source Data'!Q837</f>
        <v>-120.13056305332201</v>
      </c>
      <c r="R181" s="30">
        <f>'Source Data'!R837</f>
        <v>-126.102642060064</v>
      </c>
      <c r="S181" s="30">
        <f>'Source Data'!S837</f>
        <v>-125.096374597655</v>
      </c>
      <c r="T181" s="30">
        <f>'Source Data'!T837</f>
        <v>-130.138251935417</v>
      </c>
    </row>
    <row r="182" spans="2:20" x14ac:dyDescent="0.25">
      <c r="B182" s="23" t="s">
        <v>3685</v>
      </c>
      <c r="C182" s="28" t="s">
        <v>493</v>
      </c>
      <c r="D182" s="227" t="s">
        <v>3726</v>
      </c>
      <c r="E182" s="178">
        <f>INDEX($G$182:$T$182,1,Inputs!$E$49-2022)</f>
        <v>-133.52589358839438</v>
      </c>
      <c r="H182" s="30">
        <f>'FSL Output - With BUMN'!H76</f>
        <v>-19.962283512427824</v>
      </c>
      <c r="I182" s="30">
        <f>'FSL Output - With BUMN'!I76</f>
        <v>-34.011742338910175</v>
      </c>
      <c r="J182" s="30">
        <f>'FSL Output - With BUMN'!J76</f>
        <v>-52.286568273349772</v>
      </c>
      <c r="K182" s="30">
        <f>'FSL Output - With BUMN'!K76</f>
        <v>-69.25448187053756</v>
      </c>
      <c r="L182" s="30">
        <f>'FSL Output - With BUMN'!L76</f>
        <v>-79.691245471648969</v>
      </c>
      <c r="M182" s="30">
        <f>'FSL Output - With BUMN'!M76</f>
        <v>-89.972075216019149</v>
      </c>
      <c r="N182" s="30">
        <f>'FSL Output - With BUMN'!N76</f>
        <v>-94.460604401384614</v>
      </c>
      <c r="O182" s="30">
        <f>'FSL Output - With BUMN'!O76</f>
        <v>-105.03962418641458</v>
      </c>
      <c r="P182" s="30">
        <f>'FSL Output - With BUMN'!P76</f>
        <v>-111.77871101869141</v>
      </c>
      <c r="Q182" s="30">
        <f>'FSL Output - With BUMN'!Q76</f>
        <v>-122.54818660232972</v>
      </c>
      <c r="R182" s="30">
        <f>'FSL Output - With BUMN'!R76</f>
        <v>-128.89598710907174</v>
      </c>
      <c r="S182" s="30">
        <f>'FSL Output - With BUMN'!S76</f>
        <v>-128.26544114666288</v>
      </c>
      <c r="T182" s="30">
        <f>'FSL Output - With BUMN'!T76</f>
        <v>-133.52589358839438</v>
      </c>
    </row>
    <row r="183" spans="2:20" x14ac:dyDescent="0.25">
      <c r="B183" s="21" t="s">
        <v>3687</v>
      </c>
      <c r="C183" s="28" t="s">
        <v>493</v>
      </c>
      <c r="E183" s="228">
        <f>INDEX($G$183:$T$183,1,Inputs!$E$49-2022)</f>
        <v>-3.3876416530000002</v>
      </c>
      <c r="H183" s="229">
        <f t="shared" ref="H183:T183" si="11">ROUND(H182-H181,9)</f>
        <v>0</v>
      </c>
      <c r="I183" s="229">
        <f t="shared" si="11"/>
        <v>0</v>
      </c>
      <c r="J183" s="229">
        <f t="shared" si="11"/>
        <v>2.9328813180000002</v>
      </c>
      <c r="K183" s="229">
        <f t="shared" si="11"/>
        <v>1.4543877220000001</v>
      </c>
      <c r="L183" s="229">
        <f t="shared" si="11"/>
        <v>0</v>
      </c>
      <c r="M183" s="229">
        <f t="shared" si="11"/>
        <v>0</v>
      </c>
      <c r="N183" s="229">
        <f t="shared" si="11"/>
        <v>-1.8846949000000002E-2</v>
      </c>
      <c r="O183" s="229">
        <f t="shared" si="11"/>
        <v>-1.1671655489999999</v>
      </c>
      <c r="P183" s="229">
        <f t="shared" si="11"/>
        <v>-2.0350442530000001</v>
      </c>
      <c r="Q183" s="229">
        <f t="shared" si="11"/>
        <v>-2.417623549</v>
      </c>
      <c r="R183" s="229">
        <f t="shared" si="11"/>
        <v>-2.793345049</v>
      </c>
      <c r="S183" s="229">
        <f t="shared" si="11"/>
        <v>-3.1690665490000001</v>
      </c>
      <c r="T183" s="229">
        <f t="shared" si="11"/>
        <v>-3.3876416530000002</v>
      </c>
    </row>
    <row r="184" spans="2:20" ht="27.75" customHeight="1" x14ac:dyDescent="0.25">
      <c r="B184" s="63" t="s">
        <v>3727</v>
      </c>
      <c r="G184" s="254" t="str">
        <f>"With-IS10 FY"&amp;Inputs!$E$49&amp;": model "&amp;TEXT(E182,"#,##0.000")&amp;" vs v29 "&amp;TEXT(E181,"#,##0.000")&amp;" (difference "&amp;TEXT(ROUND(E183,3),"+#,##0.000;-#,##0.000;0.000")&amp;")"&amp;IF(ABS(E183)&lt;=Inputs!$E$50," - matches v29.",IF(LEFT(E180,19)="Differs - requested"," - due to the requested change: "&amp;MID(E180,29,200),IF($E$21&gt;0," - differs because inputs / switches were changed."," - UNEXPLAINED: no input was changed.")))</f>
        <v>With-IS10 FY2036: model -133.526 vs v29 -130.138 (difference -3.388) - due to the requested change: LT loan repaid in 2027 (not 2025);  (and inputs changed)</v>
      </c>
      <c r="H184" s="254"/>
      <c r="I184" s="254"/>
      <c r="J184" s="254"/>
      <c r="K184" s="254"/>
      <c r="L184" s="254"/>
      <c r="M184" s="254"/>
      <c r="N184" s="254"/>
      <c r="O184" s="254"/>
      <c r="P184" s="254"/>
      <c r="Q184" s="254"/>
      <c r="R184" s="254"/>
      <c r="S184" s="254"/>
      <c r="T184" s="254"/>
    </row>
    <row r="185" spans="2:20" ht="24.75" customHeight="1" x14ac:dyDescent="0.25">
      <c r="B185" s="221" t="s">
        <v>3728</v>
      </c>
      <c r="C185" s="222" t="s">
        <v>493</v>
      </c>
      <c r="D185" s="231" t="s">
        <v>3729</v>
      </c>
      <c r="E185" s="232" t="str">
        <f>IF(MAX(MAX(H188:T188),-MIN(H188:T188))&lt;=Inputs!$E$50,"Matches v29",IF(OR($E$22=1),"Differs - requested change: "&amp;IF($E$22=1,"LT loan repaid in 2027 (not 2025); ","")&amp;IF($E$21&gt;0," (and inputs changed)",""),IF($E$21&gt;0,"Differs - inputs changed","UNEXPLAINED")))</f>
        <v>Differs - requested change: LT loan repaid in 2027 (not 2025);  (and inputs changed)</v>
      </c>
      <c r="F185" s="225">
        <f>MAX(MAX(H188:T188),-MIN(H188:T188))</f>
        <v>12.340568859999999</v>
      </c>
      <c r="G185" s="226">
        <f>IF(OR($E$22=1),0,MAX(MAX(H188:T188),-MIN(H188:T188)))</f>
        <v>0</v>
      </c>
    </row>
    <row r="186" spans="2:20" x14ac:dyDescent="0.25">
      <c r="B186" s="23" t="s">
        <v>3683</v>
      </c>
      <c r="C186" s="28" t="s">
        <v>493</v>
      </c>
      <c r="D186" s="155" t="s">
        <v>3730</v>
      </c>
      <c r="E186" s="178">
        <f>INDEX($G$186:$T$186,1,Inputs!$E$49-2022)</f>
        <v>461.399256861933</v>
      </c>
      <c r="H186" s="30">
        <f>'Source Data'!H838</f>
        <v>40.429223963838901</v>
      </c>
      <c r="I186" s="30">
        <f>'Source Data'!I838</f>
        <v>100.673656080043</v>
      </c>
      <c r="J186" s="30">
        <f>'Source Data'!J838</f>
        <v>177.30303453656401</v>
      </c>
      <c r="K186" s="30">
        <f>'Source Data'!K838</f>
        <v>242.59792204986101</v>
      </c>
      <c r="L186" s="30">
        <f>'Source Data'!L838</f>
        <v>275.279829943062</v>
      </c>
      <c r="M186" s="30">
        <f>'Source Data'!M838</f>
        <v>317.811102773637</v>
      </c>
      <c r="N186" s="30">
        <f>'Source Data'!N838</f>
        <v>334.70818928269699</v>
      </c>
      <c r="O186" s="30">
        <f>'Source Data'!O838</f>
        <v>368.275080623534</v>
      </c>
      <c r="P186" s="30">
        <f>'Source Data'!P838</f>
        <v>389.091182169349</v>
      </c>
      <c r="Q186" s="30">
        <f>'Source Data'!Q838</f>
        <v>425.91745082541502</v>
      </c>
      <c r="R186" s="30">
        <f>'Source Data'!R838</f>
        <v>447.09118548568199</v>
      </c>
      <c r="S186" s="30">
        <f>'Source Data'!S838</f>
        <v>443.52350993714202</v>
      </c>
      <c r="T186" s="30">
        <f>'Source Data'!T838</f>
        <v>461.399256861933</v>
      </c>
    </row>
    <row r="187" spans="2:20" x14ac:dyDescent="0.25">
      <c r="B187" s="23" t="s">
        <v>3685</v>
      </c>
      <c r="C187" s="28" t="s">
        <v>493</v>
      </c>
      <c r="D187" s="227" t="s">
        <v>3731</v>
      </c>
      <c r="E187" s="178">
        <f>INDEX($G$187:$T$187,1,Inputs!$E$49-2022)</f>
        <v>473.40998635885308</v>
      </c>
      <c r="H187" s="30">
        <f>'FSL Output - With BUMN'!H77</f>
        <v>40.429223963838908</v>
      </c>
      <c r="I187" s="30">
        <f>'FSL Output - With BUMN'!I77</f>
        <v>100.67365608004286</v>
      </c>
      <c r="J187" s="30">
        <f>'FSL Output - With BUMN'!J77</f>
        <v>164.96246567697375</v>
      </c>
      <c r="K187" s="30">
        <f>'FSL Output - With BUMN'!K77</f>
        <v>236.47835228661239</v>
      </c>
      <c r="L187" s="30">
        <f>'FSL Output - With BUMN'!L77</f>
        <v>270.36417994306152</v>
      </c>
      <c r="M187" s="30">
        <f>'FSL Output - With BUMN'!M77</f>
        <v>311.09202072367106</v>
      </c>
      <c r="N187" s="30">
        <f>'FSL Output - With BUMN'!N77</f>
        <v>334.77501028372325</v>
      </c>
      <c r="O187" s="30">
        <f>'FSL Output - With BUMN'!O77</f>
        <v>372.41321302456066</v>
      </c>
      <c r="P187" s="30">
        <f>'FSL Output - With BUMN'!P77</f>
        <v>396.30633906626957</v>
      </c>
      <c r="Q187" s="30">
        <f>'FSL Output - With BUMN'!Q77</f>
        <v>434.48902522644192</v>
      </c>
      <c r="R187" s="30">
        <f>'FSL Output - With BUMN'!R77</f>
        <v>456.99486338670908</v>
      </c>
      <c r="S187" s="30">
        <f>'FSL Output - With BUMN'!S77</f>
        <v>454.75929133816862</v>
      </c>
      <c r="T187" s="30">
        <f>'FSL Output - With BUMN'!T77</f>
        <v>473.40998635885308</v>
      </c>
    </row>
    <row r="188" spans="2:20" x14ac:dyDescent="0.25">
      <c r="B188" s="21" t="s">
        <v>3687</v>
      </c>
      <c r="C188" s="28" t="s">
        <v>493</v>
      </c>
      <c r="E188" s="228">
        <f>INDEX($G$188:$T$188,1,Inputs!$E$49-2022)</f>
        <v>12.010729497</v>
      </c>
      <c r="H188" s="229">
        <f t="shared" ref="H188:T188" si="12">ROUND(H187-H186,9)</f>
        <v>0</v>
      </c>
      <c r="I188" s="229">
        <f t="shared" si="12"/>
        <v>0</v>
      </c>
      <c r="J188" s="229">
        <f t="shared" si="12"/>
        <v>-12.340568859999999</v>
      </c>
      <c r="K188" s="229">
        <f t="shared" si="12"/>
        <v>-6.1195697630000003</v>
      </c>
      <c r="L188" s="229">
        <f t="shared" si="12"/>
        <v>-4.9156500000000003</v>
      </c>
      <c r="M188" s="229">
        <f t="shared" si="12"/>
        <v>-6.7190820499999999</v>
      </c>
      <c r="N188" s="229">
        <f t="shared" si="12"/>
        <v>6.6821001000000005E-2</v>
      </c>
      <c r="O188" s="229">
        <f t="shared" si="12"/>
        <v>4.138132401</v>
      </c>
      <c r="P188" s="229">
        <f t="shared" si="12"/>
        <v>7.215156897</v>
      </c>
      <c r="Q188" s="229">
        <f t="shared" si="12"/>
        <v>8.5715744009999995</v>
      </c>
      <c r="R188" s="229">
        <f t="shared" si="12"/>
        <v>9.903677901</v>
      </c>
      <c r="S188" s="229">
        <f t="shared" si="12"/>
        <v>11.235781401000001</v>
      </c>
      <c r="T188" s="229">
        <f t="shared" si="12"/>
        <v>12.010729497</v>
      </c>
    </row>
    <row r="189" spans="2:20" ht="27.75" customHeight="1" x14ac:dyDescent="0.25">
      <c r="B189" s="63" t="s">
        <v>3688</v>
      </c>
      <c r="G189" s="254" t="str">
        <f>"With-IS11 FY"&amp;Inputs!$E$49&amp;": model "&amp;TEXT(E187,"#,##0.000")&amp;" vs v29 "&amp;TEXT(E186,"#,##0.000")&amp;" (difference "&amp;TEXT(ROUND(E188,3),"+#,##0.000;-#,##0.000;0.000")&amp;")"&amp;IF(ABS(E188)&lt;=Inputs!$E$50," - matches v29.",IF(LEFT(E185,19)="Differs - requested"," - due to the requested change: "&amp;MID(E185,29,200),IF($E$21&gt;0," - differs because inputs / switches were changed."," - UNEXPLAINED: no input was changed.")))</f>
        <v>With-IS11 FY2036: model 473.410 vs v29 461.399 (difference +12.011) - due to the requested change: LT loan repaid in 2027 (not 2025);  (and inputs changed)</v>
      </c>
      <c r="H189" s="254"/>
      <c r="I189" s="254"/>
      <c r="J189" s="254"/>
      <c r="K189" s="254"/>
      <c r="L189" s="254"/>
      <c r="M189" s="254"/>
      <c r="N189" s="254"/>
      <c r="O189" s="254"/>
      <c r="P189" s="254"/>
      <c r="Q189" s="254"/>
      <c r="R189" s="254"/>
      <c r="S189" s="254"/>
      <c r="T189" s="254"/>
    </row>
    <row r="190" spans="2:20" ht="24.75" customHeight="1" x14ac:dyDescent="0.25">
      <c r="B190" s="221" t="s">
        <v>3732</v>
      </c>
      <c r="C190" s="222" t="s">
        <v>493</v>
      </c>
      <c r="D190" s="231" t="s">
        <v>3733</v>
      </c>
      <c r="E190" s="232" t="str">
        <f>IF(MAX(MAX(H193:T193),-MIN(H193:T193))&lt;=Inputs!$E$50,"Matches v29",IF(OR($E$22=1),"Differs - requested change: "&amp;IF($E$22=1,"LT loan repaid in 2027 (not 2025); ","")&amp;IF($E$21&gt;0," (and inputs changed)",""),IF($E$21&gt;0,"Differs - inputs changed","UNEXPLAINED")))</f>
        <v>Differs - requested change: LT loan repaid in 2027 (not 2025);  (and inputs changed)</v>
      </c>
      <c r="F190" s="225">
        <f>MAX(MAX(H193:T193),-MIN(H193:T193))</f>
        <v>12.340568859999999</v>
      </c>
      <c r="G190" s="226">
        <f>IF(OR($E$22=1),0,MAX(MAX(H193:T193),-MIN(H193:T193)))</f>
        <v>0</v>
      </c>
    </row>
    <row r="191" spans="2:20" x14ac:dyDescent="0.25">
      <c r="B191" s="23" t="s">
        <v>3683</v>
      </c>
      <c r="C191" s="28" t="s">
        <v>493</v>
      </c>
      <c r="D191" s="155" t="s">
        <v>3734</v>
      </c>
      <c r="E191" s="178">
        <f>INDEX($G$191:$T$191,1,Inputs!$E$49-2022)</f>
        <v>461.399256861933</v>
      </c>
      <c r="H191" s="30">
        <f>'Source Data'!H840</f>
        <v>40.429223963838901</v>
      </c>
      <c r="I191" s="30">
        <f>'Source Data'!I840</f>
        <v>100.673656080043</v>
      </c>
      <c r="J191" s="30">
        <f>'Source Data'!J840</f>
        <v>177.30303453656401</v>
      </c>
      <c r="K191" s="30">
        <f>'Source Data'!K840</f>
        <v>242.59792204986101</v>
      </c>
      <c r="L191" s="30">
        <f>'Source Data'!L840</f>
        <v>275.279829943062</v>
      </c>
      <c r="M191" s="30">
        <f>'Source Data'!M840</f>
        <v>317.811102773637</v>
      </c>
      <c r="N191" s="30">
        <f>'Source Data'!N840</f>
        <v>334.70818928269699</v>
      </c>
      <c r="O191" s="30">
        <f>'Source Data'!O840</f>
        <v>368.275080623534</v>
      </c>
      <c r="P191" s="30">
        <f>'Source Data'!P840</f>
        <v>389.091182169349</v>
      </c>
      <c r="Q191" s="30">
        <f>'Source Data'!Q840</f>
        <v>425.91745082541502</v>
      </c>
      <c r="R191" s="30">
        <f>'Source Data'!R840</f>
        <v>447.09118548568199</v>
      </c>
      <c r="S191" s="30">
        <f>'Source Data'!S840</f>
        <v>443.52350993714202</v>
      </c>
      <c r="T191" s="30">
        <f>'Source Data'!T840</f>
        <v>461.399256861933</v>
      </c>
    </row>
    <row r="192" spans="2:20" x14ac:dyDescent="0.25">
      <c r="B192" s="23" t="s">
        <v>3685</v>
      </c>
      <c r="C192" s="28" t="s">
        <v>493</v>
      </c>
      <c r="D192" s="227" t="s">
        <v>3735</v>
      </c>
      <c r="E192" s="178">
        <f>INDEX($G$192:$T$192,1,Inputs!$E$49-2022)</f>
        <v>473.40998635885308</v>
      </c>
      <c r="H192" s="30">
        <f>'FSL Output - With BUMN'!H269</f>
        <v>40.429223963838908</v>
      </c>
      <c r="I192" s="30">
        <f>'FSL Output - With BUMN'!I269</f>
        <v>100.67365608004286</v>
      </c>
      <c r="J192" s="30">
        <f>'FSL Output - With BUMN'!J269</f>
        <v>164.96246567697375</v>
      </c>
      <c r="K192" s="30">
        <f>'FSL Output - With BUMN'!K269</f>
        <v>236.47835228661239</v>
      </c>
      <c r="L192" s="30">
        <f>'FSL Output - With BUMN'!L269</f>
        <v>270.36417994306152</v>
      </c>
      <c r="M192" s="30">
        <f>'FSL Output - With BUMN'!M269</f>
        <v>311.09202072367106</v>
      </c>
      <c r="N192" s="30">
        <f>'FSL Output - With BUMN'!N269</f>
        <v>334.77501028372325</v>
      </c>
      <c r="O192" s="30">
        <f>'FSL Output - With BUMN'!O269</f>
        <v>372.41321302456066</v>
      </c>
      <c r="P192" s="30">
        <f>'FSL Output - With BUMN'!P269</f>
        <v>396.30633906626957</v>
      </c>
      <c r="Q192" s="30">
        <f>'FSL Output - With BUMN'!Q269</f>
        <v>434.48902522644192</v>
      </c>
      <c r="R192" s="30">
        <f>'FSL Output - With BUMN'!R269</f>
        <v>456.99486338670908</v>
      </c>
      <c r="S192" s="30">
        <f>'FSL Output - With BUMN'!S269</f>
        <v>454.75929133816862</v>
      </c>
      <c r="T192" s="30">
        <f>'FSL Output - With BUMN'!T269</f>
        <v>473.40998635885308</v>
      </c>
    </row>
    <row r="193" spans="2:20" x14ac:dyDescent="0.25">
      <c r="B193" s="21" t="s">
        <v>3687</v>
      </c>
      <c r="C193" s="28" t="s">
        <v>493</v>
      </c>
      <c r="E193" s="228">
        <f>INDEX($G$193:$T$193,1,Inputs!$E$49-2022)</f>
        <v>12.010729497</v>
      </c>
      <c r="H193" s="229">
        <f t="shared" ref="H193:T193" si="13">ROUND(H192-H191,9)</f>
        <v>0</v>
      </c>
      <c r="I193" s="229">
        <f t="shared" si="13"/>
        <v>0</v>
      </c>
      <c r="J193" s="229">
        <f t="shared" si="13"/>
        <v>-12.340568859999999</v>
      </c>
      <c r="K193" s="229">
        <f t="shared" si="13"/>
        <v>-6.1195697630000003</v>
      </c>
      <c r="L193" s="229">
        <f t="shared" si="13"/>
        <v>-4.9156500000000003</v>
      </c>
      <c r="M193" s="229">
        <f t="shared" si="13"/>
        <v>-6.7190820499999999</v>
      </c>
      <c r="N193" s="229">
        <f t="shared" si="13"/>
        <v>6.6821001000000005E-2</v>
      </c>
      <c r="O193" s="229">
        <f t="shared" si="13"/>
        <v>4.138132401</v>
      </c>
      <c r="P193" s="229">
        <f t="shared" si="13"/>
        <v>7.215156897</v>
      </c>
      <c r="Q193" s="229">
        <f t="shared" si="13"/>
        <v>8.5715744009999995</v>
      </c>
      <c r="R193" s="229">
        <f t="shared" si="13"/>
        <v>9.903677901</v>
      </c>
      <c r="S193" s="229">
        <f t="shared" si="13"/>
        <v>11.235781401000001</v>
      </c>
      <c r="T193" s="229">
        <f t="shared" si="13"/>
        <v>12.010729497</v>
      </c>
    </row>
    <row r="194" spans="2:20" ht="27.75" customHeight="1" x14ac:dyDescent="0.25">
      <c r="B194" s="63" t="s">
        <v>3688</v>
      </c>
      <c r="G194" s="254" t="str">
        <f>"With-CF01 FY"&amp;Inputs!$E$49&amp;": model "&amp;TEXT(E192,"#,##0.000")&amp;" vs v29 "&amp;TEXT(E191,"#,##0.000")&amp;" (difference "&amp;TEXT(ROUND(E193,3),"+#,##0.000;-#,##0.000;0.000")&amp;")"&amp;IF(ABS(E193)&lt;=Inputs!$E$50," - matches v29.",IF(LEFT(E190,19)="Differs - requested"," - due to the requested change: "&amp;MID(E190,29,200),IF($E$21&gt;0," - differs because inputs / switches were changed."," - UNEXPLAINED: no input was changed.")))</f>
        <v>With-CF01 FY2036: model 473.410 vs v29 461.399 (difference +12.011) - due to the requested change: LT loan repaid in 2027 (not 2025);  (and inputs changed)</v>
      </c>
      <c r="H194" s="254"/>
      <c r="I194" s="254"/>
      <c r="J194" s="254"/>
      <c r="K194" s="254"/>
      <c r="L194" s="254"/>
      <c r="M194" s="254"/>
      <c r="N194" s="254"/>
      <c r="O194" s="254"/>
      <c r="P194" s="254"/>
      <c r="Q194" s="254"/>
      <c r="R194" s="254"/>
      <c r="S194" s="254"/>
      <c r="T194" s="254"/>
    </row>
    <row r="195" spans="2:20" x14ac:dyDescent="0.25">
      <c r="B195" s="221" t="s">
        <v>3736</v>
      </c>
      <c r="C195" s="222" t="s">
        <v>493</v>
      </c>
      <c r="D195" s="223" t="s">
        <v>3737</v>
      </c>
      <c r="E195" s="224" t="str">
        <f>IF(MAX(MAX(H198:T198),-MIN(H198:T198))&lt;=Inputs!$E$50,"Matches v29",IF($E$21&gt;0,"Differs - inputs changed","UNEXPLAINED"))</f>
        <v>Differs - inputs changed</v>
      </c>
      <c r="F195" s="225">
        <f>MAX(MAX(H198:T198),-MIN(H198:T198))</f>
        <v>11.408878850000001</v>
      </c>
      <c r="G195" s="226">
        <f>MAX(MAX(H198:T198),-MIN(H198:T198))</f>
        <v>11.408878850000001</v>
      </c>
    </row>
    <row r="196" spans="2:20" x14ac:dyDescent="0.25">
      <c r="B196" s="23" t="s">
        <v>3683</v>
      </c>
      <c r="C196" s="28" t="s">
        <v>493</v>
      </c>
      <c r="D196" s="155" t="s">
        <v>3738</v>
      </c>
      <c r="E196" s="178">
        <f>INDEX($G$196:$T$196,1,Inputs!$E$49-2022)</f>
        <v>142.73553211478</v>
      </c>
      <c r="H196" s="30">
        <f>'Source Data'!H841</f>
        <v>88.373062408935297</v>
      </c>
      <c r="I196" s="30">
        <f>'Source Data'!I841</f>
        <v>113.59968518200201</v>
      </c>
      <c r="J196" s="30">
        <f>'Source Data'!J841</f>
        <v>134.96780390311301</v>
      </c>
      <c r="K196" s="30">
        <f>'Source Data'!K841</f>
        <v>136.94134168720899</v>
      </c>
      <c r="L196" s="30">
        <f>'Source Data'!L841</f>
        <v>144.19843006333599</v>
      </c>
      <c r="M196" s="30">
        <f>'Source Data'!M841</f>
        <v>146.20716215698599</v>
      </c>
      <c r="N196" s="30">
        <f>'Source Data'!N841</f>
        <v>146.21606889250901</v>
      </c>
      <c r="O196" s="30">
        <f>'Source Data'!O841</f>
        <v>146.225153762742</v>
      </c>
      <c r="P196" s="30">
        <f>'Source Data'!P841</f>
        <v>148.23442033038</v>
      </c>
      <c r="Q196" s="30">
        <f>'Source Data'!Q841</f>
        <v>148.24387222937099</v>
      </c>
      <c r="R196" s="30">
        <f>'Source Data'!R841</f>
        <v>142.71566792824601</v>
      </c>
      <c r="S196" s="30">
        <f>'Source Data'!S841</f>
        <v>142.725501683956</v>
      </c>
      <c r="T196" s="30">
        <f>'Source Data'!T841</f>
        <v>142.73553211478</v>
      </c>
    </row>
    <row r="197" spans="2:20" x14ac:dyDescent="0.25">
      <c r="B197" s="23" t="s">
        <v>3685</v>
      </c>
      <c r="C197" s="28" t="s">
        <v>493</v>
      </c>
      <c r="D197" s="227" t="s">
        <v>3739</v>
      </c>
      <c r="E197" s="178">
        <f>INDEX($G$197:$T$197,1,Inputs!$E$49-2022)</f>
        <v>154.14441096488284</v>
      </c>
      <c r="H197" s="30">
        <f>'FSL Output - With BUMN'!H270</f>
        <v>88.373062408935311</v>
      </c>
      <c r="I197" s="30">
        <f>'FSL Output - With BUMN'!I270</f>
        <v>113.59968518200155</v>
      </c>
      <c r="J197" s="30">
        <f>'FSL Output - With BUMN'!J270</f>
        <v>134.96780390311255</v>
      </c>
      <c r="K197" s="30">
        <f>'FSL Output - With BUMN'!K270</f>
        <v>136.94134168720865</v>
      </c>
      <c r="L197" s="30">
        <f>'FSL Output - With BUMN'!L270</f>
        <v>144.19843006333596</v>
      </c>
      <c r="M197" s="30">
        <f>'FSL Output - With BUMN'!M270</f>
        <v>157.58486920695159</v>
      </c>
      <c r="N197" s="30">
        <f>'FSL Output - With BUMN'!N270</f>
        <v>157.59377594247448</v>
      </c>
      <c r="O197" s="30">
        <f>'FSL Output - With BUMN'!O270</f>
        <v>157.60286081270777</v>
      </c>
      <c r="P197" s="30">
        <f>'FSL Output - With BUMN'!P270</f>
        <v>159.64329918048264</v>
      </c>
      <c r="Q197" s="30">
        <f>'FSL Output - With BUMN'!Q270</f>
        <v>159.62157927933652</v>
      </c>
      <c r="R197" s="30">
        <f>'FSL Output - With BUMN'!R270</f>
        <v>154.09337497821181</v>
      </c>
      <c r="S197" s="30">
        <f>'FSL Output - With BUMN'!S270</f>
        <v>154.10320873392178</v>
      </c>
      <c r="T197" s="30">
        <f>'FSL Output - With BUMN'!T270</f>
        <v>154.14441096488284</v>
      </c>
    </row>
    <row r="198" spans="2:20" x14ac:dyDescent="0.25">
      <c r="B198" s="21" t="s">
        <v>3687</v>
      </c>
      <c r="C198" s="28" t="s">
        <v>493</v>
      </c>
      <c r="E198" s="228">
        <f>INDEX($G$198:$T$198,1,Inputs!$E$49-2022)</f>
        <v>11.408878850000001</v>
      </c>
      <c r="H198" s="229">
        <f t="shared" ref="H198:T198" si="14">ROUND(H197-H196,9)</f>
        <v>0</v>
      </c>
      <c r="I198" s="229">
        <f t="shared" si="14"/>
        <v>0</v>
      </c>
      <c r="J198" s="229">
        <f t="shared" si="14"/>
        <v>0</v>
      </c>
      <c r="K198" s="229">
        <f t="shared" si="14"/>
        <v>0</v>
      </c>
      <c r="L198" s="229">
        <f t="shared" si="14"/>
        <v>0</v>
      </c>
      <c r="M198" s="229">
        <f t="shared" si="14"/>
        <v>11.37770705</v>
      </c>
      <c r="N198" s="229">
        <f t="shared" si="14"/>
        <v>11.37770705</v>
      </c>
      <c r="O198" s="229">
        <f t="shared" si="14"/>
        <v>11.37770705</v>
      </c>
      <c r="P198" s="229">
        <f t="shared" si="14"/>
        <v>11.408878850000001</v>
      </c>
      <c r="Q198" s="229">
        <f t="shared" si="14"/>
        <v>11.37770705</v>
      </c>
      <c r="R198" s="229">
        <f t="shared" si="14"/>
        <v>11.37770705</v>
      </c>
      <c r="S198" s="229">
        <f t="shared" si="14"/>
        <v>11.37770705</v>
      </c>
      <c r="T198" s="229">
        <f t="shared" si="14"/>
        <v>11.408878850000001</v>
      </c>
    </row>
    <row r="199" spans="2:20" ht="27.75" customHeight="1" x14ac:dyDescent="0.25">
      <c r="B199" s="63" t="s">
        <v>3688</v>
      </c>
      <c r="G199" s="254" t="str">
        <f>"With-CF02 FY"&amp;Inputs!$E$49&amp;": model "&amp;TEXT(E197,"#,##0.000")&amp;" vs v29 "&amp;TEXT(E196,"#,##0.000")&amp;" (difference "&amp;TEXT(ROUND(E198,3),"+#,##0.000;-#,##0.000;0.000")&amp;")"&amp;IF(ABS(E198)&lt;=Inputs!$E$50," - matches v29.",IF(LEFT(E195,19)="Differs - requested"," - due to the requested change: "&amp;MID(E195,29,200),IF($E$21&gt;0," - differs because inputs / switches were changed."," - UNEXPLAINED: no input was changed.")))</f>
        <v>With-CF02 FY2036: model 154.144 vs v29 142.736 (difference +11.409) - differs because inputs / switches were changed.</v>
      </c>
      <c r="H199" s="254"/>
      <c r="I199" s="254"/>
      <c r="J199" s="254"/>
      <c r="K199" s="254"/>
      <c r="L199" s="254"/>
      <c r="M199" s="254"/>
      <c r="N199" s="254"/>
      <c r="O199" s="254"/>
      <c r="P199" s="254"/>
      <c r="Q199" s="254"/>
      <c r="R199" s="254"/>
      <c r="S199" s="254"/>
      <c r="T199" s="254"/>
    </row>
    <row r="200" spans="2:20" x14ac:dyDescent="0.25">
      <c r="B200" s="221" t="s">
        <v>3740</v>
      </c>
      <c r="C200" s="222" t="s">
        <v>493</v>
      </c>
      <c r="D200" s="223" t="s">
        <v>3741</v>
      </c>
      <c r="E200" s="224" t="str">
        <f>IF(MAX(MAX(H203:T203),-MIN(H203:T203))&lt;=Inputs!$E$50,"Matches v29",IF($E$21&gt;0,"Differs - inputs changed","UNEXPLAINED"))</f>
        <v>Differs - inputs changed</v>
      </c>
      <c r="F200" s="225">
        <f>MAX(MAX(H203:T203),-MIN(H203:T203))</f>
        <v>2.5718013700000002</v>
      </c>
      <c r="G200" s="226">
        <f>MAX(MAX(H203:T203),-MIN(H203:T203))</f>
        <v>2.5718013700000002</v>
      </c>
    </row>
    <row r="201" spans="2:20" x14ac:dyDescent="0.25">
      <c r="B201" s="23" t="s">
        <v>3683</v>
      </c>
      <c r="C201" s="28" t="s">
        <v>493</v>
      </c>
      <c r="D201" s="155" t="s">
        <v>3742</v>
      </c>
      <c r="E201" s="178">
        <f>INDEX($G$201:$T$201,1,Inputs!$E$49-2022)</f>
        <v>-3.8396190098074401</v>
      </c>
      <c r="H201" s="30">
        <f>'Source Data'!H842</f>
        <v>2.8370388994712199</v>
      </c>
      <c r="I201" s="30">
        <f>'Source Data'!I842</f>
        <v>-15.803178598626999</v>
      </c>
      <c r="J201" s="30">
        <f>'Source Data'!J842</f>
        <v>-24.174807601681199</v>
      </c>
      <c r="K201" s="30">
        <f>'Source Data'!K842</f>
        <v>-15.3074589953138</v>
      </c>
      <c r="L201" s="30">
        <f>'Source Data'!L842</f>
        <v>-8.6358287416836408</v>
      </c>
      <c r="M201" s="30">
        <f>'Source Data'!M842</f>
        <v>-8.8038774114131098</v>
      </c>
      <c r="N201" s="30">
        <f>'Source Data'!N842</f>
        <v>-3.99501250296098</v>
      </c>
      <c r="O201" s="30">
        <f>'Source Data'!O842</f>
        <v>-6.9849321524963299</v>
      </c>
      <c r="P201" s="30">
        <f>'Source Data'!P842</f>
        <v>-4.5710337951103996</v>
      </c>
      <c r="Q201" s="30">
        <f>'Source Data'!Q842</f>
        <v>-7.8682562703503702</v>
      </c>
      <c r="R201" s="30">
        <f>'Source Data'!R842</f>
        <v>-2.9473333710221699</v>
      </c>
      <c r="S201" s="30">
        <f>'Source Data'!S842</f>
        <v>-0.32862426512819798</v>
      </c>
      <c r="T201" s="30">
        <f>'Source Data'!T842</f>
        <v>-3.8396190098074401</v>
      </c>
    </row>
    <row r="202" spans="2:20" x14ac:dyDescent="0.25">
      <c r="B202" s="23" t="s">
        <v>3685</v>
      </c>
      <c r="C202" s="28" t="s">
        <v>493</v>
      </c>
      <c r="D202" s="227" t="s">
        <v>3743</v>
      </c>
      <c r="E202" s="178">
        <f>INDEX($G$202:$T$202,1,Inputs!$E$49-2022)</f>
        <v>-3.8276260275482912</v>
      </c>
      <c r="H202" s="30">
        <f>'FSL Output - With BUMN'!H272</f>
        <v>2.8370388994712172</v>
      </c>
      <c r="I202" s="30">
        <f>'FSL Output - With BUMN'!I272</f>
        <v>-15.803178598627007</v>
      </c>
      <c r="J202" s="30">
        <f>'FSL Output - With BUMN'!J272</f>
        <v>-24.174807601681188</v>
      </c>
      <c r="K202" s="30">
        <f>'FSL Output - With BUMN'!K272</f>
        <v>-15.307458995313795</v>
      </c>
      <c r="L202" s="30">
        <f>'FSL Output - With BUMN'!L272</f>
        <v>-8.6358287416836532</v>
      </c>
      <c r="M202" s="30">
        <f>'FSL Output - With BUMN'!M272</f>
        <v>-11.375678781276122</v>
      </c>
      <c r="N202" s="30">
        <f>'FSL Output - With BUMN'!N272</f>
        <v>-4.9038275714541584</v>
      </c>
      <c r="O202" s="30">
        <f>'FSL Output - With BUMN'!O272</f>
        <v>-7.5908088648250782</v>
      </c>
      <c r="P202" s="30">
        <f>'FSL Output - With BUMN'!P272</f>
        <v>-4.8619791690155978</v>
      </c>
      <c r="Q202" s="30">
        <f>'FSL Output - With BUMN'!Q272</f>
        <v>-7.8802492526095165</v>
      </c>
      <c r="R202" s="30">
        <f>'FSL Output - With BUMN'!R272</f>
        <v>-2.9473333710221539</v>
      </c>
      <c r="S202" s="30">
        <f>'FSL Output - With BUMN'!S272</f>
        <v>-0.3286242651282123</v>
      </c>
      <c r="T202" s="30">
        <f>'FSL Output - With BUMN'!T272</f>
        <v>-3.8276260275482912</v>
      </c>
    </row>
    <row r="203" spans="2:20" x14ac:dyDescent="0.25">
      <c r="B203" s="21" t="s">
        <v>3687</v>
      </c>
      <c r="C203" s="28" t="s">
        <v>493</v>
      </c>
      <c r="E203" s="228">
        <f>INDEX($G$203:$T$203,1,Inputs!$E$49-2022)</f>
        <v>1.1992981999999999E-2</v>
      </c>
      <c r="H203" s="229">
        <f t="shared" ref="H203:T203" si="15">ROUND(H202-H201,9)</f>
        <v>0</v>
      </c>
      <c r="I203" s="229">
        <f t="shared" si="15"/>
        <v>0</v>
      </c>
      <c r="J203" s="229">
        <f t="shared" si="15"/>
        <v>0</v>
      </c>
      <c r="K203" s="229">
        <f t="shared" si="15"/>
        <v>0</v>
      </c>
      <c r="L203" s="229">
        <f t="shared" si="15"/>
        <v>0</v>
      </c>
      <c r="M203" s="229">
        <f t="shared" si="15"/>
        <v>-2.5718013700000002</v>
      </c>
      <c r="N203" s="229">
        <f t="shared" si="15"/>
        <v>-0.908815068</v>
      </c>
      <c r="O203" s="229">
        <f t="shared" si="15"/>
        <v>-0.60587671200000004</v>
      </c>
      <c r="P203" s="229">
        <f t="shared" si="15"/>
        <v>-0.29094537399999998</v>
      </c>
      <c r="Q203" s="229">
        <f t="shared" si="15"/>
        <v>-1.1992981999999999E-2</v>
      </c>
      <c r="R203" s="229">
        <f t="shared" si="15"/>
        <v>0</v>
      </c>
      <c r="S203" s="229">
        <f t="shared" si="15"/>
        <v>0</v>
      </c>
      <c r="T203" s="229">
        <f t="shared" si="15"/>
        <v>1.1992981999999999E-2</v>
      </c>
    </row>
    <row r="204" spans="2:20" ht="27.75" customHeight="1" x14ac:dyDescent="0.25">
      <c r="B204" s="63" t="s">
        <v>3688</v>
      </c>
      <c r="G204" s="254" t="str">
        <f>"With-CF03 FY"&amp;Inputs!$E$49&amp;": model "&amp;TEXT(E202,"#,##0.000")&amp;" vs v29 "&amp;TEXT(E201,"#,##0.000")&amp;" (difference "&amp;TEXT(ROUND(E203,3),"+#,##0.000;-#,##0.000;0.000")&amp;")"&amp;IF(ABS(E203)&lt;=Inputs!$E$50," - matches v29.",IF(LEFT(E200,19)="Differs - requested"," - due to the requested change: "&amp;MID(E200,29,200),IF($E$21&gt;0," - differs because inputs / switches were changed."," - UNEXPLAINED: no input was changed.")))</f>
        <v>With-CF03 FY2036: model -3.828 vs v29 -3.840 (difference +0.012) - differs because inputs / switches were changed.</v>
      </c>
      <c r="H204" s="254"/>
      <c r="I204" s="254"/>
      <c r="J204" s="254"/>
      <c r="K204" s="254"/>
      <c r="L204" s="254"/>
      <c r="M204" s="254"/>
      <c r="N204" s="254"/>
      <c r="O204" s="254"/>
      <c r="P204" s="254"/>
      <c r="Q204" s="254"/>
      <c r="R204" s="254"/>
      <c r="S204" s="254"/>
      <c r="T204" s="254"/>
    </row>
    <row r="205" spans="2:20" ht="24.75" customHeight="1" x14ac:dyDescent="0.25">
      <c r="B205" s="221" t="s">
        <v>3744</v>
      </c>
      <c r="C205" s="222" t="s">
        <v>493</v>
      </c>
      <c r="D205" s="231" t="s">
        <v>3745</v>
      </c>
      <c r="E205" s="232" t="str">
        <f>IF(MAX(MAX(H208:T208),-MIN(H208:T208))&lt;=Inputs!$E$50,"Matches v29",IF(OR($E$22=1),"Differs - requested change: "&amp;IF($E$22=1,"LT loan repaid in 2027 (not 2025); ","")&amp;IF($E$21&gt;0," (and inputs changed)",""),IF($E$21&gt;0,"Differs - inputs changed","UNEXPLAINED")))</f>
        <v>Differs - requested change: LT loan repaid in 2027 (not 2025);  (and inputs changed)</v>
      </c>
      <c r="F205" s="225">
        <f>MAX(MAX(H208:T208),-MIN(H208:T208))</f>
        <v>23.431601328999999</v>
      </c>
      <c r="G205" s="226">
        <f>IF(OR($E$22=1),0,MAX(MAX(H208:T208),-MIN(H208:T208)))</f>
        <v>0</v>
      </c>
    </row>
    <row r="206" spans="2:20" x14ac:dyDescent="0.25">
      <c r="B206" s="23" t="s">
        <v>3683</v>
      </c>
      <c r="C206" s="28" t="s">
        <v>493</v>
      </c>
      <c r="D206" s="155" t="s">
        <v>3746</v>
      </c>
      <c r="E206" s="178">
        <f>INDEX($G$206:$T$206,1,Inputs!$E$49-2022)</f>
        <v>600.29516996690597</v>
      </c>
      <c r="H206" s="30">
        <f>'Source Data'!H843</f>
        <v>131.639325272245</v>
      </c>
      <c r="I206" s="30">
        <f>'Source Data'!I843</f>
        <v>198.470162663417</v>
      </c>
      <c r="J206" s="30">
        <f>'Source Data'!J843</f>
        <v>288.09603083799499</v>
      </c>
      <c r="K206" s="30">
        <f>'Source Data'!K843</f>
        <v>364.23180474175598</v>
      </c>
      <c r="L206" s="30">
        <f>'Source Data'!L843</f>
        <v>410.84243126471398</v>
      </c>
      <c r="M206" s="30">
        <f>'Source Data'!M843</f>
        <v>455.21438751920999</v>
      </c>
      <c r="N206" s="30">
        <f>'Source Data'!N843</f>
        <v>476.92924567224401</v>
      </c>
      <c r="O206" s="30">
        <f>'Source Data'!O843</f>
        <v>507.51530223378001</v>
      </c>
      <c r="P206" s="30">
        <f>'Source Data'!P843</f>
        <v>532.75456870461903</v>
      </c>
      <c r="Q206" s="30">
        <f>'Source Data'!Q843</f>
        <v>566.29306678443504</v>
      </c>
      <c r="R206" s="30">
        <f>'Source Data'!R843</f>
        <v>586.85952004290596</v>
      </c>
      <c r="S206" s="30">
        <f>'Source Data'!S843</f>
        <v>585.92038735596998</v>
      </c>
      <c r="T206" s="30">
        <f>'Source Data'!T843</f>
        <v>600.29516996690597</v>
      </c>
    </row>
    <row r="207" spans="2:20" x14ac:dyDescent="0.25">
      <c r="B207" s="23" t="s">
        <v>3685</v>
      </c>
      <c r="C207" s="28" t="s">
        <v>493</v>
      </c>
      <c r="D207" s="227" t="s">
        <v>3747</v>
      </c>
      <c r="E207" s="178">
        <f>INDEX($G$207:$T$207,1,Inputs!$E$49-2022)</f>
        <v>623.72677129618762</v>
      </c>
      <c r="H207" s="30">
        <f>'FSL Output - With BUMN'!H273</f>
        <v>131.63932527224546</v>
      </c>
      <c r="I207" s="30">
        <f>'FSL Output - With BUMN'!I273</f>
        <v>198.47016266341743</v>
      </c>
      <c r="J207" s="30">
        <f>'FSL Output - With BUMN'!J273</f>
        <v>275.75546197840509</v>
      </c>
      <c r="K207" s="30">
        <f>'FSL Output - With BUMN'!K273</f>
        <v>358.11223497850722</v>
      </c>
      <c r="L207" s="30">
        <f>'FSL Output - With BUMN'!L273</f>
        <v>405.92678126471378</v>
      </c>
      <c r="M207" s="30">
        <f>'FSL Output - With BUMN'!M273</f>
        <v>457.30121114934656</v>
      </c>
      <c r="N207" s="30">
        <f>'FSL Output - With BUMN'!N273</f>
        <v>487.46495865474355</v>
      </c>
      <c r="O207" s="30">
        <f>'FSL Output - With BUMN'!O273</f>
        <v>522.4252649724433</v>
      </c>
      <c r="P207" s="30">
        <f>'FSL Output - With BUMN'!P273</f>
        <v>551.08765907773659</v>
      </c>
      <c r="Q207" s="30">
        <f>'FSL Output - With BUMN'!Q273</f>
        <v>586.23035525316891</v>
      </c>
      <c r="R207" s="30">
        <f>'FSL Output - With BUMN'!R273</f>
        <v>608.14090499389874</v>
      </c>
      <c r="S207" s="30">
        <f>'FSL Output - With BUMN'!S273</f>
        <v>608.53387580696221</v>
      </c>
      <c r="T207" s="30">
        <f>'FSL Output - With BUMN'!T273</f>
        <v>623.72677129618762</v>
      </c>
    </row>
    <row r="208" spans="2:20" x14ac:dyDescent="0.25">
      <c r="B208" s="21" t="s">
        <v>3687</v>
      </c>
      <c r="C208" s="28" t="s">
        <v>493</v>
      </c>
      <c r="E208" s="228">
        <f>INDEX($G$208:$T$208,1,Inputs!$E$49-2022)</f>
        <v>23.431601328999999</v>
      </c>
      <c r="H208" s="229">
        <f t="shared" ref="H208:T208" si="16">ROUND(H207-H206,9)</f>
        <v>0</v>
      </c>
      <c r="I208" s="229">
        <f t="shared" si="16"/>
        <v>0</v>
      </c>
      <c r="J208" s="229">
        <f t="shared" si="16"/>
        <v>-12.340568859999999</v>
      </c>
      <c r="K208" s="229">
        <f t="shared" si="16"/>
        <v>-6.1195697630000003</v>
      </c>
      <c r="L208" s="229">
        <f t="shared" si="16"/>
        <v>-4.9156500000000003</v>
      </c>
      <c r="M208" s="229">
        <f t="shared" si="16"/>
        <v>2.08682363</v>
      </c>
      <c r="N208" s="229">
        <f t="shared" si="16"/>
        <v>10.535712982</v>
      </c>
      <c r="O208" s="229">
        <f t="shared" si="16"/>
        <v>14.909962738999999</v>
      </c>
      <c r="P208" s="229">
        <f t="shared" si="16"/>
        <v>18.333090373000001</v>
      </c>
      <c r="Q208" s="229">
        <f t="shared" si="16"/>
        <v>19.937288468999999</v>
      </c>
      <c r="R208" s="229">
        <f t="shared" si="16"/>
        <v>21.281384951</v>
      </c>
      <c r="S208" s="229">
        <f t="shared" si="16"/>
        <v>22.613488450999998</v>
      </c>
      <c r="T208" s="229">
        <f t="shared" si="16"/>
        <v>23.431601328999999</v>
      </c>
    </row>
    <row r="209" spans="2:20" ht="27.75" customHeight="1" x14ac:dyDescent="0.25">
      <c r="B209" s="63" t="s">
        <v>3688</v>
      </c>
      <c r="G209" s="254" t="str">
        <f>"With-CF04 FY"&amp;Inputs!$E$49&amp;": model "&amp;TEXT(E207,"#,##0.000")&amp;" vs v29 "&amp;TEXT(E206,"#,##0.000")&amp;" (difference "&amp;TEXT(ROUND(E208,3),"+#,##0.000;-#,##0.000;0.000")&amp;")"&amp;IF(ABS(E208)&lt;=Inputs!$E$50," - matches v29.",IF(LEFT(E205,19)="Differs - requested"," - due to the requested change: "&amp;MID(E205,29,200),IF($E$21&gt;0," - differs because inputs / switches were changed."," - UNEXPLAINED: no input was changed.")))</f>
        <v>With-CF04 FY2036: model 623.727 vs v29 600.295 (difference +23.432) - due to the requested change: LT loan repaid in 2027 (not 2025);  (and inputs changed)</v>
      </c>
      <c r="H209" s="254"/>
      <c r="I209" s="254"/>
      <c r="J209" s="254"/>
      <c r="K209" s="254"/>
      <c r="L209" s="254"/>
      <c r="M209" s="254"/>
      <c r="N209" s="254"/>
      <c r="O209" s="254"/>
      <c r="P209" s="254"/>
      <c r="Q209" s="254"/>
      <c r="R209" s="254"/>
      <c r="S209" s="254"/>
      <c r="T209" s="254"/>
    </row>
    <row r="210" spans="2:20" x14ac:dyDescent="0.25">
      <c r="B210" s="221" t="s">
        <v>3748</v>
      </c>
      <c r="C210" s="222" t="s">
        <v>493</v>
      </c>
      <c r="D210" s="223" t="s">
        <v>3749</v>
      </c>
      <c r="E210" s="224" t="str">
        <f>IF(MAX(MAX(H213:T213),-MIN(H213:T213))&lt;=Inputs!$E$50,"Matches v29",IF($E$21&gt;0,"Differs - inputs changed","UNEXPLAINED"))</f>
        <v>Matches v29</v>
      </c>
      <c r="F210" s="225">
        <f>MAX(MAX(H213:T213),-MIN(H213:T213))</f>
        <v>0</v>
      </c>
      <c r="G210" s="226">
        <f>MAX(MAX(H213:T213),-MIN(H213:T213))</f>
        <v>0</v>
      </c>
    </row>
    <row r="211" spans="2:20" x14ac:dyDescent="0.25">
      <c r="B211" s="23" t="s">
        <v>3683</v>
      </c>
      <c r="C211" s="28" t="s">
        <v>493</v>
      </c>
      <c r="D211" s="155" t="s">
        <v>3750</v>
      </c>
      <c r="E211" s="178">
        <f>INDEX($G$211:$T$211,1,Inputs!$E$49-2022)</f>
        <v>0</v>
      </c>
      <c r="H211" s="30">
        <f>'Source Data'!H844</f>
        <v>0</v>
      </c>
      <c r="I211" s="30">
        <f>'Source Data'!I844</f>
        <v>0</v>
      </c>
      <c r="J211" s="30">
        <f>'Source Data'!J844</f>
        <v>0</v>
      </c>
      <c r="K211" s="30">
        <f>'Source Data'!K844</f>
        <v>0</v>
      </c>
      <c r="L211" s="30">
        <f>'Source Data'!L844</f>
        <v>0</v>
      </c>
      <c r="M211" s="30">
        <f>'Source Data'!M844</f>
        <v>0</v>
      </c>
      <c r="N211" s="30">
        <f>'Source Data'!N844</f>
        <v>0</v>
      </c>
      <c r="O211" s="30">
        <f>'Source Data'!O844</f>
        <v>0</v>
      </c>
      <c r="P211" s="30">
        <f>'Source Data'!P844</f>
        <v>0</v>
      </c>
      <c r="Q211" s="30">
        <f>'Source Data'!Q844</f>
        <v>0</v>
      </c>
      <c r="R211" s="30">
        <f>'Source Data'!R844</f>
        <v>0</v>
      </c>
      <c r="S211" s="30">
        <f>'Source Data'!S844</f>
        <v>0</v>
      </c>
      <c r="T211" s="30">
        <f>'Source Data'!T844</f>
        <v>0</v>
      </c>
    </row>
    <row r="212" spans="2:20" x14ac:dyDescent="0.25">
      <c r="B212" s="23" t="s">
        <v>3685</v>
      </c>
      <c r="C212" s="28" t="s">
        <v>493</v>
      </c>
      <c r="E212" s="178">
        <f>INDEX($G$212:$T$212,1,Inputs!$E$49-2022)</f>
        <v>0</v>
      </c>
      <c r="H212" s="161">
        <f>0</f>
        <v>0</v>
      </c>
      <c r="I212" s="161">
        <f>0</f>
        <v>0</v>
      </c>
      <c r="J212" s="161">
        <f>0</f>
        <v>0</v>
      </c>
      <c r="K212" s="161">
        <f>0</f>
        <v>0</v>
      </c>
      <c r="L212" s="161">
        <f>0</f>
        <v>0</v>
      </c>
      <c r="M212" s="161">
        <f>0</f>
        <v>0</v>
      </c>
      <c r="N212" s="161">
        <f>0</f>
        <v>0</v>
      </c>
      <c r="O212" s="161">
        <f>0</f>
        <v>0</v>
      </c>
      <c r="P212" s="161">
        <f>0</f>
        <v>0</v>
      </c>
      <c r="Q212" s="161">
        <f>0</f>
        <v>0</v>
      </c>
      <c r="R212" s="161">
        <f>0</f>
        <v>0</v>
      </c>
      <c r="S212" s="161">
        <f>0</f>
        <v>0</v>
      </c>
      <c r="T212" s="161">
        <f>0</f>
        <v>0</v>
      </c>
    </row>
    <row r="213" spans="2:20" x14ac:dyDescent="0.25">
      <c r="B213" s="21" t="s">
        <v>3687</v>
      </c>
      <c r="C213" s="28" t="s">
        <v>493</v>
      </c>
      <c r="E213" s="228">
        <f>INDEX($G$213:$T$213,1,Inputs!$E$49-2022)</f>
        <v>0</v>
      </c>
      <c r="H213" s="229">
        <f t="shared" ref="H213:T213" si="17">ROUND(H212-H211,9)</f>
        <v>0</v>
      </c>
      <c r="I213" s="229">
        <f t="shared" si="17"/>
        <v>0</v>
      </c>
      <c r="J213" s="229">
        <f t="shared" si="17"/>
        <v>0</v>
      </c>
      <c r="K213" s="229">
        <f t="shared" si="17"/>
        <v>0</v>
      </c>
      <c r="L213" s="229">
        <f t="shared" si="17"/>
        <v>0</v>
      </c>
      <c r="M213" s="229">
        <f t="shared" si="17"/>
        <v>0</v>
      </c>
      <c r="N213" s="229">
        <f t="shared" si="17"/>
        <v>0</v>
      </c>
      <c r="O213" s="229">
        <f t="shared" si="17"/>
        <v>0</v>
      </c>
      <c r="P213" s="229">
        <f t="shared" si="17"/>
        <v>0</v>
      </c>
      <c r="Q213" s="229">
        <f t="shared" si="17"/>
        <v>0</v>
      </c>
      <c r="R213" s="229">
        <f t="shared" si="17"/>
        <v>0</v>
      </c>
      <c r="S213" s="229">
        <f t="shared" si="17"/>
        <v>0</v>
      </c>
      <c r="T213" s="229">
        <f t="shared" si="17"/>
        <v>0</v>
      </c>
    </row>
    <row r="214" spans="2:20" ht="27.75" customHeight="1" x14ac:dyDescent="0.25">
      <c r="B214" s="63" t="s">
        <v>3751</v>
      </c>
      <c r="G214" s="254" t="str">
        <f>"With-CF05 FY"&amp;Inputs!$E$49&amp;": model "&amp;TEXT(E212,"#,##0.000")&amp;" vs v29 "&amp;TEXT(E211,"#,##0.000")&amp;" (difference "&amp;TEXT(ROUND(E213,3),"+#,##0.000;-#,##0.000;0.000")&amp;")"&amp;IF(ABS(E213)&lt;=Inputs!$E$50," - matches v29.",IF(LEFT(E210,19)="Differs - requested"," - due to the requested change: "&amp;MID(E210,29,200),IF($E$21&gt;0," - differs because inputs / switches were changed."," - UNEXPLAINED: no input was changed.")))</f>
        <v>With-CF05 FY2036: model 0.000 vs v29 0.000 (difference 0.000) - matches v29.</v>
      </c>
      <c r="H214" s="254"/>
      <c r="I214" s="254"/>
      <c r="J214" s="254"/>
      <c r="K214" s="254"/>
      <c r="L214" s="254"/>
      <c r="M214" s="254"/>
      <c r="N214" s="254"/>
      <c r="O214" s="254"/>
      <c r="P214" s="254"/>
      <c r="Q214" s="254"/>
      <c r="R214" s="254"/>
      <c r="S214" s="254"/>
      <c r="T214" s="254"/>
    </row>
    <row r="215" spans="2:20" x14ac:dyDescent="0.25">
      <c r="B215" s="221" t="s">
        <v>3752</v>
      </c>
      <c r="C215" s="222" t="s">
        <v>493</v>
      </c>
      <c r="D215" s="223" t="s">
        <v>3753</v>
      </c>
      <c r="E215" s="224" t="str">
        <f>IF(MAX(MAX(G218:T218),-MIN(G218:T218))&lt;=Inputs!$E$50,"Matches v29",IF($E$21&gt;0,"Differs - inputs changed","UNEXPLAINED"))</f>
        <v>Differs - inputs changed</v>
      </c>
      <c r="F215" s="225">
        <f>MAX(MAX(G218:T218),-MIN(G218:T218))</f>
        <v>97.59</v>
      </c>
      <c r="G215" s="226">
        <f>MAX(MAX(G218:T218),-MIN(G218:T218))</f>
        <v>97.59</v>
      </c>
    </row>
    <row r="216" spans="2:20" x14ac:dyDescent="0.25">
      <c r="B216" s="23" t="s">
        <v>3683</v>
      </c>
      <c r="C216" s="28" t="s">
        <v>493</v>
      </c>
      <c r="D216" s="155" t="s">
        <v>3754</v>
      </c>
      <c r="E216" s="178">
        <f>INDEX($G$216:$T$216,1,Inputs!$E$49-2022)</f>
        <v>0</v>
      </c>
      <c r="G216" s="30">
        <f>'Source Data'!G845</f>
        <v>-198.43299999999999</v>
      </c>
      <c r="H216" s="30">
        <f>'Source Data'!H845</f>
        <v>-125.2405</v>
      </c>
      <c r="I216" s="30">
        <f>'Source Data'!I845</f>
        <v>-14.638500000000001</v>
      </c>
      <c r="J216" s="30">
        <f>'Source Data'!J845</f>
        <v>-419.772029761905</v>
      </c>
      <c r="K216" s="30">
        <f>'Source Data'!K845</f>
        <v>-160.003625</v>
      </c>
      <c r="L216" s="30">
        <f>'Source Data'!L845</f>
        <v>0</v>
      </c>
      <c r="M216" s="30">
        <f>'Source Data'!M845</f>
        <v>0</v>
      </c>
      <c r="N216" s="30">
        <f>'Source Data'!N845</f>
        <v>0</v>
      </c>
      <c r="O216" s="30">
        <f>'Source Data'!O845</f>
        <v>0</v>
      </c>
      <c r="P216" s="30">
        <f>'Source Data'!P845</f>
        <v>0</v>
      </c>
      <c r="Q216" s="30">
        <f>'Source Data'!Q845</f>
        <v>0</v>
      </c>
      <c r="R216" s="30">
        <f>'Source Data'!R845</f>
        <v>0</v>
      </c>
      <c r="S216" s="30">
        <f>'Source Data'!S845</f>
        <v>0</v>
      </c>
      <c r="T216" s="30">
        <f>'Source Data'!T845</f>
        <v>0</v>
      </c>
    </row>
    <row r="217" spans="2:20" ht="21.75" customHeight="1" x14ac:dyDescent="0.25">
      <c r="B217" s="23" t="s">
        <v>3685</v>
      </c>
      <c r="C217" s="28" t="s">
        <v>493</v>
      </c>
      <c r="D217" s="230" t="s">
        <v>3755</v>
      </c>
      <c r="E217" s="178">
        <f>INDEX($G$217:$T$217,1,Inputs!$E$49-2022)</f>
        <v>0</v>
      </c>
      <c r="G217" s="161">
        <f>-'Capex &amp; Depreciation'!G80</f>
        <v>-198.43299999999999</v>
      </c>
      <c r="H217" s="161">
        <f>'FSL Output - With BUMN'!H274+'FSL Output - With BUMN'!H275</f>
        <v>-125.24050000000001</v>
      </c>
      <c r="I217" s="161">
        <f>'FSL Output - With BUMN'!I274+'FSL Output - With BUMN'!I275</f>
        <v>-14.638500000000001</v>
      </c>
      <c r="J217" s="161">
        <f>'FSL Output - With BUMN'!J274+'FSL Output - With BUMN'!J275</f>
        <v>-419.77202976190472</v>
      </c>
      <c r="K217" s="161">
        <f>'FSL Output - With BUMN'!K274+'FSL Output - With BUMN'!K275</f>
        <v>-225.06362499999994</v>
      </c>
      <c r="L217" s="161">
        <f>'FSL Output - With BUMN'!L274+'FSL Output - With BUMN'!L275</f>
        <v>-97.59</v>
      </c>
      <c r="M217" s="161">
        <f>'FSL Output - With BUMN'!M274+'FSL Output - With BUMN'!M275</f>
        <v>0</v>
      </c>
      <c r="N217" s="161">
        <f>'FSL Output - With BUMN'!N274+'FSL Output - With BUMN'!N275</f>
        <v>0</v>
      </c>
      <c r="O217" s="161">
        <f>'FSL Output - With BUMN'!O274+'FSL Output - With BUMN'!O275</f>
        <v>0</v>
      </c>
      <c r="P217" s="161">
        <f>'FSL Output - With BUMN'!P274+'FSL Output - With BUMN'!P275</f>
        <v>0</v>
      </c>
      <c r="Q217" s="161">
        <f>'FSL Output - With BUMN'!Q274+'FSL Output - With BUMN'!Q275</f>
        <v>0</v>
      </c>
      <c r="R217" s="161">
        <f>'FSL Output - With BUMN'!R274+'FSL Output - With BUMN'!R275</f>
        <v>0</v>
      </c>
      <c r="S217" s="161">
        <f>'FSL Output - With BUMN'!S274+'FSL Output - With BUMN'!S275</f>
        <v>0</v>
      </c>
      <c r="T217" s="161">
        <f>'FSL Output - With BUMN'!T274+'FSL Output - With BUMN'!T275</f>
        <v>0</v>
      </c>
    </row>
    <row r="218" spans="2:20" x14ac:dyDescent="0.25">
      <c r="B218" s="21" t="s">
        <v>3687</v>
      </c>
      <c r="C218" s="28" t="s">
        <v>493</v>
      </c>
      <c r="E218" s="228">
        <f>INDEX($G$218:$T$218,1,Inputs!$E$49-2022)</f>
        <v>0</v>
      </c>
      <c r="G218" s="229">
        <f t="shared" ref="G218:T218" si="18">ROUND(G217-G216,9)</f>
        <v>0</v>
      </c>
      <c r="H218" s="229">
        <f t="shared" si="18"/>
        <v>0</v>
      </c>
      <c r="I218" s="229">
        <f t="shared" si="18"/>
        <v>0</v>
      </c>
      <c r="J218" s="229">
        <f t="shared" si="18"/>
        <v>0</v>
      </c>
      <c r="K218" s="229">
        <f t="shared" si="18"/>
        <v>-65.06</v>
      </c>
      <c r="L218" s="229">
        <f t="shared" si="18"/>
        <v>-97.59</v>
      </c>
      <c r="M218" s="229">
        <f t="shared" si="18"/>
        <v>0</v>
      </c>
      <c r="N218" s="229">
        <f t="shared" si="18"/>
        <v>0</v>
      </c>
      <c r="O218" s="229">
        <f t="shared" si="18"/>
        <v>0</v>
      </c>
      <c r="P218" s="229">
        <f t="shared" si="18"/>
        <v>0</v>
      </c>
      <c r="Q218" s="229">
        <f t="shared" si="18"/>
        <v>0</v>
      </c>
      <c r="R218" s="229">
        <f t="shared" si="18"/>
        <v>0</v>
      </c>
      <c r="S218" s="229">
        <f t="shared" si="18"/>
        <v>0</v>
      </c>
      <c r="T218" s="229">
        <f t="shared" si="18"/>
        <v>0</v>
      </c>
    </row>
    <row r="219" spans="2:20" ht="27.75" customHeight="1" x14ac:dyDescent="0.25">
      <c r="B219" s="63" t="s">
        <v>3756</v>
      </c>
      <c r="G219" s="254" t="str">
        <f>"With-CF06 FY"&amp;Inputs!$E$49&amp;": model "&amp;TEXT(E217,"#,##0.000")&amp;" vs v29 "&amp;TEXT(E216,"#,##0.000")&amp;" (difference "&amp;TEXT(ROUND(E218,3),"+#,##0.000;-#,##0.000;0.000")&amp;")"&amp;IF(ABS(E218)&lt;=Inputs!$E$50," - matches v29.",IF(LEFT(E215,19)="Differs - requested"," - due to the requested change: "&amp;MID(E215,29,200),IF($E$21&gt;0," - differs because inputs / switches were changed."," - UNEXPLAINED: no input was changed.")))</f>
        <v>With-CF06 FY2036: model 0.000 vs v29 0.000 (difference 0.000) - matches v29.</v>
      </c>
      <c r="H219" s="254"/>
      <c r="I219" s="254"/>
      <c r="J219" s="254"/>
      <c r="K219" s="254"/>
      <c r="L219" s="254"/>
      <c r="M219" s="254"/>
      <c r="N219" s="254"/>
      <c r="O219" s="254"/>
      <c r="P219" s="254"/>
      <c r="Q219" s="254"/>
      <c r="R219" s="254"/>
      <c r="S219" s="254"/>
      <c r="T219" s="254"/>
    </row>
    <row r="220" spans="2:20" x14ac:dyDescent="0.25">
      <c r="B220" s="221" t="s">
        <v>3757</v>
      </c>
      <c r="C220" s="222" t="s">
        <v>493</v>
      </c>
      <c r="D220" s="223" t="s">
        <v>3758</v>
      </c>
      <c r="E220" s="224" t="str">
        <f>IF(MAX(MAX(H223:T223),-MIN(H223:T223))&lt;=Inputs!$E$50,"Matches v29",IF($E$21&gt;0,"Differs - inputs changed","UNEXPLAINED"))</f>
        <v>Differs - inputs changed</v>
      </c>
      <c r="F220" s="225">
        <f>MAX(MAX(H223:T223),-MIN(H223:T223))</f>
        <v>97.59</v>
      </c>
      <c r="G220" s="226">
        <f>MAX(MAX(H223:T223),-MIN(H223:T223))</f>
        <v>97.59</v>
      </c>
    </row>
    <row r="221" spans="2:20" x14ac:dyDescent="0.25">
      <c r="B221" s="23" t="s">
        <v>3683</v>
      </c>
      <c r="C221" s="28" t="s">
        <v>493</v>
      </c>
      <c r="D221" s="155" t="s">
        <v>3759</v>
      </c>
      <c r="E221" s="178">
        <f>INDEX($G$221:$T$221,1,Inputs!$E$49-2022)</f>
        <v>0</v>
      </c>
      <c r="H221" s="30">
        <f>'Source Data'!H846</f>
        <v>-125.2405</v>
      </c>
      <c r="I221" s="30">
        <f>'Source Data'!I846</f>
        <v>-14.638500000000001</v>
      </c>
      <c r="J221" s="30">
        <f>'Source Data'!J846</f>
        <v>-419.772029761905</v>
      </c>
      <c r="K221" s="30">
        <f>'Source Data'!K846</f>
        <v>-160.003625</v>
      </c>
      <c r="L221" s="30">
        <f>'Source Data'!L846</f>
        <v>0</v>
      </c>
      <c r="M221" s="30">
        <f>'Source Data'!M846</f>
        <v>0</v>
      </c>
      <c r="N221" s="30">
        <f>'Source Data'!N846</f>
        <v>0</v>
      </c>
      <c r="O221" s="30">
        <f>'Source Data'!O846</f>
        <v>0</v>
      </c>
      <c r="P221" s="30">
        <f>'Source Data'!P846</f>
        <v>0</v>
      </c>
      <c r="Q221" s="30">
        <f>'Source Data'!Q846</f>
        <v>0</v>
      </c>
      <c r="R221" s="30">
        <f>'Source Data'!R846</f>
        <v>0</v>
      </c>
      <c r="S221" s="30">
        <f>'Source Data'!S846</f>
        <v>0</v>
      </c>
      <c r="T221" s="30">
        <f>'Source Data'!T846</f>
        <v>0</v>
      </c>
    </row>
    <row r="222" spans="2:20" x14ac:dyDescent="0.25">
      <c r="B222" s="23" t="s">
        <v>3685</v>
      </c>
      <c r="C222" s="28" t="s">
        <v>493</v>
      </c>
      <c r="D222" s="227" t="s">
        <v>3760</v>
      </c>
      <c r="E222" s="178">
        <f>INDEX($G$222:$T$222,1,Inputs!$E$49-2022)</f>
        <v>0</v>
      </c>
      <c r="H222" s="30">
        <f>'FSL Output - With BUMN'!H276</f>
        <v>-125.24050000000001</v>
      </c>
      <c r="I222" s="30">
        <f>'FSL Output - With BUMN'!I276</f>
        <v>-14.638500000000001</v>
      </c>
      <c r="J222" s="30">
        <f>'FSL Output - With BUMN'!J276</f>
        <v>-419.77202976190472</v>
      </c>
      <c r="K222" s="30">
        <f>'FSL Output - With BUMN'!K276</f>
        <v>-225.06362499999994</v>
      </c>
      <c r="L222" s="30">
        <f>'FSL Output - With BUMN'!L276</f>
        <v>-97.59</v>
      </c>
      <c r="M222" s="30">
        <f>'FSL Output - With BUMN'!M276</f>
        <v>0</v>
      </c>
      <c r="N222" s="30">
        <f>'FSL Output - With BUMN'!N276</f>
        <v>0</v>
      </c>
      <c r="O222" s="30">
        <f>'FSL Output - With BUMN'!O276</f>
        <v>0</v>
      </c>
      <c r="P222" s="30">
        <f>'FSL Output - With BUMN'!P276</f>
        <v>0</v>
      </c>
      <c r="Q222" s="30">
        <f>'FSL Output - With BUMN'!Q276</f>
        <v>0</v>
      </c>
      <c r="R222" s="30">
        <f>'FSL Output - With BUMN'!R276</f>
        <v>0</v>
      </c>
      <c r="S222" s="30">
        <f>'FSL Output - With BUMN'!S276</f>
        <v>0</v>
      </c>
      <c r="T222" s="30">
        <f>'FSL Output - With BUMN'!T276</f>
        <v>0</v>
      </c>
    </row>
    <row r="223" spans="2:20" x14ac:dyDescent="0.25">
      <c r="B223" s="21" t="s">
        <v>3687</v>
      </c>
      <c r="C223" s="28" t="s">
        <v>493</v>
      </c>
      <c r="E223" s="228">
        <f>INDEX($G$223:$T$223,1,Inputs!$E$49-2022)</f>
        <v>0</v>
      </c>
      <c r="H223" s="229">
        <f t="shared" ref="H223:T223" si="19">ROUND(H222-H221,9)</f>
        <v>0</v>
      </c>
      <c r="I223" s="229">
        <f t="shared" si="19"/>
        <v>0</v>
      </c>
      <c r="J223" s="229">
        <f t="shared" si="19"/>
        <v>0</v>
      </c>
      <c r="K223" s="229">
        <f t="shared" si="19"/>
        <v>-65.06</v>
      </c>
      <c r="L223" s="229">
        <f t="shared" si="19"/>
        <v>-97.59</v>
      </c>
      <c r="M223" s="229">
        <f t="shared" si="19"/>
        <v>0</v>
      </c>
      <c r="N223" s="229">
        <f t="shared" si="19"/>
        <v>0</v>
      </c>
      <c r="O223" s="229">
        <f t="shared" si="19"/>
        <v>0</v>
      </c>
      <c r="P223" s="229">
        <f t="shared" si="19"/>
        <v>0</v>
      </c>
      <c r="Q223" s="229">
        <f t="shared" si="19"/>
        <v>0</v>
      </c>
      <c r="R223" s="229">
        <f t="shared" si="19"/>
        <v>0</v>
      </c>
      <c r="S223" s="229">
        <f t="shared" si="19"/>
        <v>0</v>
      </c>
      <c r="T223" s="229">
        <f t="shared" si="19"/>
        <v>0</v>
      </c>
    </row>
    <row r="224" spans="2:20" ht="27.75" customHeight="1" x14ac:dyDescent="0.25">
      <c r="B224" s="63" t="s">
        <v>3688</v>
      </c>
      <c r="G224" s="254" t="str">
        <f>"With-CF07 FY"&amp;Inputs!$E$49&amp;": model "&amp;TEXT(E222,"#,##0.000")&amp;" vs v29 "&amp;TEXT(E221,"#,##0.000")&amp;" (difference "&amp;TEXT(ROUND(E223,3),"+#,##0.000;-#,##0.000;0.000")&amp;")"&amp;IF(ABS(E223)&lt;=Inputs!$E$50," - matches v29.",IF(LEFT(E220,19)="Differs - requested"," - due to the requested change: "&amp;MID(E220,29,200),IF($E$21&gt;0," - differs because inputs / switches were changed."," - UNEXPLAINED: no input was changed.")))</f>
        <v>With-CF07 FY2036: model 0.000 vs v29 0.000 (difference 0.000) - matches v29.</v>
      </c>
      <c r="H224" s="254"/>
      <c r="I224" s="254"/>
      <c r="J224" s="254"/>
      <c r="K224" s="254"/>
      <c r="L224" s="254"/>
      <c r="M224" s="254"/>
      <c r="N224" s="254"/>
      <c r="O224" s="254"/>
      <c r="P224" s="254"/>
      <c r="Q224" s="254"/>
      <c r="R224" s="254"/>
      <c r="S224" s="254"/>
      <c r="T224" s="254"/>
    </row>
    <row r="225" spans="2:20" ht="47.25" customHeight="1" x14ac:dyDescent="0.25">
      <c r="B225" s="221" t="s">
        <v>3761</v>
      </c>
      <c r="C225" s="222" t="s">
        <v>493</v>
      </c>
      <c r="D225" s="231" t="s">
        <v>3762</v>
      </c>
      <c r="E225" s="232" t="str">
        <f>IF(MAX(MAX(H228:T228),-MIN(H228:T228))&lt;=Inputs!$E$50,"Matches v29",IF(OR($E$22=1,$E$23=1),"Differs - requested change: "&amp;IF($E$22=1,"LT loan repaid in 2027 (not 2025); ","")&amp;IF($E$23=1,"new equity = residual funding requirement (not the v29 schedule)","")&amp;IF($E$21&gt;0," (and inputs changed)",""),IF($E$21&gt;0,"Differs - inputs changed","UNEXPLAINED")))</f>
        <v>Differs - requested change: LT loan repaid in 2027 (not 2025); new equity = residual funding requirement (not the v29 schedule) (and inputs changed)</v>
      </c>
      <c r="F225" s="225">
        <f>MAX(MAX(H228:T228),-MIN(H228:T228))</f>
        <v>419.77202976199999</v>
      </c>
      <c r="G225" s="226">
        <f>IF(OR($E$22=1,$E$23=1),0,MAX(MAX(H228:T228),-MIN(H228:T228)))</f>
        <v>0</v>
      </c>
    </row>
    <row r="226" spans="2:20" x14ac:dyDescent="0.25">
      <c r="B226" s="23" t="s">
        <v>3683</v>
      </c>
      <c r="C226" s="28" t="s">
        <v>493</v>
      </c>
      <c r="D226" s="155" t="s">
        <v>3763</v>
      </c>
      <c r="E226" s="178">
        <f>INDEX($G$226:$T$226,1,Inputs!$E$49-2022)</f>
        <v>0</v>
      </c>
      <c r="H226" s="30">
        <f>'Source Data'!H847</f>
        <v>0</v>
      </c>
      <c r="I226" s="30">
        <f>'Source Data'!I847</f>
        <v>0</v>
      </c>
      <c r="J226" s="30">
        <f>'Source Data'!J847</f>
        <v>419.772029761905</v>
      </c>
      <c r="K226" s="30">
        <f>'Source Data'!K847</f>
        <v>160.003625</v>
      </c>
      <c r="L226" s="30">
        <f>'Source Data'!L847</f>
        <v>0</v>
      </c>
      <c r="M226" s="30">
        <f>'Source Data'!M847</f>
        <v>0</v>
      </c>
      <c r="N226" s="30">
        <f>'Source Data'!N847</f>
        <v>0</v>
      </c>
      <c r="O226" s="30">
        <f>'Source Data'!O847</f>
        <v>0</v>
      </c>
      <c r="P226" s="30">
        <f>'Source Data'!P847</f>
        <v>0</v>
      </c>
      <c r="Q226" s="30">
        <f>'Source Data'!Q847</f>
        <v>0</v>
      </c>
      <c r="R226" s="30">
        <f>'Source Data'!R847</f>
        <v>0</v>
      </c>
      <c r="S226" s="30">
        <f>'Source Data'!S847</f>
        <v>0</v>
      </c>
      <c r="T226" s="30">
        <f>'Source Data'!T847</f>
        <v>0</v>
      </c>
    </row>
    <row r="227" spans="2:20" x14ac:dyDescent="0.25">
      <c r="B227" s="23" t="s">
        <v>3685</v>
      </c>
      <c r="C227" s="28" t="s">
        <v>493</v>
      </c>
      <c r="D227" s="227" t="s">
        <v>3764</v>
      </c>
      <c r="E227" s="178">
        <f>INDEX($G$227:$T$227,1,Inputs!$E$49-2022)</f>
        <v>0</v>
      </c>
      <c r="H227" s="30">
        <f>'FSL Output - With BUMN'!H277</f>
        <v>0</v>
      </c>
      <c r="I227" s="30">
        <f>'FSL Output - With BUMN'!I277</f>
        <v>0</v>
      </c>
      <c r="J227" s="30">
        <f>'FSL Output - With BUMN'!J277</f>
        <v>0</v>
      </c>
      <c r="K227" s="30">
        <f>'FSL Output - With BUMN'!K277</f>
        <v>28.884162758641565</v>
      </c>
      <c r="L227" s="30">
        <f>'FSL Output - With BUMN'!L277</f>
        <v>0</v>
      </c>
      <c r="M227" s="30">
        <f>'FSL Output - With BUMN'!M277</f>
        <v>0</v>
      </c>
      <c r="N227" s="30">
        <f>'FSL Output - With BUMN'!N277</f>
        <v>0</v>
      </c>
      <c r="O227" s="30">
        <f>'FSL Output - With BUMN'!O277</f>
        <v>0</v>
      </c>
      <c r="P227" s="30">
        <f>'FSL Output - With BUMN'!P277</f>
        <v>0</v>
      </c>
      <c r="Q227" s="30">
        <f>'FSL Output - With BUMN'!Q277</f>
        <v>0</v>
      </c>
      <c r="R227" s="30">
        <f>'FSL Output - With BUMN'!R277</f>
        <v>0</v>
      </c>
      <c r="S227" s="30">
        <f>'FSL Output - With BUMN'!S277</f>
        <v>0</v>
      </c>
      <c r="T227" s="30">
        <f>'FSL Output - With BUMN'!T277</f>
        <v>0</v>
      </c>
    </row>
    <row r="228" spans="2:20" x14ac:dyDescent="0.25">
      <c r="B228" s="21" t="s">
        <v>3687</v>
      </c>
      <c r="C228" s="28" t="s">
        <v>493</v>
      </c>
      <c r="E228" s="228">
        <f>INDEX($G$228:$T$228,1,Inputs!$E$49-2022)</f>
        <v>0</v>
      </c>
      <c r="H228" s="229">
        <f t="shared" ref="H228:T228" si="20">ROUND(H227-H226,9)</f>
        <v>0</v>
      </c>
      <c r="I228" s="229">
        <f t="shared" si="20"/>
        <v>0</v>
      </c>
      <c r="J228" s="229">
        <f t="shared" si="20"/>
        <v>-419.77202976199999</v>
      </c>
      <c r="K228" s="229">
        <f t="shared" si="20"/>
        <v>-131.11946224100001</v>
      </c>
      <c r="L228" s="229">
        <f t="shared" si="20"/>
        <v>0</v>
      </c>
      <c r="M228" s="229">
        <f t="shared" si="20"/>
        <v>0</v>
      </c>
      <c r="N228" s="229">
        <f t="shared" si="20"/>
        <v>0</v>
      </c>
      <c r="O228" s="229">
        <f t="shared" si="20"/>
        <v>0</v>
      </c>
      <c r="P228" s="229">
        <f t="shared" si="20"/>
        <v>0</v>
      </c>
      <c r="Q228" s="229">
        <f t="shared" si="20"/>
        <v>0</v>
      </c>
      <c r="R228" s="229">
        <f t="shared" si="20"/>
        <v>0</v>
      </c>
      <c r="S228" s="229">
        <f t="shared" si="20"/>
        <v>0</v>
      </c>
      <c r="T228" s="229">
        <f t="shared" si="20"/>
        <v>0</v>
      </c>
    </row>
    <row r="229" spans="2:20" ht="27.75" customHeight="1" x14ac:dyDescent="0.25">
      <c r="B229" s="63" t="s">
        <v>3765</v>
      </c>
      <c r="G229" s="254" t="str">
        <f>"With-CF08 FY"&amp;Inputs!$E$49&amp;": model "&amp;TEXT(E227,"#,##0.000")&amp;" vs v29 "&amp;TEXT(E226,"#,##0.000")&amp;" (difference "&amp;TEXT(ROUND(E228,3),"+#,##0.000;-#,##0.000;0.000")&amp;")"&amp;IF(ABS(E228)&lt;=Inputs!$E$50," - matches v29.",IF(LEFT(E225,19)="Differs - requested"," - due to the requested change: "&amp;MID(E225,29,200),IF($E$21&gt;0," - differs because inputs / switches were changed."," - UNEXPLAINED: no input was changed.")))</f>
        <v>With-CF08 FY2036: model 0.000 vs v29 0.000 (difference 0.000) - matches v29.</v>
      </c>
      <c r="H229" s="254"/>
      <c r="I229" s="254"/>
      <c r="J229" s="254"/>
      <c r="K229" s="254"/>
      <c r="L229" s="254"/>
      <c r="M229" s="254"/>
      <c r="N229" s="254"/>
      <c r="O229" s="254"/>
      <c r="P229" s="254"/>
      <c r="Q229" s="254"/>
      <c r="R229" s="254"/>
      <c r="S229" s="254"/>
      <c r="T229" s="254"/>
    </row>
    <row r="230" spans="2:20" ht="24.75" customHeight="1" x14ac:dyDescent="0.25">
      <c r="B230" s="221" t="s">
        <v>3766</v>
      </c>
      <c r="C230" s="222" t="s">
        <v>493</v>
      </c>
      <c r="D230" s="231" t="s">
        <v>3767</v>
      </c>
      <c r="E230" s="232" t="str">
        <f>IF(MAX(MAX(H233:T233),-MIN(H233:T233))&lt;=Inputs!$E$50,"Matches v29",IF(OR($E$22=1),"Differs - requested change: "&amp;IF($E$22=1,"LT loan repaid in 2027 (not 2025); ","")&amp;IF($E$21&gt;0," (and inputs changed)",""),IF($E$21&gt;0,"Differs - inputs changed","UNEXPLAINED")))</f>
        <v>Differs - requested change: LT loan repaid in 2027 (not 2025);  (and inputs changed)</v>
      </c>
      <c r="F230" s="225">
        <f>MAX(MAX(H233:T233),-MIN(H233:T233))</f>
        <v>195.18</v>
      </c>
      <c r="G230" s="226">
        <f>IF(OR($E$22=1),0,MAX(MAX(H233:T233),-MIN(H233:T233)))</f>
        <v>0</v>
      </c>
    </row>
    <row r="231" spans="2:20" x14ac:dyDescent="0.25">
      <c r="B231" s="23" t="s">
        <v>3683</v>
      </c>
      <c r="C231" s="28" t="s">
        <v>493</v>
      </c>
      <c r="D231" s="155" t="s">
        <v>3768</v>
      </c>
      <c r="E231" s="178">
        <f>INDEX($G$231:$T$231,1,Inputs!$E$49-2022)</f>
        <v>0</v>
      </c>
      <c r="H231" s="30">
        <f>'Source Data'!H848</f>
        <v>-29.338465248760102</v>
      </c>
      <c r="I231" s="30">
        <f>'Source Data'!I848</f>
        <v>-195.18</v>
      </c>
      <c r="J231" s="30">
        <f>'Source Data'!J848</f>
        <v>0</v>
      </c>
      <c r="K231" s="30">
        <f>'Source Data'!K848</f>
        <v>0</v>
      </c>
      <c r="L231" s="30">
        <f>'Source Data'!L848</f>
        <v>0</v>
      </c>
      <c r="M231" s="30">
        <f>'Source Data'!M848</f>
        <v>0</v>
      </c>
      <c r="N231" s="30">
        <f>'Source Data'!N848</f>
        <v>0</v>
      </c>
      <c r="O231" s="30">
        <f>'Source Data'!O848</f>
        <v>0</v>
      </c>
      <c r="P231" s="30">
        <f>'Source Data'!P848</f>
        <v>0</v>
      </c>
      <c r="Q231" s="30">
        <f>'Source Data'!Q848</f>
        <v>0</v>
      </c>
      <c r="R231" s="30">
        <f>'Source Data'!R848</f>
        <v>0</v>
      </c>
      <c r="S231" s="30">
        <f>'Source Data'!S848</f>
        <v>0</v>
      </c>
      <c r="T231" s="30">
        <f>'Source Data'!T848</f>
        <v>0</v>
      </c>
    </row>
    <row r="232" spans="2:20" ht="21.75" customHeight="1" x14ac:dyDescent="0.25">
      <c r="B232" s="23" t="s">
        <v>3685</v>
      </c>
      <c r="C232" s="28" t="s">
        <v>493</v>
      </c>
      <c r="D232" s="230" t="s">
        <v>3769</v>
      </c>
      <c r="E232" s="178">
        <f>INDEX($G$232:$T$232,1,Inputs!$E$49-2022)</f>
        <v>0</v>
      </c>
      <c r="H232" s="161">
        <f>'FSL Output - With BUMN'!H278+'FSL Output - With BUMN'!H279</f>
        <v>-29.338465248760002</v>
      </c>
      <c r="I232" s="161">
        <f>'FSL Output - With BUMN'!I278+'FSL Output - With BUMN'!I279</f>
        <v>0</v>
      </c>
      <c r="J232" s="161">
        <f>'FSL Output - With BUMN'!J278+'FSL Output - With BUMN'!J279</f>
        <v>0</v>
      </c>
      <c r="K232" s="161">
        <f>'FSL Output - With BUMN'!K278+'FSL Output - With BUMN'!K279</f>
        <v>-162.65</v>
      </c>
      <c r="L232" s="161">
        <f>'FSL Output - With BUMN'!L278+'FSL Output - With BUMN'!L279</f>
        <v>48.795000000000002</v>
      </c>
      <c r="M232" s="161">
        <f>'FSL Output - With BUMN'!M278+'FSL Output - With BUMN'!M279</f>
        <v>0</v>
      </c>
      <c r="N232" s="161">
        <f>'FSL Output - With BUMN'!N278+'FSL Output - With BUMN'!N279</f>
        <v>-6.5060000000000002</v>
      </c>
      <c r="O232" s="161">
        <f>'FSL Output - With BUMN'!O278+'FSL Output - With BUMN'!O279</f>
        <v>-16.265000000000001</v>
      </c>
      <c r="P232" s="161">
        <f>'FSL Output - With BUMN'!P278+'FSL Output - With BUMN'!P279</f>
        <v>-16.265000000000001</v>
      </c>
      <c r="Q232" s="161">
        <f>'FSL Output - With BUMN'!Q278+'FSL Output - With BUMN'!Q279</f>
        <v>-16.265000000000001</v>
      </c>
      <c r="R232" s="161">
        <f>'FSL Output - With BUMN'!R278+'FSL Output - With BUMN'!R279</f>
        <v>-16.265000000000001</v>
      </c>
      <c r="S232" s="161">
        <f>'FSL Output - With BUMN'!S278+'FSL Output - With BUMN'!S279</f>
        <v>-9.7590000000000003</v>
      </c>
      <c r="T232" s="161">
        <f>'FSL Output - With BUMN'!T278+'FSL Output - With BUMN'!T279</f>
        <v>0</v>
      </c>
    </row>
    <row r="233" spans="2:20" x14ac:dyDescent="0.25">
      <c r="B233" s="21" t="s">
        <v>3687</v>
      </c>
      <c r="C233" s="28" t="s">
        <v>493</v>
      </c>
      <c r="E233" s="228">
        <f>INDEX($G$233:$T$233,1,Inputs!$E$49-2022)</f>
        <v>0</v>
      </c>
      <c r="H233" s="229">
        <f t="shared" ref="H233:T233" si="21">ROUND(H232-H231,9)</f>
        <v>0</v>
      </c>
      <c r="I233" s="229">
        <f t="shared" si="21"/>
        <v>195.18</v>
      </c>
      <c r="J233" s="229">
        <f t="shared" si="21"/>
        <v>0</v>
      </c>
      <c r="K233" s="229">
        <f t="shared" si="21"/>
        <v>-162.65</v>
      </c>
      <c r="L233" s="229">
        <f t="shared" si="21"/>
        <v>48.795000000000002</v>
      </c>
      <c r="M233" s="229">
        <f t="shared" si="21"/>
        <v>0</v>
      </c>
      <c r="N233" s="229">
        <f t="shared" si="21"/>
        <v>-6.5060000000000002</v>
      </c>
      <c r="O233" s="229">
        <f t="shared" si="21"/>
        <v>-16.265000000000001</v>
      </c>
      <c r="P233" s="229">
        <f t="shared" si="21"/>
        <v>-16.265000000000001</v>
      </c>
      <c r="Q233" s="229">
        <f t="shared" si="21"/>
        <v>-16.265000000000001</v>
      </c>
      <c r="R233" s="229">
        <f t="shared" si="21"/>
        <v>-16.265000000000001</v>
      </c>
      <c r="S233" s="229">
        <f t="shared" si="21"/>
        <v>-9.7590000000000003</v>
      </c>
      <c r="T233" s="229">
        <f t="shared" si="21"/>
        <v>0</v>
      </c>
    </row>
    <row r="234" spans="2:20" ht="27.75" customHeight="1" x14ac:dyDescent="0.25">
      <c r="B234" s="63" t="s">
        <v>3688</v>
      </c>
      <c r="G234" s="254" t="str">
        <f>"With-CF09 FY"&amp;Inputs!$E$49&amp;": model "&amp;TEXT(E232,"#,##0.000")&amp;" vs v29 "&amp;TEXT(E231,"#,##0.000")&amp;" (difference "&amp;TEXT(ROUND(E233,3),"+#,##0.000;-#,##0.000;0.000")&amp;")"&amp;IF(ABS(E233)&lt;=Inputs!$E$50," - matches v29.",IF(LEFT(E230,19)="Differs - requested"," - due to the requested change: "&amp;MID(E230,29,200),IF($E$21&gt;0," - differs because inputs / switches were changed."," - UNEXPLAINED: no input was changed.")))</f>
        <v>With-CF09 FY2036: model 0.000 vs v29 0.000 (difference 0.000) - matches v29.</v>
      </c>
      <c r="H234" s="254"/>
      <c r="I234" s="254"/>
      <c r="J234" s="254"/>
      <c r="K234" s="254"/>
      <c r="L234" s="254"/>
      <c r="M234" s="254"/>
      <c r="N234" s="254"/>
      <c r="O234" s="254"/>
      <c r="P234" s="254"/>
      <c r="Q234" s="254"/>
      <c r="R234" s="254"/>
      <c r="S234" s="254"/>
      <c r="T234" s="254"/>
    </row>
    <row r="235" spans="2:20" ht="47.25" customHeight="1" x14ac:dyDescent="0.25">
      <c r="B235" s="221" t="s">
        <v>3770</v>
      </c>
      <c r="C235" s="222" t="s">
        <v>493</v>
      </c>
      <c r="D235" s="231" t="s">
        <v>3771</v>
      </c>
      <c r="E235" s="232" t="str">
        <f>IF(MAX(MAX(H238:T238),-MIN(H238:T238))&lt;=Inputs!$E$50,"Matches v29",IF(OR($E$22=1,$E$23=1),"Differs - requested change: "&amp;IF($E$22=1,"LT loan repaid in 2027 (not 2025); ","")&amp;IF($E$23=1,"new equity = residual funding requirement (not the v29 schedule)","")&amp;IF($E$21&gt;0," (and inputs changed)",""),IF($E$21&gt;0,"Differs - inputs changed","UNEXPLAINED")))</f>
        <v>Differs - requested change: LT loan repaid in 2027 (not 2025); new equity = residual funding requirement (not the v29 schedule) (and inputs changed)</v>
      </c>
      <c r="F235" s="225">
        <f>MAX(MAX(H238:T238),-MIN(H238:T238))</f>
        <v>66.301598708</v>
      </c>
      <c r="G235" s="226">
        <f>IF(OR($E$22=1,$E$23=1),0,MAX(MAX(H238:T238),-MIN(H238:T238)))</f>
        <v>0</v>
      </c>
    </row>
    <row r="236" spans="2:20" x14ac:dyDescent="0.25">
      <c r="B236" s="23" t="s">
        <v>3683</v>
      </c>
      <c r="C236" s="28" t="s">
        <v>493</v>
      </c>
      <c r="D236" s="155" t="s">
        <v>3772</v>
      </c>
      <c r="E236" s="178">
        <f>INDEX($G$236:$T$236,1,Inputs!$E$49-2022)</f>
        <v>-128.54587960915799</v>
      </c>
      <c r="H236" s="30">
        <f>'Source Data'!H849</f>
        <v>-6.3327025288222201</v>
      </c>
      <c r="I236" s="30">
        <f>'Source Data'!I849</f>
        <v>-17.018225208360501</v>
      </c>
      <c r="J236" s="30">
        <f>'Source Data'!J849</f>
        <v>-46.998288241660703</v>
      </c>
      <c r="K236" s="30">
        <f>'Source Data'!K849</f>
        <v>-66.301598708192302</v>
      </c>
      <c r="L236" s="30">
        <f>'Source Data'!L849</f>
        <v>-75.852592345920399</v>
      </c>
      <c r="M236" s="30">
        <f>'Source Data'!M849</f>
        <v>-87.991662902149102</v>
      </c>
      <c r="N236" s="30">
        <f>'Source Data'!N849</f>
        <v>-92.784292246747796</v>
      </c>
      <c r="O236" s="30">
        <f>'Source Data'!O849</f>
        <v>-102.572735835586</v>
      </c>
      <c r="P236" s="30">
        <f>'Source Data'!P849</f>
        <v>-108.11298126246101</v>
      </c>
      <c r="Q236" s="30">
        <f>'Source Data'!Q849</f>
        <v>-118.854059461265</v>
      </c>
      <c r="R236" s="30">
        <f>'Source Data'!R849</f>
        <v>-124.893946505218</v>
      </c>
      <c r="S236" s="30">
        <f>'Source Data'!S849</f>
        <v>-123.506043419409</v>
      </c>
      <c r="T236" s="30">
        <f>'Source Data'!T849</f>
        <v>-128.54587960915799</v>
      </c>
    </row>
    <row r="237" spans="2:20" ht="21.75" customHeight="1" x14ac:dyDescent="0.25">
      <c r="B237" s="23" t="s">
        <v>3685</v>
      </c>
      <c r="C237" s="28" t="s">
        <v>493</v>
      </c>
      <c r="D237" s="230" t="s">
        <v>3773</v>
      </c>
      <c r="E237" s="178">
        <f>INDEX($G$237:$T$237,1,Inputs!$E$49-2022)</f>
        <v>-132.14909845823394</v>
      </c>
      <c r="H237" s="161">
        <f>'FSL Output - With BUMN'!H280+'FSL Output - With BUMN'!H281</f>
        <v>-6.3327025288222343</v>
      </c>
      <c r="I237" s="161">
        <f>'FSL Output - With BUMN'!I280+'FSL Output - With BUMN'!I281</f>
        <v>-24.168312578226143</v>
      </c>
      <c r="J237" s="161">
        <f>'FSL Output - With BUMN'!J280+'FSL Output - With BUMN'!J281</f>
        <v>-43.29611758378374</v>
      </c>
      <c r="K237" s="161">
        <f>'FSL Output - With BUMN'!K280+'FSL Output - With BUMN'!K281</f>
        <v>0</v>
      </c>
      <c r="L237" s="161">
        <f>'FSL Output - With BUMN'!L280+'FSL Output - With BUMN'!L281</f>
        <v>-74.377897345920431</v>
      </c>
      <c r="M237" s="161">
        <f>'FSL Output - With BUMN'!M280+'FSL Output - With BUMN'!M281</f>
        <v>-85.975938287159337</v>
      </c>
      <c r="N237" s="161">
        <f>'FSL Output - With BUMN'!N280+'FSL Output - With BUMN'!N281</f>
        <v>-92.804338547055849</v>
      </c>
      <c r="O237" s="161">
        <f>'FSL Output - With BUMN'!O280+'FSL Output - With BUMN'!O281</f>
        <v>-103.81417555589361</v>
      </c>
      <c r="P237" s="161">
        <f>'FSL Output - With BUMN'!P280+'FSL Output - With BUMN'!P281</f>
        <v>-110.27752833153677</v>
      </c>
      <c r="Q237" s="161">
        <f>'FSL Output - With BUMN'!Q280+'FSL Output - With BUMN'!Q281</f>
        <v>-121.42553178157326</v>
      </c>
      <c r="R237" s="161">
        <f>'FSL Output - With BUMN'!R280+'FSL Output - With BUMN'!R281</f>
        <v>-127.86504987552635</v>
      </c>
      <c r="S237" s="161">
        <f>'FSL Output - With BUMN'!S280+'FSL Output - With BUMN'!S281</f>
        <v>-126.87677783971669</v>
      </c>
      <c r="T237" s="161">
        <f>'FSL Output - With BUMN'!T280+'FSL Output - With BUMN'!T281</f>
        <v>-132.14909845823394</v>
      </c>
    </row>
    <row r="238" spans="2:20" x14ac:dyDescent="0.25">
      <c r="B238" s="21" t="s">
        <v>3687</v>
      </c>
      <c r="C238" s="28" t="s">
        <v>493</v>
      </c>
      <c r="E238" s="228">
        <f>INDEX($G$238:$T$238,1,Inputs!$E$49-2022)</f>
        <v>-3.6032188490000001</v>
      </c>
      <c r="H238" s="229">
        <f t="shared" ref="H238:T238" si="22">ROUND(H237-H236,9)</f>
        <v>0</v>
      </c>
      <c r="I238" s="229">
        <f t="shared" si="22"/>
        <v>-7.1500873699999996</v>
      </c>
      <c r="J238" s="229">
        <f t="shared" si="22"/>
        <v>3.702170658</v>
      </c>
      <c r="K238" s="229">
        <f t="shared" si="22"/>
        <v>66.301598708</v>
      </c>
      <c r="L238" s="229">
        <f t="shared" si="22"/>
        <v>1.4746950000000001</v>
      </c>
      <c r="M238" s="229">
        <f t="shared" si="22"/>
        <v>2.0157246149999999</v>
      </c>
      <c r="N238" s="229">
        <f t="shared" si="22"/>
        <v>-2.00463E-2</v>
      </c>
      <c r="O238" s="229">
        <f t="shared" si="22"/>
        <v>-1.24143972</v>
      </c>
      <c r="P238" s="229">
        <f t="shared" si="22"/>
        <v>-2.1645470690000002</v>
      </c>
      <c r="Q238" s="229">
        <f t="shared" si="22"/>
        <v>-2.5714723199999998</v>
      </c>
      <c r="R238" s="229">
        <f t="shared" si="22"/>
        <v>-2.9711033699999998</v>
      </c>
      <c r="S238" s="229">
        <f t="shared" si="22"/>
        <v>-3.3707344199999998</v>
      </c>
      <c r="T238" s="229">
        <f t="shared" si="22"/>
        <v>-3.6032188490000001</v>
      </c>
    </row>
    <row r="239" spans="2:20" ht="27.75" customHeight="1" x14ac:dyDescent="0.25">
      <c r="B239" s="63" t="s">
        <v>3774</v>
      </c>
      <c r="G239" s="254" t="str">
        <f>"With-CF10 FY"&amp;Inputs!$E$49&amp;": model "&amp;TEXT(E237,"#,##0.000")&amp;" vs v29 "&amp;TEXT(E236,"#,##0.000")&amp;" (difference "&amp;TEXT(ROUND(E238,3),"+#,##0.000;-#,##0.000;0.000")&amp;")"&amp;IF(ABS(E238)&lt;=Inputs!$E$50," - matches v29.",IF(LEFT(E235,19)="Differs - requested"," - due to the requested change: "&amp;MID(E235,29,200),IF($E$21&gt;0," - differs because inputs / switches were changed."," - UNEXPLAINED: no input was changed.")))</f>
        <v>With-CF10 FY2036: model -132.149 vs v29 -128.546 (difference -3.603) - due to the requested change: LT loan repaid in 2027 (not 2025); new equity = residual funding requirement (not the v29 schedule) (and inputs changed)</v>
      </c>
      <c r="H239" s="254"/>
      <c r="I239" s="254"/>
      <c r="J239" s="254"/>
      <c r="K239" s="254"/>
      <c r="L239" s="254"/>
      <c r="M239" s="254"/>
      <c r="N239" s="254"/>
      <c r="O239" s="254"/>
      <c r="P239" s="254"/>
      <c r="Q239" s="254"/>
      <c r="R239" s="254"/>
      <c r="S239" s="254"/>
      <c r="T239" s="254"/>
    </row>
    <row r="240" spans="2:20" ht="47.25" customHeight="1" x14ac:dyDescent="0.25">
      <c r="B240" s="221" t="s">
        <v>3775</v>
      </c>
      <c r="C240" s="222" t="s">
        <v>493</v>
      </c>
      <c r="D240" s="231" t="s">
        <v>3776</v>
      </c>
      <c r="E240" s="232" t="str">
        <f>IF(MAX(MAX(H243:T243),-MIN(H243:T243))&lt;=Inputs!$E$50,"Matches v29",IF(OR($E$22=1,$E$23=1),"Differs - requested change: "&amp;IF($E$22=1,"LT loan repaid in 2027 (not 2025); ","")&amp;IF($E$23=1,"new equity = residual funding requirement (not the v29 schedule)","")&amp;IF($E$21&gt;0," (and inputs changed)",""),IF($E$21&gt;0,"Differs - inputs changed","UNEXPLAINED")))</f>
        <v>Differs - requested change: LT loan repaid in 2027 (not 2025); new equity = residual funding requirement (not the v29 schedule) (and inputs changed)</v>
      </c>
      <c r="F240" s="225">
        <f>MAX(MAX(H243:T243),-MIN(H243:T243))</f>
        <v>416.06985910399999</v>
      </c>
      <c r="G240" s="226">
        <f>IF(OR($E$22=1,$E$23=1),0,MAX(MAX(H243:T243),-MIN(H243:T243)))</f>
        <v>0</v>
      </c>
    </row>
    <row r="241" spans="2:20" x14ac:dyDescent="0.25">
      <c r="B241" s="23" t="s">
        <v>3683</v>
      </c>
      <c r="C241" s="28" t="s">
        <v>493</v>
      </c>
      <c r="D241" s="155" t="s">
        <v>3777</v>
      </c>
      <c r="E241" s="178">
        <f>INDEX($G$241:$T$241,1,Inputs!$E$49-2022)</f>
        <v>-128.54587960915799</v>
      </c>
      <c r="H241" s="30">
        <f>'Source Data'!H850</f>
        <v>-35.671167777582298</v>
      </c>
      <c r="I241" s="30">
        <f>'Source Data'!I850</f>
        <v>-212.19822520836101</v>
      </c>
      <c r="J241" s="30">
        <f>'Source Data'!J850</f>
        <v>372.77374152024402</v>
      </c>
      <c r="K241" s="30">
        <f>'Source Data'!K850</f>
        <v>93.702026291807698</v>
      </c>
      <c r="L241" s="30">
        <f>'Source Data'!L850</f>
        <v>-75.852592345920399</v>
      </c>
      <c r="M241" s="30">
        <f>'Source Data'!M850</f>
        <v>-87.991662902149102</v>
      </c>
      <c r="N241" s="30">
        <f>'Source Data'!N850</f>
        <v>-92.784292246747796</v>
      </c>
      <c r="O241" s="30">
        <f>'Source Data'!O850</f>
        <v>-102.572735835586</v>
      </c>
      <c r="P241" s="30">
        <f>'Source Data'!P850</f>
        <v>-108.11298126246101</v>
      </c>
      <c r="Q241" s="30">
        <f>'Source Data'!Q850</f>
        <v>-118.854059461265</v>
      </c>
      <c r="R241" s="30">
        <f>'Source Data'!R850</f>
        <v>-124.893946505218</v>
      </c>
      <c r="S241" s="30">
        <f>'Source Data'!S850</f>
        <v>-123.506043419409</v>
      </c>
      <c r="T241" s="30">
        <f>'Source Data'!T850</f>
        <v>-128.54587960915799</v>
      </c>
    </row>
    <row r="242" spans="2:20" x14ac:dyDescent="0.25">
      <c r="B242" s="23" t="s">
        <v>3685</v>
      </c>
      <c r="C242" s="28" t="s">
        <v>493</v>
      </c>
      <c r="D242" s="227" t="s">
        <v>3778</v>
      </c>
      <c r="E242" s="178">
        <f>INDEX($G$242:$T$242,1,Inputs!$E$49-2022)</f>
        <v>-132.14909845823394</v>
      </c>
      <c r="H242" s="30">
        <f>'FSL Output - With BUMN'!H282</f>
        <v>-35.671167777582234</v>
      </c>
      <c r="I242" s="30">
        <f>'FSL Output - With BUMN'!I282</f>
        <v>-24.168312578226143</v>
      </c>
      <c r="J242" s="30">
        <f>'FSL Output - With BUMN'!J282</f>
        <v>-43.29611758378374</v>
      </c>
      <c r="K242" s="30">
        <f>'FSL Output - With BUMN'!K282</f>
        <v>-133.76583724135844</v>
      </c>
      <c r="L242" s="30">
        <f>'FSL Output - With BUMN'!L282</f>
        <v>-25.582897345920429</v>
      </c>
      <c r="M242" s="30">
        <f>'FSL Output - With BUMN'!M282</f>
        <v>-85.975938287159337</v>
      </c>
      <c r="N242" s="30">
        <f>'FSL Output - With BUMN'!N282</f>
        <v>-99.310338547055849</v>
      </c>
      <c r="O242" s="30">
        <f>'FSL Output - With BUMN'!O282</f>
        <v>-120.07917555589361</v>
      </c>
      <c r="P242" s="30">
        <f>'FSL Output - With BUMN'!P282</f>
        <v>-126.54252833153677</v>
      </c>
      <c r="Q242" s="30">
        <f>'FSL Output - With BUMN'!Q282</f>
        <v>-137.69053178157327</v>
      </c>
      <c r="R242" s="30">
        <f>'FSL Output - With BUMN'!R282</f>
        <v>-144.13004987552637</v>
      </c>
      <c r="S242" s="30">
        <f>'FSL Output - With BUMN'!S282</f>
        <v>-136.6357778397167</v>
      </c>
      <c r="T242" s="30">
        <f>'FSL Output - With BUMN'!T282</f>
        <v>-132.14909845823394</v>
      </c>
    </row>
    <row r="243" spans="2:20" x14ac:dyDescent="0.25">
      <c r="B243" s="21" t="s">
        <v>3687</v>
      </c>
      <c r="C243" s="28" t="s">
        <v>493</v>
      </c>
      <c r="E243" s="228">
        <f>INDEX($G$243:$T$243,1,Inputs!$E$49-2022)</f>
        <v>-3.6032188490000001</v>
      </c>
      <c r="H243" s="229">
        <f t="shared" ref="H243:T243" si="23">ROUND(H242-H241,9)</f>
        <v>0</v>
      </c>
      <c r="I243" s="229">
        <f t="shared" si="23"/>
        <v>188.02991263000001</v>
      </c>
      <c r="J243" s="229">
        <f t="shared" si="23"/>
        <v>-416.06985910399999</v>
      </c>
      <c r="K243" s="229">
        <f t="shared" si="23"/>
        <v>-227.46786353300001</v>
      </c>
      <c r="L243" s="229">
        <f t="shared" si="23"/>
        <v>50.269694999999999</v>
      </c>
      <c r="M243" s="229">
        <f t="shared" si="23"/>
        <v>2.0157246149999999</v>
      </c>
      <c r="N243" s="229">
        <f t="shared" si="23"/>
        <v>-6.5260463</v>
      </c>
      <c r="O243" s="229">
        <f t="shared" si="23"/>
        <v>-17.506439719999999</v>
      </c>
      <c r="P243" s="229">
        <f t="shared" si="23"/>
        <v>-18.429547069000002</v>
      </c>
      <c r="Q243" s="229">
        <f t="shared" si="23"/>
        <v>-18.836472319999999</v>
      </c>
      <c r="R243" s="229">
        <f t="shared" si="23"/>
        <v>-19.236103369999999</v>
      </c>
      <c r="S243" s="229">
        <f t="shared" si="23"/>
        <v>-13.12973442</v>
      </c>
      <c r="T243" s="229">
        <f t="shared" si="23"/>
        <v>-3.6032188490000001</v>
      </c>
    </row>
    <row r="244" spans="2:20" ht="27.75" customHeight="1" x14ac:dyDescent="0.25">
      <c r="B244" s="63" t="s">
        <v>3688</v>
      </c>
      <c r="G244" s="254" t="str">
        <f>"With-CF11 FY"&amp;Inputs!$E$49&amp;": model "&amp;TEXT(E242,"#,##0.000")&amp;" vs v29 "&amp;TEXT(E241,"#,##0.000")&amp;" (difference "&amp;TEXT(ROUND(E243,3),"+#,##0.000;-#,##0.000;0.000")&amp;")"&amp;IF(ABS(E243)&lt;=Inputs!$E$50," - matches v29.",IF(LEFT(E240,19)="Differs - requested"," - due to the requested change: "&amp;MID(E240,29,200),IF($E$21&gt;0," - differs because inputs / switches were changed."," - UNEXPLAINED: no input was changed.")))</f>
        <v>With-CF11 FY2036: model -132.149 vs v29 -128.546 (difference -3.603) - due to the requested change: LT loan repaid in 2027 (not 2025); new equity = residual funding requirement (not the v29 schedule) (and inputs changed)</v>
      </c>
      <c r="H244" s="254"/>
      <c r="I244" s="254"/>
      <c r="J244" s="254"/>
      <c r="K244" s="254"/>
      <c r="L244" s="254"/>
      <c r="M244" s="254"/>
      <c r="N244" s="254"/>
      <c r="O244" s="254"/>
      <c r="P244" s="254"/>
      <c r="Q244" s="254"/>
      <c r="R244" s="254"/>
      <c r="S244" s="254"/>
      <c r="T244" s="254"/>
    </row>
    <row r="245" spans="2:20" ht="47.25" customHeight="1" x14ac:dyDescent="0.25">
      <c r="B245" s="221" t="s">
        <v>3779</v>
      </c>
      <c r="C245" s="222" t="s">
        <v>493</v>
      </c>
      <c r="D245" s="231" t="s">
        <v>3780</v>
      </c>
      <c r="E245" s="232" t="str">
        <f>IF(MAX(MAX(H248:T248),-MIN(H248:T248))&lt;=Inputs!$E$50,"Matches v29",IF(OR($E$22=1,$E$23=1),"Differs - requested change: "&amp;IF($E$22=1,"LT loan repaid in 2027 (not 2025); ","")&amp;IF($E$23=1,"new equity = residual funding requirement (not the v29 schedule)","")&amp;IF($E$21&gt;0," (and inputs changed)",""),IF($E$21&gt;0,"Differs - inputs changed","UNEXPLAINED")))</f>
        <v>Differs - requested change: LT loan repaid in 2027 (not 2025); new equity = residual funding requirement (not the v29 schedule) (and inputs changed)</v>
      </c>
      <c r="F245" s="225">
        <f>MAX(MAX(H248:T248),-MIN(H248:T248))</f>
        <v>428.41042796400001</v>
      </c>
      <c r="G245" s="226">
        <f>IF(OR($E$22=1,$E$23=1),0,MAX(MAX(H248:T248),-MIN(H248:T248)))</f>
        <v>0</v>
      </c>
    </row>
    <row r="246" spans="2:20" x14ac:dyDescent="0.25">
      <c r="B246" s="23" t="s">
        <v>3683</v>
      </c>
      <c r="C246" s="28" t="s">
        <v>493</v>
      </c>
      <c r="D246" s="155" t="s">
        <v>3781</v>
      </c>
      <c r="E246" s="178">
        <f>INDEX($G$246:$T$246,1,Inputs!$E$49-2022)</f>
        <v>471.74929035774801</v>
      </c>
      <c r="H246" s="30">
        <f>'Source Data'!H851</f>
        <v>-29.272342505336901</v>
      </c>
      <c r="I246" s="30">
        <f>'Source Data'!I851</f>
        <v>-28.3665625449431</v>
      </c>
      <c r="J246" s="30">
        <f>'Source Data'!J851</f>
        <v>241.097742596334</v>
      </c>
      <c r="K246" s="30">
        <f>'Source Data'!K851</f>
        <v>297.93020603356399</v>
      </c>
      <c r="L246" s="30">
        <f>'Source Data'!L851</f>
        <v>334.989838918793</v>
      </c>
      <c r="M246" s="30">
        <f>'Source Data'!M851</f>
        <v>367.22272461706098</v>
      </c>
      <c r="N246" s="30">
        <f>'Source Data'!N851</f>
        <v>384.144953425496</v>
      </c>
      <c r="O246" s="30">
        <f>'Source Data'!O851</f>
        <v>404.942566398194</v>
      </c>
      <c r="P246" s="30">
        <f>'Source Data'!P851</f>
        <v>424.64158744215803</v>
      </c>
      <c r="Q246" s="30">
        <f>'Source Data'!Q851</f>
        <v>447.43900732317002</v>
      </c>
      <c r="R246" s="30">
        <f>'Source Data'!R851</f>
        <v>461.96557353768799</v>
      </c>
      <c r="S246" s="30">
        <f>'Source Data'!S851</f>
        <v>462.41434393656101</v>
      </c>
      <c r="T246" s="30">
        <f>'Source Data'!T851</f>
        <v>471.74929035774801</v>
      </c>
    </row>
    <row r="247" spans="2:20" x14ac:dyDescent="0.25">
      <c r="B247" s="23" t="s">
        <v>3685</v>
      </c>
      <c r="C247" s="28" t="s">
        <v>493</v>
      </c>
      <c r="D247" s="227" t="s">
        <v>3782</v>
      </c>
      <c r="E247" s="178">
        <f>INDEX($G$247:$T$247,1,Inputs!$E$49-2022)</f>
        <v>491.57767283795368</v>
      </c>
      <c r="H247" s="30">
        <f>'FSL Output - With BUMN'!H283</f>
        <v>-29.272342505336788</v>
      </c>
      <c r="I247" s="30">
        <f>'FSL Output - With BUMN'!I283</f>
        <v>159.6633500851913</v>
      </c>
      <c r="J247" s="30">
        <f>'FSL Output - With BUMN'!J283</f>
        <v>-187.31268536728336</v>
      </c>
      <c r="K247" s="30">
        <f>'FSL Output - With BUMN'!K283</f>
        <v>-0.71722726285116778</v>
      </c>
      <c r="L247" s="30">
        <f>'FSL Output - With BUMN'!L283</f>
        <v>282.75388391879335</v>
      </c>
      <c r="M247" s="30">
        <f>'FSL Output - With BUMN'!M283</f>
        <v>371.32527286218721</v>
      </c>
      <c r="N247" s="30">
        <f>'FSL Output - With BUMN'!N283</f>
        <v>388.15462010768772</v>
      </c>
      <c r="O247" s="30">
        <f>'FSL Output - With BUMN'!O283</f>
        <v>402.34608941654972</v>
      </c>
      <c r="P247" s="30">
        <f>'FSL Output - With BUMN'!P283</f>
        <v>424.54513074619979</v>
      </c>
      <c r="Q247" s="30">
        <f>'FSL Output - With BUMN'!Q283</f>
        <v>448.53982347159564</v>
      </c>
      <c r="R247" s="30">
        <f>'FSL Output - With BUMN'!R283</f>
        <v>464.01085511837238</v>
      </c>
      <c r="S247" s="30">
        <f>'FSL Output - With BUMN'!S283</f>
        <v>471.89809796724552</v>
      </c>
      <c r="T247" s="30">
        <f>'FSL Output - With BUMN'!T283</f>
        <v>491.57767283795368</v>
      </c>
    </row>
    <row r="248" spans="2:20" x14ac:dyDescent="0.25">
      <c r="B248" s="21" t="s">
        <v>3687</v>
      </c>
      <c r="C248" s="28" t="s">
        <v>493</v>
      </c>
      <c r="E248" s="228">
        <f>INDEX($G$248:$T$248,1,Inputs!$E$49-2022)</f>
        <v>19.828382479999998</v>
      </c>
      <c r="H248" s="229">
        <f t="shared" ref="H248:T248" si="24">ROUND(H247-H246,9)</f>
        <v>0</v>
      </c>
      <c r="I248" s="229">
        <f t="shared" si="24"/>
        <v>188.02991263000001</v>
      </c>
      <c r="J248" s="229">
        <f t="shared" si="24"/>
        <v>-428.41042796400001</v>
      </c>
      <c r="K248" s="229">
        <f t="shared" si="24"/>
        <v>-298.64743329599997</v>
      </c>
      <c r="L248" s="229">
        <f t="shared" si="24"/>
        <v>-52.235954999999997</v>
      </c>
      <c r="M248" s="229">
        <f t="shared" si="24"/>
        <v>4.1025482450000004</v>
      </c>
      <c r="N248" s="229">
        <f t="shared" si="24"/>
        <v>4.0096666819999998</v>
      </c>
      <c r="O248" s="229">
        <f t="shared" si="24"/>
        <v>-2.596476982</v>
      </c>
      <c r="P248" s="229">
        <f t="shared" si="24"/>
        <v>-9.6456695999999995E-2</v>
      </c>
      <c r="Q248" s="229">
        <f t="shared" si="24"/>
        <v>1.100816148</v>
      </c>
      <c r="R248" s="229">
        <f t="shared" si="24"/>
        <v>2.0452815809999998</v>
      </c>
      <c r="S248" s="229">
        <f t="shared" si="24"/>
        <v>9.4837540310000001</v>
      </c>
      <c r="T248" s="229">
        <f t="shared" si="24"/>
        <v>19.828382479999998</v>
      </c>
    </row>
    <row r="249" spans="2:20" ht="27.75" customHeight="1" x14ac:dyDescent="0.25">
      <c r="B249" s="63" t="s">
        <v>3688</v>
      </c>
      <c r="G249" s="254" t="str">
        <f>"With-CF12 FY"&amp;Inputs!$E$49&amp;": model "&amp;TEXT(E247,"#,##0.000")&amp;" vs v29 "&amp;TEXT(E246,"#,##0.000")&amp;" (difference "&amp;TEXT(ROUND(E248,3),"+#,##0.000;-#,##0.000;0.000")&amp;")"&amp;IF(ABS(E248)&lt;=Inputs!$E$50," - matches v29.",IF(LEFT(E245,19)="Differs - requested"," - due to the requested change: "&amp;MID(E245,29,200),IF($E$21&gt;0," - differs because inputs / switches were changed."," - UNEXPLAINED: no input was changed.")))</f>
        <v>With-CF12 FY2036: model 491.578 vs v29 471.749 (difference +19.828) - due to the requested change: LT loan repaid in 2027 (not 2025); new equity = residual funding requirement (not the v29 schedule) (and inputs changed)</v>
      </c>
      <c r="H249" s="254"/>
      <c r="I249" s="254"/>
      <c r="J249" s="254"/>
      <c r="K249" s="254"/>
      <c r="L249" s="254"/>
      <c r="M249" s="254"/>
      <c r="N249" s="254"/>
      <c r="O249" s="254"/>
      <c r="P249" s="254"/>
      <c r="Q249" s="254"/>
      <c r="R249" s="254"/>
      <c r="S249" s="254"/>
      <c r="T249" s="254"/>
    </row>
    <row r="250" spans="2:20" ht="47.25" customHeight="1" x14ac:dyDescent="0.25">
      <c r="B250" s="221" t="s">
        <v>3783</v>
      </c>
      <c r="C250" s="222" t="s">
        <v>493</v>
      </c>
      <c r="D250" s="231" t="s">
        <v>3784</v>
      </c>
      <c r="E250" s="232" t="str">
        <f>IF(MAX(MAX(G253:T253),-MIN(G253:T253))&lt;=Inputs!$E$50,"Matches v29",IF(OR($E$22=1,$E$23=1),"Differs - requested change: "&amp;IF($E$22=1,"LT loan repaid in 2027 (not 2025); ","")&amp;IF($E$23=1,"new equity = residual funding requirement (not the v29 schedule)","")&amp;IF($E$21&gt;0," (and inputs changed)",""),IF($E$21&gt;0,"Differs - inputs changed","UNEXPLAINED")))</f>
        <v>Differs - requested change: LT loan repaid in 2027 (not 2025); new equity = residual funding requirement (not the v29 schedule) (and inputs changed)</v>
      </c>
      <c r="F250" s="225">
        <f>MAX(MAX(G253:T253),-MIN(G253:T253))</f>
        <v>591.26390362999996</v>
      </c>
      <c r="G250" s="226">
        <f>IF(OR($E$22=1,$E$23=1),0,MAX(MAX(G253:T253),-MIN(G253:T253)))</f>
        <v>0</v>
      </c>
    </row>
    <row r="251" spans="2:20" x14ac:dyDescent="0.25">
      <c r="B251" s="23" t="s">
        <v>3683</v>
      </c>
      <c r="C251" s="28" t="s">
        <v>493</v>
      </c>
      <c r="D251" s="155" t="s">
        <v>3785</v>
      </c>
      <c r="E251" s="178">
        <f>INDEX($G$251:$T$251,1,Inputs!$E$49-2022)</f>
        <v>4301.5378345867703</v>
      </c>
      <c r="G251" s="30">
        <f>'Source Data'!G852</f>
        <v>60.638905050280002</v>
      </c>
      <c r="H251" s="30">
        <f>'Source Data'!H852</f>
        <v>31.3665625449431</v>
      </c>
      <c r="I251" s="30">
        <f>'Source Data'!I852</f>
        <v>2.9999999999999898</v>
      </c>
      <c r="J251" s="30">
        <f>'Source Data'!J852</f>
        <v>244.097742596334</v>
      </c>
      <c r="K251" s="30">
        <f>'Source Data'!K852</f>
        <v>542.02794862989799</v>
      </c>
      <c r="L251" s="30">
        <f>'Source Data'!L852</f>
        <v>877.01778754869099</v>
      </c>
      <c r="M251" s="30">
        <f>'Source Data'!M852</f>
        <v>1244.24051216575</v>
      </c>
      <c r="N251" s="30">
        <f>'Source Data'!N852</f>
        <v>1628.3854655912501</v>
      </c>
      <c r="O251" s="30">
        <f>'Source Data'!O852</f>
        <v>2033.32803198944</v>
      </c>
      <c r="P251" s="30">
        <f>'Source Data'!P852</f>
        <v>2457.9696194316002</v>
      </c>
      <c r="Q251" s="30">
        <f>'Source Data'!Q852</f>
        <v>2905.40862675477</v>
      </c>
      <c r="R251" s="30">
        <f>'Source Data'!R852</f>
        <v>3367.37420029246</v>
      </c>
      <c r="S251" s="30">
        <f>'Source Data'!S852</f>
        <v>3829.7885442290199</v>
      </c>
      <c r="T251" s="30">
        <f>'Source Data'!T852</f>
        <v>4301.5378345867703</v>
      </c>
    </row>
    <row r="252" spans="2:20" x14ac:dyDescent="0.25">
      <c r="B252" s="23" t="s">
        <v>3685</v>
      </c>
      <c r="C252" s="28" t="s">
        <v>493</v>
      </c>
      <c r="D252" s="227" t="s">
        <v>3786</v>
      </c>
      <c r="E252" s="178">
        <f>INDEX($G$252:$T$252,1,Inputs!$E$49-2022)</f>
        <v>3748.1514464465854</v>
      </c>
      <c r="G252" s="30">
        <f>'FSL Output - With BUMN'!G284</f>
        <v>60.638905050280002</v>
      </c>
      <c r="H252" s="30">
        <f>'FSL Output - With BUMN'!H284</f>
        <v>31.366562544943214</v>
      </c>
      <c r="I252" s="30">
        <f>'FSL Output - With BUMN'!I284</f>
        <v>191.0299126301345</v>
      </c>
      <c r="J252" s="30">
        <f>'FSL Output - With BUMN'!J284</f>
        <v>3.7172272628511394</v>
      </c>
      <c r="K252" s="30">
        <f>'FSL Output - With BUMN'!K284</f>
        <v>2.9999999999999716</v>
      </c>
      <c r="L252" s="30">
        <f>'FSL Output - With BUMN'!L284</f>
        <v>285.75388391879335</v>
      </c>
      <c r="M252" s="30">
        <f>'FSL Output - With BUMN'!M284</f>
        <v>657.07915678098061</v>
      </c>
      <c r="N252" s="30">
        <f>'FSL Output - With BUMN'!N284</f>
        <v>1045.2337768886682</v>
      </c>
      <c r="O252" s="30">
        <f>'FSL Output - With BUMN'!O284</f>
        <v>1447.5798663052178</v>
      </c>
      <c r="P252" s="30">
        <f>'FSL Output - With BUMN'!P284</f>
        <v>1872.1249970514177</v>
      </c>
      <c r="Q252" s="30">
        <f>'FSL Output - With BUMN'!Q284</f>
        <v>2320.6648205230135</v>
      </c>
      <c r="R252" s="30">
        <f>'FSL Output - With BUMN'!R284</f>
        <v>2784.6756756413861</v>
      </c>
      <c r="S252" s="30">
        <f>'FSL Output - With BUMN'!S284</f>
        <v>3256.5737736086317</v>
      </c>
      <c r="T252" s="30">
        <f>'FSL Output - With BUMN'!T284</f>
        <v>3748.1514464465854</v>
      </c>
    </row>
    <row r="253" spans="2:20" x14ac:dyDescent="0.25">
      <c r="B253" s="21" t="s">
        <v>3687</v>
      </c>
      <c r="C253" s="28" t="s">
        <v>493</v>
      </c>
      <c r="E253" s="228">
        <f>INDEX($G$253:$T$253,1,Inputs!$E$49-2022)</f>
        <v>-553.38638814000001</v>
      </c>
      <c r="G253" s="229">
        <f t="shared" ref="G253:T253" si="25">ROUND(G252-G251,9)</f>
        <v>0</v>
      </c>
      <c r="H253" s="229">
        <f t="shared" si="25"/>
        <v>0</v>
      </c>
      <c r="I253" s="229">
        <f t="shared" si="25"/>
        <v>188.02991263000001</v>
      </c>
      <c r="J253" s="229">
        <f t="shared" si="25"/>
        <v>-240.38051533300001</v>
      </c>
      <c r="K253" s="229">
        <f t="shared" si="25"/>
        <v>-539.02794862999997</v>
      </c>
      <c r="L253" s="229">
        <f t="shared" si="25"/>
        <v>-591.26390362999996</v>
      </c>
      <c r="M253" s="229">
        <f t="shared" si="25"/>
        <v>-587.16135538499998</v>
      </c>
      <c r="N253" s="229">
        <f t="shared" si="25"/>
        <v>-583.15168870299999</v>
      </c>
      <c r="O253" s="229">
        <f t="shared" si="25"/>
        <v>-585.74816568400001</v>
      </c>
      <c r="P253" s="229">
        <f t="shared" si="25"/>
        <v>-585.84462238000003</v>
      </c>
      <c r="Q253" s="229">
        <f t="shared" si="25"/>
        <v>-584.743806232</v>
      </c>
      <c r="R253" s="229">
        <f t="shared" si="25"/>
        <v>-582.69852465099996</v>
      </c>
      <c r="S253" s="229">
        <f t="shared" si="25"/>
        <v>-573.21477061999997</v>
      </c>
      <c r="T253" s="229">
        <f t="shared" si="25"/>
        <v>-553.38638814000001</v>
      </c>
    </row>
    <row r="254" spans="2:20" ht="27.75" customHeight="1" x14ac:dyDescent="0.25">
      <c r="B254" s="63" t="s">
        <v>3688</v>
      </c>
      <c r="G254" s="254" t="str">
        <f>"With-CF13 FY"&amp;Inputs!$E$49&amp;": model "&amp;TEXT(E252,"#,##0.000")&amp;" vs v29 "&amp;TEXT(E251,"#,##0.000")&amp;" (difference "&amp;TEXT(ROUND(E253,3),"+#,##0.000;-#,##0.000;0.000")&amp;")"&amp;IF(ABS(E253)&lt;=Inputs!$E$50," - matches v29.",IF(LEFT(E250,19)="Differs - requested"," - due to the requested change: "&amp;MID(E250,29,200),IF($E$21&gt;0," - differs because inputs / switches were changed."," - UNEXPLAINED: no input was changed.")))</f>
        <v>With-CF13 FY2036: model 3,748.151 vs v29 4,301.538 (difference -553.386) - due to the requested change: LT loan repaid in 2027 (not 2025); new equity = residual funding requirement (not the v29 schedule) (and inputs changed)</v>
      </c>
      <c r="H254" s="254"/>
      <c r="I254" s="254"/>
      <c r="J254" s="254"/>
      <c r="K254" s="254"/>
      <c r="L254" s="254"/>
      <c r="M254" s="254"/>
      <c r="N254" s="254"/>
      <c r="O254" s="254"/>
      <c r="P254" s="254"/>
      <c r="Q254" s="254"/>
      <c r="R254" s="254"/>
      <c r="S254" s="254"/>
      <c r="T254" s="254"/>
    </row>
    <row r="255" spans="2:20" ht="47.25" customHeight="1" x14ac:dyDescent="0.25">
      <c r="B255" s="221" t="s">
        <v>3787</v>
      </c>
      <c r="C255" s="222" t="s">
        <v>493</v>
      </c>
      <c r="D255" s="231" t="s">
        <v>3788</v>
      </c>
      <c r="E255" s="232" t="str">
        <f>IF(MAX(MAX(G258:T258),-MIN(G258:T258))&lt;=Inputs!$E$50,"Matches v29",IF(OR($E$22=1,$E$23=1),"Differs - requested change: "&amp;IF($E$22=1,"LT loan repaid in 2027 (not 2025); ","")&amp;IF($E$23=1,"new equity = residual funding requirement (not the v29 schedule)","")&amp;IF($E$21&gt;0," (and inputs changed)",""),IF($E$21&gt;0,"Differs - inputs changed","UNEXPLAINED")))</f>
        <v>Differs - requested change: LT loan repaid in 2027 (not 2025); new equity = residual funding requirement (not the v29 schedule) (and inputs changed)</v>
      </c>
      <c r="F255" s="225">
        <f>MAX(MAX(G258:T258),-MIN(G258:T258))</f>
        <v>591.26390362999996</v>
      </c>
      <c r="G255" s="226">
        <f>IF(OR($E$22=1,$E$23=1),0,MAX(MAX(G258:T258),-MIN(G258:T258)))</f>
        <v>0</v>
      </c>
    </row>
    <row r="256" spans="2:20" x14ac:dyDescent="0.25">
      <c r="B256" s="23" t="s">
        <v>3683</v>
      </c>
      <c r="C256" s="28" t="s">
        <v>493</v>
      </c>
      <c r="D256" s="155" t="s">
        <v>3789</v>
      </c>
      <c r="E256" s="178">
        <f>INDEX($G$256:$T$256,1,Inputs!$E$49-2022)</f>
        <v>4301.5378345867703</v>
      </c>
      <c r="G256" s="30">
        <f>'Source Data'!G854</f>
        <v>60.638905050280002</v>
      </c>
      <c r="H256" s="30">
        <f>'Source Data'!H854</f>
        <v>31.3665625449431</v>
      </c>
      <c r="I256" s="30">
        <f>'Source Data'!I854</f>
        <v>2.9999999999999898</v>
      </c>
      <c r="J256" s="30">
        <f>'Source Data'!J854</f>
        <v>244.097742596334</v>
      </c>
      <c r="K256" s="30">
        <f>'Source Data'!K854</f>
        <v>542.02794862989799</v>
      </c>
      <c r="L256" s="30">
        <f>'Source Data'!L854</f>
        <v>877.01778754869099</v>
      </c>
      <c r="M256" s="30">
        <f>'Source Data'!M854</f>
        <v>1244.24051216575</v>
      </c>
      <c r="N256" s="30">
        <f>'Source Data'!N854</f>
        <v>1628.3854655912501</v>
      </c>
      <c r="O256" s="30">
        <f>'Source Data'!O854</f>
        <v>2033.32803198944</v>
      </c>
      <c r="P256" s="30">
        <f>'Source Data'!P854</f>
        <v>2457.9696194316002</v>
      </c>
      <c r="Q256" s="30">
        <f>'Source Data'!Q854</f>
        <v>2905.40862675477</v>
      </c>
      <c r="R256" s="30">
        <f>'Source Data'!R854</f>
        <v>3367.37420029246</v>
      </c>
      <c r="S256" s="30">
        <f>'Source Data'!S854</f>
        <v>3829.7885442290199</v>
      </c>
      <c r="T256" s="30">
        <f>'Source Data'!T854</f>
        <v>4301.5378345867703</v>
      </c>
    </row>
    <row r="257" spans="2:20" x14ac:dyDescent="0.25">
      <c r="B257" s="23" t="s">
        <v>3685</v>
      </c>
      <c r="C257" s="28" t="s">
        <v>493</v>
      </c>
      <c r="D257" s="227" t="s">
        <v>3790</v>
      </c>
      <c r="E257" s="178">
        <f>INDEX($G$257:$T$257,1,Inputs!$E$49-2022)</f>
        <v>3748.1514464465854</v>
      </c>
      <c r="G257" s="30">
        <f>'FSL Output - With BUMN'!G241</f>
        <v>60.638905050280002</v>
      </c>
      <c r="H257" s="30">
        <f>'FSL Output - With BUMN'!H241</f>
        <v>31.366562544943211</v>
      </c>
      <c r="I257" s="30">
        <f>'FSL Output - With BUMN'!I241</f>
        <v>191.0299126301345</v>
      </c>
      <c r="J257" s="30">
        <f>'FSL Output - With BUMN'!J241</f>
        <v>3.7172272628511678</v>
      </c>
      <c r="K257" s="30">
        <f>'FSL Output - With BUMN'!K241</f>
        <v>3</v>
      </c>
      <c r="L257" s="30">
        <f>'FSL Output - With BUMN'!L241</f>
        <v>285.75388391879335</v>
      </c>
      <c r="M257" s="30">
        <f>'FSL Output - With BUMN'!M241</f>
        <v>657.0791567809805</v>
      </c>
      <c r="N257" s="30">
        <f>'FSL Output - With BUMN'!N241</f>
        <v>1045.2337768886682</v>
      </c>
      <c r="O257" s="30">
        <f>'FSL Output - With BUMN'!O241</f>
        <v>1447.579866305218</v>
      </c>
      <c r="P257" s="30">
        <f>'FSL Output - With BUMN'!P241</f>
        <v>1872.1249970514179</v>
      </c>
      <c r="Q257" s="30">
        <f>'FSL Output - With BUMN'!Q241</f>
        <v>2320.664820523014</v>
      </c>
      <c r="R257" s="30">
        <f>'FSL Output - With BUMN'!R241</f>
        <v>2784.6756756413865</v>
      </c>
      <c r="S257" s="30">
        <f>'FSL Output - With BUMN'!S241</f>
        <v>3256.5737736086317</v>
      </c>
      <c r="T257" s="30">
        <f>'FSL Output - With BUMN'!T241</f>
        <v>3748.1514464465854</v>
      </c>
    </row>
    <row r="258" spans="2:20" x14ac:dyDescent="0.25">
      <c r="B258" s="21" t="s">
        <v>3687</v>
      </c>
      <c r="C258" s="28" t="s">
        <v>493</v>
      </c>
      <c r="E258" s="228">
        <f>INDEX($G$258:$T$258,1,Inputs!$E$49-2022)</f>
        <v>-553.38638814000001</v>
      </c>
      <c r="G258" s="229">
        <f t="shared" ref="G258:T258" si="26">ROUND(G257-G256,9)</f>
        <v>0</v>
      </c>
      <c r="H258" s="229">
        <f t="shared" si="26"/>
        <v>0</v>
      </c>
      <c r="I258" s="229">
        <f t="shared" si="26"/>
        <v>188.02991263000001</v>
      </c>
      <c r="J258" s="229">
        <f t="shared" si="26"/>
        <v>-240.38051533300001</v>
      </c>
      <c r="K258" s="229">
        <f t="shared" si="26"/>
        <v>-539.02794862999997</v>
      </c>
      <c r="L258" s="229">
        <f t="shared" si="26"/>
        <v>-591.26390362999996</v>
      </c>
      <c r="M258" s="229">
        <f t="shared" si="26"/>
        <v>-587.16135538499998</v>
      </c>
      <c r="N258" s="229">
        <f t="shared" si="26"/>
        <v>-583.15168870299999</v>
      </c>
      <c r="O258" s="229">
        <f t="shared" si="26"/>
        <v>-585.74816568400001</v>
      </c>
      <c r="P258" s="229">
        <f t="shared" si="26"/>
        <v>-585.84462238000003</v>
      </c>
      <c r="Q258" s="229">
        <f t="shared" si="26"/>
        <v>-584.743806232</v>
      </c>
      <c r="R258" s="229">
        <f t="shared" si="26"/>
        <v>-582.69852465099996</v>
      </c>
      <c r="S258" s="229">
        <f t="shared" si="26"/>
        <v>-573.21477061999997</v>
      </c>
      <c r="T258" s="229">
        <f t="shared" si="26"/>
        <v>-553.38638814000001</v>
      </c>
    </row>
    <row r="259" spans="2:20" ht="27.75" customHeight="1" x14ac:dyDescent="0.25">
      <c r="B259" s="63" t="s">
        <v>3688</v>
      </c>
      <c r="G259" s="254" t="str">
        <f>"With-BS01 FY"&amp;Inputs!$E$49&amp;": model "&amp;TEXT(E257,"#,##0.000")&amp;" vs v29 "&amp;TEXT(E256,"#,##0.000")&amp;" (difference "&amp;TEXT(ROUND(E258,3),"+#,##0.000;-#,##0.000;0.000")&amp;")"&amp;IF(ABS(E258)&lt;=Inputs!$E$50," - matches v29.",IF(LEFT(E255,19)="Differs - requested"," - due to the requested change: "&amp;MID(E255,29,200),IF($E$21&gt;0," - differs because inputs / switches were changed."," - UNEXPLAINED: no input was changed.")))</f>
        <v>With-BS01 FY2036: model 3,748.151 vs v29 4,301.538 (difference -553.386) - due to the requested change: LT loan repaid in 2027 (not 2025); new equity = residual funding requirement (not the v29 schedule) (and inputs changed)</v>
      </c>
      <c r="H259" s="254"/>
      <c r="I259" s="254"/>
      <c r="J259" s="254"/>
      <c r="K259" s="254"/>
      <c r="L259" s="254"/>
      <c r="M259" s="254"/>
      <c r="N259" s="254"/>
      <c r="O259" s="254"/>
      <c r="P259" s="254"/>
      <c r="Q259" s="254"/>
      <c r="R259" s="254"/>
      <c r="S259" s="254"/>
      <c r="T259" s="254"/>
    </row>
    <row r="260" spans="2:20" x14ac:dyDescent="0.25">
      <c r="B260" s="221" t="s">
        <v>3791</v>
      </c>
      <c r="C260" s="222" t="s">
        <v>493</v>
      </c>
      <c r="D260" s="223" t="s">
        <v>3792</v>
      </c>
      <c r="E260" s="224" t="str">
        <f>IF(MAX(MAX(G263:T263),-MIN(G263:T263))&lt;=Inputs!$E$50,"Matches v29",IF($E$21&gt;0,"Differs - inputs changed","UNEXPLAINED"))</f>
        <v>Matches v29</v>
      </c>
      <c r="F260" s="225">
        <f>MAX(MAX(G263:T263),-MIN(G263:T263))</f>
        <v>0</v>
      </c>
      <c r="G260" s="226">
        <f>MAX(MAX(G263:T263),-MIN(G263:T263))</f>
        <v>0</v>
      </c>
    </row>
    <row r="261" spans="2:20" x14ac:dyDescent="0.25">
      <c r="B261" s="23" t="s">
        <v>3683</v>
      </c>
      <c r="C261" s="28" t="s">
        <v>493</v>
      </c>
      <c r="D261" s="155" t="s">
        <v>3793</v>
      </c>
      <c r="E261" s="178">
        <f>INDEX($G$261:$T$261,1,Inputs!$E$49-2022)</f>
        <v>0</v>
      </c>
      <c r="G261" s="30">
        <f>'Source Data'!G855</f>
        <v>0.51981068748259995</v>
      </c>
      <c r="H261" s="30">
        <f>'Source Data'!H855</f>
        <v>0.51981068748259995</v>
      </c>
      <c r="I261" s="30">
        <f>'Source Data'!I855</f>
        <v>0.51981068748259995</v>
      </c>
      <c r="J261" s="30">
        <f>'Source Data'!J855</f>
        <v>0.51981068748259995</v>
      </c>
      <c r="K261" s="30">
        <f>'Source Data'!K855</f>
        <v>0.51981068748259995</v>
      </c>
      <c r="L261" s="30">
        <f>'Source Data'!L855</f>
        <v>0.51981068748259995</v>
      </c>
      <c r="M261" s="30">
        <f>'Source Data'!M855</f>
        <v>0.51981068748259995</v>
      </c>
      <c r="N261" s="30">
        <f>'Source Data'!N855</f>
        <v>0.51981068748259995</v>
      </c>
      <c r="O261" s="30">
        <f>'Source Data'!O855</f>
        <v>0.51981068748259995</v>
      </c>
      <c r="P261" s="30">
        <f>'Source Data'!P855</f>
        <v>0.51981068748259995</v>
      </c>
      <c r="Q261" s="30">
        <f>'Source Data'!Q855</f>
        <v>0.51981068748259995</v>
      </c>
      <c r="R261" s="30">
        <f>'Source Data'!R855</f>
        <v>0</v>
      </c>
      <c r="S261" s="30">
        <f>'Source Data'!S855</f>
        <v>0</v>
      </c>
      <c r="T261" s="30">
        <f>'Source Data'!T855</f>
        <v>0</v>
      </c>
    </row>
    <row r="262" spans="2:20" x14ac:dyDescent="0.25">
      <c r="B262" s="23" t="s">
        <v>3685</v>
      </c>
      <c r="C262" s="28" t="s">
        <v>493</v>
      </c>
      <c r="D262" s="227" t="s">
        <v>3794</v>
      </c>
      <c r="E262" s="178">
        <f>INDEX($G$262:$T$262,1,Inputs!$E$49-2022)</f>
        <v>0</v>
      </c>
      <c r="G262" s="30">
        <f>'FSL Output - With BUMN'!G242</f>
        <v>0.51981068748259995</v>
      </c>
      <c r="H262" s="30">
        <f>'FSL Output - With BUMN'!H242</f>
        <v>0.51981068748259995</v>
      </c>
      <c r="I262" s="30">
        <f>'FSL Output - With BUMN'!I242</f>
        <v>0.51981068748259995</v>
      </c>
      <c r="J262" s="30">
        <f>'FSL Output - With BUMN'!J242</f>
        <v>0.51981068748259995</v>
      </c>
      <c r="K262" s="30">
        <f>'FSL Output - With BUMN'!K242</f>
        <v>0.51981068748259995</v>
      </c>
      <c r="L262" s="30">
        <f>'FSL Output - With BUMN'!L242</f>
        <v>0.51981068748259995</v>
      </c>
      <c r="M262" s="30">
        <f>'FSL Output - With BUMN'!M242</f>
        <v>0.51981068748259995</v>
      </c>
      <c r="N262" s="30">
        <f>'FSL Output - With BUMN'!N242</f>
        <v>0.51981068748259995</v>
      </c>
      <c r="O262" s="30">
        <f>'FSL Output - With BUMN'!O242</f>
        <v>0.51981068748259995</v>
      </c>
      <c r="P262" s="30">
        <f>'FSL Output - With BUMN'!P242</f>
        <v>0.51981068748259995</v>
      </c>
      <c r="Q262" s="30">
        <f>'FSL Output - With BUMN'!Q242</f>
        <v>0.51981068748259995</v>
      </c>
      <c r="R262" s="30">
        <f>'FSL Output - With BUMN'!R242</f>
        <v>0</v>
      </c>
      <c r="S262" s="30">
        <f>'FSL Output - With BUMN'!S242</f>
        <v>0</v>
      </c>
      <c r="T262" s="30">
        <f>'FSL Output - With BUMN'!T242</f>
        <v>0</v>
      </c>
    </row>
    <row r="263" spans="2:20" x14ac:dyDescent="0.25">
      <c r="B263" s="21" t="s">
        <v>3687</v>
      </c>
      <c r="C263" s="28" t="s">
        <v>493</v>
      </c>
      <c r="E263" s="228">
        <f>INDEX($G$263:$T$263,1,Inputs!$E$49-2022)</f>
        <v>0</v>
      </c>
      <c r="G263" s="229">
        <f t="shared" ref="G263:T263" si="27">ROUND(G262-G261,9)</f>
        <v>0</v>
      </c>
      <c r="H263" s="229">
        <f t="shared" si="27"/>
        <v>0</v>
      </c>
      <c r="I263" s="229">
        <f t="shared" si="27"/>
        <v>0</v>
      </c>
      <c r="J263" s="229">
        <f t="shared" si="27"/>
        <v>0</v>
      </c>
      <c r="K263" s="229">
        <f t="shared" si="27"/>
        <v>0</v>
      </c>
      <c r="L263" s="229">
        <f t="shared" si="27"/>
        <v>0</v>
      </c>
      <c r="M263" s="229">
        <f t="shared" si="27"/>
        <v>0</v>
      </c>
      <c r="N263" s="229">
        <f t="shared" si="27"/>
        <v>0</v>
      </c>
      <c r="O263" s="229">
        <f t="shared" si="27"/>
        <v>0</v>
      </c>
      <c r="P263" s="229">
        <f t="shared" si="27"/>
        <v>0</v>
      </c>
      <c r="Q263" s="229">
        <f t="shared" si="27"/>
        <v>0</v>
      </c>
      <c r="R263" s="229">
        <f t="shared" si="27"/>
        <v>0</v>
      </c>
      <c r="S263" s="229">
        <f t="shared" si="27"/>
        <v>0</v>
      </c>
      <c r="T263" s="229">
        <f t="shared" si="27"/>
        <v>0</v>
      </c>
    </row>
    <row r="264" spans="2:20" ht="27.75" customHeight="1" x14ac:dyDescent="0.25">
      <c r="B264" s="63" t="s">
        <v>3795</v>
      </c>
      <c r="G264" s="254" t="str">
        <f>"With-BS02 FY"&amp;Inputs!$E$49&amp;": model "&amp;TEXT(E262,"#,##0.000")&amp;" vs v29 "&amp;TEXT(E261,"#,##0.000")&amp;" (difference "&amp;TEXT(ROUND(E263,3),"+#,##0.000;-#,##0.000;0.000")&amp;")"&amp;IF(ABS(E263)&lt;=Inputs!$E$50," - matches v29.",IF(LEFT(E260,19)="Differs - requested"," - due to the requested change: "&amp;MID(E260,29,200),IF($E$21&gt;0," - differs because inputs / switches were changed."," - UNEXPLAINED: no input was changed.")))</f>
        <v>With-BS02 FY2036: model 0.000 vs v29 0.000 (difference 0.000) - matches v29.</v>
      </c>
      <c r="H264" s="254"/>
      <c r="I264" s="254"/>
      <c r="J264" s="254"/>
      <c r="K264" s="254"/>
      <c r="L264" s="254"/>
      <c r="M264" s="254"/>
      <c r="N264" s="254"/>
      <c r="O264" s="254"/>
      <c r="P264" s="254"/>
      <c r="Q264" s="254"/>
      <c r="R264" s="254"/>
      <c r="S264" s="254"/>
      <c r="T264" s="254"/>
    </row>
    <row r="265" spans="2:20" x14ac:dyDescent="0.25">
      <c r="B265" s="221" t="s">
        <v>3796</v>
      </c>
      <c r="C265" s="222" t="s">
        <v>493</v>
      </c>
      <c r="D265" s="223" t="s">
        <v>3797</v>
      </c>
      <c r="E265" s="224" t="str">
        <f>IF(MAX(MAX(G268:T268),-MIN(G268:T268))&lt;=Inputs!$E$50,"Matches v29",IF($E$21&gt;0,"Differs - inputs changed","UNEXPLAINED"))</f>
        <v>Differs - inputs changed</v>
      </c>
      <c r="F265" s="225">
        <f>MAX(MAX(G268:T268),-MIN(G268:T268))</f>
        <v>5.9418493149999998</v>
      </c>
      <c r="G265" s="226">
        <f>MAX(MAX(G268:T268),-MIN(G268:T268))</f>
        <v>5.9418493149999998</v>
      </c>
    </row>
    <row r="266" spans="2:20" x14ac:dyDescent="0.25">
      <c r="B266" s="23" t="s">
        <v>3683</v>
      </c>
      <c r="C266" s="28" t="s">
        <v>493</v>
      </c>
      <c r="D266" s="155" t="s">
        <v>3798</v>
      </c>
      <c r="E266" s="178">
        <f>INDEX($G$266:$T$266,1,Inputs!$E$49-2022)</f>
        <v>149.051989709623</v>
      </c>
      <c r="G266" s="30">
        <f>'Source Data'!G856</f>
        <v>45</v>
      </c>
      <c r="H266" s="30">
        <f>'Source Data'!H856</f>
        <v>37.535488103522198</v>
      </c>
      <c r="I266" s="30">
        <f>'Source Data'!I856</f>
        <v>52.718161619628098</v>
      </c>
      <c r="J266" s="30">
        <f>'Source Data'!J856</f>
        <v>76.692931186010398</v>
      </c>
      <c r="K266" s="30">
        <f>'Source Data'!K856</f>
        <v>93.015965696990904</v>
      </c>
      <c r="L266" s="30">
        <f>'Source Data'!L856</f>
        <v>103.43970209330899</v>
      </c>
      <c r="M266" s="30">
        <f>'Source Data'!M856</f>
        <v>113.166621028481</v>
      </c>
      <c r="N266" s="30">
        <f>'Source Data'!N856</f>
        <v>117.98838236372499</v>
      </c>
      <c r="O266" s="30">
        <f>'Source Data'!O856</f>
        <v>125.93134227579699</v>
      </c>
      <c r="P266" s="30">
        <f>'Source Data'!P856</f>
        <v>131.351940639362</v>
      </c>
      <c r="Q266" s="30">
        <f>'Source Data'!Q856</f>
        <v>140.20544430098701</v>
      </c>
      <c r="R266" s="30">
        <f>'Source Data'!R856</f>
        <v>143.33202332200801</v>
      </c>
      <c r="S266" s="30">
        <f>'Source Data'!S856</f>
        <v>144.396291241955</v>
      </c>
      <c r="T266" s="30">
        <f>'Source Data'!T856</f>
        <v>149.051989709623</v>
      </c>
    </row>
    <row r="267" spans="2:20" x14ac:dyDescent="0.25">
      <c r="B267" s="23" t="s">
        <v>3685</v>
      </c>
      <c r="C267" s="28" t="s">
        <v>493</v>
      </c>
      <c r="D267" s="227" t="s">
        <v>3799</v>
      </c>
      <c r="E267" s="178">
        <f>INDEX($G$267:$T$267,1,Inputs!$E$49-2022)</f>
        <v>154.9776044637218</v>
      </c>
      <c r="G267" s="30">
        <f>'FSL Output - With BUMN'!G243</f>
        <v>45</v>
      </c>
      <c r="H267" s="30">
        <f>'FSL Output - With BUMN'!H243</f>
        <v>37.535488103522205</v>
      </c>
      <c r="I267" s="30">
        <f>'FSL Output - With BUMN'!I243</f>
        <v>52.718161619628056</v>
      </c>
      <c r="J267" s="30">
        <f>'FSL Output - With BUMN'!J243</f>
        <v>76.692931186010412</v>
      </c>
      <c r="K267" s="30">
        <f>'FSL Output - With BUMN'!K243</f>
        <v>93.015965696990918</v>
      </c>
      <c r="L267" s="30">
        <f>'FSL Output - With BUMN'!L243</f>
        <v>103.43970209330853</v>
      </c>
      <c r="M267" s="30">
        <f>'FSL Output - With BUMN'!M243</f>
        <v>117.01134705587819</v>
      </c>
      <c r="N267" s="30">
        <f>'FSL Output - With BUMN'!N243</f>
        <v>122.88167003495755</v>
      </c>
      <c r="O267" s="30">
        <f>'FSL Output - With BUMN'!O243</f>
        <v>131.52367104292077</v>
      </c>
      <c r="P267" s="30">
        <f>'FSL Output - With BUMN'!P243</f>
        <v>137.27755539346026</v>
      </c>
      <c r="Q267" s="30">
        <f>'FSL Output - With BUMN'!Q243</f>
        <v>146.14729361605518</v>
      </c>
      <c r="R267" s="30">
        <f>'FSL Output - With BUMN'!R243</f>
        <v>149.27387263707655</v>
      </c>
      <c r="S267" s="30">
        <f>'FSL Output - With BUMN'!S243</f>
        <v>150.33814055702325</v>
      </c>
      <c r="T267" s="30">
        <f>'FSL Output - With BUMN'!T243</f>
        <v>154.9776044637218</v>
      </c>
    </row>
    <row r="268" spans="2:20" x14ac:dyDescent="0.25">
      <c r="B268" s="21" t="s">
        <v>3687</v>
      </c>
      <c r="C268" s="28" t="s">
        <v>493</v>
      </c>
      <c r="E268" s="228">
        <f>INDEX($G$268:$T$268,1,Inputs!$E$49-2022)</f>
        <v>5.9256147539999997</v>
      </c>
      <c r="G268" s="229">
        <f t="shared" ref="G268:T268" si="28">ROUND(G267-G266,9)</f>
        <v>0</v>
      </c>
      <c r="H268" s="229">
        <f t="shared" si="28"/>
        <v>0</v>
      </c>
      <c r="I268" s="229">
        <f t="shared" si="28"/>
        <v>0</v>
      </c>
      <c r="J268" s="229">
        <f t="shared" si="28"/>
        <v>0</v>
      </c>
      <c r="K268" s="229">
        <f t="shared" si="28"/>
        <v>0</v>
      </c>
      <c r="L268" s="229">
        <f t="shared" si="28"/>
        <v>0</v>
      </c>
      <c r="M268" s="229">
        <f t="shared" si="28"/>
        <v>3.8447260270000001</v>
      </c>
      <c r="N268" s="229">
        <f t="shared" si="28"/>
        <v>4.8932876710000004</v>
      </c>
      <c r="O268" s="229">
        <f t="shared" si="28"/>
        <v>5.5923287669999997</v>
      </c>
      <c r="P268" s="229">
        <f t="shared" si="28"/>
        <v>5.9256147539999997</v>
      </c>
      <c r="Q268" s="229">
        <f t="shared" si="28"/>
        <v>5.9418493149999998</v>
      </c>
      <c r="R268" s="229">
        <f t="shared" si="28"/>
        <v>5.9418493149999998</v>
      </c>
      <c r="S268" s="229">
        <f t="shared" si="28"/>
        <v>5.9418493149999998</v>
      </c>
      <c r="T268" s="229">
        <f t="shared" si="28"/>
        <v>5.9256147539999997</v>
      </c>
    </row>
    <row r="269" spans="2:20" ht="27.75" customHeight="1" x14ac:dyDescent="0.25">
      <c r="B269" s="63" t="s">
        <v>3800</v>
      </c>
      <c r="G269" s="254" t="str">
        <f>"With-BS03 FY"&amp;Inputs!$E$49&amp;": model "&amp;TEXT(E267,"#,##0.000")&amp;" vs v29 "&amp;TEXT(E266,"#,##0.000")&amp;" (difference "&amp;TEXT(ROUND(E268,3),"+#,##0.000;-#,##0.000;0.000")&amp;")"&amp;IF(ABS(E268)&lt;=Inputs!$E$50," - matches v29.",IF(LEFT(E265,19)="Differs - requested"," - due to the requested change: "&amp;MID(E265,29,200),IF($E$21&gt;0," - differs because inputs / switches were changed."," - UNEXPLAINED: no input was changed.")))</f>
        <v>With-BS03 FY2036: model 154.978 vs v29 149.052 (difference +5.926) - differs because inputs / switches were changed.</v>
      </c>
      <c r="H269" s="254"/>
      <c r="I269" s="254"/>
      <c r="J269" s="254"/>
      <c r="K269" s="254"/>
      <c r="L269" s="254"/>
      <c r="M269" s="254"/>
      <c r="N269" s="254"/>
      <c r="O269" s="254"/>
      <c r="P269" s="254"/>
      <c r="Q269" s="254"/>
      <c r="R269" s="254"/>
      <c r="S269" s="254"/>
      <c r="T269" s="254"/>
    </row>
    <row r="270" spans="2:20" x14ac:dyDescent="0.25">
      <c r="B270" s="221" t="s">
        <v>3801</v>
      </c>
      <c r="C270" s="222" t="s">
        <v>493</v>
      </c>
      <c r="D270" s="223" t="s">
        <v>3802</v>
      </c>
      <c r="E270" s="224" t="str">
        <f>IF(MAX(MAX(G273:T273),-MIN(G273:T273))&lt;=Inputs!$E$50,"Matches v29",IF($E$21&gt;0,"Differs - inputs changed","UNEXPLAINED"))</f>
        <v>Differs - inputs changed</v>
      </c>
      <c r="F270" s="225">
        <f>MAX(MAX(G273:T273),-MIN(G273:T273))</f>
        <v>162.65</v>
      </c>
      <c r="G270" s="226">
        <f>MAX(MAX(G273:T273),-MIN(G273:T273))</f>
        <v>162.65</v>
      </c>
    </row>
    <row r="271" spans="2:20" x14ac:dyDescent="0.25">
      <c r="B271" s="23" t="s">
        <v>3683</v>
      </c>
      <c r="C271" s="28" t="s">
        <v>493</v>
      </c>
      <c r="D271" s="155" t="s">
        <v>3803</v>
      </c>
      <c r="E271" s="178">
        <f>INDEX($G$271:$T$271,1,Inputs!$E$49-2022)</f>
        <v>-235.70672864866199</v>
      </c>
      <c r="G271" s="30">
        <f>'Source Data'!G857</f>
        <v>826.022318932997</v>
      </c>
      <c r="H271" s="30">
        <f>'Source Data'!H857</f>
        <v>862.88975652406202</v>
      </c>
      <c r="I271" s="30">
        <f>'Source Data'!I857</f>
        <v>763.92857134205997</v>
      </c>
      <c r="J271" s="30">
        <f>'Source Data'!J857</f>
        <v>1048.73279720085</v>
      </c>
      <c r="K271" s="30">
        <f>'Source Data'!K857</f>
        <v>1071.79508051364</v>
      </c>
      <c r="L271" s="30">
        <f>'Source Data'!L857</f>
        <v>927.59665045030795</v>
      </c>
      <c r="M271" s="30">
        <f>'Source Data'!M857</f>
        <v>781.38948829332196</v>
      </c>
      <c r="N271" s="30">
        <f>'Source Data'!N857</f>
        <v>635.17341940081303</v>
      </c>
      <c r="O271" s="30">
        <f>'Source Data'!O857</f>
        <v>488.94826563807101</v>
      </c>
      <c r="P271" s="30">
        <f>'Source Data'!P857</f>
        <v>340.71384530769097</v>
      </c>
      <c r="Q271" s="30">
        <f>'Source Data'!Q857</f>
        <v>192.469973078321</v>
      </c>
      <c r="R271" s="30">
        <f>'Source Data'!R857</f>
        <v>49.7543051500746</v>
      </c>
      <c r="S271" s="30">
        <f>'Source Data'!S857</f>
        <v>-92.971196533881397</v>
      </c>
      <c r="T271" s="30">
        <f>'Source Data'!T857</f>
        <v>-235.70672864866199</v>
      </c>
    </row>
    <row r="272" spans="2:20" x14ac:dyDescent="0.25">
      <c r="B272" s="23" t="s">
        <v>3685</v>
      </c>
      <c r="C272" s="28" t="s">
        <v>493</v>
      </c>
      <c r="D272" s="227" t="s">
        <v>3804</v>
      </c>
      <c r="E272" s="178">
        <f>INDEX($G$272:$T$272,1,Inputs!$E$49-2022)</f>
        <v>-164.14072864866202</v>
      </c>
      <c r="G272" s="30">
        <f>'FSL Output - With BUMN'!G244</f>
        <v>826.022318932997</v>
      </c>
      <c r="H272" s="30">
        <f>'FSL Output - With BUMN'!H244</f>
        <v>862.88975652406168</v>
      </c>
      <c r="I272" s="30">
        <f>'FSL Output - With BUMN'!I244</f>
        <v>763.9285713420602</v>
      </c>
      <c r="J272" s="30">
        <f>'FSL Output - With BUMN'!J244</f>
        <v>1048.7327972008522</v>
      </c>
      <c r="K272" s="30">
        <f>'FSL Output - With BUMN'!K244</f>
        <v>1136.8550805136435</v>
      </c>
      <c r="L272" s="30">
        <f>'FSL Output - With BUMN'!L244</f>
        <v>1090.2466504503075</v>
      </c>
      <c r="M272" s="30">
        <f>'FSL Output - With BUMN'!M244</f>
        <v>932.6617812433559</v>
      </c>
      <c r="N272" s="30">
        <f>'FSL Output - With BUMN'!N244</f>
        <v>775.0680053008814</v>
      </c>
      <c r="O272" s="30">
        <f>'FSL Output - With BUMN'!O244</f>
        <v>617.46514448817356</v>
      </c>
      <c r="P272" s="30">
        <f>'FSL Output - With BUMN'!P244</f>
        <v>457.82184530769092</v>
      </c>
      <c r="Q272" s="30">
        <f>'FSL Output - With BUMN'!Q244</f>
        <v>298.20026602835441</v>
      </c>
      <c r="R272" s="30">
        <f>'FSL Output - With BUMN'!R244</f>
        <v>144.10689105014259</v>
      </c>
      <c r="S272" s="30">
        <f>'FSL Output - With BUMN'!S244</f>
        <v>-9.9963176837791821</v>
      </c>
      <c r="T272" s="30">
        <f>'FSL Output - With BUMN'!T244</f>
        <v>-164.14072864866202</v>
      </c>
    </row>
    <row r="273" spans="2:20" x14ac:dyDescent="0.25">
      <c r="B273" s="21" t="s">
        <v>3687</v>
      </c>
      <c r="C273" s="28" t="s">
        <v>493</v>
      </c>
      <c r="E273" s="228">
        <f>INDEX($G$273:$T$273,1,Inputs!$E$49-2022)</f>
        <v>71.566000000000003</v>
      </c>
      <c r="G273" s="229">
        <f t="shared" ref="G273:T273" si="29">ROUND(G272-G271,9)</f>
        <v>0</v>
      </c>
      <c r="H273" s="229">
        <f t="shared" si="29"/>
        <v>0</v>
      </c>
      <c r="I273" s="229">
        <f t="shared" si="29"/>
        <v>0</v>
      </c>
      <c r="J273" s="229">
        <f t="shared" si="29"/>
        <v>0</v>
      </c>
      <c r="K273" s="229">
        <f t="shared" si="29"/>
        <v>65.06</v>
      </c>
      <c r="L273" s="229">
        <f t="shared" si="29"/>
        <v>162.65</v>
      </c>
      <c r="M273" s="229">
        <f t="shared" si="29"/>
        <v>151.27229295000001</v>
      </c>
      <c r="N273" s="229">
        <f t="shared" si="29"/>
        <v>139.89458590000001</v>
      </c>
      <c r="O273" s="229">
        <f t="shared" si="29"/>
        <v>128.51687885000001</v>
      </c>
      <c r="P273" s="229">
        <f t="shared" si="29"/>
        <v>117.108</v>
      </c>
      <c r="Q273" s="229">
        <f t="shared" si="29"/>
        <v>105.73029295000001</v>
      </c>
      <c r="R273" s="229">
        <f t="shared" si="29"/>
        <v>94.352585899999994</v>
      </c>
      <c r="S273" s="229">
        <f t="shared" si="29"/>
        <v>82.974878849999996</v>
      </c>
      <c r="T273" s="229">
        <f t="shared" si="29"/>
        <v>71.566000000000003</v>
      </c>
    </row>
    <row r="274" spans="2:20" ht="27.75" customHeight="1" x14ac:dyDescent="0.25">
      <c r="B274" s="63" t="s">
        <v>3805</v>
      </c>
      <c r="G274" s="254" t="str">
        <f>"With-BS04 FY"&amp;Inputs!$E$49&amp;": model "&amp;TEXT(E272,"#,##0.000")&amp;" vs v29 "&amp;TEXT(E271,"#,##0.000")&amp;" (difference "&amp;TEXT(ROUND(E273,3),"+#,##0.000;-#,##0.000;0.000")&amp;")"&amp;IF(ABS(E273)&lt;=Inputs!$E$50," - matches v29.",IF(LEFT(E270,19)="Differs - requested"," - due to the requested change: "&amp;MID(E270,29,200),IF($E$21&gt;0," - differs because inputs / switches were changed."," - UNEXPLAINED: no input was changed.")))</f>
        <v>With-BS04 FY2036: model -164.141 vs v29 -235.707 (difference +71.566) - differs because inputs / switches were changed.</v>
      </c>
      <c r="H274" s="254"/>
      <c r="I274" s="254"/>
      <c r="J274" s="254"/>
      <c r="K274" s="254"/>
      <c r="L274" s="254"/>
      <c r="M274" s="254"/>
      <c r="N274" s="254"/>
      <c r="O274" s="254"/>
      <c r="P274" s="254"/>
      <c r="Q274" s="254"/>
      <c r="R274" s="254"/>
      <c r="S274" s="254"/>
      <c r="T274" s="254"/>
    </row>
    <row r="275" spans="2:20" x14ac:dyDescent="0.25">
      <c r="B275" s="221" t="s">
        <v>3806</v>
      </c>
      <c r="C275" s="222" t="s">
        <v>493</v>
      </c>
      <c r="D275" s="223" t="s">
        <v>3807</v>
      </c>
      <c r="E275" s="224" t="str">
        <f>IF(MAX(MAX(G278:T278),-MIN(G278:T278))&lt;=Inputs!$E$50,"Matches v29",IF($E$21&gt;0,"Differs - inputs changed","UNEXPLAINED"))</f>
        <v>Matches v29</v>
      </c>
      <c r="F275" s="225">
        <f>MAX(MAX(G278:T278),-MIN(G278:T278))</f>
        <v>0</v>
      </c>
      <c r="G275" s="226">
        <f>MAX(MAX(G278:T278),-MIN(G278:T278))</f>
        <v>0</v>
      </c>
    </row>
    <row r="276" spans="2:20" x14ac:dyDescent="0.25">
      <c r="B276" s="23" t="s">
        <v>3683</v>
      </c>
      <c r="C276" s="28" t="s">
        <v>493</v>
      </c>
      <c r="D276" s="155" t="s">
        <v>3808</v>
      </c>
      <c r="E276" s="178">
        <f>INDEX($G$276:$T$276,1,Inputs!$E$49-2022)</f>
        <v>331.262624869158</v>
      </c>
      <c r="G276" s="30">
        <f>'Source Data'!G858</f>
        <v>331.262624869158</v>
      </c>
      <c r="H276" s="30">
        <f>'Source Data'!H858</f>
        <v>331.262624869158</v>
      </c>
      <c r="I276" s="30">
        <f>'Source Data'!I858</f>
        <v>331.262624869158</v>
      </c>
      <c r="J276" s="30">
        <f>'Source Data'!J858</f>
        <v>331.262624869158</v>
      </c>
      <c r="K276" s="30">
        <f>'Source Data'!K858</f>
        <v>331.262624869158</v>
      </c>
      <c r="L276" s="30">
        <f>'Source Data'!L858</f>
        <v>331.262624869158</v>
      </c>
      <c r="M276" s="30">
        <f>'Source Data'!M858</f>
        <v>331.262624869158</v>
      </c>
      <c r="N276" s="30">
        <f>'Source Data'!N858</f>
        <v>331.262624869158</v>
      </c>
      <c r="O276" s="30">
        <f>'Source Data'!O858</f>
        <v>331.262624869158</v>
      </c>
      <c r="P276" s="30">
        <f>'Source Data'!P858</f>
        <v>331.262624869158</v>
      </c>
      <c r="Q276" s="30">
        <f>'Source Data'!Q858</f>
        <v>331.262624869158</v>
      </c>
      <c r="R276" s="30">
        <f>'Source Data'!R858</f>
        <v>331.262624869158</v>
      </c>
      <c r="S276" s="30">
        <f>'Source Data'!S858</f>
        <v>331.262624869158</v>
      </c>
      <c r="T276" s="30">
        <f>'Source Data'!T858</f>
        <v>331.262624869158</v>
      </c>
    </row>
    <row r="277" spans="2:20" x14ac:dyDescent="0.25">
      <c r="B277" s="23" t="s">
        <v>3685</v>
      </c>
      <c r="C277" s="28" t="s">
        <v>493</v>
      </c>
      <c r="D277" s="227" t="s">
        <v>3809</v>
      </c>
      <c r="E277" s="178">
        <f>INDEX($G$277:$T$277,1,Inputs!$E$49-2022)</f>
        <v>331.262624869158</v>
      </c>
      <c r="G277" s="30">
        <f>'FSL Output - With BUMN'!G245</f>
        <v>331.262624869158</v>
      </c>
      <c r="H277" s="30">
        <f>'FSL Output - With BUMN'!H245</f>
        <v>331.262624869158</v>
      </c>
      <c r="I277" s="30">
        <f>'FSL Output - With BUMN'!I245</f>
        <v>331.262624869158</v>
      </c>
      <c r="J277" s="30">
        <f>'FSL Output - With BUMN'!J245</f>
        <v>331.262624869158</v>
      </c>
      <c r="K277" s="30">
        <f>'FSL Output - With BUMN'!K245</f>
        <v>331.262624869158</v>
      </c>
      <c r="L277" s="30">
        <f>'FSL Output - With BUMN'!L245</f>
        <v>331.262624869158</v>
      </c>
      <c r="M277" s="30">
        <f>'FSL Output - With BUMN'!M245</f>
        <v>331.262624869158</v>
      </c>
      <c r="N277" s="30">
        <f>'FSL Output - With BUMN'!N245</f>
        <v>331.262624869158</v>
      </c>
      <c r="O277" s="30">
        <f>'FSL Output - With BUMN'!O245</f>
        <v>331.262624869158</v>
      </c>
      <c r="P277" s="30">
        <f>'FSL Output - With BUMN'!P245</f>
        <v>331.262624869158</v>
      </c>
      <c r="Q277" s="30">
        <f>'FSL Output - With BUMN'!Q245</f>
        <v>331.262624869158</v>
      </c>
      <c r="R277" s="30">
        <f>'FSL Output - With BUMN'!R245</f>
        <v>331.262624869158</v>
      </c>
      <c r="S277" s="30">
        <f>'FSL Output - With BUMN'!S245</f>
        <v>331.262624869158</v>
      </c>
      <c r="T277" s="30">
        <f>'FSL Output - With BUMN'!T245</f>
        <v>331.262624869158</v>
      </c>
    </row>
    <row r="278" spans="2:20" x14ac:dyDescent="0.25">
      <c r="B278" s="21" t="s">
        <v>3687</v>
      </c>
      <c r="C278" s="28" t="s">
        <v>493</v>
      </c>
      <c r="E278" s="228">
        <f>INDEX($G$278:$T$278,1,Inputs!$E$49-2022)</f>
        <v>0</v>
      </c>
      <c r="G278" s="229">
        <f t="shared" ref="G278:T278" si="30">ROUND(G277-G276,9)</f>
        <v>0</v>
      </c>
      <c r="H278" s="229">
        <f t="shared" si="30"/>
        <v>0</v>
      </c>
      <c r="I278" s="229">
        <f t="shared" si="30"/>
        <v>0</v>
      </c>
      <c r="J278" s="229">
        <f t="shared" si="30"/>
        <v>0</v>
      </c>
      <c r="K278" s="229">
        <f t="shared" si="30"/>
        <v>0</v>
      </c>
      <c r="L278" s="229">
        <f t="shared" si="30"/>
        <v>0</v>
      </c>
      <c r="M278" s="229">
        <f t="shared" si="30"/>
        <v>0</v>
      </c>
      <c r="N278" s="229">
        <f t="shared" si="30"/>
        <v>0</v>
      </c>
      <c r="O278" s="229">
        <f t="shared" si="30"/>
        <v>0</v>
      </c>
      <c r="P278" s="229">
        <f t="shared" si="30"/>
        <v>0</v>
      </c>
      <c r="Q278" s="229">
        <f t="shared" si="30"/>
        <v>0</v>
      </c>
      <c r="R278" s="229">
        <f t="shared" si="30"/>
        <v>0</v>
      </c>
      <c r="S278" s="229">
        <f t="shared" si="30"/>
        <v>0</v>
      </c>
      <c r="T278" s="229">
        <f t="shared" si="30"/>
        <v>0</v>
      </c>
    </row>
    <row r="279" spans="2:20" ht="27.75" customHeight="1" x14ac:dyDescent="0.25">
      <c r="B279" s="63" t="s">
        <v>3810</v>
      </c>
      <c r="G279" s="254" t="str">
        <f>"With-BS05 FY"&amp;Inputs!$E$49&amp;": model "&amp;TEXT(E277,"#,##0.000")&amp;" vs v29 "&amp;TEXT(E276,"#,##0.000")&amp;" (difference "&amp;TEXT(ROUND(E278,3),"+#,##0.000;-#,##0.000;0.000")&amp;")"&amp;IF(ABS(E278)&lt;=Inputs!$E$50," - matches v29.",IF(LEFT(E275,19)="Differs - requested"," - due to the requested change: "&amp;MID(E275,29,200),IF($E$21&gt;0," - differs because inputs / switches were changed."," - UNEXPLAINED: no input was changed.")))</f>
        <v>With-BS05 FY2036: model 331.263 vs v29 331.263 (difference 0.000) - matches v29.</v>
      </c>
      <c r="H279" s="254"/>
      <c r="I279" s="254"/>
      <c r="J279" s="254"/>
      <c r="K279" s="254"/>
      <c r="L279" s="254"/>
      <c r="M279" s="254"/>
      <c r="N279" s="254"/>
      <c r="O279" s="254"/>
      <c r="P279" s="254"/>
      <c r="Q279" s="254"/>
      <c r="R279" s="254"/>
      <c r="S279" s="254"/>
      <c r="T279" s="254"/>
    </row>
    <row r="280" spans="2:20" ht="47.25" customHeight="1" x14ac:dyDescent="0.25">
      <c r="B280" s="221" t="s">
        <v>3811</v>
      </c>
      <c r="C280" s="222" t="s">
        <v>493</v>
      </c>
      <c r="D280" s="231" t="s">
        <v>3812</v>
      </c>
      <c r="E280" s="232" t="str">
        <f>IF(MAX(MAX(G283:T283),-MIN(G283:T283))&lt;=Inputs!$E$50,"Matches v29",IF(OR($E$22=1,$E$23=1),"Differs - requested change: "&amp;IF($E$22=1,"LT loan repaid in 2027 (not 2025); ","")&amp;IF($E$23=1,"new equity = residual funding requirement (not the v29 schedule)","")&amp;IF($E$21&gt;0," (and inputs changed)",""),IF($E$21&gt;0,"Differs - inputs changed","UNEXPLAINED")))</f>
        <v>Differs - requested change: LT loan repaid in 2027 (not 2025); new equity = residual funding requirement (not the v29 schedule) (and inputs changed)</v>
      </c>
      <c r="F280" s="225">
        <f>MAX(MAX(G283:T283),-MIN(G283:T283))</f>
        <v>484.29804245499997</v>
      </c>
      <c r="G280" s="226">
        <f>IF(OR($E$22=1,$E$23=1),0,MAX(MAX(G283:T283),-MIN(G283:T283)))</f>
        <v>0</v>
      </c>
    </row>
    <row r="281" spans="2:20" x14ac:dyDescent="0.25">
      <c r="B281" s="23" t="s">
        <v>3683</v>
      </c>
      <c r="C281" s="28" t="s">
        <v>493</v>
      </c>
      <c r="D281" s="155" t="s">
        <v>3813</v>
      </c>
      <c r="E281" s="178">
        <f>INDEX($G$281:$T$281,1,Inputs!$E$49-2022)</f>
        <v>4546.1457205168899</v>
      </c>
      <c r="G281" s="30">
        <f>'Source Data'!G859</f>
        <v>1263.44365953992</v>
      </c>
      <c r="H281" s="30">
        <f>'Source Data'!H859</f>
        <v>1263.57424272917</v>
      </c>
      <c r="I281" s="30">
        <f>'Source Data'!I859</f>
        <v>1151.42916851833</v>
      </c>
      <c r="J281" s="30">
        <f>'Source Data'!J859</f>
        <v>1701.30590653984</v>
      </c>
      <c r="K281" s="30">
        <f>'Source Data'!K859</f>
        <v>2038.6214303971699</v>
      </c>
      <c r="L281" s="30">
        <f>'Source Data'!L859</f>
        <v>2239.8365756489502</v>
      </c>
      <c r="M281" s="30">
        <f>'Source Data'!M859</f>
        <v>2470.5790570442</v>
      </c>
      <c r="N281" s="30">
        <f>'Source Data'!N859</f>
        <v>2713.3297029124301</v>
      </c>
      <c r="O281" s="30">
        <f>'Source Data'!O859</f>
        <v>2979.9900754599498</v>
      </c>
      <c r="P281" s="30">
        <f>'Source Data'!P859</f>
        <v>3261.81784093529</v>
      </c>
      <c r="Q281" s="30">
        <f>'Source Data'!Q859</f>
        <v>3569.8664796907201</v>
      </c>
      <c r="R281" s="30">
        <f>'Source Data'!R859</f>
        <v>3891.7231536336999</v>
      </c>
      <c r="S281" s="30">
        <f>'Source Data'!S859</f>
        <v>4212.4762638062502</v>
      </c>
      <c r="T281" s="30">
        <f>'Source Data'!T859</f>
        <v>4546.1457205168899</v>
      </c>
    </row>
    <row r="282" spans="2:20" x14ac:dyDescent="0.25">
      <c r="B282" s="23" t="s">
        <v>3685</v>
      </c>
      <c r="C282" s="28" t="s">
        <v>493</v>
      </c>
      <c r="D282" s="227" t="s">
        <v>3814</v>
      </c>
      <c r="E282" s="178">
        <f>INDEX($G$282:$T$282,1,Inputs!$E$49-2022)</f>
        <v>4070.2509471308035</v>
      </c>
      <c r="G282" s="30">
        <f>'FSL Output - With BUMN'!G246</f>
        <v>1263.4436595399175</v>
      </c>
      <c r="H282" s="30">
        <f>'FSL Output - With BUMN'!H246</f>
        <v>1263.5742427291677</v>
      </c>
      <c r="I282" s="30">
        <f>'FSL Output - With BUMN'!I246</f>
        <v>1339.4590811484634</v>
      </c>
      <c r="J282" s="30">
        <f>'FSL Output - With BUMN'!J246</f>
        <v>1460.9253912063546</v>
      </c>
      <c r="K282" s="30">
        <f>'FSL Output - With BUMN'!K246</f>
        <v>1564.653481767275</v>
      </c>
      <c r="L282" s="30">
        <f>'FSL Output - With BUMN'!L246</f>
        <v>1811.2226720190502</v>
      </c>
      <c r="M282" s="30">
        <f>'FSL Output - With BUMN'!M246</f>
        <v>2038.5347206368551</v>
      </c>
      <c r="N282" s="30">
        <f>'FSL Output - With BUMN'!N246</f>
        <v>2274.9658877811476</v>
      </c>
      <c r="O282" s="30">
        <f>'FSL Output - With BUMN'!O246</f>
        <v>2528.3511173929533</v>
      </c>
      <c r="P282" s="30">
        <f>'FSL Output - With BUMN'!P246</f>
        <v>2799.0068333092099</v>
      </c>
      <c r="Q282" s="30">
        <f>'FSL Output - With BUMN'!Q246</f>
        <v>3096.7948157240644</v>
      </c>
      <c r="R282" s="30">
        <f>'FSL Output - With BUMN'!R246</f>
        <v>3409.319064197764</v>
      </c>
      <c r="S282" s="30">
        <f>'FSL Output - With BUMN'!S246</f>
        <v>3728.1782213510337</v>
      </c>
      <c r="T282" s="30">
        <f>'FSL Output - With BUMN'!T246</f>
        <v>4070.2509471308035</v>
      </c>
    </row>
    <row r="283" spans="2:20" x14ac:dyDescent="0.25">
      <c r="B283" s="21" t="s">
        <v>3687</v>
      </c>
      <c r="C283" s="28" t="s">
        <v>493</v>
      </c>
      <c r="E283" s="228">
        <f>INDEX($G$283:$T$283,1,Inputs!$E$49-2022)</f>
        <v>-475.894773386</v>
      </c>
      <c r="G283" s="229">
        <f t="shared" ref="G283:T283" si="31">ROUND(G282-G281,9)</f>
        <v>0</v>
      </c>
      <c r="H283" s="229">
        <f t="shared" si="31"/>
        <v>0</v>
      </c>
      <c r="I283" s="229">
        <f t="shared" si="31"/>
        <v>188.02991263000001</v>
      </c>
      <c r="J283" s="229">
        <f t="shared" si="31"/>
        <v>-240.38051533300001</v>
      </c>
      <c r="K283" s="229">
        <f t="shared" si="31"/>
        <v>-473.96794863000002</v>
      </c>
      <c r="L283" s="229">
        <f t="shared" si="31"/>
        <v>-428.61390362999998</v>
      </c>
      <c r="M283" s="229">
        <f t="shared" si="31"/>
        <v>-432.044336407</v>
      </c>
      <c r="N283" s="229">
        <f t="shared" si="31"/>
        <v>-438.36381513100002</v>
      </c>
      <c r="O283" s="229">
        <f t="shared" si="31"/>
        <v>-451.63895806699998</v>
      </c>
      <c r="P283" s="229">
        <f t="shared" si="31"/>
        <v>-462.81100762599999</v>
      </c>
      <c r="Q283" s="229">
        <f t="shared" si="31"/>
        <v>-473.07166396700001</v>
      </c>
      <c r="R283" s="229">
        <f t="shared" si="31"/>
        <v>-482.40408943599999</v>
      </c>
      <c r="S283" s="229">
        <f t="shared" si="31"/>
        <v>-484.29804245499997</v>
      </c>
      <c r="T283" s="229">
        <f t="shared" si="31"/>
        <v>-475.894773386</v>
      </c>
    </row>
    <row r="284" spans="2:20" ht="27.75" customHeight="1" x14ac:dyDescent="0.25">
      <c r="B284" s="63" t="s">
        <v>3688</v>
      </c>
      <c r="G284" s="254" t="str">
        <f>"With-BS06 FY"&amp;Inputs!$E$49&amp;": model "&amp;TEXT(E282,"#,##0.000")&amp;" vs v29 "&amp;TEXT(E281,"#,##0.000")&amp;" (difference "&amp;TEXT(ROUND(E283,3),"+#,##0.000;-#,##0.000;0.000")&amp;")"&amp;IF(ABS(E283)&lt;=Inputs!$E$50," - matches v29.",IF(LEFT(E280,19)="Differs - requested"," - due to the requested change: "&amp;MID(E280,29,200),IF($E$21&gt;0," - differs because inputs / switches were changed."," - UNEXPLAINED: no input was changed.")))</f>
        <v>With-BS06 FY2036: model 4,070.251 vs v29 4,546.146 (difference -475.895) - due to the requested change: LT loan repaid in 2027 (not 2025); new equity = residual funding requirement (not the v29 schedule) (and inputs changed)</v>
      </c>
      <c r="H284" s="254"/>
      <c r="I284" s="254"/>
      <c r="J284" s="254"/>
      <c r="K284" s="254"/>
      <c r="L284" s="254"/>
      <c r="M284" s="254"/>
      <c r="N284" s="254"/>
      <c r="O284" s="254"/>
      <c r="P284" s="254"/>
      <c r="Q284" s="254"/>
      <c r="R284" s="254"/>
      <c r="S284" s="254"/>
      <c r="T284" s="254"/>
    </row>
    <row r="285" spans="2:20" x14ac:dyDescent="0.25">
      <c r="B285" s="221" t="s">
        <v>3815</v>
      </c>
      <c r="C285" s="222" t="s">
        <v>493</v>
      </c>
      <c r="D285" s="223" t="s">
        <v>3816</v>
      </c>
      <c r="E285" s="224" t="str">
        <f>IF(MAX(MAX(G288:T288),-MIN(G288:T288))&lt;=Inputs!$E$50,"Matches v29",IF($E$21&gt;0,"Differs - inputs changed","UNEXPLAINED"))</f>
        <v>Differs - inputs changed</v>
      </c>
      <c r="F285" s="225">
        <f>MAX(MAX(G288:T288),-MIN(G288:T288))</f>
        <v>1.552417808</v>
      </c>
      <c r="G285" s="226">
        <f>MAX(MAX(G288:T288),-MIN(G288:T288))</f>
        <v>1.552417808</v>
      </c>
    </row>
    <row r="286" spans="2:20" x14ac:dyDescent="0.25">
      <c r="B286" s="23" t="s">
        <v>3683</v>
      </c>
      <c r="C286" s="28" t="s">
        <v>493</v>
      </c>
      <c r="D286" s="155" t="s">
        <v>3817</v>
      </c>
      <c r="E286" s="178">
        <f>INDEX($G$286:$T$286,1,Inputs!$E$49-2022)</f>
        <v>17.781241188922401</v>
      </c>
      <c r="G286" s="30">
        <f>'Source Data'!G860</f>
        <v>14.6719859829049</v>
      </c>
      <c r="H286" s="30">
        <f>'Source Data'!H860</f>
        <v>10.044512985898301</v>
      </c>
      <c r="I286" s="30">
        <f>'Source Data'!I860</f>
        <v>9.42400790337717</v>
      </c>
      <c r="J286" s="30">
        <f>'Source Data'!J860</f>
        <v>9.2239698680783508</v>
      </c>
      <c r="K286" s="30">
        <f>'Source Data'!K860</f>
        <v>10.239545383745099</v>
      </c>
      <c r="L286" s="30">
        <f>'Source Data'!L860</f>
        <v>12.027453038379001</v>
      </c>
      <c r="M286" s="30">
        <f>'Source Data'!M860</f>
        <v>12.950494562138299</v>
      </c>
      <c r="N286" s="30">
        <f>'Source Data'!N860</f>
        <v>13.777243394420999</v>
      </c>
      <c r="O286" s="30">
        <f>'Source Data'!O860</f>
        <v>14.7352711539975</v>
      </c>
      <c r="P286" s="30">
        <f>'Source Data'!P860</f>
        <v>15.584835722451601</v>
      </c>
      <c r="Q286" s="30">
        <f>'Source Data'!Q860</f>
        <v>16.570083113726</v>
      </c>
      <c r="R286" s="30">
        <f>'Source Data'!R860</f>
        <v>16.229518076242599</v>
      </c>
      <c r="S286" s="30">
        <f>'Source Data'!S860</f>
        <v>16.965161731061102</v>
      </c>
      <c r="T286" s="30">
        <f>'Source Data'!T860</f>
        <v>17.781241188922401</v>
      </c>
    </row>
    <row r="287" spans="2:20" x14ac:dyDescent="0.25">
      <c r="B287" s="23" t="s">
        <v>3685</v>
      </c>
      <c r="C287" s="28" t="s">
        <v>493</v>
      </c>
      <c r="D287" s="227" t="s">
        <v>3818</v>
      </c>
      <c r="E287" s="178">
        <f>INDEX($G$287:$T$287,1,Inputs!$E$49-2022)</f>
        <v>19.329417418430562</v>
      </c>
      <c r="G287" s="30">
        <f>'FSL Output - With BUMN'!G249</f>
        <v>14.6719859829049</v>
      </c>
      <c r="H287" s="30">
        <f>'FSL Output - With BUMN'!H249</f>
        <v>10.04451298589832</v>
      </c>
      <c r="I287" s="30">
        <f>'FSL Output - With BUMN'!I249</f>
        <v>9.4240079033771647</v>
      </c>
      <c r="J287" s="30">
        <f>'FSL Output - With BUMN'!J249</f>
        <v>9.2239698680783473</v>
      </c>
      <c r="K287" s="30">
        <f>'FSL Output - With BUMN'!K249</f>
        <v>10.239545383745051</v>
      </c>
      <c r="L287" s="30">
        <f>'FSL Output - With BUMN'!L249</f>
        <v>12.027453038379001</v>
      </c>
      <c r="M287" s="30">
        <f>'FSL Output - With BUMN'!M249</f>
        <v>14.223419219672557</v>
      </c>
      <c r="N287" s="30">
        <f>'FSL Output - With BUMN'!N249</f>
        <v>15.189914627297753</v>
      </c>
      <c r="O287" s="30">
        <f>'FSL Output - With BUMN'!O249</f>
        <v>16.241106770435881</v>
      </c>
      <c r="P287" s="30">
        <f>'FSL Output - With BUMN'!P249</f>
        <v>17.133011951959769</v>
      </c>
      <c r="Q287" s="30">
        <f>'FSL Output - With BUMN'!Q249</f>
        <v>18.122500921945168</v>
      </c>
      <c r="R287" s="30">
        <f>'FSL Output - With BUMN'!R249</f>
        <v>17.781935884461795</v>
      </c>
      <c r="S287" s="30">
        <f>'FSL Output - With BUMN'!S249</f>
        <v>18.517579539280291</v>
      </c>
      <c r="T287" s="30">
        <f>'FSL Output - With BUMN'!T249</f>
        <v>19.329417418430562</v>
      </c>
    </row>
    <row r="288" spans="2:20" x14ac:dyDescent="0.25">
      <c r="B288" s="21" t="s">
        <v>3687</v>
      </c>
      <c r="C288" s="28" t="s">
        <v>493</v>
      </c>
      <c r="E288" s="228">
        <f>INDEX($G$288:$T$288,1,Inputs!$E$49-2022)</f>
        <v>1.5481762299999999</v>
      </c>
      <c r="G288" s="229">
        <f t="shared" ref="G288:T288" si="32">ROUND(G287-G286,9)</f>
        <v>0</v>
      </c>
      <c r="H288" s="229">
        <f t="shared" si="32"/>
        <v>0</v>
      </c>
      <c r="I288" s="229">
        <f t="shared" si="32"/>
        <v>0</v>
      </c>
      <c r="J288" s="229">
        <f t="shared" si="32"/>
        <v>0</v>
      </c>
      <c r="K288" s="229">
        <f t="shared" si="32"/>
        <v>0</v>
      </c>
      <c r="L288" s="229">
        <f t="shared" si="32"/>
        <v>0</v>
      </c>
      <c r="M288" s="229">
        <f t="shared" si="32"/>
        <v>1.272924658</v>
      </c>
      <c r="N288" s="229">
        <f t="shared" si="32"/>
        <v>1.412671233</v>
      </c>
      <c r="O288" s="229">
        <f t="shared" si="32"/>
        <v>1.5058356159999999</v>
      </c>
      <c r="P288" s="229">
        <f t="shared" si="32"/>
        <v>1.5481762299999999</v>
      </c>
      <c r="Q288" s="229">
        <f t="shared" si="32"/>
        <v>1.552417808</v>
      </c>
      <c r="R288" s="229">
        <f t="shared" si="32"/>
        <v>1.552417808</v>
      </c>
      <c r="S288" s="229">
        <f t="shared" si="32"/>
        <v>1.552417808</v>
      </c>
      <c r="T288" s="229">
        <f t="shared" si="32"/>
        <v>1.5481762299999999</v>
      </c>
    </row>
    <row r="289" spans="2:20" ht="27.75" customHeight="1" x14ac:dyDescent="0.25">
      <c r="B289" s="63" t="s">
        <v>3819</v>
      </c>
      <c r="G289" s="254" t="str">
        <f>"With-BS07 FY"&amp;Inputs!$E$49&amp;": model "&amp;TEXT(E287,"#,##0.000")&amp;" vs v29 "&amp;TEXT(E286,"#,##0.000")&amp;" (difference "&amp;TEXT(ROUND(E288,3),"+#,##0.000;-#,##0.000;0.000")&amp;")"&amp;IF(ABS(E288)&lt;=Inputs!$E$50," - matches v29.",IF(LEFT(E285,19)="Differs - requested"," - due to the requested change: "&amp;MID(E285,29,200),IF($E$21&gt;0," - differs because inputs / switches were changed."," - UNEXPLAINED: no input was changed.")))</f>
        <v>With-BS07 FY2036: model 19.329 vs v29 17.781 (difference +1.548) - differs because inputs / switches were changed.</v>
      </c>
      <c r="H289" s="254"/>
      <c r="I289" s="254"/>
      <c r="J289" s="254"/>
      <c r="K289" s="254"/>
      <c r="L289" s="254"/>
      <c r="M289" s="254"/>
      <c r="N289" s="254"/>
      <c r="O289" s="254"/>
      <c r="P289" s="254"/>
      <c r="Q289" s="254"/>
      <c r="R289" s="254"/>
      <c r="S289" s="254"/>
      <c r="T289" s="254"/>
    </row>
    <row r="290" spans="2:20" ht="24.75" customHeight="1" x14ac:dyDescent="0.25">
      <c r="B290" s="221" t="s">
        <v>3820</v>
      </c>
      <c r="C290" s="222" t="s">
        <v>493</v>
      </c>
      <c r="D290" s="231" t="s">
        <v>3821</v>
      </c>
      <c r="E290" s="232" t="str">
        <f>IF(MAX(MAX(G293:T293),-MIN(G293:T293))&lt;=Inputs!$E$50,"Matches v29",IF(OR($E$22=1),"Differs - requested change: "&amp;IF($E$22=1,"LT loan repaid in 2027 (not 2025); ","")&amp;IF($E$21&gt;0," (and inputs changed)",""),IF($E$21&gt;0,"Differs - inputs changed","UNEXPLAINED")))</f>
        <v>Differs - requested change: LT loan repaid in 2027 (not 2025);  (and inputs changed)</v>
      </c>
      <c r="F290" s="225">
        <f>MAX(MAX(G293:T293),-MIN(G293:T293))</f>
        <v>195.18</v>
      </c>
      <c r="G290" s="226">
        <f>IF(OR($E$22=1),0,MAX(MAX(G293:T293),-MIN(G293:T293)))</f>
        <v>0</v>
      </c>
    </row>
    <row r="291" spans="2:20" x14ac:dyDescent="0.25">
      <c r="B291" s="23" t="s">
        <v>3683</v>
      </c>
      <c r="C291" s="28" t="s">
        <v>493</v>
      </c>
      <c r="D291" s="155" t="s">
        <v>3822</v>
      </c>
      <c r="E291" s="178">
        <f>INDEX($G$291:$T$291,1,Inputs!$E$49-2022)</f>
        <v>0</v>
      </c>
      <c r="G291" s="30">
        <f>'Source Data'!G861</f>
        <v>224.51846524876001</v>
      </c>
      <c r="H291" s="30">
        <f>'Source Data'!H861</f>
        <v>195.18</v>
      </c>
      <c r="I291" s="30">
        <f>'Source Data'!I861</f>
        <v>0</v>
      </c>
      <c r="J291" s="30">
        <f>'Source Data'!J861</f>
        <v>0</v>
      </c>
      <c r="K291" s="30">
        <f>'Source Data'!K861</f>
        <v>0</v>
      </c>
      <c r="L291" s="30">
        <f>'Source Data'!L861</f>
        <v>0</v>
      </c>
      <c r="M291" s="30">
        <f>'Source Data'!M861</f>
        <v>0</v>
      </c>
      <c r="N291" s="30">
        <f>'Source Data'!N861</f>
        <v>0</v>
      </c>
      <c r="O291" s="30">
        <f>'Source Data'!O861</f>
        <v>0</v>
      </c>
      <c r="P291" s="30">
        <f>'Source Data'!P861</f>
        <v>0</v>
      </c>
      <c r="Q291" s="30">
        <f>'Source Data'!Q861</f>
        <v>0</v>
      </c>
      <c r="R291" s="30">
        <f>'Source Data'!R861</f>
        <v>0</v>
      </c>
      <c r="S291" s="30">
        <f>'Source Data'!S861</f>
        <v>0</v>
      </c>
      <c r="T291" s="30">
        <f>'Source Data'!T861</f>
        <v>0</v>
      </c>
    </row>
    <row r="292" spans="2:20" ht="31.5" customHeight="1" x14ac:dyDescent="0.25">
      <c r="B292" s="23" t="s">
        <v>3685</v>
      </c>
      <c r="C292" s="28" t="s">
        <v>493</v>
      </c>
      <c r="D292" s="230" t="s">
        <v>3823</v>
      </c>
      <c r="E292" s="178">
        <f>INDEX($G$292:$T$292,1,Inputs!$E$49-2022)</f>
        <v>0</v>
      </c>
      <c r="G292" s="161">
        <f>'FSL Output - With BUMN'!G250+'FSL Output - With BUMN'!G251+'FSL Output - With BUMN'!G252</f>
        <v>224.51846524876001</v>
      </c>
      <c r="H292" s="161">
        <f>'FSL Output - With BUMN'!H250+'FSL Output - With BUMN'!H251+'FSL Output - With BUMN'!H252</f>
        <v>195.18</v>
      </c>
      <c r="I292" s="161">
        <f>'FSL Output - With BUMN'!I250+'FSL Output - With BUMN'!I251+'FSL Output - With BUMN'!I252</f>
        <v>195.18</v>
      </c>
      <c r="J292" s="161">
        <f>'FSL Output - With BUMN'!J250+'FSL Output - With BUMN'!J251+'FSL Output - With BUMN'!J252</f>
        <v>195.18</v>
      </c>
      <c r="K292" s="161">
        <f>'FSL Output - With BUMN'!K250+'FSL Output - With BUMN'!K251+'FSL Output - With BUMN'!K252</f>
        <v>32.53</v>
      </c>
      <c r="L292" s="161">
        <f>'FSL Output - With BUMN'!L250+'FSL Output - With BUMN'!L251+'FSL Output - With BUMN'!L252</f>
        <v>81.325000000000003</v>
      </c>
      <c r="M292" s="161">
        <f>'FSL Output - With BUMN'!M250+'FSL Output - With BUMN'!M251+'FSL Output - With BUMN'!M252</f>
        <v>81.325000000000003</v>
      </c>
      <c r="N292" s="161">
        <f>'FSL Output - With BUMN'!N250+'FSL Output - With BUMN'!N251+'FSL Output - With BUMN'!N252</f>
        <v>74.819000000000003</v>
      </c>
      <c r="O292" s="161">
        <f>'FSL Output - With BUMN'!O250+'FSL Output - With BUMN'!O251+'FSL Output - With BUMN'!O252</f>
        <v>58.554000000000002</v>
      </c>
      <c r="P292" s="161">
        <f>'FSL Output - With BUMN'!P250+'FSL Output - With BUMN'!P251+'FSL Output - With BUMN'!P252</f>
        <v>42.289000000000001</v>
      </c>
      <c r="Q292" s="161">
        <f>'FSL Output - With BUMN'!Q250+'FSL Output - With BUMN'!Q251+'FSL Output - With BUMN'!Q252</f>
        <v>26.024000000000001</v>
      </c>
      <c r="R292" s="161">
        <f>'FSL Output - With BUMN'!R250+'FSL Output - With BUMN'!R251+'FSL Output - With BUMN'!R252</f>
        <v>9.7590000000000003</v>
      </c>
      <c r="S292" s="161">
        <f>'FSL Output - With BUMN'!S250+'FSL Output - With BUMN'!S251+'FSL Output - With BUMN'!S252</f>
        <v>0</v>
      </c>
      <c r="T292" s="161">
        <f>'FSL Output - With BUMN'!T250+'FSL Output - With BUMN'!T251+'FSL Output - With BUMN'!T252</f>
        <v>0</v>
      </c>
    </row>
    <row r="293" spans="2:20" x14ac:dyDescent="0.25">
      <c r="B293" s="21" t="s">
        <v>3687</v>
      </c>
      <c r="C293" s="28" t="s">
        <v>493</v>
      </c>
      <c r="E293" s="228">
        <f>INDEX($G$293:$T$293,1,Inputs!$E$49-2022)</f>
        <v>0</v>
      </c>
      <c r="G293" s="229">
        <f t="shared" ref="G293:T293" si="33">ROUND(G292-G291,9)</f>
        <v>0</v>
      </c>
      <c r="H293" s="229">
        <f t="shared" si="33"/>
        <v>0</v>
      </c>
      <c r="I293" s="229">
        <f t="shared" si="33"/>
        <v>195.18</v>
      </c>
      <c r="J293" s="229">
        <f t="shared" si="33"/>
        <v>195.18</v>
      </c>
      <c r="K293" s="229">
        <f t="shared" si="33"/>
        <v>32.53</v>
      </c>
      <c r="L293" s="229">
        <f t="shared" si="33"/>
        <v>81.325000000000003</v>
      </c>
      <c r="M293" s="229">
        <f t="shared" si="33"/>
        <v>81.325000000000003</v>
      </c>
      <c r="N293" s="229">
        <f t="shared" si="33"/>
        <v>74.819000000000003</v>
      </c>
      <c r="O293" s="229">
        <f t="shared" si="33"/>
        <v>58.554000000000002</v>
      </c>
      <c r="P293" s="229">
        <f t="shared" si="33"/>
        <v>42.289000000000001</v>
      </c>
      <c r="Q293" s="229">
        <f t="shared" si="33"/>
        <v>26.024000000000001</v>
      </c>
      <c r="R293" s="229">
        <f t="shared" si="33"/>
        <v>9.7590000000000003</v>
      </c>
      <c r="S293" s="229">
        <f t="shared" si="33"/>
        <v>0</v>
      </c>
      <c r="T293" s="229">
        <f t="shared" si="33"/>
        <v>0</v>
      </c>
    </row>
    <row r="294" spans="2:20" ht="27.75" customHeight="1" x14ac:dyDescent="0.25">
      <c r="B294" s="63" t="s">
        <v>3824</v>
      </c>
      <c r="G294" s="254" t="str">
        <f>"With-BS08 FY"&amp;Inputs!$E$49&amp;": model "&amp;TEXT(E292,"#,##0.000")&amp;" vs v29 "&amp;TEXT(E291,"#,##0.000")&amp;" (difference "&amp;TEXT(ROUND(E293,3),"+#,##0.000;-#,##0.000;0.000")&amp;")"&amp;IF(ABS(E293)&lt;=Inputs!$E$50," - matches v29.",IF(LEFT(E290,19)="Differs - requested"," - due to the requested change: "&amp;MID(E290,29,200),IF($E$21&gt;0," - differs because inputs / switches were changed."," - UNEXPLAINED: no input was changed.")))</f>
        <v>With-BS08 FY2036: model 0.000 vs v29 0.000 (difference 0.000) - matches v29.</v>
      </c>
      <c r="H294" s="254"/>
      <c r="I294" s="254"/>
      <c r="J294" s="254"/>
      <c r="K294" s="254"/>
      <c r="L294" s="254"/>
      <c r="M294" s="254"/>
      <c r="N294" s="254"/>
      <c r="O294" s="254"/>
      <c r="P294" s="254"/>
      <c r="Q294" s="254"/>
      <c r="R294" s="254"/>
      <c r="S294" s="254"/>
      <c r="T294" s="254"/>
    </row>
    <row r="295" spans="2:20" x14ac:dyDescent="0.25">
      <c r="B295" s="221" t="s">
        <v>3825</v>
      </c>
      <c r="C295" s="222" t="s">
        <v>493</v>
      </c>
      <c r="D295" s="223" t="s">
        <v>3826</v>
      </c>
      <c r="E295" s="224" t="str">
        <f>IF(MAX(MAX(G298:T298),-MIN(G298:T298))&lt;=Inputs!$E$50,"Matches v29",IF($E$21&gt;0,"Differs - inputs changed","UNEXPLAINED"))</f>
        <v>Matches v29</v>
      </c>
      <c r="F295" s="225">
        <f>MAX(MAX(G298:T298),-MIN(G298:T298))</f>
        <v>0</v>
      </c>
      <c r="G295" s="226">
        <f>MAX(MAX(G298:T298),-MIN(G298:T298))</f>
        <v>0</v>
      </c>
    </row>
    <row r="296" spans="2:20" x14ac:dyDescent="0.25">
      <c r="B296" s="23" t="s">
        <v>3683</v>
      </c>
      <c r="C296" s="28" t="s">
        <v>493</v>
      </c>
      <c r="D296" s="155" t="s">
        <v>3827</v>
      </c>
      <c r="E296" s="178">
        <f>INDEX($G$296:$T$296,1,Inputs!$E$49-2022)</f>
        <v>55.924464057122997</v>
      </c>
      <c r="G296" s="30">
        <f>'Source Data'!G862</f>
        <v>55.924464057122997</v>
      </c>
      <c r="H296" s="30">
        <f>'Source Data'!H862</f>
        <v>55.924464057122997</v>
      </c>
      <c r="I296" s="30">
        <f>'Source Data'!I862</f>
        <v>55.924464057122997</v>
      </c>
      <c r="J296" s="30">
        <f>'Source Data'!J862</f>
        <v>55.924464057122997</v>
      </c>
      <c r="K296" s="30">
        <f>'Source Data'!K862</f>
        <v>55.924464057122997</v>
      </c>
      <c r="L296" s="30">
        <f>'Source Data'!L862</f>
        <v>55.924464057122997</v>
      </c>
      <c r="M296" s="30">
        <f>'Source Data'!M862</f>
        <v>55.924464057122997</v>
      </c>
      <c r="N296" s="30">
        <f>'Source Data'!N862</f>
        <v>55.924464057122997</v>
      </c>
      <c r="O296" s="30">
        <f>'Source Data'!O862</f>
        <v>55.924464057122997</v>
      </c>
      <c r="P296" s="30">
        <f>'Source Data'!P862</f>
        <v>55.924464057122997</v>
      </c>
      <c r="Q296" s="30">
        <f>'Source Data'!Q862</f>
        <v>55.924464057122997</v>
      </c>
      <c r="R296" s="30">
        <f>'Source Data'!R862</f>
        <v>55.924464057122997</v>
      </c>
      <c r="S296" s="30">
        <f>'Source Data'!S862</f>
        <v>55.924464057122997</v>
      </c>
      <c r="T296" s="30">
        <f>'Source Data'!T862</f>
        <v>55.924464057122997</v>
      </c>
    </row>
    <row r="297" spans="2:20" x14ac:dyDescent="0.25">
      <c r="B297" s="23" t="s">
        <v>3685</v>
      </c>
      <c r="C297" s="28" t="s">
        <v>493</v>
      </c>
      <c r="D297" s="227" t="s">
        <v>3828</v>
      </c>
      <c r="E297" s="178">
        <f>INDEX($G$297:$T$297,1,Inputs!$E$49-2022)</f>
        <v>55.924464057122997</v>
      </c>
      <c r="G297" s="30">
        <f>'FSL Output - With BUMN'!G253</f>
        <v>55.924464057122997</v>
      </c>
      <c r="H297" s="30">
        <f>'FSL Output - With BUMN'!H253</f>
        <v>55.924464057122997</v>
      </c>
      <c r="I297" s="30">
        <f>'FSL Output - With BUMN'!I253</f>
        <v>55.924464057122997</v>
      </c>
      <c r="J297" s="30">
        <f>'FSL Output - With BUMN'!J253</f>
        <v>55.924464057122997</v>
      </c>
      <c r="K297" s="30">
        <f>'FSL Output - With BUMN'!K253</f>
        <v>55.924464057122997</v>
      </c>
      <c r="L297" s="30">
        <f>'FSL Output - With BUMN'!L253</f>
        <v>55.924464057122997</v>
      </c>
      <c r="M297" s="30">
        <f>'FSL Output - With BUMN'!M253</f>
        <v>55.924464057122997</v>
      </c>
      <c r="N297" s="30">
        <f>'FSL Output - With BUMN'!N253</f>
        <v>55.924464057122997</v>
      </c>
      <c r="O297" s="30">
        <f>'FSL Output - With BUMN'!O253</f>
        <v>55.924464057122997</v>
      </c>
      <c r="P297" s="30">
        <f>'FSL Output - With BUMN'!P253</f>
        <v>55.924464057122997</v>
      </c>
      <c r="Q297" s="30">
        <f>'FSL Output - With BUMN'!Q253</f>
        <v>55.924464057122997</v>
      </c>
      <c r="R297" s="30">
        <f>'FSL Output - With BUMN'!R253</f>
        <v>55.924464057122997</v>
      </c>
      <c r="S297" s="30">
        <f>'FSL Output - With BUMN'!S253</f>
        <v>55.924464057122997</v>
      </c>
      <c r="T297" s="30">
        <f>'FSL Output - With BUMN'!T253</f>
        <v>55.924464057122997</v>
      </c>
    </row>
    <row r="298" spans="2:20" x14ac:dyDescent="0.25">
      <c r="B298" s="21" t="s">
        <v>3687</v>
      </c>
      <c r="C298" s="28" t="s">
        <v>493</v>
      </c>
      <c r="E298" s="228">
        <f>INDEX($G$298:$T$298,1,Inputs!$E$49-2022)</f>
        <v>0</v>
      </c>
      <c r="G298" s="229">
        <f t="shared" ref="G298:T298" si="34">ROUND(G297-G296,9)</f>
        <v>0</v>
      </c>
      <c r="H298" s="229">
        <f t="shared" si="34"/>
        <v>0</v>
      </c>
      <c r="I298" s="229">
        <f t="shared" si="34"/>
        <v>0</v>
      </c>
      <c r="J298" s="229">
        <f t="shared" si="34"/>
        <v>0</v>
      </c>
      <c r="K298" s="229">
        <f t="shared" si="34"/>
        <v>0</v>
      </c>
      <c r="L298" s="229">
        <f t="shared" si="34"/>
        <v>0</v>
      </c>
      <c r="M298" s="229">
        <f t="shared" si="34"/>
        <v>0</v>
      </c>
      <c r="N298" s="229">
        <f t="shared" si="34"/>
        <v>0</v>
      </c>
      <c r="O298" s="229">
        <f t="shared" si="34"/>
        <v>0</v>
      </c>
      <c r="P298" s="229">
        <f t="shared" si="34"/>
        <v>0</v>
      </c>
      <c r="Q298" s="229">
        <f t="shared" si="34"/>
        <v>0</v>
      </c>
      <c r="R298" s="229">
        <f t="shared" si="34"/>
        <v>0</v>
      </c>
      <c r="S298" s="229">
        <f t="shared" si="34"/>
        <v>0</v>
      </c>
      <c r="T298" s="229">
        <f t="shared" si="34"/>
        <v>0</v>
      </c>
    </row>
    <row r="299" spans="2:20" ht="27.75" customHeight="1" x14ac:dyDescent="0.25">
      <c r="B299" s="63" t="s">
        <v>3829</v>
      </c>
      <c r="G299" s="254" t="str">
        <f>"With-BS09 FY"&amp;Inputs!$E$49&amp;": model "&amp;TEXT(E297,"#,##0.000")&amp;" vs v29 "&amp;TEXT(E296,"#,##0.000")&amp;" (difference "&amp;TEXT(ROUND(E298,3),"+#,##0.000;-#,##0.000;0.000")&amp;")"&amp;IF(ABS(E298)&lt;=Inputs!$E$50," - matches v29.",IF(LEFT(E295,19)="Differs - requested"," - due to the requested change: "&amp;MID(E295,29,200),IF($E$21&gt;0," - differs because inputs / switches were changed."," - UNEXPLAINED: no input was changed.")))</f>
        <v>With-BS09 FY2036: model 55.924 vs v29 55.924 (difference 0.000) - matches v29.</v>
      </c>
      <c r="H299" s="254"/>
      <c r="I299" s="254"/>
      <c r="J299" s="254"/>
      <c r="K299" s="254"/>
      <c r="L299" s="254"/>
      <c r="M299" s="254"/>
      <c r="N299" s="254"/>
      <c r="O299" s="254"/>
      <c r="P299" s="254"/>
      <c r="Q299" s="254"/>
      <c r="R299" s="254"/>
      <c r="S299" s="254"/>
      <c r="T299" s="254"/>
    </row>
    <row r="300" spans="2:20" ht="24.75" customHeight="1" x14ac:dyDescent="0.25">
      <c r="B300" s="221" t="s">
        <v>3830</v>
      </c>
      <c r="C300" s="222" t="s">
        <v>493</v>
      </c>
      <c r="D300" s="231" t="s">
        <v>3831</v>
      </c>
      <c r="E300" s="232" t="str">
        <f>IF(MAX(MAX(G303:T303),-MIN(G303:T303))&lt;=Inputs!$E$50,"Matches v29",IF(OR($E$22=1),"Differs - requested change: "&amp;IF($E$22=1,"LT loan repaid in 2027 (not 2025); ","")&amp;IF($E$21&gt;0," (and inputs changed)",""),IF($E$21&gt;0,"Differs - inputs changed","UNEXPLAINED")))</f>
        <v>Differs - requested change: LT loan repaid in 2027 (not 2025);  (and inputs changed)</v>
      </c>
      <c r="F300" s="225">
        <f>MAX(MAX(G303:T303),-MIN(G303:T303))</f>
        <v>195.18</v>
      </c>
      <c r="G300" s="226">
        <f>IF(OR($E$22=1),0,MAX(MAX(G303:T303),-MIN(G303:T303)))</f>
        <v>0</v>
      </c>
    </row>
    <row r="301" spans="2:20" x14ac:dyDescent="0.25">
      <c r="B301" s="23" t="s">
        <v>3683</v>
      </c>
      <c r="C301" s="28" t="s">
        <v>493</v>
      </c>
      <c r="D301" s="155" t="s">
        <v>3832</v>
      </c>
      <c r="E301" s="178">
        <f>INDEX($G$301:$T$301,1,Inputs!$E$49-2022)</f>
        <v>73.705705246045298</v>
      </c>
      <c r="G301" s="30">
        <f>'Source Data'!G863</f>
        <v>295.11491528878798</v>
      </c>
      <c r="H301" s="30">
        <f>'Source Data'!H863</f>
        <v>261.14897704302098</v>
      </c>
      <c r="I301" s="30">
        <f>'Source Data'!I863</f>
        <v>65.348471960500106</v>
      </c>
      <c r="J301" s="30">
        <f>'Source Data'!J863</f>
        <v>65.148433925201303</v>
      </c>
      <c r="K301" s="30">
        <f>'Source Data'!K863</f>
        <v>66.164009440868</v>
      </c>
      <c r="L301" s="30">
        <f>'Source Data'!L863</f>
        <v>67.951917095501997</v>
      </c>
      <c r="M301" s="30">
        <f>'Source Data'!M863</f>
        <v>68.874958619261307</v>
      </c>
      <c r="N301" s="30">
        <f>'Source Data'!N863</f>
        <v>69.701707451543996</v>
      </c>
      <c r="O301" s="30">
        <f>'Source Data'!O863</f>
        <v>70.659735211120505</v>
      </c>
      <c r="P301" s="30">
        <f>'Source Data'!P863</f>
        <v>71.509299779574604</v>
      </c>
      <c r="Q301" s="30">
        <f>'Source Data'!Q863</f>
        <v>72.494547170849003</v>
      </c>
      <c r="R301" s="30">
        <f>'Source Data'!R863</f>
        <v>72.153982133365602</v>
      </c>
      <c r="S301" s="30">
        <f>'Source Data'!S863</f>
        <v>72.889625788184105</v>
      </c>
      <c r="T301" s="30">
        <f>'Source Data'!T863</f>
        <v>73.705705246045298</v>
      </c>
    </row>
    <row r="302" spans="2:20" x14ac:dyDescent="0.25">
      <c r="B302" s="23" t="s">
        <v>3685</v>
      </c>
      <c r="C302" s="28" t="s">
        <v>493</v>
      </c>
      <c r="D302" s="227" t="s">
        <v>3833</v>
      </c>
      <c r="E302" s="178">
        <f>INDEX($G$302:$T$302,1,Inputs!$E$49-2022)</f>
        <v>75.253881475553555</v>
      </c>
      <c r="G302" s="30">
        <f>'FSL Output - With BUMN'!G254</f>
        <v>295.11491528878787</v>
      </c>
      <c r="H302" s="30">
        <f>'FSL Output - With BUMN'!H254</f>
        <v>261.14897704302132</v>
      </c>
      <c r="I302" s="30">
        <f>'FSL Output - With BUMN'!I254</f>
        <v>260.52847196050016</v>
      </c>
      <c r="J302" s="30">
        <f>'FSL Output - With BUMN'!J254</f>
        <v>260.32843392520135</v>
      </c>
      <c r="K302" s="30">
        <f>'FSL Output - With BUMN'!K254</f>
        <v>98.694009440868058</v>
      </c>
      <c r="L302" s="30">
        <f>'FSL Output - With BUMN'!L254</f>
        <v>149.276917095502</v>
      </c>
      <c r="M302" s="30">
        <f>'FSL Output - With BUMN'!M254</f>
        <v>151.47288327679556</v>
      </c>
      <c r="N302" s="30">
        <f>'FSL Output - With BUMN'!N254</f>
        <v>145.93337868442075</v>
      </c>
      <c r="O302" s="30">
        <f>'FSL Output - With BUMN'!O254</f>
        <v>130.71957082755887</v>
      </c>
      <c r="P302" s="30">
        <f>'FSL Output - With BUMN'!P254</f>
        <v>115.34647600908278</v>
      </c>
      <c r="Q302" s="30">
        <f>'FSL Output - With BUMN'!Q254</f>
        <v>100.07096497906817</v>
      </c>
      <c r="R302" s="30">
        <f>'FSL Output - With BUMN'!R254</f>
        <v>83.465399941584792</v>
      </c>
      <c r="S302" s="30">
        <f>'FSL Output - With BUMN'!S254</f>
        <v>74.442043596403295</v>
      </c>
      <c r="T302" s="30">
        <f>'FSL Output - With BUMN'!T254</f>
        <v>75.253881475553555</v>
      </c>
    </row>
    <row r="303" spans="2:20" x14ac:dyDescent="0.25">
      <c r="B303" s="21" t="s">
        <v>3687</v>
      </c>
      <c r="C303" s="28" t="s">
        <v>493</v>
      </c>
      <c r="E303" s="228">
        <f>INDEX($G$303:$T$303,1,Inputs!$E$49-2022)</f>
        <v>1.5481762299999999</v>
      </c>
      <c r="G303" s="229">
        <f t="shared" ref="G303:T303" si="35">ROUND(G302-G301,9)</f>
        <v>0</v>
      </c>
      <c r="H303" s="229">
        <f t="shared" si="35"/>
        <v>0</v>
      </c>
      <c r="I303" s="229">
        <f t="shared" si="35"/>
        <v>195.18</v>
      </c>
      <c r="J303" s="229">
        <f t="shared" si="35"/>
        <v>195.18</v>
      </c>
      <c r="K303" s="229">
        <f t="shared" si="35"/>
        <v>32.53</v>
      </c>
      <c r="L303" s="229">
        <f t="shared" si="35"/>
        <v>81.325000000000003</v>
      </c>
      <c r="M303" s="229">
        <f t="shared" si="35"/>
        <v>82.597924657999997</v>
      </c>
      <c r="N303" s="229">
        <f t="shared" si="35"/>
        <v>76.231671233</v>
      </c>
      <c r="O303" s="229">
        <f t="shared" si="35"/>
        <v>60.059835616000001</v>
      </c>
      <c r="P303" s="229">
        <f t="shared" si="35"/>
        <v>43.837176229999997</v>
      </c>
      <c r="Q303" s="229">
        <f t="shared" si="35"/>
        <v>27.576417807999999</v>
      </c>
      <c r="R303" s="229">
        <f t="shared" si="35"/>
        <v>11.311417808</v>
      </c>
      <c r="S303" s="229">
        <f t="shared" si="35"/>
        <v>1.552417808</v>
      </c>
      <c r="T303" s="229">
        <f t="shared" si="35"/>
        <v>1.5481762299999999</v>
      </c>
    </row>
    <row r="304" spans="2:20" ht="27.75" customHeight="1" x14ac:dyDescent="0.25">
      <c r="B304" s="63" t="s">
        <v>3688</v>
      </c>
      <c r="G304" s="254" t="str">
        <f>"With-BS10 FY"&amp;Inputs!$E$49&amp;": model "&amp;TEXT(E302,"#,##0.000")&amp;" vs v29 "&amp;TEXT(E301,"#,##0.000")&amp;" (difference "&amp;TEXT(ROUND(E303,3),"+#,##0.000;-#,##0.000;0.000")&amp;")"&amp;IF(ABS(E303)&lt;=Inputs!$E$50," - matches v29.",IF(LEFT(E300,19)="Differs - requested"," - due to the requested change: "&amp;MID(E300,29,200),IF($E$21&gt;0," - differs because inputs / switches were changed."," - UNEXPLAINED: no input was changed.")))</f>
        <v>With-BS10 FY2036: model 75.254 vs v29 73.706 (difference +1.548) - due to the requested change: LT loan repaid in 2027 (not 2025);  (and inputs changed)</v>
      </c>
      <c r="H304" s="254"/>
      <c r="I304" s="254"/>
      <c r="J304" s="254"/>
      <c r="K304" s="254"/>
      <c r="L304" s="254"/>
      <c r="M304" s="254"/>
      <c r="N304" s="254"/>
      <c r="O304" s="254"/>
      <c r="P304" s="254"/>
      <c r="Q304" s="254"/>
      <c r="R304" s="254"/>
      <c r="S304" s="254"/>
      <c r="T304" s="254"/>
    </row>
    <row r="305" spans="2:20" ht="47.25" customHeight="1" x14ac:dyDescent="0.25">
      <c r="B305" s="221" t="s">
        <v>3834</v>
      </c>
      <c r="C305" s="222" t="s">
        <v>493</v>
      </c>
      <c r="D305" s="231" t="s">
        <v>3835</v>
      </c>
      <c r="E305" s="232" t="str">
        <f>IF(MAX(MAX(G308:T308),-MIN(G308:T308))&lt;=Inputs!$E$50,"Matches v29",IF(OR($E$22=1,$E$23=1),"Differs - requested change: "&amp;IF($E$22=1,"LT loan repaid in 2027 (not 2025); ","")&amp;IF($E$23=1,"new equity = residual funding requirement (not the v29 schedule)","")&amp;IF($E$21&gt;0," (and inputs changed)",""),IF($E$21&gt;0,"Differs - inputs changed","UNEXPLAINED")))</f>
        <v>Differs - requested change: LT loan repaid in 2027 (not 2025); new equity = residual funding requirement (not the v29 schedule) (and inputs changed)</v>
      </c>
      <c r="F305" s="225">
        <f>MAX(MAX(G308:T308),-MIN(G308:T308))</f>
        <v>550.89149200300005</v>
      </c>
      <c r="G305" s="226">
        <f>IF(OR($E$22=1,$E$23=1),0,MAX(MAX(G308:T308),-MIN(G308:T308)))</f>
        <v>0</v>
      </c>
    </row>
    <row r="306" spans="2:20" x14ac:dyDescent="0.25">
      <c r="B306" s="23" t="s">
        <v>3683</v>
      </c>
      <c r="C306" s="28" t="s">
        <v>493</v>
      </c>
      <c r="D306" s="155" t="s">
        <v>3836</v>
      </c>
      <c r="E306" s="178">
        <f>INDEX($G$306:$T$306,1,Inputs!$E$49-2022)</f>
        <v>1257.5062547619</v>
      </c>
      <c r="G306" s="30">
        <f>'Source Data'!G864</f>
        <v>677.73059999999998</v>
      </c>
      <c r="H306" s="30">
        <f>'Source Data'!H864</f>
        <v>677.73059999999998</v>
      </c>
      <c r="I306" s="30">
        <f>'Source Data'!I864</f>
        <v>677.73059999999998</v>
      </c>
      <c r="J306" s="30">
        <f>'Source Data'!J864</f>
        <v>1097.5026297618999</v>
      </c>
      <c r="K306" s="30">
        <f>'Source Data'!K864</f>
        <v>1257.5062547619</v>
      </c>
      <c r="L306" s="30">
        <f>'Source Data'!L864</f>
        <v>1257.5062547619</v>
      </c>
      <c r="M306" s="30">
        <f>'Source Data'!M864</f>
        <v>1257.5062547619</v>
      </c>
      <c r="N306" s="30">
        <f>'Source Data'!N864</f>
        <v>1257.5062547619</v>
      </c>
      <c r="O306" s="30">
        <f>'Source Data'!O864</f>
        <v>1257.5062547619</v>
      </c>
      <c r="P306" s="30">
        <f>'Source Data'!P864</f>
        <v>1257.5062547619</v>
      </c>
      <c r="Q306" s="30">
        <f>'Source Data'!Q864</f>
        <v>1257.5062547619</v>
      </c>
      <c r="R306" s="30">
        <f>'Source Data'!R864</f>
        <v>1257.5062547619</v>
      </c>
      <c r="S306" s="30">
        <f>'Source Data'!S864</f>
        <v>1257.5062547619</v>
      </c>
      <c r="T306" s="30">
        <f>'Source Data'!T864</f>
        <v>1257.5062547619</v>
      </c>
    </row>
    <row r="307" spans="2:20" x14ac:dyDescent="0.25">
      <c r="B307" s="23" t="s">
        <v>3685</v>
      </c>
      <c r="C307" s="28" t="s">
        <v>493</v>
      </c>
      <c r="D307" s="227" t="s">
        <v>3837</v>
      </c>
      <c r="E307" s="178">
        <f>INDEX($G$307:$T$307,1,Inputs!$E$49-2022)</f>
        <v>706.61476275864152</v>
      </c>
      <c r="G307" s="30">
        <f>'FSL Output - With BUMN'!G258</f>
        <v>677.73059999999998</v>
      </c>
      <c r="H307" s="30">
        <f>'FSL Output - With BUMN'!H258</f>
        <v>677.73059999999998</v>
      </c>
      <c r="I307" s="30">
        <f>'FSL Output - With BUMN'!I258</f>
        <v>677.73059999999998</v>
      </c>
      <c r="J307" s="30">
        <f>'FSL Output - With BUMN'!J258</f>
        <v>677.73059999999998</v>
      </c>
      <c r="K307" s="30">
        <f>'FSL Output - With BUMN'!K258</f>
        <v>706.61476275864152</v>
      </c>
      <c r="L307" s="30">
        <f>'FSL Output - With BUMN'!L258</f>
        <v>706.61476275864152</v>
      </c>
      <c r="M307" s="30">
        <f>'FSL Output - With BUMN'!M258</f>
        <v>706.61476275864152</v>
      </c>
      <c r="N307" s="30">
        <f>'FSL Output - With BUMN'!N258</f>
        <v>706.61476275864152</v>
      </c>
      <c r="O307" s="30">
        <f>'FSL Output - With BUMN'!O258</f>
        <v>706.61476275864152</v>
      </c>
      <c r="P307" s="30">
        <f>'FSL Output - With BUMN'!P258</f>
        <v>706.61476275864152</v>
      </c>
      <c r="Q307" s="30">
        <f>'FSL Output - With BUMN'!Q258</f>
        <v>706.61476275864152</v>
      </c>
      <c r="R307" s="30">
        <f>'FSL Output - With BUMN'!R258</f>
        <v>706.61476275864152</v>
      </c>
      <c r="S307" s="30">
        <f>'FSL Output - With BUMN'!S258</f>
        <v>706.61476275864152</v>
      </c>
      <c r="T307" s="30">
        <f>'FSL Output - With BUMN'!T258</f>
        <v>706.61476275864152</v>
      </c>
    </row>
    <row r="308" spans="2:20" x14ac:dyDescent="0.25">
      <c r="B308" s="21" t="s">
        <v>3687</v>
      </c>
      <c r="C308" s="28" t="s">
        <v>493</v>
      </c>
      <c r="E308" s="228">
        <f>INDEX($G$308:$T$308,1,Inputs!$E$49-2022)</f>
        <v>-550.89149200300005</v>
      </c>
      <c r="G308" s="229">
        <f t="shared" ref="G308:T308" si="36">ROUND(G307-G306,9)</f>
        <v>0</v>
      </c>
      <c r="H308" s="229">
        <f t="shared" si="36"/>
        <v>0</v>
      </c>
      <c r="I308" s="229">
        <f t="shared" si="36"/>
        <v>0</v>
      </c>
      <c r="J308" s="229">
        <f t="shared" si="36"/>
        <v>-419.77202976199999</v>
      </c>
      <c r="K308" s="229">
        <f t="shared" si="36"/>
        <v>-550.89149200300005</v>
      </c>
      <c r="L308" s="229">
        <f t="shared" si="36"/>
        <v>-550.89149200300005</v>
      </c>
      <c r="M308" s="229">
        <f t="shared" si="36"/>
        <v>-550.89149200300005</v>
      </c>
      <c r="N308" s="229">
        <f t="shared" si="36"/>
        <v>-550.89149200300005</v>
      </c>
      <c r="O308" s="229">
        <f t="shared" si="36"/>
        <v>-550.89149200300005</v>
      </c>
      <c r="P308" s="229">
        <f t="shared" si="36"/>
        <v>-550.89149200300005</v>
      </c>
      <c r="Q308" s="229">
        <f t="shared" si="36"/>
        <v>-550.89149200300005</v>
      </c>
      <c r="R308" s="229">
        <f t="shared" si="36"/>
        <v>-550.89149200300005</v>
      </c>
      <c r="S308" s="229">
        <f t="shared" si="36"/>
        <v>-550.89149200300005</v>
      </c>
      <c r="T308" s="229">
        <f t="shared" si="36"/>
        <v>-550.89149200300005</v>
      </c>
    </row>
    <row r="309" spans="2:20" ht="27.75" customHeight="1" x14ac:dyDescent="0.25">
      <c r="B309" s="63" t="s">
        <v>3688</v>
      </c>
      <c r="G309" s="254" t="str">
        <f>"With-BS11 FY"&amp;Inputs!$E$49&amp;": model "&amp;TEXT(E307,"#,##0.000")&amp;" vs v29 "&amp;TEXT(E306,"#,##0.000")&amp;" (difference "&amp;TEXT(ROUND(E308,3),"+#,##0.000;-#,##0.000;0.000")&amp;")"&amp;IF(ABS(E308)&lt;=Inputs!$E$50," - matches v29.",IF(LEFT(E305,19)="Differs - requested"," - due to the requested change: "&amp;MID(E305,29,200),IF($E$21&gt;0," - differs because inputs / switches were changed."," - UNEXPLAINED: no input was changed.")))</f>
        <v>With-BS11 FY2036: model 706.615 vs v29 1,257.506 (difference -550.891) - due to the requested change: LT loan repaid in 2027 (not 2025); new equity = residual funding requirement (not the v29 schedule) (and inputs changed)</v>
      </c>
      <c r="H309" s="254"/>
      <c r="I309" s="254"/>
      <c r="J309" s="254"/>
      <c r="K309" s="254"/>
      <c r="L309" s="254"/>
      <c r="M309" s="254"/>
      <c r="N309" s="254"/>
      <c r="O309" s="254"/>
      <c r="P309" s="254"/>
      <c r="Q309" s="254"/>
      <c r="R309" s="254"/>
      <c r="S309" s="254"/>
      <c r="T309" s="254"/>
    </row>
    <row r="310" spans="2:20" ht="47.25" customHeight="1" x14ac:dyDescent="0.25">
      <c r="B310" s="221" t="s">
        <v>3838</v>
      </c>
      <c r="C310" s="222" t="s">
        <v>493</v>
      </c>
      <c r="D310" s="231" t="s">
        <v>3839</v>
      </c>
      <c r="E310" s="232" t="str">
        <f>IF(MAX(MAX(G313:T313),-MIN(G313:T313))&lt;=Inputs!$E$50,"Matches v29",IF(OR($E$22=1,$E$23=1),"Differs - requested change: "&amp;IF($E$22=1,"LT loan repaid in 2027 (not 2025); ","")&amp;IF($E$23=1,"new equity = residual funding requirement (not the v29 schedule)","")&amp;IF($E$21&gt;0," (and inputs changed)",""),IF($E$21&gt;0,"Differs - inputs changed","UNEXPLAINED")))</f>
        <v>Differs - requested change: LT loan repaid in 2027 (not 2025); new equity = residual funding requirement (not the v29 schedule) (and inputs changed)</v>
      </c>
      <c r="F310" s="225">
        <f>MAX(MAX(G313:T313),-MIN(G313:T313))</f>
        <v>73.448542388000007</v>
      </c>
      <c r="G310" s="226">
        <f>IF(OR($E$22=1,$E$23=1),0,MAX(MAX(G313:T313),-MIN(G313:T313)))</f>
        <v>0</v>
      </c>
    </row>
    <row r="311" spans="2:20" x14ac:dyDescent="0.25">
      <c r="B311" s="23" t="s">
        <v>3683</v>
      </c>
      <c r="C311" s="28" t="s">
        <v>493</v>
      </c>
      <c r="D311" s="155" t="s">
        <v>3840</v>
      </c>
      <c r="E311" s="178">
        <f>INDEX($G$311:$T$311,1,Inputs!$E$49-2022)</f>
        <v>3214.9276286066201</v>
      </c>
      <c r="G311" s="30">
        <f>'Source Data'!G865</f>
        <v>290.59201234880999</v>
      </c>
      <c r="H311" s="30">
        <f>'Source Data'!H865</f>
        <v>324.68853378382698</v>
      </c>
      <c r="I311" s="30">
        <f>'Source Data'!I865</f>
        <v>408.34396465550901</v>
      </c>
      <c r="J311" s="30">
        <f>'Source Data'!J865</f>
        <v>538.64871095041201</v>
      </c>
      <c r="K311" s="30">
        <f>'Source Data'!K865</f>
        <v>714.945034292081</v>
      </c>
      <c r="L311" s="30">
        <f>'Source Data'!L865</f>
        <v>914.37227188922202</v>
      </c>
      <c r="M311" s="30">
        <f>'Source Data'!M865</f>
        <v>1144.1917117607099</v>
      </c>
      <c r="N311" s="30">
        <f>'Source Data'!N865</f>
        <v>1386.1156087966599</v>
      </c>
      <c r="O311" s="30">
        <f>'Source Data'!O865</f>
        <v>1651.81795358461</v>
      </c>
      <c r="P311" s="30">
        <f>'Source Data'!P865</f>
        <v>1932.7961544914999</v>
      </c>
      <c r="Q311" s="30">
        <f>'Source Data'!Q865</f>
        <v>2239.8595458556401</v>
      </c>
      <c r="R311" s="30">
        <f>'Source Data'!R865</f>
        <v>2562.0567848361102</v>
      </c>
      <c r="S311" s="30">
        <f>'Source Data'!S865</f>
        <v>2882.0742513538398</v>
      </c>
      <c r="T311" s="30">
        <f>'Source Data'!T865</f>
        <v>3214.9276286066201</v>
      </c>
    </row>
    <row r="312" spans="2:20" x14ac:dyDescent="0.25">
      <c r="B312" s="23" t="s">
        <v>3685</v>
      </c>
      <c r="C312" s="28" t="s">
        <v>493</v>
      </c>
      <c r="D312" s="227" t="s">
        <v>3841</v>
      </c>
      <c r="E312" s="178">
        <f>INDEX($G$312:$T$312,1,Inputs!$E$49-2022)</f>
        <v>3288.3761709942887</v>
      </c>
      <c r="G312" s="30">
        <f>'FSL Output - With BUMN'!G259</f>
        <v>290.59201234880999</v>
      </c>
      <c r="H312" s="30">
        <f>'FSL Output - With BUMN'!H259</f>
        <v>324.6885337838267</v>
      </c>
      <c r="I312" s="30">
        <f>'FSL Output - With BUMN'!I259</f>
        <v>401.1938772856434</v>
      </c>
      <c r="J312" s="30">
        <f>'FSL Output - With BUMN'!J259</f>
        <v>522.86022537883343</v>
      </c>
      <c r="K312" s="30">
        <f>'FSL Output - With BUMN'!K259</f>
        <v>759.33857766544588</v>
      </c>
      <c r="L312" s="30">
        <f>'FSL Output - With BUMN'!L259</f>
        <v>955.32486026258698</v>
      </c>
      <c r="M312" s="30">
        <f>'FSL Output - With BUMN'!M259</f>
        <v>1180.4409426990987</v>
      </c>
      <c r="N312" s="30">
        <f>'FSL Output - With BUMN'!N259</f>
        <v>1422.4116144357663</v>
      </c>
      <c r="O312" s="30">
        <f>'FSL Output - With BUMN'!O259</f>
        <v>1691.0106519044334</v>
      </c>
      <c r="P312" s="30">
        <f>'FSL Output - With BUMN'!P259</f>
        <v>1977.0394626391662</v>
      </c>
      <c r="Q312" s="30">
        <f>'FSL Output - With BUMN'!Q259</f>
        <v>2290.1029560840348</v>
      </c>
      <c r="R312" s="30">
        <f>'FSL Output - With BUMN'!R259</f>
        <v>2619.2327695952176</v>
      </c>
      <c r="S312" s="30">
        <f>'FSL Output - With BUMN'!S259</f>
        <v>2947.1152830936694</v>
      </c>
      <c r="T312" s="30">
        <f>'FSL Output - With BUMN'!T259</f>
        <v>3288.3761709942887</v>
      </c>
    </row>
    <row r="313" spans="2:20" x14ac:dyDescent="0.25">
      <c r="B313" s="21" t="s">
        <v>3687</v>
      </c>
      <c r="C313" s="28" t="s">
        <v>493</v>
      </c>
      <c r="E313" s="228">
        <f>INDEX($G$313:$T$313,1,Inputs!$E$49-2022)</f>
        <v>73.448542388000007</v>
      </c>
      <c r="G313" s="229">
        <f t="shared" ref="G313:T313" si="37">ROUND(G312-G311,9)</f>
        <v>0</v>
      </c>
      <c r="H313" s="229">
        <f t="shared" si="37"/>
        <v>0</v>
      </c>
      <c r="I313" s="229">
        <f t="shared" si="37"/>
        <v>-7.1500873699999996</v>
      </c>
      <c r="J313" s="229">
        <f t="shared" si="37"/>
        <v>-15.788485572000001</v>
      </c>
      <c r="K313" s="229">
        <f t="shared" si="37"/>
        <v>44.393543373</v>
      </c>
      <c r="L313" s="229">
        <f t="shared" si="37"/>
        <v>40.952588372999998</v>
      </c>
      <c r="M313" s="229">
        <f t="shared" si="37"/>
        <v>36.249230937999997</v>
      </c>
      <c r="N313" s="229">
        <f t="shared" si="37"/>
        <v>36.296005639000001</v>
      </c>
      <c r="O313" s="229">
        <f t="shared" si="37"/>
        <v>39.192698319999998</v>
      </c>
      <c r="P313" s="229">
        <f t="shared" si="37"/>
        <v>44.243308147999997</v>
      </c>
      <c r="Q313" s="229">
        <f t="shared" si="37"/>
        <v>50.243410228000002</v>
      </c>
      <c r="R313" s="229">
        <f t="shared" si="37"/>
        <v>57.175984759000002</v>
      </c>
      <c r="S313" s="229">
        <f t="shared" si="37"/>
        <v>65.041031739999994</v>
      </c>
      <c r="T313" s="229">
        <f t="shared" si="37"/>
        <v>73.448542388000007</v>
      </c>
    </row>
    <row r="314" spans="2:20" ht="27.75" customHeight="1" x14ac:dyDescent="0.25">
      <c r="B314" s="63" t="s">
        <v>3688</v>
      </c>
      <c r="G314" s="254" t="str">
        <f>"With-BS12 FY"&amp;Inputs!$E$49&amp;": model "&amp;TEXT(E312,"#,##0.000")&amp;" vs v29 "&amp;TEXT(E311,"#,##0.000")&amp;" (difference "&amp;TEXT(ROUND(E313,3),"+#,##0.000;-#,##0.000;0.000")&amp;")"&amp;IF(ABS(E313)&lt;=Inputs!$E$50," - matches v29.",IF(LEFT(E310,19)="Differs - requested"," - due to the requested change: "&amp;MID(E310,29,200),IF($E$21&gt;0," - differs because inputs / switches were changed."," - UNEXPLAINED: no input was changed.")))</f>
        <v>With-BS12 FY2036: model 3,288.376 vs v29 3,214.928 (difference +73.449) - due to the requested change: LT loan repaid in 2027 (not 2025); new equity = residual funding requirement (not the v29 schedule) (and inputs changed)</v>
      </c>
      <c r="H314" s="254"/>
      <c r="I314" s="254"/>
      <c r="J314" s="254"/>
      <c r="K314" s="254"/>
      <c r="L314" s="254"/>
      <c r="M314" s="254"/>
      <c r="N314" s="254"/>
      <c r="O314" s="254"/>
      <c r="P314" s="254"/>
      <c r="Q314" s="254"/>
      <c r="R314" s="254"/>
      <c r="S314" s="254"/>
      <c r="T314" s="254"/>
    </row>
    <row r="315" spans="2:20" ht="47.25" customHeight="1" x14ac:dyDescent="0.25">
      <c r="B315" s="221" t="s">
        <v>3842</v>
      </c>
      <c r="C315" s="222" t="s">
        <v>493</v>
      </c>
      <c r="D315" s="231" t="s">
        <v>3843</v>
      </c>
      <c r="E315" s="232" t="str">
        <f>IF(MAX(MAX(G318:T318),-MIN(G318:T318))&lt;=Inputs!$E$50,"Matches v29",IF(OR($E$22=1,$E$23=1),"Differs - requested change: "&amp;IF($E$22=1,"LT loan repaid in 2027 (not 2025); ","")&amp;IF($E$23=1,"new equity = residual funding requirement (not the v29 schedule)","")&amp;IF($E$21&gt;0," (and inputs changed)",""),IF($E$21&gt;0,"Differs - inputs changed","UNEXPLAINED")))</f>
        <v>Differs - requested change: LT loan repaid in 2027 (not 2025); new equity = residual funding requirement (not the v29 schedule) (and inputs changed)</v>
      </c>
      <c r="F315" s="225">
        <f>MAX(MAX(G318:T318),-MIN(G318:T318))</f>
        <v>514.64226106499996</v>
      </c>
      <c r="G315" s="226">
        <f>IF(OR($E$22=1,$E$23=1),0,MAX(MAX(G318:T318),-MIN(G318:T318)))</f>
        <v>0</v>
      </c>
    </row>
    <row r="316" spans="2:20" x14ac:dyDescent="0.25">
      <c r="B316" s="23" t="s">
        <v>3683</v>
      </c>
      <c r="C316" s="28" t="s">
        <v>493</v>
      </c>
      <c r="D316" s="155" t="s">
        <v>3844</v>
      </c>
      <c r="E316" s="178">
        <f>INDEX($G$316:$T$316,1,Inputs!$E$49-2022)</f>
        <v>4472.4338833685197</v>
      </c>
      <c r="G316" s="30">
        <f>'Source Data'!G866</f>
        <v>968.32261234881003</v>
      </c>
      <c r="H316" s="30">
        <f>'Source Data'!H866</f>
        <v>1002.41913378383</v>
      </c>
      <c r="I316" s="30">
        <f>'Source Data'!I866</f>
        <v>1086.0745646555099</v>
      </c>
      <c r="J316" s="30">
        <f>'Source Data'!J866</f>
        <v>1636.15134071232</v>
      </c>
      <c r="K316" s="30">
        <f>'Source Data'!K866</f>
        <v>1972.45128905399</v>
      </c>
      <c r="L316" s="30">
        <f>'Source Data'!L866</f>
        <v>2171.87852665113</v>
      </c>
      <c r="M316" s="30">
        <f>'Source Data'!M866</f>
        <v>2401.6979665226099</v>
      </c>
      <c r="N316" s="30">
        <f>'Source Data'!N866</f>
        <v>2643.6218635585601</v>
      </c>
      <c r="O316" s="30">
        <f>'Source Data'!O866</f>
        <v>2909.3242083465102</v>
      </c>
      <c r="P316" s="30">
        <f>'Source Data'!P866</f>
        <v>3190.3024092534001</v>
      </c>
      <c r="Q316" s="30">
        <f>'Source Data'!Q866</f>
        <v>3497.3658006175501</v>
      </c>
      <c r="R316" s="30">
        <f>'Source Data'!R866</f>
        <v>3819.5630395980102</v>
      </c>
      <c r="S316" s="30">
        <f>'Source Data'!S866</f>
        <v>4139.5805061157498</v>
      </c>
      <c r="T316" s="30">
        <f>'Source Data'!T866</f>
        <v>4472.4338833685197</v>
      </c>
    </row>
    <row r="317" spans="2:20" x14ac:dyDescent="0.25">
      <c r="B317" s="23" t="s">
        <v>3685</v>
      </c>
      <c r="C317" s="28" t="s">
        <v>493</v>
      </c>
      <c r="D317" s="227" t="s">
        <v>3845</v>
      </c>
      <c r="E317" s="178">
        <f>INDEX($G$317:$T$317,1,Inputs!$E$49-2022)</f>
        <v>3994.9909337529302</v>
      </c>
      <c r="G317" s="30">
        <f>'FSL Output - With BUMN'!G260</f>
        <v>968.32261234881003</v>
      </c>
      <c r="H317" s="30">
        <f>'FSL Output - With BUMN'!H260</f>
        <v>1002.4191337838267</v>
      </c>
      <c r="I317" s="30">
        <f>'FSL Output - With BUMN'!I260</f>
        <v>1078.9244772856434</v>
      </c>
      <c r="J317" s="30">
        <f>'FSL Output - With BUMN'!J260</f>
        <v>1200.5908253788334</v>
      </c>
      <c r="K317" s="30">
        <f>'FSL Output - With BUMN'!K260</f>
        <v>1465.9533404240874</v>
      </c>
      <c r="L317" s="30">
        <f>'FSL Output - With BUMN'!L260</f>
        <v>1661.9396230212285</v>
      </c>
      <c r="M317" s="30">
        <f>'FSL Output - With BUMN'!M260</f>
        <v>1887.0557054577403</v>
      </c>
      <c r="N317" s="30">
        <f>'FSL Output - With BUMN'!N260</f>
        <v>2129.0263771944078</v>
      </c>
      <c r="O317" s="30">
        <f>'FSL Output - With BUMN'!O260</f>
        <v>2397.6254146630749</v>
      </c>
      <c r="P317" s="30">
        <f>'FSL Output - With BUMN'!P260</f>
        <v>2683.6542253978077</v>
      </c>
      <c r="Q317" s="30">
        <f>'FSL Output - With BUMN'!Q260</f>
        <v>2996.7177188426763</v>
      </c>
      <c r="R317" s="30">
        <f>'FSL Output - With BUMN'!R260</f>
        <v>3325.8475323538592</v>
      </c>
      <c r="S317" s="30">
        <f>'FSL Output - With BUMN'!S260</f>
        <v>3653.7300458523109</v>
      </c>
      <c r="T317" s="30">
        <f>'FSL Output - With BUMN'!T260</f>
        <v>3994.9909337529302</v>
      </c>
    </row>
    <row r="318" spans="2:20" x14ac:dyDescent="0.25">
      <c r="B318" s="21" t="s">
        <v>3687</v>
      </c>
      <c r="C318" s="28" t="s">
        <v>493</v>
      </c>
      <c r="E318" s="228">
        <f>INDEX($G$318:$T$318,1,Inputs!$E$49-2022)</f>
        <v>-477.44294961600002</v>
      </c>
      <c r="G318" s="229">
        <f t="shared" ref="G318:T318" si="38">ROUND(G317-G316,9)</f>
        <v>0</v>
      </c>
      <c r="H318" s="229">
        <f t="shared" si="38"/>
        <v>0</v>
      </c>
      <c r="I318" s="229">
        <f t="shared" si="38"/>
        <v>-7.1500873699999996</v>
      </c>
      <c r="J318" s="229">
        <f t="shared" si="38"/>
        <v>-435.56051533300001</v>
      </c>
      <c r="K318" s="229">
        <f t="shared" si="38"/>
        <v>-506.49794863</v>
      </c>
      <c r="L318" s="229">
        <f t="shared" si="38"/>
        <v>-509.93890363000003</v>
      </c>
      <c r="M318" s="229">
        <f t="shared" si="38"/>
        <v>-514.64226106499996</v>
      </c>
      <c r="N318" s="229">
        <f t="shared" si="38"/>
        <v>-514.59548636399995</v>
      </c>
      <c r="O318" s="229">
        <f t="shared" si="38"/>
        <v>-511.69879368300002</v>
      </c>
      <c r="P318" s="229">
        <f t="shared" si="38"/>
        <v>-506.648183856</v>
      </c>
      <c r="Q318" s="229">
        <f t="shared" si="38"/>
        <v>-500.64808177499998</v>
      </c>
      <c r="R318" s="229">
        <f t="shared" si="38"/>
        <v>-493.71550724399998</v>
      </c>
      <c r="S318" s="229">
        <f t="shared" si="38"/>
        <v>-485.850460263</v>
      </c>
      <c r="T318" s="229">
        <f t="shared" si="38"/>
        <v>-477.44294961600002</v>
      </c>
    </row>
    <row r="319" spans="2:20" ht="27.75" customHeight="1" x14ac:dyDescent="0.25">
      <c r="B319" s="63" t="s">
        <v>3688</v>
      </c>
      <c r="G319" s="254" t="str">
        <f>"With-BS13 FY"&amp;Inputs!$E$49&amp;": model "&amp;TEXT(E317,"#,##0.000")&amp;" vs v29 "&amp;TEXT(E316,"#,##0.000")&amp;" (difference "&amp;TEXT(ROUND(E318,3),"+#,##0.000;-#,##0.000;0.000")&amp;")"&amp;IF(ABS(E318)&lt;=Inputs!$E$50," - matches v29.",IF(LEFT(E315,19)="Differs - requested"," - due to the requested change: "&amp;MID(E315,29,200),IF($E$21&gt;0," - differs because inputs / switches were changed."," - UNEXPLAINED: no input was changed.")))</f>
        <v>With-BS13 FY2036: model 3,994.991 vs v29 4,472.434 (difference -477.443) - due to the requested change: LT loan repaid in 2027 (not 2025); new equity = residual funding requirement (not the v29 schedule) (and inputs changed)</v>
      </c>
      <c r="H319" s="254"/>
      <c r="I319" s="254"/>
      <c r="J319" s="254"/>
      <c r="K319" s="254"/>
      <c r="L319" s="254"/>
      <c r="M319" s="254"/>
      <c r="N319" s="254"/>
      <c r="O319" s="254"/>
      <c r="P319" s="254"/>
      <c r="Q319" s="254"/>
      <c r="R319" s="254"/>
      <c r="S319" s="254"/>
      <c r="T319" s="254"/>
    </row>
    <row r="320" spans="2:20" x14ac:dyDescent="0.25">
      <c r="B320" s="221" t="s">
        <v>3846</v>
      </c>
      <c r="C320" s="222" t="s">
        <v>493</v>
      </c>
      <c r="D320" s="223" t="s">
        <v>3847</v>
      </c>
      <c r="E320" s="224" t="str">
        <f>IF(MAX(MAX(G323:T323),-MIN(G323:T323))&lt;=Inputs!$E$50,"Matches v29",IF($E$21&gt;0,"Differs - inputs changed","UNEXPLAINED"))</f>
        <v>Matches v29</v>
      </c>
      <c r="F320" s="225">
        <f>MAX(MAX(G323:T323),-MIN(G323:T323))</f>
        <v>0</v>
      </c>
      <c r="G320" s="226">
        <f>MAX(MAX(G323:T323),-MIN(G323:T323))</f>
        <v>0</v>
      </c>
    </row>
    <row r="321" spans="2:20" x14ac:dyDescent="0.25">
      <c r="B321" s="23" t="s">
        <v>3683</v>
      </c>
      <c r="C321" s="28" t="s">
        <v>493</v>
      </c>
      <c r="D321" s="155" t="s">
        <v>3848</v>
      </c>
      <c r="E321" s="178">
        <f>INDEX($G$321:$T$321,1,Inputs!$E$49-2022)</f>
        <v>0</v>
      </c>
      <c r="G321" s="30">
        <f>'Source Data'!G867</f>
        <v>0</v>
      </c>
      <c r="H321" s="30">
        <f>'Source Data'!H867</f>
        <v>0</v>
      </c>
      <c r="I321" s="30">
        <f>'Source Data'!I867</f>
        <v>0</v>
      </c>
      <c r="J321" s="30">
        <f>'Source Data'!J867</f>
        <v>0</v>
      </c>
      <c r="K321" s="30">
        <f>'Source Data'!K867</f>
        <v>0</v>
      </c>
      <c r="L321" s="30">
        <f>'Source Data'!L867</f>
        <v>0</v>
      </c>
      <c r="M321" s="30">
        <f>'Source Data'!M867</f>
        <v>0</v>
      </c>
      <c r="N321" s="30">
        <f>'Source Data'!N867</f>
        <v>0</v>
      </c>
      <c r="O321" s="30">
        <f>'Source Data'!O867</f>
        <v>0</v>
      </c>
      <c r="P321" s="30">
        <f>'Source Data'!P867</f>
        <v>0</v>
      </c>
      <c r="Q321" s="30">
        <f>'Source Data'!Q867</f>
        <v>0</v>
      </c>
      <c r="R321" s="30">
        <f>'Source Data'!R867</f>
        <v>0</v>
      </c>
      <c r="S321" s="30">
        <f>'Source Data'!S867</f>
        <v>0</v>
      </c>
      <c r="T321" s="30">
        <f>'Source Data'!T867</f>
        <v>0</v>
      </c>
    </row>
    <row r="322" spans="2:20" x14ac:dyDescent="0.25">
      <c r="B322" s="23" t="s">
        <v>3685</v>
      </c>
      <c r="C322" s="28" t="s">
        <v>493</v>
      </c>
      <c r="D322" s="227" t="s">
        <v>3849</v>
      </c>
      <c r="E322" s="178">
        <f>INDEX($G$322:$T$322,1,Inputs!$E$49-2022)</f>
        <v>0</v>
      </c>
      <c r="G322" s="30">
        <f>'FSL Output - With BUMN'!G264</f>
        <v>0</v>
      </c>
      <c r="H322" s="30">
        <f>'FSL Output - With BUMN'!H264</f>
        <v>0</v>
      </c>
      <c r="I322" s="30">
        <f>'FSL Output - With BUMN'!I264</f>
        <v>0</v>
      </c>
      <c r="J322" s="30">
        <f>'FSL Output - With BUMN'!J264</f>
        <v>0</v>
      </c>
      <c r="K322" s="30">
        <f>'FSL Output - With BUMN'!K264</f>
        <v>0</v>
      </c>
      <c r="L322" s="30">
        <f>'FSL Output - With BUMN'!L264</f>
        <v>0</v>
      </c>
      <c r="M322" s="30">
        <f>'FSL Output - With BUMN'!M264</f>
        <v>0</v>
      </c>
      <c r="N322" s="30">
        <f>'FSL Output - With BUMN'!N264</f>
        <v>0</v>
      </c>
      <c r="O322" s="30">
        <f>'FSL Output - With BUMN'!O264</f>
        <v>0</v>
      </c>
      <c r="P322" s="30">
        <f>'FSL Output - With BUMN'!P264</f>
        <v>0</v>
      </c>
      <c r="Q322" s="30">
        <f>'FSL Output - With BUMN'!Q264</f>
        <v>0</v>
      </c>
      <c r="R322" s="30">
        <f>'FSL Output - With BUMN'!R264</f>
        <v>0</v>
      </c>
      <c r="S322" s="30">
        <f>'FSL Output - With BUMN'!S264</f>
        <v>0</v>
      </c>
      <c r="T322" s="30">
        <f>'FSL Output - With BUMN'!T264</f>
        <v>0</v>
      </c>
    </row>
    <row r="323" spans="2:20" x14ac:dyDescent="0.25">
      <c r="B323" s="21" t="s">
        <v>3687</v>
      </c>
      <c r="C323" s="28" t="s">
        <v>493</v>
      </c>
      <c r="E323" s="228">
        <f>INDEX($G$323:$T$323,1,Inputs!$E$49-2022)</f>
        <v>0</v>
      </c>
      <c r="G323" s="229">
        <f t="shared" ref="G323:T323" si="39">ROUND(G322-G321,9)</f>
        <v>0</v>
      </c>
      <c r="H323" s="229">
        <f t="shared" si="39"/>
        <v>0</v>
      </c>
      <c r="I323" s="229">
        <f t="shared" si="39"/>
        <v>0</v>
      </c>
      <c r="J323" s="229">
        <f t="shared" si="39"/>
        <v>0</v>
      </c>
      <c r="K323" s="229">
        <f t="shared" si="39"/>
        <v>0</v>
      </c>
      <c r="L323" s="229">
        <f t="shared" si="39"/>
        <v>0</v>
      </c>
      <c r="M323" s="229">
        <f t="shared" si="39"/>
        <v>0</v>
      </c>
      <c r="N323" s="229">
        <f t="shared" si="39"/>
        <v>0</v>
      </c>
      <c r="O323" s="229">
        <f t="shared" si="39"/>
        <v>0</v>
      </c>
      <c r="P323" s="229">
        <f t="shared" si="39"/>
        <v>0</v>
      </c>
      <c r="Q323" s="229">
        <f t="shared" si="39"/>
        <v>0</v>
      </c>
      <c r="R323" s="229">
        <f t="shared" si="39"/>
        <v>0</v>
      </c>
      <c r="S323" s="229">
        <f t="shared" si="39"/>
        <v>0</v>
      </c>
      <c r="T323" s="229">
        <f t="shared" si="39"/>
        <v>0</v>
      </c>
    </row>
    <row r="324" spans="2:20" ht="27.75" customHeight="1" x14ac:dyDescent="0.25">
      <c r="B324" s="63" t="s">
        <v>3850</v>
      </c>
      <c r="G324" s="254" t="str">
        <f>"With-BS14 FY"&amp;Inputs!$E$49&amp;": model "&amp;TEXT(E322,"#,##0.000")&amp;" vs v29 "&amp;TEXT(E321,"#,##0.000")&amp;" (difference "&amp;TEXT(ROUND(E323,3),"+#,##0.000;-#,##0.000;0.000")&amp;")"&amp;IF(ABS(E323)&lt;=Inputs!$E$50," - matches v29.",IF(LEFT(E320,19)="Differs - requested"," - due to the requested change: "&amp;MID(E320,29,200),IF($E$21&gt;0," - differs because inputs / switches were changed."," - UNEXPLAINED: no input was changed.")))</f>
        <v>With-BS14 FY2036: model 0.000 vs v29 0.000 (difference 0.000) - matches v29.</v>
      </c>
      <c r="H324" s="254"/>
      <c r="I324" s="254"/>
      <c r="J324" s="254"/>
      <c r="K324" s="254"/>
      <c r="L324" s="254"/>
      <c r="M324" s="254"/>
      <c r="N324" s="254"/>
      <c r="O324" s="254"/>
      <c r="P324" s="254"/>
      <c r="Q324" s="254"/>
      <c r="R324" s="254"/>
      <c r="S324" s="254"/>
      <c r="T324" s="254"/>
    </row>
    <row r="325" spans="2:20" x14ac:dyDescent="0.25">
      <c r="B325" s="221" t="s">
        <v>3851</v>
      </c>
      <c r="C325" s="222" t="s">
        <v>493</v>
      </c>
      <c r="D325" s="223" t="s">
        <v>3852</v>
      </c>
      <c r="E325" s="224" t="str">
        <f>IF(MAX(MAX(H328:T328),-MIN(H328:T328))&lt;=Inputs!$E$50,"Matches v29",IF($E$21&gt;0,"Differs - inputs changed","UNEXPLAINED"))</f>
        <v>Differs - inputs changed</v>
      </c>
      <c r="F325" s="225">
        <f>MAX(MAX(H328:T328),-MIN(H328:T328))</f>
        <v>15.42954295</v>
      </c>
      <c r="G325" s="226">
        <f>MAX(MAX(H328:T328),-MIN(H328:T328))</f>
        <v>15.42954295</v>
      </c>
    </row>
    <row r="326" spans="2:20" x14ac:dyDescent="0.25">
      <c r="B326" s="23" t="s">
        <v>3683</v>
      </c>
      <c r="C326" s="28" t="s">
        <v>493</v>
      </c>
      <c r="D326" s="155" t="s">
        <v>3853</v>
      </c>
      <c r="E326" s="178">
        <f>INDEX($G$326:$T$326,1,Inputs!$E$49-2022)</f>
        <v>591.53750879735003</v>
      </c>
      <c r="H326" s="30">
        <f>'Source Data'!H869</f>
        <v>65.862412993927705</v>
      </c>
      <c r="I326" s="30">
        <f>'Source Data'!I869</f>
        <v>149.95884859672299</v>
      </c>
      <c r="J326" s="30">
        <f>'Source Data'!J869</f>
        <v>232.522484128093</v>
      </c>
      <c r="K326" s="30">
        <f>'Source Data'!K869</f>
        <v>313.30679164256497</v>
      </c>
      <c r="L326" s="30">
        <f>'Source Data'!L869</f>
        <v>354.97107541471098</v>
      </c>
      <c r="M326" s="30">
        <f>'Source Data'!M869</f>
        <v>407.783177989656</v>
      </c>
      <c r="N326" s="30">
        <f>'Source Data'!N869</f>
        <v>429.14994673507402</v>
      </c>
      <c r="O326" s="30">
        <f>'Source Data'!O869</f>
        <v>472.14753926094102</v>
      </c>
      <c r="P326" s="30">
        <f>'Source Data'!P869</f>
        <v>498.83484893506301</v>
      </c>
      <c r="Q326" s="30">
        <f>'Source Data'!Q869</f>
        <v>546.04801387873704</v>
      </c>
      <c r="R326" s="30">
        <f>'Source Data'!R869</f>
        <v>573.19382754574701</v>
      </c>
      <c r="S326" s="30">
        <f>'Source Data'!S869</f>
        <v>568.61988453479705</v>
      </c>
      <c r="T326" s="30">
        <f>'Source Data'!T869</f>
        <v>591.53750879735003</v>
      </c>
    </row>
    <row r="327" spans="2:20" x14ac:dyDescent="0.25">
      <c r="B327" s="23" t="s">
        <v>3685</v>
      </c>
      <c r="C327" s="28" t="s">
        <v>493</v>
      </c>
      <c r="D327" s="227" t="s">
        <v>3854</v>
      </c>
      <c r="E327" s="178">
        <f>INDEX($G$327:$T$327,1,Inputs!$E$49-2022)</f>
        <v>606.93587994724749</v>
      </c>
      <c r="H327" s="30">
        <f>'FSL Output - With BUMN'!H292</f>
        <v>65.862412993927734</v>
      </c>
      <c r="I327" s="30">
        <f>'FSL Output - With BUMN'!I292</f>
        <v>149.9588485967227</v>
      </c>
      <c r="J327" s="30">
        <f>'FSL Output - With BUMN'!J292</f>
        <v>232.5224841280932</v>
      </c>
      <c r="K327" s="30">
        <f>'FSL Output - With BUMN'!K292</f>
        <v>313.30679164256452</v>
      </c>
      <c r="L327" s="30">
        <f>'FSL Output - With BUMN'!L292</f>
        <v>353.47107541471053</v>
      </c>
      <c r="M327" s="30">
        <f>'FSL Output - With BUMN'!M292</f>
        <v>409.60322093969023</v>
      </c>
      <c r="N327" s="30">
        <f>'FSL Output - With BUMN'!N292</f>
        <v>437.77473968510787</v>
      </c>
      <c r="O327" s="30">
        <f>'FSL Output - With BUMN'!O292</f>
        <v>485.30883221097525</v>
      </c>
      <c r="P327" s="30">
        <f>'FSL Output - With BUMN'!P292</f>
        <v>514.23322008496098</v>
      </c>
      <c r="Q327" s="30">
        <f>'FSL Output - With BUMN'!Q292</f>
        <v>561.47755682877164</v>
      </c>
      <c r="R327" s="30">
        <f>'FSL Output - With BUMN'!R292</f>
        <v>588.62337049578082</v>
      </c>
      <c r="S327" s="30">
        <f>'FSL Output - With BUMN'!S292</f>
        <v>584.04942748483143</v>
      </c>
      <c r="T327" s="30">
        <f>'FSL Output - With BUMN'!T292</f>
        <v>606.93587994724749</v>
      </c>
    </row>
    <row r="328" spans="2:20" x14ac:dyDescent="0.25">
      <c r="B328" s="21" t="s">
        <v>3687</v>
      </c>
      <c r="C328" s="28" t="s">
        <v>493</v>
      </c>
      <c r="E328" s="228">
        <f>INDEX($G$328:$T$328,1,Inputs!$E$49-2022)</f>
        <v>15.398371149999999</v>
      </c>
      <c r="H328" s="229">
        <f t="shared" ref="H328:T328" si="40">ROUND(H327-H326,9)</f>
        <v>0</v>
      </c>
      <c r="I328" s="229">
        <f t="shared" si="40"/>
        <v>0</v>
      </c>
      <c r="J328" s="229">
        <f t="shared" si="40"/>
        <v>0</v>
      </c>
      <c r="K328" s="229">
        <f t="shared" si="40"/>
        <v>0</v>
      </c>
      <c r="L328" s="229">
        <f t="shared" si="40"/>
        <v>-1.5</v>
      </c>
      <c r="M328" s="229">
        <f t="shared" si="40"/>
        <v>1.8200429499999999</v>
      </c>
      <c r="N328" s="229">
        <f t="shared" si="40"/>
        <v>8.6247929499999998</v>
      </c>
      <c r="O328" s="229">
        <f t="shared" si="40"/>
        <v>13.16129295</v>
      </c>
      <c r="P328" s="229">
        <f t="shared" si="40"/>
        <v>15.398371149999999</v>
      </c>
      <c r="Q328" s="229">
        <f t="shared" si="40"/>
        <v>15.42954295</v>
      </c>
      <c r="R328" s="229">
        <f t="shared" si="40"/>
        <v>15.42954295</v>
      </c>
      <c r="S328" s="229">
        <f t="shared" si="40"/>
        <v>15.42954295</v>
      </c>
      <c r="T328" s="229">
        <f t="shared" si="40"/>
        <v>15.398371149999999</v>
      </c>
    </row>
    <row r="329" spans="2:20" ht="27.75" customHeight="1" x14ac:dyDescent="0.25">
      <c r="B329" s="63" t="s">
        <v>3855</v>
      </c>
      <c r="G329" s="254" t="str">
        <f>"With-FC01 FY"&amp;Inputs!$E$49&amp;": model "&amp;TEXT(E327,"#,##0.000")&amp;" vs v29 "&amp;TEXT(E326,"#,##0.000")&amp;" (difference "&amp;TEXT(ROUND(E328,3),"+#,##0.000;-#,##0.000;0.000")&amp;")"&amp;IF(ABS(E328)&lt;=Inputs!$E$50," - matches v29.",IF(LEFT(E325,19)="Differs - requested"," - due to the requested change: "&amp;MID(E325,29,200),IF($E$21&gt;0," - differs because inputs / switches were changed."," - UNEXPLAINED: no input was changed.")))</f>
        <v>With-FC01 FY2036: model 606.936 vs v29 591.538 (difference +15.398) - differs because inputs / switches were changed.</v>
      </c>
      <c r="H329" s="254"/>
      <c r="I329" s="254"/>
      <c r="J329" s="254"/>
      <c r="K329" s="254"/>
      <c r="L329" s="254"/>
      <c r="M329" s="254"/>
      <c r="N329" s="254"/>
      <c r="O329" s="254"/>
      <c r="P329" s="254"/>
      <c r="Q329" s="254"/>
      <c r="R329" s="254"/>
      <c r="S329" s="254"/>
      <c r="T329" s="254"/>
    </row>
    <row r="330" spans="2:20" x14ac:dyDescent="0.25">
      <c r="B330" s="221" t="s">
        <v>3856</v>
      </c>
      <c r="C330" s="222" t="s">
        <v>493</v>
      </c>
      <c r="D330" s="223" t="s">
        <v>3857</v>
      </c>
      <c r="E330" s="224" t="str">
        <f>IF(MAX(MAX(H333:T333),-MIN(H333:T333))&lt;=Inputs!$E$50,"Matches v29",IF($E$21&gt;0,"Differs - inputs changed","UNEXPLAINED"))</f>
        <v>Differs - inputs changed</v>
      </c>
      <c r="F330" s="225">
        <f>MAX(MAX(H333:T333),-MIN(H333:T333))</f>
        <v>3.394499449</v>
      </c>
      <c r="G330" s="226">
        <f>MAX(MAX(H333:T333),-MIN(H333:T333))</f>
        <v>3.394499449</v>
      </c>
    </row>
    <row r="331" spans="2:20" x14ac:dyDescent="0.25">
      <c r="B331" s="23" t="s">
        <v>3683</v>
      </c>
      <c r="C331" s="28" t="s">
        <v>493</v>
      </c>
      <c r="D331" s="155" t="s">
        <v>3858</v>
      </c>
      <c r="E331" s="178">
        <f>INDEX($G$331:$T$331,1,Inputs!$E$49-2022)</f>
        <v>-130.138251935417</v>
      </c>
      <c r="H331" s="30">
        <f>'Source Data'!H870</f>
        <v>-14.4897308586641</v>
      </c>
      <c r="I331" s="30">
        <f>'Source Data'!I870</f>
        <v>-32.990946691278999</v>
      </c>
      <c r="J331" s="30">
        <f>'Source Data'!J870</f>
        <v>-51.154946508180501</v>
      </c>
      <c r="K331" s="30">
        <f>'Source Data'!K870</f>
        <v>-68.927494161364194</v>
      </c>
      <c r="L331" s="30">
        <f>'Source Data'!L870</f>
        <v>-78.093636591236304</v>
      </c>
      <c r="M331" s="30">
        <f>'Source Data'!M870</f>
        <v>-89.712299157724303</v>
      </c>
      <c r="N331" s="30">
        <f>'Source Data'!N870</f>
        <v>-94.412988281716196</v>
      </c>
      <c r="O331" s="30">
        <f>'Source Data'!O870</f>
        <v>-103.87245863740699</v>
      </c>
      <c r="P331" s="30">
        <f>'Source Data'!P870</f>
        <v>-109.743666765714</v>
      </c>
      <c r="Q331" s="30">
        <f>'Source Data'!Q870</f>
        <v>-120.13056305332201</v>
      </c>
      <c r="R331" s="30">
        <f>'Source Data'!R870</f>
        <v>-126.102642060064</v>
      </c>
      <c r="S331" s="30">
        <f>'Source Data'!S870</f>
        <v>-125.096374597655</v>
      </c>
      <c r="T331" s="30">
        <f>'Source Data'!T870</f>
        <v>-130.138251935417</v>
      </c>
    </row>
    <row r="332" spans="2:20" x14ac:dyDescent="0.25">
      <c r="B332" s="23" t="s">
        <v>3685</v>
      </c>
      <c r="C332" s="28" t="s">
        <v>493</v>
      </c>
      <c r="D332" s="227" t="s">
        <v>3859</v>
      </c>
      <c r="E332" s="178">
        <f>INDEX($G$332:$T$332,1,Inputs!$E$49-2022)</f>
        <v>-133.52589358839444</v>
      </c>
      <c r="H332" s="30">
        <f>'FSL Output - With BUMN'!H293</f>
        <v>-14.489730858664101</v>
      </c>
      <c r="I332" s="30">
        <f>'FSL Output - With BUMN'!I293</f>
        <v>-32.990946691278992</v>
      </c>
      <c r="J332" s="30">
        <f>'FSL Output - With BUMN'!J293</f>
        <v>-51.154946508180501</v>
      </c>
      <c r="K332" s="30">
        <f>'FSL Output - With BUMN'!K293</f>
        <v>-68.927494161364194</v>
      </c>
      <c r="L332" s="30">
        <f>'FSL Output - With BUMN'!L293</f>
        <v>-77.76363659123632</v>
      </c>
      <c r="M332" s="30">
        <f>'FSL Output - With BUMN'!M293</f>
        <v>-90.112708606731857</v>
      </c>
      <c r="N332" s="30">
        <f>'FSL Output - With BUMN'!N293</f>
        <v>-96.310442730723736</v>
      </c>
      <c r="O332" s="30">
        <f>'FSL Output - With BUMN'!O293</f>
        <v>-106.76794308641456</v>
      </c>
      <c r="P332" s="30">
        <f>'FSL Output - With BUMN'!P293</f>
        <v>-113.13130841869142</v>
      </c>
      <c r="Q332" s="30">
        <f>'FSL Output - With BUMN'!Q293</f>
        <v>-123.52506250232976</v>
      </c>
      <c r="R332" s="30">
        <f>'FSL Output - With BUMN'!R293</f>
        <v>-129.49714150907178</v>
      </c>
      <c r="S332" s="30">
        <f>'FSL Output - With BUMN'!S293</f>
        <v>-128.49087404666292</v>
      </c>
      <c r="T332" s="30">
        <f>'FSL Output - With BUMN'!T293</f>
        <v>-133.52589358839444</v>
      </c>
    </row>
    <row r="333" spans="2:20" x14ac:dyDescent="0.25">
      <c r="B333" s="21" t="s">
        <v>3687</v>
      </c>
      <c r="C333" s="28" t="s">
        <v>493</v>
      </c>
      <c r="E333" s="228">
        <f>INDEX($G$333:$T$333,1,Inputs!$E$49-2022)</f>
        <v>-3.3876416530000002</v>
      </c>
      <c r="H333" s="229">
        <f t="shared" ref="H333:T333" si="41">ROUND(H332-H331,9)</f>
        <v>0</v>
      </c>
      <c r="I333" s="229">
        <f t="shared" si="41"/>
        <v>0</v>
      </c>
      <c r="J333" s="229">
        <f t="shared" si="41"/>
        <v>0</v>
      </c>
      <c r="K333" s="229">
        <f t="shared" si="41"/>
        <v>0</v>
      </c>
      <c r="L333" s="229">
        <f t="shared" si="41"/>
        <v>0.33</v>
      </c>
      <c r="M333" s="229">
        <f t="shared" si="41"/>
        <v>-0.40040944899999997</v>
      </c>
      <c r="N333" s="229">
        <f t="shared" si="41"/>
        <v>-1.897454449</v>
      </c>
      <c r="O333" s="229">
        <f t="shared" si="41"/>
        <v>-2.895484449</v>
      </c>
      <c r="P333" s="229">
        <f t="shared" si="41"/>
        <v>-3.3876416530000002</v>
      </c>
      <c r="Q333" s="229">
        <f t="shared" si="41"/>
        <v>-3.394499449</v>
      </c>
      <c r="R333" s="229">
        <f t="shared" si="41"/>
        <v>-3.394499449</v>
      </c>
      <c r="S333" s="229">
        <f t="shared" si="41"/>
        <v>-3.394499449</v>
      </c>
      <c r="T333" s="229">
        <f t="shared" si="41"/>
        <v>-3.3876416530000002</v>
      </c>
    </row>
    <row r="334" spans="2:20" ht="27.75" customHeight="1" x14ac:dyDescent="0.25">
      <c r="B334" s="63" t="s">
        <v>3688</v>
      </c>
      <c r="G334" s="254" t="str">
        <f>"With-FC02 FY"&amp;Inputs!$E$49&amp;": model "&amp;TEXT(E332,"#,##0.000")&amp;" vs v29 "&amp;TEXT(E331,"#,##0.000")&amp;" (difference "&amp;TEXT(ROUND(E333,3),"+#,##0.000;-#,##0.000;0.000")&amp;")"&amp;IF(ABS(E333)&lt;=Inputs!$E$50," - matches v29.",IF(LEFT(E330,19)="Differs - requested"," - due to the requested change: "&amp;MID(E330,29,200),IF($E$21&gt;0," - differs because inputs / switches were changed."," - UNEXPLAINED: no input was changed.")))</f>
        <v>With-FC02 FY2036: model -133.526 vs v29 -130.138 (difference -3.388) - differs because inputs / switches were changed.</v>
      </c>
      <c r="H334" s="254"/>
      <c r="I334" s="254"/>
      <c r="J334" s="254"/>
      <c r="K334" s="254"/>
      <c r="L334" s="254"/>
      <c r="M334" s="254"/>
      <c r="N334" s="254"/>
      <c r="O334" s="254"/>
      <c r="P334" s="254"/>
      <c r="Q334" s="254"/>
      <c r="R334" s="254"/>
      <c r="S334" s="254"/>
      <c r="T334" s="254"/>
    </row>
    <row r="335" spans="2:20" x14ac:dyDescent="0.25">
      <c r="B335" s="221" t="s">
        <v>3860</v>
      </c>
      <c r="C335" s="222" t="s">
        <v>493</v>
      </c>
      <c r="D335" s="223" t="s">
        <v>3861</v>
      </c>
      <c r="E335" s="224" t="str">
        <f>IF(MAX(MAX(H338:T338),-MIN(H338:T338))&lt;=Inputs!$E$50,"Matches v29",IF($E$21&gt;0,"Differs - inputs changed","UNEXPLAINED"))</f>
        <v>Differs - inputs changed</v>
      </c>
      <c r="F335" s="225">
        <f>MAX(MAX(H338:T338),-MIN(H338:T338))</f>
        <v>11.408878850000001</v>
      </c>
      <c r="G335" s="226">
        <f>MAX(MAX(H338:T338),-MIN(H338:T338))</f>
        <v>11.408878850000001</v>
      </c>
    </row>
    <row r="336" spans="2:20" x14ac:dyDescent="0.25">
      <c r="B336" s="23" t="s">
        <v>3683</v>
      </c>
      <c r="C336" s="28" t="s">
        <v>493</v>
      </c>
      <c r="D336" s="155" t="s">
        <v>3862</v>
      </c>
      <c r="E336" s="178">
        <f>INDEX($G$336:$T$336,1,Inputs!$E$49-2022)</f>
        <v>142.73553211478</v>
      </c>
      <c r="H336" s="30">
        <f>'Source Data'!H871</f>
        <v>88.373062408935297</v>
      </c>
      <c r="I336" s="30">
        <f>'Source Data'!I871</f>
        <v>113.59968518200201</v>
      </c>
      <c r="J336" s="30">
        <f>'Source Data'!J871</f>
        <v>134.96780390311301</v>
      </c>
      <c r="K336" s="30">
        <f>'Source Data'!K871</f>
        <v>136.94134168720899</v>
      </c>
      <c r="L336" s="30">
        <f>'Source Data'!L871</f>
        <v>144.19843006333599</v>
      </c>
      <c r="M336" s="30">
        <f>'Source Data'!M871</f>
        <v>146.20716215698599</v>
      </c>
      <c r="N336" s="30">
        <f>'Source Data'!N871</f>
        <v>146.21606889250901</v>
      </c>
      <c r="O336" s="30">
        <f>'Source Data'!O871</f>
        <v>146.225153762742</v>
      </c>
      <c r="P336" s="30">
        <f>'Source Data'!P871</f>
        <v>148.23442033038</v>
      </c>
      <c r="Q336" s="30">
        <f>'Source Data'!Q871</f>
        <v>148.24387222937099</v>
      </c>
      <c r="R336" s="30">
        <f>'Source Data'!R871</f>
        <v>142.71566792824601</v>
      </c>
      <c r="S336" s="30">
        <f>'Source Data'!S871</f>
        <v>142.725501683956</v>
      </c>
      <c r="T336" s="30">
        <f>'Source Data'!T871</f>
        <v>142.73553211478</v>
      </c>
    </row>
    <row r="337" spans="2:20" x14ac:dyDescent="0.25">
      <c r="B337" s="23" t="s">
        <v>3685</v>
      </c>
      <c r="C337" s="28" t="s">
        <v>493</v>
      </c>
      <c r="D337" s="227" t="s">
        <v>3863</v>
      </c>
      <c r="E337" s="178">
        <f>INDEX($G$337:$T$337,1,Inputs!$E$49-2022)</f>
        <v>154.14441096488284</v>
      </c>
      <c r="H337" s="30">
        <f>'FSL Output - With BUMN'!H294</f>
        <v>88.373062408935311</v>
      </c>
      <c r="I337" s="30">
        <f>'FSL Output - With BUMN'!I294</f>
        <v>113.59968518200155</v>
      </c>
      <c r="J337" s="30">
        <f>'FSL Output - With BUMN'!J294</f>
        <v>134.96780390311255</v>
      </c>
      <c r="K337" s="30">
        <f>'FSL Output - With BUMN'!K294</f>
        <v>136.94134168720865</v>
      </c>
      <c r="L337" s="30">
        <f>'FSL Output - With BUMN'!L294</f>
        <v>144.19843006333596</v>
      </c>
      <c r="M337" s="30">
        <f>'FSL Output - With BUMN'!M294</f>
        <v>157.58486920695159</v>
      </c>
      <c r="N337" s="30">
        <f>'FSL Output - With BUMN'!N294</f>
        <v>157.59377594247448</v>
      </c>
      <c r="O337" s="30">
        <f>'FSL Output - With BUMN'!O294</f>
        <v>157.60286081270777</v>
      </c>
      <c r="P337" s="30">
        <f>'FSL Output - With BUMN'!P294</f>
        <v>159.64329918048264</v>
      </c>
      <c r="Q337" s="30">
        <f>'FSL Output - With BUMN'!Q294</f>
        <v>159.62157927933652</v>
      </c>
      <c r="R337" s="30">
        <f>'FSL Output - With BUMN'!R294</f>
        <v>154.09337497821181</v>
      </c>
      <c r="S337" s="30">
        <f>'FSL Output - With BUMN'!S294</f>
        <v>154.10320873392178</v>
      </c>
      <c r="T337" s="30">
        <f>'FSL Output - With BUMN'!T294</f>
        <v>154.14441096488284</v>
      </c>
    </row>
    <row r="338" spans="2:20" x14ac:dyDescent="0.25">
      <c r="B338" s="21" t="s">
        <v>3687</v>
      </c>
      <c r="C338" s="28" t="s">
        <v>493</v>
      </c>
      <c r="E338" s="228">
        <f>INDEX($G$338:$T$338,1,Inputs!$E$49-2022)</f>
        <v>11.408878850000001</v>
      </c>
      <c r="H338" s="229">
        <f t="shared" ref="H338:T338" si="42">ROUND(H337-H336,9)</f>
        <v>0</v>
      </c>
      <c r="I338" s="229">
        <f t="shared" si="42"/>
        <v>0</v>
      </c>
      <c r="J338" s="229">
        <f t="shared" si="42"/>
        <v>0</v>
      </c>
      <c r="K338" s="229">
        <f t="shared" si="42"/>
        <v>0</v>
      </c>
      <c r="L338" s="229">
        <f t="shared" si="42"/>
        <v>0</v>
      </c>
      <c r="M338" s="229">
        <f t="shared" si="42"/>
        <v>11.37770705</v>
      </c>
      <c r="N338" s="229">
        <f t="shared" si="42"/>
        <v>11.37770705</v>
      </c>
      <c r="O338" s="229">
        <f t="shared" si="42"/>
        <v>11.37770705</v>
      </c>
      <c r="P338" s="229">
        <f t="shared" si="42"/>
        <v>11.408878850000001</v>
      </c>
      <c r="Q338" s="229">
        <f t="shared" si="42"/>
        <v>11.37770705</v>
      </c>
      <c r="R338" s="229">
        <f t="shared" si="42"/>
        <v>11.37770705</v>
      </c>
      <c r="S338" s="229">
        <f t="shared" si="42"/>
        <v>11.37770705</v>
      </c>
      <c r="T338" s="229">
        <f t="shared" si="42"/>
        <v>11.408878850000001</v>
      </c>
    </row>
    <row r="339" spans="2:20" ht="27.75" customHeight="1" x14ac:dyDescent="0.25">
      <c r="B339" s="63" t="s">
        <v>3688</v>
      </c>
      <c r="G339" s="254" t="str">
        <f>"With-FC03 FY"&amp;Inputs!$E$49&amp;": model "&amp;TEXT(E337,"#,##0.000")&amp;" vs v29 "&amp;TEXT(E336,"#,##0.000")&amp;" (difference "&amp;TEXT(ROUND(E338,3),"+#,##0.000;-#,##0.000;0.000")&amp;")"&amp;IF(ABS(E338)&lt;=Inputs!$E$50," - matches v29.",IF(LEFT(E335,19)="Differs - requested"," - due to the requested change: "&amp;MID(E335,29,200),IF($E$21&gt;0," - differs because inputs / switches were changed."," - UNEXPLAINED: no input was changed.")))</f>
        <v>With-FC03 FY2036: model 154.144 vs v29 142.736 (difference +11.409) - differs because inputs / switches were changed.</v>
      </c>
      <c r="H339" s="254"/>
      <c r="I339" s="254"/>
      <c r="J339" s="254"/>
      <c r="K339" s="254"/>
      <c r="L339" s="254"/>
      <c r="M339" s="254"/>
      <c r="N339" s="254"/>
      <c r="O339" s="254"/>
      <c r="P339" s="254"/>
      <c r="Q339" s="254"/>
      <c r="R339" s="254"/>
      <c r="S339" s="254"/>
      <c r="T339" s="254"/>
    </row>
    <row r="340" spans="2:20" x14ac:dyDescent="0.25">
      <c r="B340" s="221" t="s">
        <v>3864</v>
      </c>
      <c r="C340" s="222" t="s">
        <v>493</v>
      </c>
      <c r="D340" s="223" t="s">
        <v>3865</v>
      </c>
      <c r="E340" s="224" t="str">
        <f>IF(MAX(MAX(H343:T343),-MIN(H343:T343))&lt;=Inputs!$E$50,"Matches v29",IF($E$21&gt;0,"Differs - inputs changed","UNEXPLAINED"))</f>
        <v>Differs - inputs changed</v>
      </c>
      <c r="F340" s="225">
        <f>MAX(MAX(H343:T343),-MIN(H343:T343))</f>
        <v>97.59</v>
      </c>
      <c r="G340" s="226">
        <f>MAX(MAX(H343:T343),-MIN(H343:T343))</f>
        <v>97.59</v>
      </c>
    </row>
    <row r="341" spans="2:20" x14ac:dyDescent="0.25">
      <c r="B341" s="23" t="s">
        <v>3683</v>
      </c>
      <c r="C341" s="28" t="s">
        <v>493</v>
      </c>
      <c r="D341" s="155" t="s">
        <v>3866</v>
      </c>
      <c r="E341" s="178">
        <f>INDEX($G$341:$T$341,1,Inputs!$E$49-2022)</f>
        <v>0</v>
      </c>
      <c r="H341" s="30">
        <f>'Source Data'!H872</f>
        <v>-323.67349999999999</v>
      </c>
      <c r="I341" s="30">
        <f>'Source Data'!I872</f>
        <v>-14.638500000000001</v>
      </c>
      <c r="J341" s="30">
        <f>'Source Data'!J872</f>
        <v>-419.772029761905</v>
      </c>
      <c r="K341" s="30">
        <f>'Source Data'!K872</f>
        <v>-160.003625</v>
      </c>
      <c r="L341" s="30">
        <f>'Source Data'!L872</f>
        <v>0</v>
      </c>
      <c r="M341" s="30">
        <f>'Source Data'!M872</f>
        <v>0</v>
      </c>
      <c r="N341" s="30">
        <f>'Source Data'!N872</f>
        <v>0</v>
      </c>
      <c r="O341" s="30">
        <f>'Source Data'!O872</f>
        <v>0</v>
      </c>
      <c r="P341" s="30">
        <f>'Source Data'!P872</f>
        <v>0</v>
      </c>
      <c r="Q341" s="30">
        <f>'Source Data'!Q872</f>
        <v>0</v>
      </c>
      <c r="R341" s="30">
        <f>'Source Data'!R872</f>
        <v>0</v>
      </c>
      <c r="S341" s="30">
        <f>'Source Data'!S872</f>
        <v>0</v>
      </c>
      <c r="T341" s="30">
        <f>'Source Data'!T872</f>
        <v>0</v>
      </c>
    </row>
    <row r="342" spans="2:20" x14ac:dyDescent="0.25">
      <c r="B342" s="23" t="s">
        <v>3685</v>
      </c>
      <c r="C342" s="28" t="s">
        <v>493</v>
      </c>
      <c r="D342" s="227" t="s">
        <v>3867</v>
      </c>
      <c r="E342" s="178">
        <f>INDEX($G$342:$T$342,1,Inputs!$E$49-2022)</f>
        <v>0</v>
      </c>
      <c r="H342" s="30">
        <f>'FSL Output - With BUMN'!H295</f>
        <v>-323.67349999999999</v>
      </c>
      <c r="I342" s="30">
        <f>'FSL Output - With BUMN'!I295</f>
        <v>-14.638500000000001</v>
      </c>
      <c r="J342" s="30">
        <f>'FSL Output - With BUMN'!J295</f>
        <v>-419.77202976190472</v>
      </c>
      <c r="K342" s="30">
        <f>'FSL Output - With BUMN'!K295</f>
        <v>-225.06362499999994</v>
      </c>
      <c r="L342" s="30">
        <f>'FSL Output - With BUMN'!L295</f>
        <v>-97.59</v>
      </c>
      <c r="M342" s="30">
        <f>'FSL Output - With BUMN'!M295</f>
        <v>0</v>
      </c>
      <c r="N342" s="30">
        <f>'FSL Output - With BUMN'!N295</f>
        <v>0</v>
      </c>
      <c r="O342" s="30">
        <f>'FSL Output - With BUMN'!O295</f>
        <v>0</v>
      </c>
      <c r="P342" s="30">
        <f>'FSL Output - With BUMN'!P295</f>
        <v>0</v>
      </c>
      <c r="Q342" s="30">
        <f>'FSL Output - With BUMN'!Q295</f>
        <v>0</v>
      </c>
      <c r="R342" s="30">
        <f>'FSL Output - With BUMN'!R295</f>
        <v>0</v>
      </c>
      <c r="S342" s="30">
        <f>'FSL Output - With BUMN'!S295</f>
        <v>0</v>
      </c>
      <c r="T342" s="30">
        <f>'FSL Output - With BUMN'!T295</f>
        <v>0</v>
      </c>
    </row>
    <row r="343" spans="2:20" x14ac:dyDescent="0.25">
      <c r="B343" s="21" t="s">
        <v>3687</v>
      </c>
      <c r="C343" s="28" t="s">
        <v>493</v>
      </c>
      <c r="E343" s="228">
        <f>INDEX($G$343:$T$343,1,Inputs!$E$49-2022)</f>
        <v>0</v>
      </c>
      <c r="H343" s="229">
        <f t="shared" ref="H343:T343" si="43">ROUND(H342-H341,9)</f>
        <v>0</v>
      </c>
      <c r="I343" s="229">
        <f t="shared" si="43"/>
        <v>0</v>
      </c>
      <c r="J343" s="229">
        <f t="shared" si="43"/>
        <v>0</v>
      </c>
      <c r="K343" s="229">
        <f t="shared" si="43"/>
        <v>-65.06</v>
      </c>
      <c r="L343" s="229">
        <f t="shared" si="43"/>
        <v>-97.59</v>
      </c>
      <c r="M343" s="229">
        <f t="shared" si="43"/>
        <v>0</v>
      </c>
      <c r="N343" s="229">
        <f t="shared" si="43"/>
        <v>0</v>
      </c>
      <c r="O343" s="229">
        <f t="shared" si="43"/>
        <v>0</v>
      </c>
      <c r="P343" s="229">
        <f t="shared" si="43"/>
        <v>0</v>
      </c>
      <c r="Q343" s="229">
        <f t="shared" si="43"/>
        <v>0</v>
      </c>
      <c r="R343" s="229">
        <f t="shared" si="43"/>
        <v>0</v>
      </c>
      <c r="S343" s="229">
        <f t="shared" si="43"/>
        <v>0</v>
      </c>
      <c r="T343" s="229">
        <f t="shared" si="43"/>
        <v>0</v>
      </c>
    </row>
    <row r="344" spans="2:20" ht="27.75" customHeight="1" x14ac:dyDescent="0.25">
      <c r="B344" s="63" t="s">
        <v>3688</v>
      </c>
      <c r="G344" s="254" t="str">
        <f>"With-FC04 FY"&amp;Inputs!$E$49&amp;": model "&amp;TEXT(E342,"#,##0.000")&amp;" vs v29 "&amp;TEXT(E341,"#,##0.000")&amp;" (difference "&amp;TEXT(ROUND(E343,3),"+#,##0.000;-#,##0.000;0.000")&amp;")"&amp;IF(ABS(E343)&lt;=Inputs!$E$50," - matches v29.",IF(LEFT(E340,19)="Differs - requested"," - due to the requested change: "&amp;MID(E340,29,200),IF($E$21&gt;0," - differs because inputs / switches were changed."," - UNEXPLAINED: no input was changed.")))</f>
        <v>With-FC04 FY2036: model 0.000 vs v29 0.000 (difference 0.000) - matches v29.</v>
      </c>
      <c r="H344" s="254"/>
      <c r="I344" s="254"/>
      <c r="J344" s="254"/>
      <c r="K344" s="254"/>
      <c r="L344" s="254"/>
      <c r="M344" s="254"/>
      <c r="N344" s="254"/>
      <c r="O344" s="254"/>
      <c r="P344" s="254"/>
      <c r="Q344" s="254"/>
      <c r="R344" s="254"/>
      <c r="S344" s="254"/>
      <c r="T344" s="254"/>
    </row>
    <row r="345" spans="2:20" x14ac:dyDescent="0.25">
      <c r="B345" s="221" t="s">
        <v>3868</v>
      </c>
      <c r="C345" s="222" t="s">
        <v>493</v>
      </c>
      <c r="D345" s="223" t="s">
        <v>3869</v>
      </c>
      <c r="E345" s="224" t="str">
        <f>IF(MAX(MAX(H348:T348),-MIN(H348:T348))&lt;=Inputs!$E$50,"Matches v29",IF($E$21&gt;0,"Differs - inputs changed","UNEXPLAINED"))</f>
        <v>Differs - inputs changed</v>
      </c>
      <c r="F345" s="225">
        <f>MAX(MAX(H348:T348),-MIN(H348:T348))</f>
        <v>2.5718013700000002</v>
      </c>
      <c r="G345" s="226">
        <f>MAX(MAX(H348:T348),-MIN(H348:T348))</f>
        <v>2.5718013700000002</v>
      </c>
    </row>
    <row r="346" spans="2:20" x14ac:dyDescent="0.25">
      <c r="B346" s="23" t="s">
        <v>3683</v>
      </c>
      <c r="C346" s="28" t="s">
        <v>493</v>
      </c>
      <c r="D346" s="155" t="s">
        <v>3870</v>
      </c>
      <c r="E346" s="178">
        <f>INDEX($G$346:$T$346,1,Inputs!$E$49-2022)</f>
        <v>-3.8396190098074401</v>
      </c>
      <c r="H346" s="30">
        <f>'Source Data'!H873</f>
        <v>2.8370388994712199</v>
      </c>
      <c r="I346" s="30">
        <f>'Source Data'!I873</f>
        <v>-15.803178598626999</v>
      </c>
      <c r="J346" s="30">
        <f>'Source Data'!J873</f>
        <v>-24.174807601681199</v>
      </c>
      <c r="K346" s="30">
        <f>'Source Data'!K873</f>
        <v>-15.3074589953138</v>
      </c>
      <c r="L346" s="30">
        <f>'Source Data'!L873</f>
        <v>-8.6358287416836408</v>
      </c>
      <c r="M346" s="30">
        <f>'Source Data'!M873</f>
        <v>-8.8038774114131098</v>
      </c>
      <c r="N346" s="30">
        <f>'Source Data'!N873</f>
        <v>-3.99501250296098</v>
      </c>
      <c r="O346" s="30">
        <f>'Source Data'!O873</f>
        <v>-6.9849321524963299</v>
      </c>
      <c r="P346" s="30">
        <f>'Source Data'!P873</f>
        <v>-4.5710337951103996</v>
      </c>
      <c r="Q346" s="30">
        <f>'Source Data'!Q873</f>
        <v>-7.8682562703503702</v>
      </c>
      <c r="R346" s="30">
        <f>'Source Data'!R873</f>
        <v>-2.9473333710221699</v>
      </c>
      <c r="S346" s="30">
        <f>'Source Data'!S873</f>
        <v>-0.32862426512819798</v>
      </c>
      <c r="T346" s="30">
        <f>'Source Data'!T873</f>
        <v>-3.8396190098074401</v>
      </c>
    </row>
    <row r="347" spans="2:20" x14ac:dyDescent="0.25">
      <c r="B347" s="23" t="s">
        <v>3685</v>
      </c>
      <c r="C347" s="28" t="s">
        <v>493</v>
      </c>
      <c r="D347" s="227" t="s">
        <v>3871</v>
      </c>
      <c r="E347" s="178">
        <f>INDEX($G$347:$T$347,1,Inputs!$E$49-2022)</f>
        <v>-3.8276260275482912</v>
      </c>
      <c r="H347" s="30">
        <f>'FSL Output - With BUMN'!H296</f>
        <v>2.8370388994712172</v>
      </c>
      <c r="I347" s="30">
        <f>'FSL Output - With BUMN'!I296</f>
        <v>-15.803178598627007</v>
      </c>
      <c r="J347" s="30">
        <f>'FSL Output - With BUMN'!J296</f>
        <v>-24.174807601681188</v>
      </c>
      <c r="K347" s="30">
        <f>'FSL Output - With BUMN'!K296</f>
        <v>-15.307458995313795</v>
      </c>
      <c r="L347" s="30">
        <f>'FSL Output - With BUMN'!L296</f>
        <v>-8.6358287416836532</v>
      </c>
      <c r="M347" s="30">
        <f>'FSL Output - With BUMN'!M296</f>
        <v>-11.375678781276122</v>
      </c>
      <c r="N347" s="30">
        <f>'FSL Output - With BUMN'!N296</f>
        <v>-4.9038275714541584</v>
      </c>
      <c r="O347" s="30">
        <f>'FSL Output - With BUMN'!O296</f>
        <v>-7.5908088648250782</v>
      </c>
      <c r="P347" s="30">
        <f>'FSL Output - With BUMN'!P296</f>
        <v>-4.8619791690155978</v>
      </c>
      <c r="Q347" s="30">
        <f>'FSL Output - With BUMN'!Q296</f>
        <v>-7.8802492526095165</v>
      </c>
      <c r="R347" s="30">
        <f>'FSL Output - With BUMN'!R296</f>
        <v>-2.9473333710221539</v>
      </c>
      <c r="S347" s="30">
        <f>'FSL Output - With BUMN'!S296</f>
        <v>-0.3286242651282123</v>
      </c>
      <c r="T347" s="30">
        <f>'FSL Output - With BUMN'!T296</f>
        <v>-3.8276260275482912</v>
      </c>
    </row>
    <row r="348" spans="2:20" x14ac:dyDescent="0.25">
      <c r="B348" s="21" t="s">
        <v>3687</v>
      </c>
      <c r="C348" s="28" t="s">
        <v>493</v>
      </c>
      <c r="E348" s="228">
        <f>INDEX($G$348:$T$348,1,Inputs!$E$49-2022)</f>
        <v>1.1992981999999999E-2</v>
      </c>
      <c r="H348" s="229">
        <f t="shared" ref="H348:T348" si="44">ROUND(H347-H346,9)</f>
        <v>0</v>
      </c>
      <c r="I348" s="229">
        <f t="shared" si="44"/>
        <v>0</v>
      </c>
      <c r="J348" s="229">
        <f t="shared" si="44"/>
        <v>0</v>
      </c>
      <c r="K348" s="229">
        <f t="shared" si="44"/>
        <v>0</v>
      </c>
      <c r="L348" s="229">
        <f t="shared" si="44"/>
        <v>0</v>
      </c>
      <c r="M348" s="229">
        <f t="shared" si="44"/>
        <v>-2.5718013700000002</v>
      </c>
      <c r="N348" s="229">
        <f t="shared" si="44"/>
        <v>-0.908815068</v>
      </c>
      <c r="O348" s="229">
        <f t="shared" si="44"/>
        <v>-0.60587671200000004</v>
      </c>
      <c r="P348" s="229">
        <f t="shared" si="44"/>
        <v>-0.29094537399999998</v>
      </c>
      <c r="Q348" s="229">
        <f t="shared" si="44"/>
        <v>-1.1992981999999999E-2</v>
      </c>
      <c r="R348" s="229">
        <f t="shared" si="44"/>
        <v>0</v>
      </c>
      <c r="S348" s="229">
        <f t="shared" si="44"/>
        <v>0</v>
      </c>
      <c r="T348" s="229">
        <f t="shared" si="44"/>
        <v>1.1992981999999999E-2</v>
      </c>
    </row>
    <row r="349" spans="2:20" ht="27.75" customHeight="1" x14ac:dyDescent="0.25">
      <c r="B349" s="63" t="s">
        <v>3688</v>
      </c>
      <c r="G349" s="254" t="str">
        <f>"With-FC05 FY"&amp;Inputs!$E$49&amp;": model "&amp;TEXT(E347,"#,##0.000")&amp;" vs v29 "&amp;TEXT(E346,"#,##0.000")&amp;" (difference "&amp;TEXT(ROUND(E348,3),"+#,##0.000;-#,##0.000;0.000")&amp;")"&amp;IF(ABS(E348)&lt;=Inputs!$E$50," - matches v29.",IF(LEFT(E345,19)="Differs - requested"," - due to the requested change: "&amp;MID(E345,29,200),IF($E$21&gt;0," - differs because inputs / switches were changed."," - UNEXPLAINED: no input was changed.")))</f>
        <v>With-FC05 FY2036: model -3.828 vs v29 -3.840 (difference +0.012) - differs because inputs / switches were changed.</v>
      </c>
      <c r="H349" s="254"/>
      <c r="I349" s="254"/>
      <c r="J349" s="254"/>
      <c r="K349" s="254"/>
      <c r="L349" s="254"/>
      <c r="M349" s="254"/>
      <c r="N349" s="254"/>
      <c r="O349" s="254"/>
      <c r="P349" s="254"/>
      <c r="Q349" s="254"/>
      <c r="R349" s="254"/>
      <c r="S349" s="254"/>
      <c r="T349" s="254"/>
    </row>
    <row r="350" spans="2:20" x14ac:dyDescent="0.25">
      <c r="B350" s="221" t="s">
        <v>3872</v>
      </c>
      <c r="C350" s="222" t="s">
        <v>493</v>
      </c>
      <c r="D350" s="223" t="s">
        <v>3873</v>
      </c>
      <c r="E350" s="224" t="str">
        <f>IF(MAX(MAX(H353:T353),-MIN(H353:T353))&lt;=Inputs!$E$50,"Matches v29",IF($E$21&gt;0,"Differs - inputs changed","UNEXPLAINED"))</f>
        <v>Differs - inputs changed</v>
      </c>
      <c r="F350" s="225">
        <f>MAX(MAX(H353:T353),-MIN(H353:T353))</f>
        <v>98.76</v>
      </c>
      <c r="G350" s="226">
        <f>MAX(MAX(H353:T353),-MIN(H353:T353))</f>
        <v>98.76</v>
      </c>
    </row>
    <row r="351" spans="2:20" x14ac:dyDescent="0.25">
      <c r="B351" s="23" t="s">
        <v>3683</v>
      </c>
      <c r="C351" s="28" t="s">
        <v>493</v>
      </c>
      <c r="D351" s="155" t="s">
        <v>3874</v>
      </c>
      <c r="E351" s="178">
        <f>INDEX($G$351:$T$351,1,Inputs!$E$49-2022)</f>
        <v>600.29516996690597</v>
      </c>
      <c r="H351" s="30">
        <f>'Source Data'!H874</f>
        <v>-181.09071655632999</v>
      </c>
      <c r="I351" s="30">
        <f>'Source Data'!I874</f>
        <v>200.125908488818</v>
      </c>
      <c r="J351" s="30">
        <f>'Source Data'!J874</f>
        <v>-127.61149584056101</v>
      </c>
      <c r="K351" s="30">
        <f>'Source Data'!K874</f>
        <v>206.00955517309501</v>
      </c>
      <c r="L351" s="30">
        <f>'Source Data'!L874</f>
        <v>412.440040145127</v>
      </c>
      <c r="M351" s="30">
        <f>'Source Data'!M874</f>
        <v>455.47416357750399</v>
      </c>
      <c r="N351" s="30">
        <f>'Source Data'!N874</f>
        <v>476.95801484290502</v>
      </c>
      <c r="O351" s="30">
        <f>'Source Data'!O874</f>
        <v>507.51530223378001</v>
      </c>
      <c r="P351" s="30">
        <f>'Source Data'!P874</f>
        <v>532.75456870461903</v>
      </c>
      <c r="Q351" s="30">
        <f>'Source Data'!Q874</f>
        <v>566.29306678443504</v>
      </c>
      <c r="R351" s="30">
        <f>'Source Data'!R874</f>
        <v>586.85952004290596</v>
      </c>
      <c r="S351" s="30">
        <f>'Source Data'!S874</f>
        <v>585.92038735596998</v>
      </c>
      <c r="T351" s="30">
        <f>'Source Data'!T874</f>
        <v>600.29516996690597</v>
      </c>
    </row>
    <row r="352" spans="2:20" x14ac:dyDescent="0.25">
      <c r="B352" s="23" t="s">
        <v>3685</v>
      </c>
      <c r="C352" s="28" t="s">
        <v>493</v>
      </c>
      <c r="D352" s="227" t="s">
        <v>3875</v>
      </c>
      <c r="E352" s="178">
        <f>INDEX($G$352:$T$352,1,Inputs!$E$49-2022)</f>
        <v>623.72677129618762</v>
      </c>
      <c r="H352" s="30">
        <f>'FSL Output - With BUMN'!H297</f>
        <v>-181.09071655632982</v>
      </c>
      <c r="I352" s="30">
        <f>'FSL Output - With BUMN'!I297</f>
        <v>200.12590848881825</v>
      </c>
      <c r="J352" s="30">
        <f>'FSL Output - With BUMN'!J297</f>
        <v>-127.61149584056065</v>
      </c>
      <c r="K352" s="30">
        <f>'FSL Output - With BUMN'!K297</f>
        <v>140.94955517309526</v>
      </c>
      <c r="L352" s="30">
        <f>'FSL Output - With BUMN'!L297</f>
        <v>313.68004014512644</v>
      </c>
      <c r="M352" s="30">
        <f>'FSL Output - With BUMN'!M297</f>
        <v>465.6997027586338</v>
      </c>
      <c r="N352" s="30">
        <f>'FSL Output - With BUMN'!N297</f>
        <v>494.15424532540453</v>
      </c>
      <c r="O352" s="30">
        <f>'FSL Output - With BUMN'!O297</f>
        <v>528.55294107244345</v>
      </c>
      <c r="P352" s="30">
        <f>'FSL Output - With BUMN'!P297</f>
        <v>555.88323167773649</v>
      </c>
      <c r="Q352" s="30">
        <f>'FSL Output - With BUMN'!Q297</f>
        <v>589.69382435316891</v>
      </c>
      <c r="R352" s="30">
        <f>'FSL Output - With BUMN'!R297</f>
        <v>610.27227059389872</v>
      </c>
      <c r="S352" s="30">
        <f>'FSL Output - With BUMN'!S297</f>
        <v>609.33313790696207</v>
      </c>
      <c r="T352" s="30">
        <f>'FSL Output - With BUMN'!T297</f>
        <v>623.72677129618762</v>
      </c>
    </row>
    <row r="353" spans="2:20" x14ac:dyDescent="0.25">
      <c r="B353" s="21" t="s">
        <v>3687</v>
      </c>
      <c r="C353" s="28" t="s">
        <v>493</v>
      </c>
      <c r="E353" s="228">
        <f>INDEX($G$353:$T$353,1,Inputs!$E$49-2022)</f>
        <v>23.431601328999999</v>
      </c>
      <c r="H353" s="229">
        <f t="shared" ref="H353:T353" si="45">ROUND(H352-H351,9)</f>
        <v>0</v>
      </c>
      <c r="I353" s="229">
        <f t="shared" si="45"/>
        <v>0</v>
      </c>
      <c r="J353" s="229">
        <f t="shared" si="45"/>
        <v>0</v>
      </c>
      <c r="K353" s="229">
        <f t="shared" si="45"/>
        <v>-65.06</v>
      </c>
      <c r="L353" s="229">
        <f t="shared" si="45"/>
        <v>-98.76</v>
      </c>
      <c r="M353" s="229">
        <f t="shared" si="45"/>
        <v>10.225539181</v>
      </c>
      <c r="N353" s="229">
        <f t="shared" si="45"/>
        <v>17.196230482000001</v>
      </c>
      <c r="O353" s="229">
        <f t="shared" si="45"/>
        <v>21.037638839</v>
      </c>
      <c r="P353" s="229">
        <f t="shared" si="45"/>
        <v>23.128662973000001</v>
      </c>
      <c r="Q353" s="229">
        <f t="shared" si="45"/>
        <v>23.400757569</v>
      </c>
      <c r="R353" s="229">
        <f t="shared" si="45"/>
        <v>23.412750550999998</v>
      </c>
      <c r="S353" s="229">
        <f t="shared" si="45"/>
        <v>23.412750550999998</v>
      </c>
      <c r="T353" s="229">
        <f t="shared" si="45"/>
        <v>23.431601328999999</v>
      </c>
    </row>
    <row r="354" spans="2:20" ht="27.75" customHeight="1" x14ac:dyDescent="0.25">
      <c r="B354" s="63" t="s">
        <v>3688</v>
      </c>
      <c r="G354" s="254" t="str">
        <f>"With-FC06 FY"&amp;Inputs!$E$49&amp;": model "&amp;TEXT(E352,"#,##0.000")&amp;" vs v29 "&amp;TEXT(E351,"#,##0.000")&amp;" (difference "&amp;TEXT(ROUND(E353,3),"+#,##0.000;-#,##0.000;0.000")&amp;")"&amp;IF(ABS(E353)&lt;=Inputs!$E$50," - matches v29.",IF(LEFT(E350,19)="Differs - requested"," - due to the requested change: "&amp;MID(E350,29,200),IF($E$21&gt;0," - differs because inputs / switches were changed."," - UNEXPLAINED: no input was changed.")))</f>
        <v>With-FC06 FY2036: model 623.727 vs v29 600.295 (difference +23.432) - differs because inputs / switches were changed.</v>
      </c>
      <c r="H354" s="254"/>
      <c r="I354" s="254"/>
      <c r="J354" s="254"/>
      <c r="K354" s="254"/>
      <c r="L354" s="254"/>
      <c r="M354" s="254"/>
      <c r="N354" s="254"/>
      <c r="O354" s="254"/>
      <c r="P354" s="254"/>
      <c r="Q354" s="254"/>
      <c r="R354" s="254"/>
      <c r="S354" s="254"/>
      <c r="T354" s="254"/>
    </row>
    <row r="355" spans="2:20" x14ac:dyDescent="0.25">
      <c r="B355" s="221" t="s">
        <v>3876</v>
      </c>
      <c r="C355" s="222" t="s">
        <v>493</v>
      </c>
      <c r="D355" s="223" t="s">
        <v>3877</v>
      </c>
      <c r="E355" s="224" t="str">
        <f>IF(MAX(MAX(H358:T358),-MIN(H358:T358))&lt;=Inputs!$E$50,"Matches v29",IF($E$21&gt;0,"Differs - inputs changed","UNEXPLAINED"))</f>
        <v>Differs - inputs changed</v>
      </c>
      <c r="F355" s="225">
        <f>MAX(MAX(H358:T358),-MIN(H358:T358))</f>
        <v>163.82</v>
      </c>
      <c r="G355" s="226">
        <f>MAX(MAX(H358:T358),-MIN(H358:T358))</f>
        <v>163.82</v>
      </c>
    </row>
    <row r="356" spans="2:20" x14ac:dyDescent="0.25">
      <c r="B356" s="23" t="s">
        <v>3683</v>
      </c>
      <c r="C356" s="28" t="s">
        <v>493</v>
      </c>
      <c r="D356" s="155" t="s">
        <v>3878</v>
      </c>
      <c r="E356" s="178">
        <f>INDEX($G$356:$T$356,1,Inputs!$E$49-2022)</f>
        <v>4821.9434849191803</v>
      </c>
      <c r="H356" s="30">
        <f>'Source Data'!H875</f>
        <v>-181.09071655632999</v>
      </c>
      <c r="I356" s="30">
        <f>'Source Data'!I875</f>
        <v>19.035191932488399</v>
      </c>
      <c r="J356" s="30">
        <f>'Source Data'!J875</f>
        <v>-108.57630390807201</v>
      </c>
      <c r="K356" s="30">
        <f>'Source Data'!K875</f>
        <v>97.433251265023003</v>
      </c>
      <c r="L356" s="30">
        <f>'Source Data'!L875</f>
        <v>509.87329141014999</v>
      </c>
      <c r="M356" s="30">
        <f>'Source Data'!M875</f>
        <v>965.34745498765403</v>
      </c>
      <c r="N356" s="30">
        <f>'Source Data'!N875</f>
        <v>1442.30546983056</v>
      </c>
      <c r="O356" s="30">
        <f>'Source Data'!O875</f>
        <v>1949.82077206434</v>
      </c>
      <c r="P356" s="30">
        <f>'Source Data'!P875</f>
        <v>2482.5753407689599</v>
      </c>
      <c r="Q356" s="30">
        <f>'Source Data'!Q875</f>
        <v>3048.8684075533902</v>
      </c>
      <c r="R356" s="30">
        <f>'Source Data'!R875</f>
        <v>3635.7279275963001</v>
      </c>
      <c r="S356" s="30">
        <f>'Source Data'!S875</f>
        <v>4221.6483149522701</v>
      </c>
      <c r="T356" s="30">
        <f>'Source Data'!T875</f>
        <v>4821.9434849191803</v>
      </c>
    </row>
    <row r="357" spans="2:20" x14ac:dyDescent="0.25">
      <c r="B357" s="23" t="s">
        <v>3685</v>
      </c>
      <c r="C357" s="28" t="s">
        <v>493</v>
      </c>
      <c r="D357" s="227" t="s">
        <v>3879</v>
      </c>
      <c r="E357" s="178">
        <f>INDEX($G$357:$T$357,1,Inputs!$E$49-2022)</f>
        <v>4823.3694163945847</v>
      </c>
      <c r="H357" s="30">
        <f>'FSL Output - With BUMN'!H298</f>
        <v>-181.09071655632982</v>
      </c>
      <c r="I357" s="30">
        <f>'FSL Output - With BUMN'!I298</f>
        <v>19.035191932488431</v>
      </c>
      <c r="J357" s="30">
        <f>'FSL Output - With BUMN'!J298</f>
        <v>-108.57630390807222</v>
      </c>
      <c r="K357" s="30">
        <f>'FSL Output - With BUMN'!K298</f>
        <v>32.373251265023043</v>
      </c>
      <c r="L357" s="30">
        <f>'FSL Output - With BUMN'!L298</f>
        <v>346.05329141014948</v>
      </c>
      <c r="M357" s="30">
        <f>'FSL Output - With BUMN'!M298</f>
        <v>811.75299416878329</v>
      </c>
      <c r="N357" s="30">
        <f>'FSL Output - With BUMN'!N298</f>
        <v>1305.9072394941877</v>
      </c>
      <c r="O357" s="30">
        <f>'FSL Output - With BUMN'!O298</f>
        <v>1834.4601805666312</v>
      </c>
      <c r="P357" s="30">
        <f>'FSL Output - With BUMN'!P298</f>
        <v>2390.3434122443678</v>
      </c>
      <c r="Q357" s="30">
        <f>'FSL Output - With BUMN'!Q298</f>
        <v>2980.0372365975368</v>
      </c>
      <c r="R357" s="30">
        <f>'FSL Output - With BUMN'!R298</f>
        <v>3590.3095071914354</v>
      </c>
      <c r="S357" s="30">
        <f>'FSL Output - With BUMN'!S298</f>
        <v>4199.6426450983972</v>
      </c>
      <c r="T357" s="30">
        <f>'FSL Output - With BUMN'!T298</f>
        <v>4823.3694163945847</v>
      </c>
    </row>
    <row r="358" spans="2:20" x14ac:dyDescent="0.25">
      <c r="B358" s="21" t="s">
        <v>3687</v>
      </c>
      <c r="C358" s="28" t="s">
        <v>493</v>
      </c>
      <c r="E358" s="228">
        <f>INDEX($G$358:$T$358,1,Inputs!$E$49-2022)</f>
        <v>1.4259314750000001</v>
      </c>
      <c r="H358" s="229">
        <f t="shared" ref="H358:T358" si="46">ROUND(H357-H356,9)</f>
        <v>0</v>
      </c>
      <c r="I358" s="229">
        <f t="shared" si="46"/>
        <v>0</v>
      </c>
      <c r="J358" s="229">
        <f t="shared" si="46"/>
        <v>0</v>
      </c>
      <c r="K358" s="229">
        <f t="shared" si="46"/>
        <v>-65.06</v>
      </c>
      <c r="L358" s="229">
        <f t="shared" si="46"/>
        <v>-163.82</v>
      </c>
      <c r="M358" s="229">
        <f t="shared" si="46"/>
        <v>-153.59446081900001</v>
      </c>
      <c r="N358" s="229">
        <f t="shared" si="46"/>
        <v>-136.39823033600001</v>
      </c>
      <c r="O358" s="229">
        <f t="shared" si="46"/>
        <v>-115.36059149800001</v>
      </c>
      <c r="P358" s="229">
        <f t="shared" si="46"/>
        <v>-92.231928525000001</v>
      </c>
      <c r="Q358" s="229">
        <f t="shared" si="46"/>
        <v>-68.831170955999994</v>
      </c>
      <c r="R358" s="229">
        <f t="shared" si="46"/>
        <v>-45.418420404999999</v>
      </c>
      <c r="S358" s="229">
        <f t="shared" si="46"/>
        <v>-22.005669854000001</v>
      </c>
      <c r="T358" s="229">
        <f t="shared" si="46"/>
        <v>1.4259314750000001</v>
      </c>
    </row>
    <row r="359" spans="2:20" ht="27.75" customHeight="1" x14ac:dyDescent="0.25">
      <c r="B359" s="63" t="s">
        <v>3688</v>
      </c>
      <c r="G359" s="254" t="str">
        <f>"With-FC07 FY"&amp;Inputs!$E$49&amp;": model "&amp;TEXT(E357,"#,##0.000")&amp;" vs v29 "&amp;TEXT(E356,"#,##0.000")&amp;" (difference "&amp;TEXT(ROUND(E358,3),"+#,##0.000;-#,##0.000;0.000")&amp;")"&amp;IF(ABS(E358)&lt;=Inputs!$E$50," - matches v29.",IF(LEFT(E355,19)="Differs - requested"," - due to the requested change: "&amp;MID(E355,29,200),IF($E$21&gt;0," - differs because inputs / switches were changed."," - UNEXPLAINED: no input was changed.")))</f>
        <v>With-FC07 FY2036: model 4,823.369 vs v29 4,821.943 (difference +1.426) - differs because inputs / switches were changed.</v>
      </c>
      <c r="H359" s="254"/>
      <c r="I359" s="254"/>
      <c r="J359" s="254"/>
      <c r="K359" s="254"/>
      <c r="L359" s="254"/>
      <c r="M359" s="254"/>
      <c r="N359" s="254"/>
      <c r="O359" s="254"/>
      <c r="P359" s="254"/>
      <c r="Q359" s="254"/>
      <c r="R359" s="254"/>
      <c r="S359" s="254"/>
      <c r="T359" s="254"/>
    </row>
    <row r="360" spans="2:20" x14ac:dyDescent="0.25">
      <c r="B360" s="221" t="s">
        <v>3880</v>
      </c>
      <c r="C360" s="222" t="s">
        <v>493</v>
      </c>
      <c r="D360" s="223" t="s">
        <v>3881</v>
      </c>
      <c r="E360" s="224" t="str">
        <f>IF(MAX(MAX(G363:T363),-MIN(G363:T363))&lt;=Inputs!$E$50,"Matches v29",IF($E$21&gt;0,"Differs - inputs changed","UNEXPLAINED"))</f>
        <v>Differs - inputs changed</v>
      </c>
      <c r="F360" s="225">
        <f>MAX(MAX(G363:T363),-MIN(G363:T363))</f>
        <v>4.3894315070000003</v>
      </c>
      <c r="G360" s="226">
        <f>MAX(MAX(G363:T363),-MIN(G363:T363))</f>
        <v>4.3894315070000003</v>
      </c>
    </row>
    <row r="361" spans="2:20" x14ac:dyDescent="0.25">
      <c r="B361" s="23" t="s">
        <v>3683</v>
      </c>
      <c r="C361" s="28" t="s">
        <v>493</v>
      </c>
      <c r="D361" s="155" t="s">
        <v>3882</v>
      </c>
      <c r="E361" s="178">
        <f>INDEX($G$361:$T$361,1,Inputs!$E$49-2022)</f>
        <v>131.27074852070101</v>
      </c>
      <c r="G361" s="30">
        <f>'Source Data'!G879</f>
        <v>30.8478247045777</v>
      </c>
      <c r="H361" s="30">
        <f>'Source Data'!H879</f>
        <v>28.010785805106501</v>
      </c>
      <c r="I361" s="30">
        <f>'Source Data'!I879</f>
        <v>43.8139644037335</v>
      </c>
      <c r="J361" s="30">
        <f>'Source Data'!J879</f>
        <v>67.988772005414702</v>
      </c>
      <c r="K361" s="30">
        <f>'Source Data'!K879</f>
        <v>83.296231000728497</v>
      </c>
      <c r="L361" s="30">
        <f>'Source Data'!L879</f>
        <v>91.932059742412093</v>
      </c>
      <c r="M361" s="30">
        <f>'Source Data'!M879</f>
        <v>100.73593715382501</v>
      </c>
      <c r="N361" s="30">
        <f>'Source Data'!N879</f>
        <v>104.730949656786</v>
      </c>
      <c r="O361" s="30">
        <f>'Source Data'!O879</f>
        <v>111.715881809283</v>
      </c>
      <c r="P361" s="30">
        <f>'Source Data'!P879</f>
        <v>116.286915604393</v>
      </c>
      <c r="Q361" s="30">
        <f>'Source Data'!Q879</f>
        <v>124.155171874743</v>
      </c>
      <c r="R361" s="30">
        <f>'Source Data'!R879</f>
        <v>127.102505245765</v>
      </c>
      <c r="S361" s="30">
        <f>'Source Data'!S879</f>
        <v>127.431129510894</v>
      </c>
      <c r="T361" s="30">
        <f>'Source Data'!T879</f>
        <v>131.27074852070101</v>
      </c>
    </row>
    <row r="362" spans="2:20" x14ac:dyDescent="0.25">
      <c r="B362" s="23" t="s">
        <v>3685</v>
      </c>
      <c r="C362" s="28" t="s">
        <v>493</v>
      </c>
      <c r="D362" s="227" t="s">
        <v>3883</v>
      </c>
      <c r="E362" s="178">
        <f>INDEX($G$362:$T$362,1,Inputs!$E$49-2022)</f>
        <v>135.64818704529125</v>
      </c>
      <c r="G362" s="30">
        <f>'Working Capital'!G115</f>
        <v>30.847824704577697</v>
      </c>
      <c r="H362" s="30">
        <f>'Working Capital'!H115</f>
        <v>28.01078580510648</v>
      </c>
      <c r="I362" s="30">
        <f>'Working Capital'!I115</f>
        <v>43.813964403733486</v>
      </c>
      <c r="J362" s="30">
        <f>'Working Capital'!J115</f>
        <v>67.988772005414674</v>
      </c>
      <c r="K362" s="30">
        <f>'Working Capital'!K115</f>
        <v>83.296231000728469</v>
      </c>
      <c r="L362" s="30">
        <f>'Working Capital'!L115</f>
        <v>91.932059742412122</v>
      </c>
      <c r="M362" s="30">
        <f>'Working Capital'!M115</f>
        <v>103.30773852368824</v>
      </c>
      <c r="N362" s="30">
        <f>'Working Capital'!N115</f>
        <v>108.2115660951424</v>
      </c>
      <c r="O362" s="30">
        <f>'Working Capital'!O115</f>
        <v>115.80237495996748</v>
      </c>
      <c r="P362" s="30">
        <f>'Working Capital'!P115</f>
        <v>120.66435412898308</v>
      </c>
      <c r="Q362" s="30">
        <f>'Working Capital'!Q115</f>
        <v>128.54460338159259</v>
      </c>
      <c r="R362" s="30">
        <f>'Working Capital'!R115</f>
        <v>131.49193675261475</v>
      </c>
      <c r="S362" s="30">
        <f>'Working Capital'!S115</f>
        <v>131.82056101774296</v>
      </c>
      <c r="T362" s="30">
        <f>'Working Capital'!T115</f>
        <v>135.64818704529125</v>
      </c>
    </row>
    <row r="363" spans="2:20" x14ac:dyDescent="0.25">
      <c r="B363" s="21" t="s">
        <v>3687</v>
      </c>
      <c r="C363" s="28" t="s">
        <v>493</v>
      </c>
      <c r="E363" s="228">
        <f>INDEX($G$363:$T$363,1,Inputs!$E$49-2022)</f>
        <v>4.3774385249999996</v>
      </c>
      <c r="G363" s="229">
        <f t="shared" ref="G363:T363" si="47">ROUND(G362-G361,9)</f>
        <v>0</v>
      </c>
      <c r="H363" s="229">
        <f t="shared" si="47"/>
        <v>0</v>
      </c>
      <c r="I363" s="229">
        <f t="shared" si="47"/>
        <v>0</v>
      </c>
      <c r="J363" s="229">
        <f t="shared" si="47"/>
        <v>0</v>
      </c>
      <c r="K363" s="229">
        <f t="shared" si="47"/>
        <v>0</v>
      </c>
      <c r="L363" s="229">
        <f t="shared" si="47"/>
        <v>0</v>
      </c>
      <c r="M363" s="229">
        <f t="shared" si="47"/>
        <v>2.5718013700000002</v>
      </c>
      <c r="N363" s="229">
        <f t="shared" si="47"/>
        <v>3.4806164380000002</v>
      </c>
      <c r="O363" s="229">
        <f t="shared" si="47"/>
        <v>4.086493151</v>
      </c>
      <c r="P363" s="229">
        <f t="shared" si="47"/>
        <v>4.3774385249999996</v>
      </c>
      <c r="Q363" s="229">
        <f t="shared" si="47"/>
        <v>4.3894315070000003</v>
      </c>
      <c r="R363" s="229">
        <f t="shared" si="47"/>
        <v>4.3894315070000003</v>
      </c>
      <c r="S363" s="229">
        <f t="shared" si="47"/>
        <v>4.3894315070000003</v>
      </c>
      <c r="T363" s="229">
        <f t="shared" si="47"/>
        <v>4.3774385249999996</v>
      </c>
    </row>
    <row r="364" spans="2:20" ht="27.75" customHeight="1" x14ac:dyDescent="0.25">
      <c r="B364" s="63" t="s">
        <v>3688</v>
      </c>
      <c r="G364" s="254" t="str">
        <f>"With-SC01 FY"&amp;Inputs!$E$49&amp;": model "&amp;TEXT(E362,"#,##0.000")&amp;" vs v29 "&amp;TEXT(E361,"#,##0.000")&amp;" (difference "&amp;TEXT(ROUND(E363,3),"+#,##0.000;-#,##0.000;0.000")&amp;")"&amp;IF(ABS(E363)&lt;=Inputs!$E$50," - matches v29.",IF(LEFT(E360,19)="Differs - requested"," - due to the requested change: "&amp;MID(E360,29,200),IF($E$21&gt;0," - differs because inputs / switches were changed."," - UNEXPLAINED: no input was changed.")))</f>
        <v>With-SC01 FY2036: model 135.648 vs v29 131.271 (difference +4.377) - differs because inputs / switches were changed.</v>
      </c>
      <c r="H364" s="254"/>
      <c r="I364" s="254"/>
      <c r="J364" s="254"/>
      <c r="K364" s="254"/>
      <c r="L364" s="254"/>
      <c r="M364" s="254"/>
      <c r="N364" s="254"/>
      <c r="O364" s="254"/>
      <c r="P364" s="254"/>
      <c r="Q364" s="254"/>
      <c r="R364" s="254"/>
      <c r="S364" s="254"/>
      <c r="T364" s="254"/>
    </row>
    <row r="365" spans="2:20" x14ac:dyDescent="0.25">
      <c r="B365" s="221" t="s">
        <v>3884</v>
      </c>
      <c r="C365" s="222" t="s">
        <v>493</v>
      </c>
      <c r="D365" s="223" t="s">
        <v>3885</v>
      </c>
      <c r="E365" s="224" t="str">
        <f>IF(MAX(MAX(G368:T368),-MIN(G368:T368))&lt;=Inputs!$E$50,"Matches v29",IF($E$21&gt;0,"Differs - inputs changed","UNEXPLAINED"))</f>
        <v>Differs - inputs changed</v>
      </c>
      <c r="F365" s="225">
        <f>MAX(MAX(G368:T368),-MIN(G368:T368))</f>
        <v>97.59</v>
      </c>
      <c r="G365" s="226">
        <f>MAX(MAX(G368:T368),-MIN(G368:T368))</f>
        <v>97.59</v>
      </c>
    </row>
    <row r="366" spans="2:20" x14ac:dyDescent="0.25">
      <c r="B366" s="23" t="s">
        <v>3683</v>
      </c>
      <c r="C366" s="28" t="s">
        <v>493</v>
      </c>
      <c r="D366" s="155" t="s">
        <v>3886</v>
      </c>
      <c r="E366" s="178">
        <f>INDEX($G$366:$T$366,1,Inputs!$E$49-2022)</f>
        <v>0</v>
      </c>
      <c r="G366" s="30">
        <f>'Source Data'!G880</f>
        <v>198.43299999999999</v>
      </c>
      <c r="H366" s="30">
        <f>'Source Data'!H880</f>
        <v>125.2405</v>
      </c>
      <c r="I366" s="30">
        <f>'Source Data'!I880</f>
        <v>14.638500000000001</v>
      </c>
      <c r="J366" s="30">
        <f>'Source Data'!J880</f>
        <v>419.772029761905</v>
      </c>
      <c r="K366" s="30">
        <f>'Source Data'!K880</f>
        <v>160.003625</v>
      </c>
      <c r="L366" s="30">
        <f>'Source Data'!L880</f>
        <v>0</v>
      </c>
      <c r="M366" s="30">
        <f>'Source Data'!M880</f>
        <v>0</v>
      </c>
      <c r="N366" s="30">
        <f>'Source Data'!N880</f>
        <v>0</v>
      </c>
      <c r="O366" s="30">
        <f>'Source Data'!O880</f>
        <v>0</v>
      </c>
      <c r="P366" s="30">
        <f>'Source Data'!P880</f>
        <v>0</v>
      </c>
      <c r="Q366" s="30">
        <f>'Source Data'!Q880</f>
        <v>0</v>
      </c>
      <c r="R366" s="30">
        <f>'Source Data'!R880</f>
        <v>0</v>
      </c>
      <c r="S366" s="30">
        <f>'Source Data'!S880</f>
        <v>0</v>
      </c>
      <c r="T366" s="30">
        <f>'Source Data'!T880</f>
        <v>0</v>
      </c>
    </row>
    <row r="367" spans="2:20" x14ac:dyDescent="0.25">
      <c r="B367" s="23" t="s">
        <v>3685</v>
      </c>
      <c r="C367" s="28" t="s">
        <v>493</v>
      </c>
      <c r="D367" s="227" t="s">
        <v>3887</v>
      </c>
      <c r="E367" s="178">
        <f>INDEX($G$367:$T$367,1,Inputs!$E$49-2022)</f>
        <v>0</v>
      </c>
      <c r="G367" s="30">
        <f>'Capex &amp; Depreciation'!G80</f>
        <v>198.43299999999999</v>
      </c>
      <c r="H367" s="161">
        <f>'Capex &amp; Depreciation'!H81+'Capex &amp; Depreciation'!H210</f>
        <v>125.24050000000001</v>
      </c>
      <c r="I367" s="161">
        <f>'Capex &amp; Depreciation'!I81+'Capex &amp; Depreciation'!I210</f>
        <v>14.638500000000001</v>
      </c>
      <c r="J367" s="161">
        <f>'Capex &amp; Depreciation'!J81+'Capex &amp; Depreciation'!J210</f>
        <v>419.77202976190472</v>
      </c>
      <c r="K367" s="161">
        <f>'Capex &amp; Depreciation'!K81+'Capex &amp; Depreciation'!K210</f>
        <v>225.06362499999994</v>
      </c>
      <c r="L367" s="161">
        <f>'Capex &amp; Depreciation'!L81+'Capex &amp; Depreciation'!L210</f>
        <v>97.59</v>
      </c>
      <c r="M367" s="161">
        <f>'Capex &amp; Depreciation'!M81+'Capex &amp; Depreciation'!M210</f>
        <v>0</v>
      </c>
      <c r="N367" s="161">
        <f>'Capex &amp; Depreciation'!N81+'Capex &amp; Depreciation'!N210</f>
        <v>0</v>
      </c>
      <c r="O367" s="161">
        <f>'Capex &amp; Depreciation'!O81+'Capex &amp; Depreciation'!O210</f>
        <v>0</v>
      </c>
      <c r="P367" s="161">
        <f>'Capex &amp; Depreciation'!P81+'Capex &amp; Depreciation'!P210</f>
        <v>0</v>
      </c>
      <c r="Q367" s="161">
        <f>'Capex &amp; Depreciation'!Q81+'Capex &amp; Depreciation'!Q210</f>
        <v>0</v>
      </c>
      <c r="R367" s="161">
        <f>'Capex &amp; Depreciation'!R81+'Capex &amp; Depreciation'!R210</f>
        <v>0</v>
      </c>
      <c r="S367" s="161">
        <f>'Capex &amp; Depreciation'!S81+'Capex &amp; Depreciation'!S210</f>
        <v>0</v>
      </c>
      <c r="T367" s="161">
        <f>'Capex &amp; Depreciation'!T81+'Capex &amp; Depreciation'!T210</f>
        <v>0</v>
      </c>
    </row>
    <row r="368" spans="2:20" x14ac:dyDescent="0.25">
      <c r="B368" s="21" t="s">
        <v>3687</v>
      </c>
      <c r="C368" s="28" t="s">
        <v>493</v>
      </c>
      <c r="E368" s="228">
        <f>INDEX($G$368:$T$368,1,Inputs!$E$49-2022)</f>
        <v>0</v>
      </c>
      <c r="G368" s="229">
        <f t="shared" ref="G368:T368" si="48">ROUND(G367-G366,9)</f>
        <v>0</v>
      </c>
      <c r="H368" s="229">
        <f t="shared" si="48"/>
        <v>0</v>
      </c>
      <c r="I368" s="229">
        <f t="shared" si="48"/>
        <v>0</v>
      </c>
      <c r="J368" s="229">
        <f t="shared" si="48"/>
        <v>0</v>
      </c>
      <c r="K368" s="229">
        <f t="shared" si="48"/>
        <v>65.06</v>
      </c>
      <c r="L368" s="229">
        <f t="shared" si="48"/>
        <v>97.59</v>
      </c>
      <c r="M368" s="229">
        <f t="shared" si="48"/>
        <v>0</v>
      </c>
      <c r="N368" s="229">
        <f t="shared" si="48"/>
        <v>0</v>
      </c>
      <c r="O368" s="229">
        <f t="shared" si="48"/>
        <v>0</v>
      </c>
      <c r="P368" s="229">
        <f t="shared" si="48"/>
        <v>0</v>
      </c>
      <c r="Q368" s="229">
        <f t="shared" si="48"/>
        <v>0</v>
      </c>
      <c r="R368" s="229">
        <f t="shared" si="48"/>
        <v>0</v>
      </c>
      <c r="S368" s="229">
        <f t="shared" si="48"/>
        <v>0</v>
      </c>
      <c r="T368" s="229">
        <f t="shared" si="48"/>
        <v>0</v>
      </c>
    </row>
    <row r="369" spans="2:20" ht="27.75" customHeight="1" x14ac:dyDescent="0.25">
      <c r="B369" s="63" t="s">
        <v>3688</v>
      </c>
      <c r="G369" s="254" t="str">
        <f>"With-SC02 FY"&amp;Inputs!$E$49&amp;": model "&amp;TEXT(E367,"#,##0.000")&amp;" vs v29 "&amp;TEXT(E366,"#,##0.000")&amp;" (difference "&amp;TEXT(ROUND(E368,3),"+#,##0.000;-#,##0.000;0.000")&amp;")"&amp;IF(ABS(E368)&lt;=Inputs!$E$50," - matches v29.",IF(LEFT(E365,19)="Differs - requested"," - due to the requested change: "&amp;MID(E365,29,200),IF($E$21&gt;0," - differs because inputs / switches were changed."," - UNEXPLAINED: no input was changed.")))</f>
        <v>With-SC02 FY2036: model 0.000 vs v29 0.000 (difference 0.000) - matches v29.</v>
      </c>
      <c r="H369" s="254"/>
      <c r="I369" s="254"/>
      <c r="J369" s="254"/>
      <c r="K369" s="254"/>
      <c r="L369" s="254"/>
      <c r="M369" s="254"/>
      <c r="N369" s="254"/>
      <c r="O369" s="254"/>
      <c r="P369" s="254"/>
      <c r="Q369" s="254"/>
      <c r="R369" s="254"/>
      <c r="S369" s="254"/>
      <c r="T369" s="254"/>
    </row>
    <row r="370" spans="2:20" ht="47.25" customHeight="1" x14ac:dyDescent="0.25">
      <c r="B370" s="221" t="s">
        <v>3888</v>
      </c>
      <c r="C370" s="222" t="s">
        <v>493</v>
      </c>
      <c r="D370" s="231" t="s">
        <v>3889</v>
      </c>
      <c r="E370" s="232" t="str">
        <f>IF(MAX(MAX(H373:T373),-MIN(H373:T373))&lt;=Inputs!$E$50,"Matches v29",IF(OR($E$22=1,$E$23=1),"Differs - requested change: "&amp;IF($E$22=1,"LT loan repaid in 2027 (not 2025); ","")&amp;IF($E$23=1,"new equity = residual funding requirement (not the v29 schedule)","")&amp;IF($E$21&gt;0," (and inputs changed)",""),IF($E$21&gt;0,"Differs - inputs changed","UNEXPLAINED")))</f>
        <v>Differs - requested change: LT loan repaid in 2027 (not 2025); new equity = residual funding requirement (not the v29 schedule) (and inputs changed)</v>
      </c>
      <c r="F370" s="225">
        <f>MAX(MAX(H373:T373),-MIN(H373:T373))</f>
        <v>419.77202976199999</v>
      </c>
      <c r="G370" s="226">
        <f>IF(OR($E$22=1,$E$23=1),0,MAX(MAX(H373:T373),-MIN(H373:T373)))</f>
        <v>0</v>
      </c>
    </row>
    <row r="371" spans="2:20" x14ac:dyDescent="0.25">
      <c r="B371" s="23" t="s">
        <v>3683</v>
      </c>
      <c r="C371" s="28" t="s">
        <v>493</v>
      </c>
      <c r="D371" s="155" t="s">
        <v>3890</v>
      </c>
      <c r="E371" s="178">
        <f>INDEX($G$371:$T$371,1,Inputs!$E$49-2022)</f>
        <v>0</v>
      </c>
      <c r="H371" s="30">
        <f>'Source Data'!H881</f>
        <v>0</v>
      </c>
      <c r="I371" s="30">
        <f>'Source Data'!I881</f>
        <v>0</v>
      </c>
      <c r="J371" s="30">
        <f>'Source Data'!J881</f>
        <v>419.772029761905</v>
      </c>
      <c r="K371" s="30">
        <f>'Source Data'!K881</f>
        <v>160.003625</v>
      </c>
      <c r="L371" s="30">
        <f>'Source Data'!L881</f>
        <v>0</v>
      </c>
      <c r="M371" s="30">
        <f>'Source Data'!M881</f>
        <v>0</v>
      </c>
      <c r="N371" s="30">
        <f>'Source Data'!N881</f>
        <v>0</v>
      </c>
      <c r="O371" s="30">
        <f>'Source Data'!O881</f>
        <v>0</v>
      </c>
      <c r="P371" s="30">
        <f>'Source Data'!P881</f>
        <v>0</v>
      </c>
      <c r="Q371" s="30">
        <f>'Source Data'!Q881</f>
        <v>0</v>
      </c>
      <c r="R371" s="30">
        <f>'Source Data'!R881</f>
        <v>0</v>
      </c>
      <c r="S371" s="30">
        <f>'Source Data'!S881</f>
        <v>0</v>
      </c>
      <c r="T371" s="30">
        <f>'Source Data'!T881</f>
        <v>0</v>
      </c>
    </row>
    <row r="372" spans="2:20" x14ac:dyDescent="0.25">
      <c r="B372" s="23" t="s">
        <v>3685</v>
      </c>
      <c r="C372" s="28" t="s">
        <v>493</v>
      </c>
      <c r="D372" s="227" t="s">
        <v>3891</v>
      </c>
      <c r="E372" s="178">
        <f>INDEX($G$372:$T$372,1,Inputs!$E$49-2022)</f>
        <v>0</v>
      </c>
      <c r="H372" s="30">
        <f>Financing!H61</f>
        <v>0</v>
      </c>
      <c r="I372" s="30">
        <f>Financing!I61</f>
        <v>0</v>
      </c>
      <c r="J372" s="30">
        <f>Financing!J61</f>
        <v>0</v>
      </c>
      <c r="K372" s="30">
        <f>Financing!K61</f>
        <v>28.884162758641565</v>
      </c>
      <c r="L372" s="30">
        <f>Financing!L61</f>
        <v>0</v>
      </c>
      <c r="M372" s="30">
        <f>Financing!M61</f>
        <v>0</v>
      </c>
      <c r="N372" s="30">
        <f>Financing!N61</f>
        <v>0</v>
      </c>
      <c r="O372" s="30">
        <f>Financing!O61</f>
        <v>0</v>
      </c>
      <c r="P372" s="30">
        <f>Financing!P61</f>
        <v>0</v>
      </c>
      <c r="Q372" s="30">
        <f>Financing!Q61</f>
        <v>0</v>
      </c>
      <c r="R372" s="30">
        <f>Financing!R61</f>
        <v>0</v>
      </c>
      <c r="S372" s="30">
        <f>Financing!S61</f>
        <v>0</v>
      </c>
      <c r="T372" s="30">
        <f>Financing!T61</f>
        <v>0</v>
      </c>
    </row>
    <row r="373" spans="2:20" x14ac:dyDescent="0.25">
      <c r="B373" s="21" t="s">
        <v>3687</v>
      </c>
      <c r="C373" s="28" t="s">
        <v>493</v>
      </c>
      <c r="E373" s="228">
        <f>INDEX($G$373:$T$373,1,Inputs!$E$49-2022)</f>
        <v>0</v>
      </c>
      <c r="H373" s="229">
        <f t="shared" ref="H373:T373" si="49">ROUND(H372-H371,9)</f>
        <v>0</v>
      </c>
      <c r="I373" s="229">
        <f t="shared" si="49"/>
        <v>0</v>
      </c>
      <c r="J373" s="229">
        <f t="shared" si="49"/>
        <v>-419.77202976199999</v>
      </c>
      <c r="K373" s="229">
        <f t="shared" si="49"/>
        <v>-131.11946224100001</v>
      </c>
      <c r="L373" s="229">
        <f t="shared" si="49"/>
        <v>0</v>
      </c>
      <c r="M373" s="229">
        <f t="shared" si="49"/>
        <v>0</v>
      </c>
      <c r="N373" s="229">
        <f t="shared" si="49"/>
        <v>0</v>
      </c>
      <c r="O373" s="229">
        <f t="shared" si="49"/>
        <v>0</v>
      </c>
      <c r="P373" s="229">
        <f t="shared" si="49"/>
        <v>0</v>
      </c>
      <c r="Q373" s="229">
        <f t="shared" si="49"/>
        <v>0</v>
      </c>
      <c r="R373" s="229">
        <f t="shared" si="49"/>
        <v>0</v>
      </c>
      <c r="S373" s="229">
        <f t="shared" si="49"/>
        <v>0</v>
      </c>
      <c r="T373" s="229">
        <f t="shared" si="49"/>
        <v>0</v>
      </c>
    </row>
    <row r="374" spans="2:20" ht="27.75" customHeight="1" x14ac:dyDescent="0.25">
      <c r="B374" s="63" t="s">
        <v>3688</v>
      </c>
      <c r="G374" s="254" t="str">
        <f>"With-SC03 FY"&amp;Inputs!$E$49&amp;": model "&amp;TEXT(E372,"#,##0.000")&amp;" vs v29 "&amp;TEXT(E371,"#,##0.000")&amp;" (difference "&amp;TEXT(ROUND(E373,3),"+#,##0.000;-#,##0.000;0.000")&amp;")"&amp;IF(ABS(E373)&lt;=Inputs!$E$50," - matches v29.",IF(LEFT(E370,19)="Differs - requested"," - due to the requested change: "&amp;MID(E370,29,200),IF($E$21&gt;0," - differs because inputs / switches were changed."," - UNEXPLAINED: no input was changed.")))</f>
        <v>With-SC03 FY2036: model 0.000 vs v29 0.000 (difference 0.000) - matches v29.</v>
      </c>
      <c r="H374" s="254"/>
      <c r="I374" s="254"/>
      <c r="J374" s="254"/>
      <c r="K374" s="254"/>
      <c r="L374" s="254"/>
      <c r="M374" s="254"/>
      <c r="N374" s="254"/>
      <c r="O374" s="254"/>
      <c r="P374" s="254"/>
      <c r="Q374" s="254"/>
      <c r="R374" s="254"/>
      <c r="S374" s="254"/>
      <c r="T374" s="254"/>
    </row>
    <row r="375" spans="2:20" ht="24.75" customHeight="1" x14ac:dyDescent="0.25">
      <c r="B375" s="221" t="s">
        <v>3892</v>
      </c>
      <c r="C375" s="222" t="s">
        <v>493</v>
      </c>
      <c r="D375" s="231" t="s">
        <v>3893</v>
      </c>
      <c r="E375" s="232" t="str">
        <f>IF(MAX(MAX(H378:T378),-MIN(H378:T378))&lt;=Inputs!$E$50,"Matches v29",IF(OR($E$22=1),"Differs - requested change: "&amp;IF($E$22=1,"LT loan repaid in 2027 (not 2025); ","")&amp;IF($E$21&gt;0," (and inputs changed)",""),IF($E$21&gt;0,"Differs - inputs changed","UNEXPLAINED")))</f>
        <v>Differs - requested change: LT loan repaid in 2027 (not 2025);  (and inputs changed)</v>
      </c>
      <c r="F375" s="225">
        <f>MAX(MAX(H378:T378),-MIN(H378:T378))</f>
        <v>195.18</v>
      </c>
      <c r="G375" s="226">
        <f>IF(OR($E$22=1),0,MAX(MAX(H378:T378),-MIN(H378:T378)))</f>
        <v>0</v>
      </c>
    </row>
    <row r="376" spans="2:20" x14ac:dyDescent="0.25">
      <c r="B376" s="23" t="s">
        <v>3683</v>
      </c>
      <c r="C376" s="28" t="s">
        <v>493</v>
      </c>
      <c r="D376" s="155" t="s">
        <v>3894</v>
      </c>
      <c r="E376" s="178">
        <f>INDEX($G$376:$T$376,1,Inputs!$E$49-2022)</f>
        <v>0</v>
      </c>
      <c r="H376" s="30">
        <f>'Source Data'!H882</f>
        <v>-29.338465248760102</v>
      </c>
      <c r="I376" s="30">
        <f>'Source Data'!I882</f>
        <v>-195.18</v>
      </c>
      <c r="J376" s="30">
        <f>'Source Data'!J882</f>
        <v>0</v>
      </c>
      <c r="K376" s="30">
        <f>'Source Data'!K882</f>
        <v>0</v>
      </c>
      <c r="L376" s="30">
        <f>'Source Data'!L882</f>
        <v>0</v>
      </c>
      <c r="M376" s="30">
        <f>'Source Data'!M882</f>
        <v>0</v>
      </c>
      <c r="N376" s="30">
        <f>'Source Data'!N882</f>
        <v>0</v>
      </c>
      <c r="O376" s="30">
        <f>'Source Data'!O882</f>
        <v>0</v>
      </c>
      <c r="P376" s="30">
        <f>'Source Data'!P882</f>
        <v>0</v>
      </c>
      <c r="Q376" s="30">
        <f>'Source Data'!Q882</f>
        <v>0</v>
      </c>
      <c r="R376" s="30">
        <f>'Source Data'!R882</f>
        <v>0</v>
      </c>
      <c r="S376" s="30">
        <f>'Source Data'!S882</f>
        <v>0</v>
      </c>
      <c r="T376" s="30">
        <f>'Source Data'!T882</f>
        <v>0</v>
      </c>
    </row>
    <row r="377" spans="2:20" x14ac:dyDescent="0.25">
      <c r="B377" s="23" t="s">
        <v>3685</v>
      </c>
      <c r="C377" s="28" t="s">
        <v>493</v>
      </c>
      <c r="D377" s="227" t="s">
        <v>3895</v>
      </c>
      <c r="E377" s="178">
        <f>INDEX($G$377:$T$377,1,Inputs!$E$49-2022)</f>
        <v>0</v>
      </c>
      <c r="H377" s="161">
        <f>-Financing!H19</f>
        <v>-29.338465248760002</v>
      </c>
      <c r="I377" s="161">
        <f>-Financing!I19</f>
        <v>0</v>
      </c>
      <c r="J377" s="161">
        <f>-Financing!J19</f>
        <v>0</v>
      </c>
      <c r="K377" s="161">
        <f>-Financing!K19</f>
        <v>-195.18</v>
      </c>
      <c r="L377" s="161">
        <f>-Financing!L19</f>
        <v>0</v>
      </c>
      <c r="M377" s="161">
        <f>-Financing!M19</f>
        <v>0</v>
      </c>
      <c r="N377" s="161">
        <f>-Financing!N19</f>
        <v>0</v>
      </c>
      <c r="O377" s="161">
        <f>-Financing!O19</f>
        <v>0</v>
      </c>
      <c r="P377" s="161">
        <f>-Financing!P19</f>
        <v>0</v>
      </c>
      <c r="Q377" s="161">
        <f>-Financing!Q19</f>
        <v>0</v>
      </c>
      <c r="R377" s="161">
        <f>-Financing!R19</f>
        <v>0</v>
      </c>
      <c r="S377" s="161">
        <f>-Financing!S19</f>
        <v>0</v>
      </c>
      <c r="T377" s="161">
        <f>-Financing!T19</f>
        <v>0</v>
      </c>
    </row>
    <row r="378" spans="2:20" x14ac:dyDescent="0.25">
      <c r="B378" s="21" t="s">
        <v>3687</v>
      </c>
      <c r="C378" s="28" t="s">
        <v>493</v>
      </c>
      <c r="E378" s="228">
        <f>INDEX($G$378:$T$378,1,Inputs!$E$49-2022)</f>
        <v>0</v>
      </c>
      <c r="H378" s="229">
        <f t="shared" ref="H378:T378" si="50">ROUND(H377-H376,9)</f>
        <v>0</v>
      </c>
      <c r="I378" s="229">
        <f t="shared" si="50"/>
        <v>195.18</v>
      </c>
      <c r="J378" s="229">
        <f t="shared" si="50"/>
        <v>0</v>
      </c>
      <c r="K378" s="229">
        <f t="shared" si="50"/>
        <v>-195.18</v>
      </c>
      <c r="L378" s="229">
        <f t="shared" si="50"/>
        <v>0</v>
      </c>
      <c r="M378" s="229">
        <f t="shared" si="50"/>
        <v>0</v>
      </c>
      <c r="N378" s="229">
        <f t="shared" si="50"/>
        <v>0</v>
      </c>
      <c r="O378" s="229">
        <f t="shared" si="50"/>
        <v>0</v>
      </c>
      <c r="P378" s="229">
        <f t="shared" si="50"/>
        <v>0</v>
      </c>
      <c r="Q378" s="229">
        <f t="shared" si="50"/>
        <v>0</v>
      </c>
      <c r="R378" s="229">
        <f t="shared" si="50"/>
        <v>0</v>
      </c>
      <c r="S378" s="229">
        <f t="shared" si="50"/>
        <v>0</v>
      </c>
      <c r="T378" s="229">
        <f t="shared" si="50"/>
        <v>0</v>
      </c>
    </row>
    <row r="379" spans="2:20" ht="27.75" customHeight="1" x14ac:dyDescent="0.25">
      <c r="B379" s="63" t="s">
        <v>3688</v>
      </c>
      <c r="G379" s="254" t="str">
        <f>"With-SC04 FY"&amp;Inputs!$E$49&amp;": model "&amp;TEXT(E377,"#,##0.000")&amp;" vs v29 "&amp;TEXT(E376,"#,##0.000")&amp;" (difference "&amp;TEXT(ROUND(E378,3),"+#,##0.000;-#,##0.000;0.000")&amp;")"&amp;IF(ABS(E378)&lt;=Inputs!$E$50," - matches v29.",IF(LEFT(E375,19)="Differs - requested"," - due to the requested change: "&amp;MID(E375,29,200),IF($E$21&gt;0," - differs because inputs / switches were changed."," - UNEXPLAINED: no input was changed.")))</f>
        <v>With-SC04 FY2036: model 0.000 vs v29 0.000 (difference 0.000) - matches v29.</v>
      </c>
      <c r="H379" s="254"/>
      <c r="I379" s="254"/>
      <c r="J379" s="254"/>
      <c r="K379" s="254"/>
      <c r="L379" s="254"/>
      <c r="M379" s="254"/>
      <c r="N379" s="254"/>
      <c r="O379" s="254"/>
      <c r="P379" s="254"/>
      <c r="Q379" s="254"/>
      <c r="R379" s="254"/>
      <c r="S379" s="254"/>
      <c r="T379" s="254"/>
    </row>
    <row r="380" spans="2:20" x14ac:dyDescent="0.25">
      <c r="B380" s="221" t="s">
        <v>3896</v>
      </c>
      <c r="C380" s="222" t="s">
        <v>493</v>
      </c>
      <c r="D380" s="223" t="s">
        <v>3897</v>
      </c>
      <c r="E380" s="224" t="str">
        <f>IF(MAX(MAX(H383:T383),-MIN(H383:T383))&lt;=Inputs!$E$50,"Matches v29",IF($E$21&gt;0,"Differs - inputs changed","UNEXPLAINED"))</f>
        <v>Matches v29</v>
      </c>
      <c r="F380" s="225">
        <f>MAX(MAX(H383:T383),-MIN(H383:T383))</f>
        <v>0</v>
      </c>
      <c r="G380" s="226">
        <f>MAX(MAX(H383:T383),-MIN(H383:T383))</f>
        <v>0</v>
      </c>
    </row>
    <row r="381" spans="2:20" x14ac:dyDescent="0.25">
      <c r="B381" s="23" t="s">
        <v>3683</v>
      </c>
      <c r="C381" s="28" t="s">
        <v>493</v>
      </c>
      <c r="D381" s="155" t="s">
        <v>3898</v>
      </c>
      <c r="E381" s="178">
        <f>INDEX($G$381:$T$381,1,Inputs!$E$49-2022)</f>
        <v>94.037118565923606</v>
      </c>
      <c r="H381" s="30">
        <f>'Source Data'!H883</f>
        <v>55.200615812661297</v>
      </c>
      <c r="I381" s="30">
        <f>'Source Data'!I883</f>
        <v>57.464611864635401</v>
      </c>
      <c r="J381" s="30">
        <f>'Source Data'!J883</f>
        <v>58.977353517222703</v>
      </c>
      <c r="K381" s="30">
        <f>'Source Data'!K883</f>
        <v>61.6931229215812</v>
      </c>
      <c r="L381" s="30">
        <f>'Source Data'!L883</f>
        <v>64.108158447600303</v>
      </c>
      <c r="M381" s="30">
        <f>'Source Data'!M883</f>
        <v>70.015885047066604</v>
      </c>
      <c r="N381" s="30">
        <f>'Source Data'!N883</f>
        <v>72.649186076772693</v>
      </c>
      <c r="O381" s="30">
        <f>'Source Data'!O883</f>
        <v>75.331317633091302</v>
      </c>
      <c r="P381" s="30">
        <f>'Source Data'!P883</f>
        <v>82.041651317562696</v>
      </c>
      <c r="Q381" s="30">
        <f>'Source Data'!Q883</f>
        <v>84.963578917707807</v>
      </c>
      <c r="R381" s="30">
        <f>'Source Data'!R883</f>
        <v>87.937229909393906</v>
      </c>
      <c r="S381" s="30">
        <f>'Source Data'!S883</f>
        <v>90.961995826036997</v>
      </c>
      <c r="T381" s="30">
        <f>'Source Data'!T883</f>
        <v>94.037118565923606</v>
      </c>
    </row>
    <row r="382" spans="2:20" x14ac:dyDescent="0.25">
      <c r="B382" s="23" t="s">
        <v>3685</v>
      </c>
      <c r="C382" s="28" t="s">
        <v>493</v>
      </c>
      <c r="D382" s="227" t="s">
        <v>3899</v>
      </c>
      <c r="E382" s="178">
        <f>INDEX($G$382:$T$382,1,Inputs!$E$49-2022)</f>
        <v>94.037118565923649</v>
      </c>
      <c r="H382" s="30">
        <f>'FSL Output - With BUMN'!H233</f>
        <v>55.200615812661312</v>
      </c>
      <c r="I382" s="30">
        <f>'FSL Output - With BUMN'!I233</f>
        <v>57.464611864635387</v>
      </c>
      <c r="J382" s="30">
        <f>'FSL Output - With BUMN'!J233</f>
        <v>58.977353517222681</v>
      </c>
      <c r="K382" s="30">
        <f>'FSL Output - With BUMN'!K233</f>
        <v>61.693122921581207</v>
      </c>
      <c r="L382" s="30">
        <f>'FSL Output - With BUMN'!L233</f>
        <v>64.108158447600289</v>
      </c>
      <c r="M382" s="30">
        <f>'FSL Output - With BUMN'!M233</f>
        <v>70.015885047066519</v>
      </c>
      <c r="N382" s="30">
        <f>'FSL Output - With BUMN'!N233</f>
        <v>72.649186076772637</v>
      </c>
      <c r="O382" s="30">
        <f>'FSL Output - With BUMN'!O233</f>
        <v>75.331317633091317</v>
      </c>
      <c r="P382" s="30">
        <f>'FSL Output - With BUMN'!P233</f>
        <v>82.041651317562724</v>
      </c>
      <c r="Q382" s="30">
        <f>'FSL Output - With BUMN'!Q233</f>
        <v>84.963578917707764</v>
      </c>
      <c r="R382" s="30">
        <f>'FSL Output - With BUMN'!R233</f>
        <v>87.937229909393992</v>
      </c>
      <c r="S382" s="30">
        <f>'FSL Output - With BUMN'!S233</f>
        <v>90.961995826037011</v>
      </c>
      <c r="T382" s="30">
        <f>'FSL Output - With BUMN'!T233</f>
        <v>94.037118565923649</v>
      </c>
    </row>
    <row r="383" spans="2:20" x14ac:dyDescent="0.25">
      <c r="B383" s="21" t="s">
        <v>3687</v>
      </c>
      <c r="C383" s="28" t="s">
        <v>493</v>
      </c>
      <c r="E383" s="228">
        <f>INDEX($G$383:$T$383,1,Inputs!$E$49-2022)</f>
        <v>0</v>
      </c>
      <c r="H383" s="229">
        <f t="shared" ref="H383:T383" si="51">ROUND(H382-H381,9)</f>
        <v>0</v>
      </c>
      <c r="I383" s="229">
        <f t="shared" si="51"/>
        <v>0</v>
      </c>
      <c r="J383" s="229">
        <f t="shared" si="51"/>
        <v>0</v>
      </c>
      <c r="K383" s="229">
        <f t="shared" si="51"/>
        <v>0</v>
      </c>
      <c r="L383" s="229">
        <f t="shared" si="51"/>
        <v>0</v>
      </c>
      <c r="M383" s="229">
        <f t="shared" si="51"/>
        <v>0</v>
      </c>
      <c r="N383" s="229">
        <f t="shared" si="51"/>
        <v>0</v>
      </c>
      <c r="O383" s="229">
        <f t="shared" si="51"/>
        <v>0</v>
      </c>
      <c r="P383" s="229">
        <f t="shared" si="51"/>
        <v>0</v>
      </c>
      <c r="Q383" s="229">
        <f t="shared" si="51"/>
        <v>0</v>
      </c>
      <c r="R383" s="229">
        <f t="shared" si="51"/>
        <v>0</v>
      </c>
      <c r="S383" s="229">
        <f t="shared" si="51"/>
        <v>0</v>
      </c>
      <c r="T383" s="229">
        <f t="shared" si="51"/>
        <v>0</v>
      </c>
    </row>
    <row r="384" spans="2:20" ht="27.75" customHeight="1" x14ac:dyDescent="0.25">
      <c r="B384" s="63" t="s">
        <v>3900</v>
      </c>
      <c r="G384" s="254" t="str">
        <f>"With-SC05 FY"&amp;Inputs!$E$49&amp;": model "&amp;TEXT(E382,"#,##0.000")&amp;" vs v29 "&amp;TEXT(E381,"#,##0.000")&amp;" (difference "&amp;TEXT(ROUND(E383,3),"+#,##0.000;-#,##0.000;0.000")&amp;")"&amp;IF(ABS(E383)&lt;=Inputs!$E$50," - matches v29.",IF(LEFT(E380,19)="Differs - requested"," - due to the requested change: "&amp;MID(E380,29,200),IF($E$21&gt;0," - differs because inputs / switches were changed."," - UNEXPLAINED: no input was changed.")))</f>
        <v>With-SC05 FY2036: model 94.037 vs v29 94.037 (difference 0.000) - matches v29.</v>
      </c>
      <c r="H384" s="254"/>
      <c r="I384" s="254"/>
      <c r="J384" s="254"/>
      <c r="K384" s="254"/>
      <c r="L384" s="254"/>
      <c r="M384" s="254"/>
      <c r="N384" s="254"/>
      <c r="O384" s="254"/>
      <c r="P384" s="254"/>
      <c r="Q384" s="254"/>
      <c r="R384" s="254"/>
      <c r="S384" s="254"/>
      <c r="T384" s="254"/>
    </row>
    <row r="385" spans="2:20" ht="24.75" customHeight="1" x14ac:dyDescent="0.25">
      <c r="B385" s="221" t="s">
        <v>3901</v>
      </c>
      <c r="C385" s="222" t="s">
        <v>493</v>
      </c>
      <c r="D385" s="231" t="s">
        <v>3902</v>
      </c>
      <c r="E385" s="232" t="str">
        <f>IF(MAX(MAX(H388:T388),-MIN(H388:T388))&lt;=Inputs!$E$50,"Matches v29",IF(OR($E$22=1),"Differs - requested change: "&amp;IF($E$22=1,"LT loan repaid in 2027 (not 2025); ","")&amp;IF($E$21&gt;0," (and inputs changed)",""),IF($E$21&gt;0,"Differs - inputs changed","UNEXPLAINED")))</f>
        <v>Differs - requested change: LT loan repaid in 2027 (not 2025);  (and inputs changed)</v>
      </c>
      <c r="F385" s="225">
        <f>MAX(MAX(H388:T388),-MIN(H388:T388))</f>
        <v>12.340568859999999</v>
      </c>
      <c r="G385" s="226">
        <f>IF(OR($E$22=1),0,MAX(MAX(H388:T388),-MIN(H388:T388)))</f>
        <v>0</v>
      </c>
    </row>
    <row r="386" spans="2:20" x14ac:dyDescent="0.25">
      <c r="B386" s="23" t="s">
        <v>3683</v>
      </c>
      <c r="C386" s="28" t="s">
        <v>493</v>
      </c>
      <c r="D386" s="155" t="s">
        <v>3903</v>
      </c>
      <c r="E386" s="178">
        <f>INDEX($G$386:$T$386,1,Inputs!$E$49-2022)</f>
        <v>428.48626536386001</v>
      </c>
      <c r="H386" s="30">
        <f>'Source Data'!H884</f>
        <v>21.1090084294074</v>
      </c>
      <c r="I386" s="30">
        <f>'Source Data'!I884</f>
        <v>80.561041927420504</v>
      </c>
      <c r="J386" s="30">
        <f>'Source Data'!J884</f>
        <v>156.66096080553601</v>
      </c>
      <c r="K386" s="30">
        <f>'Source Data'!K884</f>
        <v>221.00532902730799</v>
      </c>
      <c r="L386" s="30">
        <f>'Source Data'!L884</f>
        <v>252.841974486401</v>
      </c>
      <c r="M386" s="30">
        <f>'Source Data'!M884</f>
        <v>293.30554300716398</v>
      </c>
      <c r="N386" s="30">
        <f>'Source Data'!N884</f>
        <v>309.28097415582602</v>
      </c>
      <c r="O386" s="30">
        <f>'Source Data'!O884</f>
        <v>341.90911945195199</v>
      </c>
      <c r="P386" s="30">
        <f>'Source Data'!P884</f>
        <v>360.37660420820299</v>
      </c>
      <c r="Q386" s="30">
        <f>'Source Data'!Q884</f>
        <v>396.18019820421699</v>
      </c>
      <c r="R386" s="30">
        <f>'Source Data'!R884</f>
        <v>416.31315501739499</v>
      </c>
      <c r="S386" s="30">
        <f>'Source Data'!S884</f>
        <v>411.68681139802902</v>
      </c>
      <c r="T386" s="30">
        <f>'Source Data'!T884</f>
        <v>428.48626536386001</v>
      </c>
    </row>
    <row r="387" spans="2:20" x14ac:dyDescent="0.25">
      <c r="B387" s="23" t="s">
        <v>3685</v>
      </c>
      <c r="C387" s="28" t="s">
        <v>493</v>
      </c>
      <c r="D387" s="227" t="s">
        <v>3904</v>
      </c>
      <c r="E387" s="178">
        <f>INDEX($G$387:$T$387,1,Inputs!$E$49-2022)</f>
        <v>440.49699486077981</v>
      </c>
      <c r="H387" s="30">
        <f>'FSL Output - With BUMN'!H79</f>
        <v>21.109008429407449</v>
      </c>
      <c r="I387" s="30">
        <f>'FSL Output - With BUMN'!I79</f>
        <v>80.561041927420476</v>
      </c>
      <c r="J387" s="30">
        <f>'FSL Output - With BUMN'!J79</f>
        <v>144.3203919459458</v>
      </c>
      <c r="K387" s="30">
        <f>'FSL Output - With BUMN'!K79</f>
        <v>214.88575926405898</v>
      </c>
      <c r="L387" s="30">
        <f>'FSL Output - With BUMN'!L79</f>
        <v>247.92632448640143</v>
      </c>
      <c r="M387" s="30">
        <f>'FSL Output - With BUMN'!M79</f>
        <v>286.5864609571978</v>
      </c>
      <c r="N387" s="30">
        <f>'FSL Output - With BUMN'!N79</f>
        <v>309.34779515685284</v>
      </c>
      <c r="O387" s="30">
        <f>'FSL Output - With BUMN'!O79</f>
        <v>346.04725185297872</v>
      </c>
      <c r="P387" s="30">
        <f>'FSL Output - With BUMN'!P79</f>
        <v>367.5917611051226</v>
      </c>
      <c r="Q387" s="30">
        <f>'FSL Output - With BUMN'!Q79</f>
        <v>404.75177260524418</v>
      </c>
      <c r="R387" s="30">
        <f>'FSL Output - With BUMN'!R79</f>
        <v>426.21683291842118</v>
      </c>
      <c r="S387" s="30">
        <f>'FSL Output - With BUMN'!S79</f>
        <v>422.92259279905568</v>
      </c>
      <c r="T387" s="30">
        <f>'FSL Output - With BUMN'!T79</f>
        <v>440.49699486077981</v>
      </c>
    </row>
    <row r="388" spans="2:20" x14ac:dyDescent="0.25">
      <c r="B388" s="21" t="s">
        <v>3687</v>
      </c>
      <c r="C388" s="28" t="s">
        <v>493</v>
      </c>
      <c r="E388" s="228">
        <f>INDEX($G$388:$T$388,1,Inputs!$E$49-2022)</f>
        <v>12.010729497</v>
      </c>
      <c r="H388" s="229">
        <f t="shared" ref="H388:T388" si="52">ROUND(H387-H386,9)</f>
        <v>0</v>
      </c>
      <c r="I388" s="229">
        <f t="shared" si="52"/>
        <v>0</v>
      </c>
      <c r="J388" s="229">
        <f t="shared" si="52"/>
        <v>-12.340568859999999</v>
      </c>
      <c r="K388" s="229">
        <f t="shared" si="52"/>
        <v>-6.1195697630000003</v>
      </c>
      <c r="L388" s="229">
        <f t="shared" si="52"/>
        <v>-4.9156500000000003</v>
      </c>
      <c r="M388" s="229">
        <f t="shared" si="52"/>
        <v>-6.7190820499999999</v>
      </c>
      <c r="N388" s="229">
        <f t="shared" si="52"/>
        <v>6.6821001000000005E-2</v>
      </c>
      <c r="O388" s="229">
        <f t="shared" si="52"/>
        <v>4.138132401</v>
      </c>
      <c r="P388" s="229">
        <f t="shared" si="52"/>
        <v>7.215156897</v>
      </c>
      <c r="Q388" s="229">
        <f t="shared" si="52"/>
        <v>8.5715744009999995</v>
      </c>
      <c r="R388" s="229">
        <f t="shared" si="52"/>
        <v>9.903677901</v>
      </c>
      <c r="S388" s="229">
        <f t="shared" si="52"/>
        <v>11.235781401000001</v>
      </c>
      <c r="T388" s="229">
        <f t="shared" si="52"/>
        <v>12.010729497</v>
      </c>
    </row>
    <row r="389" spans="2:20" ht="27.75" customHeight="1" x14ac:dyDescent="0.25">
      <c r="B389" s="63" t="s">
        <v>3905</v>
      </c>
      <c r="G389" s="254" t="str">
        <f>"With-SC06 FY"&amp;Inputs!$E$49&amp;": model "&amp;TEXT(E387,"#,##0.000")&amp;" vs v29 "&amp;TEXT(E386,"#,##0.000")&amp;" (difference "&amp;TEXT(ROUND(E388,3),"+#,##0.000;-#,##0.000;0.000")&amp;")"&amp;IF(ABS(E388)&lt;=Inputs!$E$50," - matches v29.",IF(LEFT(E385,19)="Differs - requested"," - due to the requested change: "&amp;MID(E385,29,200),IF($E$21&gt;0," - differs because inputs / switches were changed."," - UNEXPLAINED: no input was changed.")))</f>
        <v>With-SC06 FY2036: model 440.497 vs v29 428.486 (difference +12.011) - due to the requested change: LT loan repaid in 2027 (not 2025);  (and inputs changed)</v>
      </c>
      <c r="H389" s="254"/>
      <c r="I389" s="254"/>
      <c r="J389" s="254"/>
      <c r="K389" s="254"/>
      <c r="L389" s="254"/>
      <c r="M389" s="254"/>
      <c r="N389" s="254"/>
      <c r="O389" s="254"/>
      <c r="P389" s="254"/>
      <c r="Q389" s="254"/>
      <c r="R389" s="254"/>
      <c r="S389" s="254"/>
      <c r="T389" s="254"/>
    </row>
    <row r="390" spans="2:20" ht="24.75" customHeight="1" x14ac:dyDescent="0.25">
      <c r="B390" s="221" t="s">
        <v>3906</v>
      </c>
      <c r="C390" s="222" t="s">
        <v>493</v>
      </c>
      <c r="D390" s="231" t="s">
        <v>3907</v>
      </c>
      <c r="E390" s="232" t="str">
        <f>IF(MAX(MAX(H393:T393),-MIN(H393:T393))&lt;=Inputs!$E$50,"Matches v29",IF(OR($E$22=1),"Differs - requested change: "&amp;IF($E$22=1,"LT loan repaid in 2027 (not 2025); ","")&amp;IF($E$21&gt;0," (and inputs changed)",""),IF($E$21&gt;0,"Differs - inputs changed","UNEXPLAINED")))</f>
        <v>Differs - requested change: LT loan repaid in 2027 (not 2025);  (and inputs changed)</v>
      </c>
      <c r="F390" s="225">
        <f>MAX(MAX(H393:T393),-MIN(H393:T393))</f>
        <v>3.702170658</v>
      </c>
      <c r="G390" s="226">
        <f>IF(OR($E$22=1),0,MAX(MAX(H393:T393),-MIN(H393:T393)))</f>
        <v>0</v>
      </c>
    </row>
    <row r="391" spans="2:20" x14ac:dyDescent="0.25">
      <c r="B391" s="23" t="s">
        <v>3683</v>
      </c>
      <c r="C391" s="28" t="s">
        <v>493</v>
      </c>
      <c r="D391" s="155" t="s">
        <v>3908</v>
      </c>
      <c r="E391" s="178">
        <f>INDEX($G$391:$T$391,1,Inputs!$E$49-2022)</f>
        <v>128.54587960915799</v>
      </c>
      <c r="H391" s="30">
        <f>'Source Data'!H885</f>
        <v>6.3327025288222201</v>
      </c>
      <c r="I391" s="30">
        <f>'Source Data'!I885</f>
        <v>24.1683125782262</v>
      </c>
      <c r="J391" s="30">
        <f>'Source Data'!J885</f>
        <v>46.998288241660703</v>
      </c>
      <c r="K391" s="30">
        <f>'Source Data'!K885</f>
        <v>66.301598708192302</v>
      </c>
      <c r="L391" s="30">
        <f>'Source Data'!L885</f>
        <v>75.852592345920399</v>
      </c>
      <c r="M391" s="30">
        <f>'Source Data'!M885</f>
        <v>87.991662902149102</v>
      </c>
      <c r="N391" s="30">
        <f>'Source Data'!N885</f>
        <v>92.784292246747796</v>
      </c>
      <c r="O391" s="30">
        <f>'Source Data'!O885</f>
        <v>102.572735835586</v>
      </c>
      <c r="P391" s="30">
        <f>'Source Data'!P885</f>
        <v>108.11298126246101</v>
      </c>
      <c r="Q391" s="30">
        <f>'Source Data'!Q885</f>
        <v>118.854059461265</v>
      </c>
      <c r="R391" s="30">
        <f>'Source Data'!R885</f>
        <v>124.893946505218</v>
      </c>
      <c r="S391" s="30">
        <f>'Source Data'!S885</f>
        <v>123.506043419409</v>
      </c>
      <c r="T391" s="30">
        <f>'Source Data'!T885</f>
        <v>128.54587960915799</v>
      </c>
    </row>
    <row r="392" spans="2:20" x14ac:dyDescent="0.25">
      <c r="B392" s="23" t="s">
        <v>3685</v>
      </c>
      <c r="C392" s="28" t="s">
        <v>493</v>
      </c>
      <c r="D392" s="227" t="s">
        <v>3909</v>
      </c>
      <c r="E392" s="178">
        <f>INDEX($G$392:$T$392,1,Inputs!$E$49-2022)</f>
        <v>132.14909845823394</v>
      </c>
      <c r="H392" s="30">
        <f>Financing!H66</f>
        <v>6.3327025288222343</v>
      </c>
      <c r="I392" s="30">
        <f>Financing!I66</f>
        <v>24.168312578226143</v>
      </c>
      <c r="J392" s="30">
        <f>Financing!J66</f>
        <v>43.29611758378374</v>
      </c>
      <c r="K392" s="30">
        <f>Financing!K66</f>
        <v>64.465727779217687</v>
      </c>
      <c r="L392" s="30">
        <f>Financing!L66</f>
        <v>74.377897345920431</v>
      </c>
      <c r="M392" s="30">
        <f>Financing!M66</f>
        <v>85.975938287159337</v>
      </c>
      <c r="N392" s="30">
        <f>Financing!N66</f>
        <v>92.804338547055849</v>
      </c>
      <c r="O392" s="30">
        <f>Financing!O66</f>
        <v>103.81417555589361</v>
      </c>
      <c r="P392" s="30">
        <f>Financing!P66</f>
        <v>110.27752833153677</v>
      </c>
      <c r="Q392" s="30">
        <f>Financing!Q66</f>
        <v>121.42553178157326</v>
      </c>
      <c r="R392" s="30">
        <f>Financing!R66</f>
        <v>127.86504987552635</v>
      </c>
      <c r="S392" s="30">
        <f>Financing!S66</f>
        <v>126.87677783971669</v>
      </c>
      <c r="T392" s="30">
        <f>Financing!T66</f>
        <v>132.14909845823394</v>
      </c>
    </row>
    <row r="393" spans="2:20" x14ac:dyDescent="0.25">
      <c r="B393" s="21" t="s">
        <v>3687</v>
      </c>
      <c r="C393" s="28" t="s">
        <v>493</v>
      </c>
      <c r="E393" s="228">
        <f>INDEX($G$393:$T$393,1,Inputs!$E$49-2022)</f>
        <v>3.6032188490000001</v>
      </c>
      <c r="H393" s="229">
        <f t="shared" ref="H393:T393" si="53">ROUND(H392-H391,9)</f>
        <v>0</v>
      </c>
      <c r="I393" s="229">
        <f t="shared" si="53"/>
        <v>0</v>
      </c>
      <c r="J393" s="229">
        <f t="shared" si="53"/>
        <v>-3.702170658</v>
      </c>
      <c r="K393" s="229">
        <f t="shared" si="53"/>
        <v>-1.8358709289999999</v>
      </c>
      <c r="L393" s="229">
        <f t="shared" si="53"/>
        <v>-1.4746950000000001</v>
      </c>
      <c r="M393" s="229">
        <f t="shared" si="53"/>
        <v>-2.0157246149999999</v>
      </c>
      <c r="N393" s="229">
        <f t="shared" si="53"/>
        <v>2.00463E-2</v>
      </c>
      <c r="O393" s="229">
        <f t="shared" si="53"/>
        <v>1.24143972</v>
      </c>
      <c r="P393" s="229">
        <f t="shared" si="53"/>
        <v>2.1645470690000002</v>
      </c>
      <c r="Q393" s="229">
        <f t="shared" si="53"/>
        <v>2.5714723199999998</v>
      </c>
      <c r="R393" s="229">
        <f t="shared" si="53"/>
        <v>2.9711033699999998</v>
      </c>
      <c r="S393" s="229">
        <f t="shared" si="53"/>
        <v>3.3707344199999998</v>
      </c>
      <c r="T393" s="229">
        <f t="shared" si="53"/>
        <v>3.6032188490000001</v>
      </c>
    </row>
    <row r="394" spans="2:20" ht="27.75" customHeight="1" x14ac:dyDescent="0.25">
      <c r="B394" s="63" t="s">
        <v>3688</v>
      </c>
      <c r="G394" s="254" t="str">
        <f>"With-SC07 FY"&amp;Inputs!$E$49&amp;": model "&amp;TEXT(E392,"#,##0.000")&amp;" vs v29 "&amp;TEXT(E391,"#,##0.000")&amp;" (difference "&amp;TEXT(ROUND(E393,3),"+#,##0.000;-#,##0.000;0.000")&amp;")"&amp;IF(ABS(E393)&lt;=Inputs!$E$50," - matches v29.",IF(LEFT(E390,19)="Differs - requested"," - due to the requested change: "&amp;MID(E390,29,200),IF($E$21&gt;0," - differs because inputs / switches were changed."," - UNEXPLAINED: no input was changed.")))</f>
        <v>With-SC07 FY2036: model 132.149 vs v29 128.546 (difference +3.603) - due to the requested change: LT loan repaid in 2027 (not 2025);  (and inputs changed)</v>
      </c>
      <c r="H394" s="254"/>
      <c r="I394" s="254"/>
      <c r="J394" s="254"/>
      <c r="K394" s="254"/>
      <c r="L394" s="254"/>
      <c r="M394" s="254"/>
      <c r="N394" s="254"/>
      <c r="O394" s="254"/>
      <c r="P394" s="254"/>
      <c r="Q394" s="254"/>
      <c r="R394" s="254"/>
      <c r="S394" s="254"/>
      <c r="T394" s="254"/>
    </row>
    <row r="395" spans="2:20" ht="24.75" customHeight="1" x14ac:dyDescent="0.25">
      <c r="B395" s="221" t="s">
        <v>3910</v>
      </c>
      <c r="C395" s="222" t="s">
        <v>493</v>
      </c>
      <c r="D395" s="231" t="s">
        <v>3911</v>
      </c>
      <c r="E395" s="232" t="str">
        <f>IF(MAX(MAX(H398:T398),-MIN(H398:T398))&lt;=Inputs!$E$50,"Matches v29",IF(OR($E$22=1),"Differs - requested change: "&amp;IF($E$22=1,"LT loan repaid in 2027 (not 2025); ","")&amp;IF($E$21&gt;0," (and inputs changed)",""),IF($E$21&gt;0,"Differs - inputs changed","UNEXPLAINED")))</f>
        <v>Differs - requested change: LT loan repaid in 2027 (not 2025);  (and inputs changed)</v>
      </c>
      <c r="F395" s="225">
        <f>MAX(MAX(H398:T398),-MIN(H398:T398))</f>
        <v>30.094870672999999</v>
      </c>
      <c r="G395" s="226">
        <f>IF(OR($E$22=1),0,MAX(MAX(H398:T398),-MIN(H398:T398)))</f>
        <v>0</v>
      </c>
    </row>
    <row r="396" spans="2:20" x14ac:dyDescent="0.25">
      <c r="B396" s="23" t="s">
        <v>3683</v>
      </c>
      <c r="C396" s="28" t="s">
        <v>493</v>
      </c>
      <c r="D396" s="155" t="s">
        <v>3912</v>
      </c>
      <c r="E396" s="178">
        <f>INDEX($G$396:$T$396,1,Inputs!$E$49-2022)</f>
        <v>4256.1386368815702</v>
      </c>
      <c r="H396" s="30">
        <f>'Source Data'!H886</f>
        <v>272.46723631264899</v>
      </c>
      <c r="I396" s="30">
        <f>'Source Data'!I886</f>
        <v>373.14089239269202</v>
      </c>
      <c r="J396" s="30">
        <f>'Source Data'!J886</f>
        <v>550.44392692925499</v>
      </c>
      <c r="K396" s="30">
        <f>'Source Data'!K886</f>
        <v>793.04184897911603</v>
      </c>
      <c r="L396" s="30">
        <f>'Source Data'!L886</f>
        <v>1068.3216789221799</v>
      </c>
      <c r="M396" s="30">
        <f>'Source Data'!M886</f>
        <v>1386.1327816958101</v>
      </c>
      <c r="N396" s="30">
        <f>'Source Data'!N886</f>
        <v>1720.8409709785101</v>
      </c>
      <c r="O396" s="30">
        <f>'Source Data'!O886</f>
        <v>2089.11605160205</v>
      </c>
      <c r="P396" s="30">
        <f>'Source Data'!P886</f>
        <v>2478.2072337713998</v>
      </c>
      <c r="Q396" s="30">
        <f>'Source Data'!Q886</f>
        <v>2904.1246845968099</v>
      </c>
      <c r="R396" s="30">
        <f>'Source Data'!R886</f>
        <v>3351.2158700824898</v>
      </c>
      <c r="S396" s="30">
        <f>'Source Data'!S886</f>
        <v>3794.7393800196301</v>
      </c>
      <c r="T396" s="30">
        <f>'Source Data'!T886</f>
        <v>4256.1386368815702</v>
      </c>
    </row>
    <row r="397" spans="2:20" x14ac:dyDescent="0.25">
      <c r="B397" s="23" t="s">
        <v>3685</v>
      </c>
      <c r="C397" s="28" t="s">
        <v>493</v>
      </c>
      <c r="D397" s="227" t="s">
        <v>3913</v>
      </c>
      <c r="E397" s="178">
        <f>INDEX($G$397:$T$397,1,Inputs!$E$49-2022)</f>
        <v>4279.1856397077363</v>
      </c>
      <c r="H397" s="30">
        <f>Financing!H69</f>
        <v>272.46723631264888</v>
      </c>
      <c r="I397" s="30">
        <f>Financing!I69</f>
        <v>373.14089239269174</v>
      </c>
      <c r="J397" s="30">
        <f>Financing!J69</f>
        <v>538.10335806966555</v>
      </c>
      <c r="K397" s="30">
        <f>Financing!K69</f>
        <v>774.58171035627799</v>
      </c>
      <c r="L397" s="30">
        <f>Financing!L69</f>
        <v>1044.9458902993392</v>
      </c>
      <c r="M397" s="30">
        <f>Financing!M69</f>
        <v>1356.0379110230103</v>
      </c>
      <c r="N397" s="30">
        <f>Financing!N69</f>
        <v>1690.8129213067336</v>
      </c>
      <c r="O397" s="30">
        <f>Financing!O69</f>
        <v>2063.2261343312944</v>
      </c>
      <c r="P397" s="30">
        <f>Financing!P69</f>
        <v>2459.532473397564</v>
      </c>
      <c r="Q397" s="30">
        <f>Financing!Q69</f>
        <v>2894.0214986240057</v>
      </c>
      <c r="R397" s="30">
        <f>Financing!R69</f>
        <v>3351.0163620107146</v>
      </c>
      <c r="S397" s="30">
        <f>Financing!S69</f>
        <v>3805.7756533488832</v>
      </c>
      <c r="T397" s="30">
        <f>Financing!T69</f>
        <v>4279.1856397077363</v>
      </c>
    </row>
    <row r="398" spans="2:20" x14ac:dyDescent="0.25">
      <c r="B398" s="21" t="s">
        <v>3687</v>
      </c>
      <c r="C398" s="28" t="s">
        <v>493</v>
      </c>
      <c r="E398" s="228">
        <f>INDEX($G$398:$T$398,1,Inputs!$E$49-2022)</f>
        <v>23.047002826</v>
      </c>
      <c r="H398" s="229">
        <f t="shared" ref="H398:T398" si="54">ROUND(H397-H396,9)</f>
        <v>0</v>
      </c>
      <c r="I398" s="229">
        <f t="shared" si="54"/>
        <v>0</v>
      </c>
      <c r="J398" s="229">
        <f t="shared" si="54"/>
        <v>-12.340568859999999</v>
      </c>
      <c r="K398" s="229">
        <f t="shared" si="54"/>
        <v>-18.460138622999999</v>
      </c>
      <c r="L398" s="229">
        <f t="shared" si="54"/>
        <v>-23.375788622999998</v>
      </c>
      <c r="M398" s="229">
        <f t="shared" si="54"/>
        <v>-30.094870672999999</v>
      </c>
      <c r="N398" s="229">
        <f t="shared" si="54"/>
        <v>-30.028049672000002</v>
      </c>
      <c r="O398" s="229">
        <f t="shared" si="54"/>
        <v>-25.889917271000002</v>
      </c>
      <c r="P398" s="229">
        <f t="shared" si="54"/>
        <v>-18.674760374000002</v>
      </c>
      <c r="Q398" s="229">
        <f t="shared" si="54"/>
        <v>-10.103185973</v>
      </c>
      <c r="R398" s="229">
        <f t="shared" si="54"/>
        <v>-0.19950807200000001</v>
      </c>
      <c r="S398" s="229">
        <f t="shared" si="54"/>
        <v>11.036273329</v>
      </c>
      <c r="T398" s="229">
        <f t="shared" si="54"/>
        <v>23.047002826</v>
      </c>
    </row>
    <row r="399" spans="2:20" ht="27.75" customHeight="1" x14ac:dyDescent="0.25">
      <c r="B399" s="63" t="s">
        <v>3688</v>
      </c>
      <c r="G399" s="254" t="str">
        <f>"With-SC08 FY"&amp;Inputs!$E$49&amp;": model "&amp;TEXT(E397,"#,##0.000")&amp;" vs v29 "&amp;TEXT(E396,"#,##0.000")&amp;" (difference "&amp;TEXT(ROUND(E398,3),"+#,##0.000;-#,##0.000;0.000")&amp;")"&amp;IF(ABS(E398)&lt;=Inputs!$E$50," - matches v29.",IF(LEFT(E395,19)="Differs - requested"," - due to the requested change: "&amp;MID(E395,29,200),IF($E$21&gt;0," - differs because inputs / switches were changed."," - UNEXPLAINED: no input was changed.")))</f>
        <v>With-SC08 FY2036: model 4,279.186 vs v29 4,256.139 (difference +23.047) - due to the requested change: LT loan repaid in 2027 (not 2025);  (and inputs changed)</v>
      </c>
      <c r="H399" s="254"/>
      <c r="I399" s="254"/>
      <c r="J399" s="254"/>
      <c r="K399" s="254"/>
      <c r="L399" s="254"/>
      <c r="M399" s="254"/>
      <c r="N399" s="254"/>
      <c r="O399" s="254"/>
      <c r="P399" s="254"/>
      <c r="Q399" s="254"/>
      <c r="R399" s="254"/>
      <c r="S399" s="254"/>
      <c r="T399" s="254"/>
    </row>
    <row r="400" spans="2:20" ht="47.25" customHeight="1" x14ac:dyDescent="0.25">
      <c r="B400" s="221" t="s">
        <v>3914</v>
      </c>
      <c r="C400" s="222" t="s">
        <v>493</v>
      </c>
      <c r="D400" s="231" t="s">
        <v>3915</v>
      </c>
      <c r="E400" s="232" t="str">
        <f>IF(MAX(MAX(H403:T403),-MIN(H403:T403))&lt;=Inputs!$E$50,"Matches v29",IF(OR($E$22=1,$E$23=1),"Differs - requested change: "&amp;IF($E$22=1,"LT loan repaid in 2027 (not 2025); ","")&amp;IF($E$23=1,"new equity = residual funding requirement (not the v29 schedule)","")&amp;IF($E$21&gt;0," (and inputs changed)",""),IF($E$21&gt;0,"Differs - inputs changed","UNEXPLAINED")))</f>
        <v>Differs - requested change: LT loan repaid in 2027 (not 2025); new equity = residual funding requirement (not the v29 schedule) (and inputs changed)</v>
      </c>
      <c r="F400" s="225">
        <f>MAX(MAX(H403:T403),-MIN(H403:T403))</f>
        <v>605.329547338</v>
      </c>
      <c r="G400" s="226">
        <f>IF(OR($E$22=1,$E$23=1),0,MAX(MAX(H403:T403),-MIN(H403:T403)))</f>
        <v>0</v>
      </c>
    </row>
    <row r="401" spans="2:20" x14ac:dyDescent="0.25">
      <c r="B401" s="23" t="s">
        <v>3683</v>
      </c>
      <c r="C401" s="28" t="s">
        <v>493</v>
      </c>
      <c r="D401" s="155" t="s">
        <v>3916</v>
      </c>
      <c r="E401" s="178">
        <f>INDEX($G$401:$T$401,1,Inputs!$E$49-2022)</f>
        <v>4427.08371419593</v>
      </c>
      <c r="H401" s="30">
        <f>'Source Data'!H887</f>
        <v>34.699265073765297</v>
      </c>
      <c r="I401" s="30">
        <f>'Source Data'!I887</f>
        <v>17.018225208360501</v>
      </c>
      <c r="J401" s="30">
        <f>'Source Data'!J887</f>
        <v>288.09603083799499</v>
      </c>
      <c r="K401" s="30">
        <f>'Source Data'!K887</f>
        <v>605.32954733809004</v>
      </c>
      <c r="L401" s="30">
        <f>'Source Data'!L887</f>
        <v>949.87037989461203</v>
      </c>
      <c r="M401" s="30">
        <f>'Source Data'!M887</f>
        <v>1329.2321750679</v>
      </c>
      <c r="N401" s="30">
        <f>'Source Data'!N887</f>
        <v>1718.1697578379999</v>
      </c>
      <c r="O401" s="30">
        <f>'Source Data'!O887</f>
        <v>2132.90076782503</v>
      </c>
      <c r="P401" s="30">
        <f>'Source Data'!P887</f>
        <v>2563.0826006940601</v>
      </c>
      <c r="Q401" s="30">
        <f>'Source Data'!Q887</f>
        <v>3021.26268621604</v>
      </c>
      <c r="R401" s="30">
        <f>'Source Data'!R887</f>
        <v>3489.2681467976799</v>
      </c>
      <c r="S401" s="30">
        <f>'Source Data'!S887</f>
        <v>3950.29458764843</v>
      </c>
      <c r="T401" s="30">
        <f>'Source Data'!T887</f>
        <v>4427.08371419593</v>
      </c>
    </row>
    <row r="402" spans="2:20" x14ac:dyDescent="0.25">
      <c r="B402" s="23" t="s">
        <v>3685</v>
      </c>
      <c r="C402" s="28" t="s">
        <v>493</v>
      </c>
      <c r="D402" s="227" t="s">
        <v>3917</v>
      </c>
      <c r="E402" s="178">
        <f>INDEX($G$402:$T$402,1,Inputs!$E$49-2022)</f>
        <v>3877.3005449048192</v>
      </c>
      <c r="H402" s="30">
        <f>Financing!H70</f>
        <v>34.699265073765446</v>
      </c>
      <c r="I402" s="30">
        <f>Financing!I70</f>
        <v>212.19822520836064</v>
      </c>
      <c r="J402" s="30">
        <f>Financing!J70</f>
        <v>44.013344846634908</v>
      </c>
      <c r="K402" s="30">
        <f>Financing!K70</f>
        <v>0</v>
      </c>
      <c r="L402" s="30">
        <f>Financing!L70</f>
        <v>357.13178126471377</v>
      </c>
      <c r="M402" s="30">
        <f>Financing!M70</f>
        <v>740.05509506813985</v>
      </c>
      <c r="N402" s="30">
        <f>Financing!N70</f>
        <v>1135.038115435724</v>
      </c>
      <c r="O402" s="30">
        <f>Financing!O70</f>
        <v>1548.3940418611116</v>
      </c>
      <c r="P402" s="30">
        <f>Financing!P70</f>
        <v>1979.4025253829548</v>
      </c>
      <c r="Q402" s="30">
        <f>Financing!Q70</f>
        <v>2439.0903523045872</v>
      </c>
      <c r="R402" s="30">
        <f>Financing!R70</f>
        <v>2909.540725516913</v>
      </c>
      <c r="S402" s="30">
        <f>Financing!S70</f>
        <v>3380.4505514483485</v>
      </c>
      <c r="T402" s="30">
        <f>Financing!T70</f>
        <v>3877.3005449048192</v>
      </c>
    </row>
    <row r="403" spans="2:20" x14ac:dyDescent="0.25">
      <c r="B403" s="21" t="s">
        <v>3687</v>
      </c>
      <c r="C403" s="28" t="s">
        <v>493</v>
      </c>
      <c r="E403" s="228">
        <f>INDEX($G$403:$T$403,1,Inputs!$E$49-2022)</f>
        <v>-549.78316929100004</v>
      </c>
      <c r="H403" s="229">
        <f t="shared" ref="H403:T403" si="55">ROUND(H402-H401,9)</f>
        <v>0</v>
      </c>
      <c r="I403" s="229">
        <f t="shared" si="55"/>
        <v>195.18</v>
      </c>
      <c r="J403" s="229">
        <f t="shared" si="55"/>
        <v>-244.08268599100001</v>
      </c>
      <c r="K403" s="229">
        <f t="shared" si="55"/>
        <v>-605.329547338</v>
      </c>
      <c r="L403" s="229">
        <f t="shared" si="55"/>
        <v>-592.73859862999996</v>
      </c>
      <c r="M403" s="229">
        <f t="shared" si="55"/>
        <v>-589.17708000000005</v>
      </c>
      <c r="N403" s="229">
        <f t="shared" si="55"/>
        <v>-583.13164240200001</v>
      </c>
      <c r="O403" s="229">
        <f t="shared" si="55"/>
        <v>-584.506725964</v>
      </c>
      <c r="P403" s="229">
        <f t="shared" si="55"/>
        <v>-583.680075311</v>
      </c>
      <c r="Q403" s="229">
        <f t="shared" si="55"/>
        <v>-582.17233391100001</v>
      </c>
      <c r="R403" s="229">
        <f t="shared" si="55"/>
        <v>-579.72742128100003</v>
      </c>
      <c r="S403" s="229">
        <f t="shared" si="55"/>
        <v>-569.84403620000001</v>
      </c>
      <c r="T403" s="229">
        <f t="shared" si="55"/>
        <v>-549.78316929100004</v>
      </c>
    </row>
    <row r="404" spans="2:20" ht="27.75" customHeight="1" x14ac:dyDescent="0.25">
      <c r="B404" s="63" t="s">
        <v>3688</v>
      </c>
      <c r="G404" s="254" t="str">
        <f>"With-SC09 FY"&amp;Inputs!$E$49&amp;": model "&amp;TEXT(E402,"#,##0.000")&amp;" vs v29 "&amp;TEXT(E401,"#,##0.000")&amp;" (difference "&amp;TEXT(ROUND(E403,3),"+#,##0.000;-#,##0.000;0.000")&amp;")"&amp;IF(ABS(E403)&lt;=Inputs!$E$50," - matches v29.",IF(LEFT(E400,19)="Differs - requested"," - due to the requested change: "&amp;MID(E400,29,200),IF($E$21&gt;0," - differs because inputs / switches were changed."," - UNEXPLAINED: no input was changed.")))</f>
        <v>With-SC09 FY2036: model 3,877.301 vs v29 4,427.084 (difference -549.783) - due to the requested change: LT loan repaid in 2027 (not 2025); new equity = residual funding requirement (not the v29 schedule) (and inputs changed)</v>
      </c>
      <c r="H404" s="254"/>
      <c r="I404" s="254"/>
      <c r="J404" s="254"/>
      <c r="K404" s="254"/>
      <c r="L404" s="254"/>
      <c r="M404" s="254"/>
      <c r="N404" s="254"/>
      <c r="O404" s="254"/>
      <c r="P404" s="254"/>
      <c r="Q404" s="254"/>
      <c r="R404" s="254"/>
      <c r="S404" s="254"/>
      <c r="T404" s="254"/>
    </row>
    <row r="405" spans="2:20" ht="47.25" customHeight="1" x14ac:dyDescent="0.25">
      <c r="B405" s="221" t="s">
        <v>3918</v>
      </c>
      <c r="C405" s="222" t="s">
        <v>493</v>
      </c>
      <c r="D405" s="231" t="s">
        <v>3919</v>
      </c>
      <c r="E405" s="232" t="str">
        <f>IF(MAX(MAX(H408:T408),-MIN(H408:T408))&lt;=Inputs!$E$50,"Matches v29",IF(OR($E$22=1,$E$23=1),"Differs - requested change: "&amp;IF($E$22=1,"LT loan repaid in 2027 (not 2025); ","")&amp;IF($E$23=1,"new equity = residual funding requirement (not the v29 schedule)","")&amp;IF($E$21&gt;0," (and inputs changed)",""),IF($E$21&gt;0,"Differs - inputs changed","UNEXPLAINED")))</f>
        <v>Differs - requested change: LT loan repaid in 2027 (not 2025); new equity = residual funding requirement (not the v29 schedule) (and inputs changed)</v>
      </c>
      <c r="F405" s="225">
        <f>MAX(MAX(H408:T408),-MIN(H408:T408))</f>
        <v>66.301598708</v>
      </c>
      <c r="G405" s="226">
        <f>IF(OR($E$22=1,$E$23=1),0,MAX(MAX(H408:T408),-MIN(H408:T408)))</f>
        <v>0</v>
      </c>
    </row>
    <row r="406" spans="2:20" x14ac:dyDescent="0.25">
      <c r="B406" s="23" t="s">
        <v>3683</v>
      </c>
      <c r="C406" s="28" t="s">
        <v>493</v>
      </c>
      <c r="D406" s="155" t="s">
        <v>3920</v>
      </c>
      <c r="E406" s="178">
        <f>INDEX($G$406:$T$406,1,Inputs!$E$49-2022)</f>
        <v>-128.54587960915799</v>
      </c>
      <c r="H406" s="30">
        <f>'Source Data'!H888</f>
        <v>-6.3327025288222201</v>
      </c>
      <c r="I406" s="30">
        <f>'Source Data'!I888</f>
        <v>-17.018225208360501</v>
      </c>
      <c r="J406" s="30">
        <f>'Source Data'!J888</f>
        <v>-46.998288241660703</v>
      </c>
      <c r="K406" s="30">
        <f>'Source Data'!K888</f>
        <v>-66.301598708192302</v>
      </c>
      <c r="L406" s="30">
        <f>'Source Data'!L888</f>
        <v>-75.852592345920399</v>
      </c>
      <c r="M406" s="30">
        <f>'Source Data'!M888</f>
        <v>-87.991662902149102</v>
      </c>
      <c r="N406" s="30">
        <f>'Source Data'!N888</f>
        <v>-92.784292246747796</v>
      </c>
      <c r="O406" s="30">
        <f>'Source Data'!O888</f>
        <v>-102.572735835586</v>
      </c>
      <c r="P406" s="30">
        <f>'Source Data'!P888</f>
        <v>-108.11298126246101</v>
      </c>
      <c r="Q406" s="30">
        <f>'Source Data'!Q888</f>
        <v>-118.854059461265</v>
      </c>
      <c r="R406" s="30">
        <f>'Source Data'!R888</f>
        <v>-124.893946505218</v>
      </c>
      <c r="S406" s="30">
        <f>'Source Data'!S888</f>
        <v>-123.506043419409</v>
      </c>
      <c r="T406" s="30">
        <f>'Source Data'!T888</f>
        <v>-128.54587960915799</v>
      </c>
    </row>
    <row r="407" spans="2:20" x14ac:dyDescent="0.25">
      <c r="B407" s="23" t="s">
        <v>3685</v>
      </c>
      <c r="C407" s="28" t="s">
        <v>493</v>
      </c>
      <c r="D407" s="227" t="s">
        <v>3921</v>
      </c>
      <c r="E407" s="178">
        <f>INDEX($G$407:$T$407,1,Inputs!$E$49-2022)</f>
        <v>-132.14909845823394</v>
      </c>
      <c r="H407" s="161">
        <f>-Financing!H71</f>
        <v>-6.3327025288222343</v>
      </c>
      <c r="I407" s="161">
        <f>-Financing!I71</f>
        <v>-24.168312578226143</v>
      </c>
      <c r="J407" s="161">
        <f>-Financing!J71</f>
        <v>-43.29611758378374</v>
      </c>
      <c r="K407" s="161">
        <f>-Financing!K71</f>
        <v>0</v>
      </c>
      <c r="L407" s="161">
        <f>-Financing!L71</f>
        <v>-74.377897345920431</v>
      </c>
      <c r="M407" s="161">
        <f>-Financing!M71</f>
        <v>-85.975938287159337</v>
      </c>
      <c r="N407" s="161">
        <f>-Financing!N71</f>
        <v>-92.804338547055849</v>
      </c>
      <c r="O407" s="161">
        <f>-Financing!O71</f>
        <v>-103.81417555589361</v>
      </c>
      <c r="P407" s="161">
        <f>-Financing!P71</f>
        <v>-110.27752833153677</v>
      </c>
      <c r="Q407" s="161">
        <f>-Financing!Q71</f>
        <v>-121.42553178157326</v>
      </c>
      <c r="R407" s="161">
        <f>-Financing!R71</f>
        <v>-127.86504987552635</v>
      </c>
      <c r="S407" s="161">
        <f>-Financing!S71</f>
        <v>-126.87677783971669</v>
      </c>
      <c r="T407" s="161">
        <f>-Financing!T71</f>
        <v>-132.14909845823394</v>
      </c>
    </row>
    <row r="408" spans="2:20" x14ac:dyDescent="0.25">
      <c r="B408" s="21" t="s">
        <v>3687</v>
      </c>
      <c r="C408" s="28" t="s">
        <v>493</v>
      </c>
      <c r="E408" s="228">
        <f>INDEX($G$408:$T$408,1,Inputs!$E$49-2022)</f>
        <v>-3.6032188490000001</v>
      </c>
      <c r="H408" s="229">
        <f t="shared" ref="H408:T408" si="56">ROUND(H407-H406,9)</f>
        <v>0</v>
      </c>
      <c r="I408" s="229">
        <f t="shared" si="56"/>
        <v>-7.1500873699999996</v>
      </c>
      <c r="J408" s="229">
        <f t="shared" si="56"/>
        <v>3.702170658</v>
      </c>
      <c r="K408" s="229">
        <f t="shared" si="56"/>
        <v>66.301598708</v>
      </c>
      <c r="L408" s="229">
        <f t="shared" si="56"/>
        <v>1.4746950000000001</v>
      </c>
      <c r="M408" s="229">
        <f t="shared" si="56"/>
        <v>2.0157246149999999</v>
      </c>
      <c r="N408" s="229">
        <f t="shared" si="56"/>
        <v>-2.00463E-2</v>
      </c>
      <c r="O408" s="229">
        <f t="shared" si="56"/>
        <v>-1.24143972</v>
      </c>
      <c r="P408" s="229">
        <f t="shared" si="56"/>
        <v>-2.1645470690000002</v>
      </c>
      <c r="Q408" s="229">
        <f t="shared" si="56"/>
        <v>-2.5714723199999998</v>
      </c>
      <c r="R408" s="229">
        <f t="shared" si="56"/>
        <v>-2.9711033699999998</v>
      </c>
      <c r="S408" s="229">
        <f t="shared" si="56"/>
        <v>-3.3707344199999998</v>
      </c>
      <c r="T408" s="229">
        <f t="shared" si="56"/>
        <v>-3.6032188490000001</v>
      </c>
    </row>
    <row r="409" spans="2:20" ht="27.75" customHeight="1" x14ac:dyDescent="0.25">
      <c r="B409" s="63" t="s">
        <v>3688</v>
      </c>
      <c r="G409" s="254" t="str">
        <f>"With-SC10 FY"&amp;Inputs!$E$49&amp;": model "&amp;TEXT(E407,"#,##0.000")&amp;" vs v29 "&amp;TEXT(E406,"#,##0.000")&amp;" (difference "&amp;TEXT(ROUND(E408,3),"+#,##0.000;-#,##0.000;0.000")&amp;")"&amp;IF(ABS(E408)&lt;=Inputs!$E$50," - matches v29.",IF(LEFT(E405,19)="Differs - requested"," - due to the requested change: "&amp;MID(E405,29,200),IF($E$21&gt;0," - differs because inputs / switches were changed."," - UNEXPLAINED: no input was changed.")))</f>
        <v>With-SC10 FY2036: model -132.149 vs v29 -128.546 (difference -3.603) - due to the requested change: LT loan repaid in 2027 (not 2025); new equity = residual funding requirement (not the v29 schedule) (and inputs changed)</v>
      </c>
      <c r="H409" s="254"/>
      <c r="I409" s="254"/>
      <c r="J409" s="254"/>
      <c r="K409" s="254"/>
      <c r="L409" s="254"/>
      <c r="M409" s="254"/>
      <c r="N409" s="254"/>
      <c r="O409" s="254"/>
      <c r="P409" s="254"/>
      <c r="Q409" s="254"/>
      <c r="R409" s="254"/>
      <c r="S409" s="254"/>
      <c r="T409" s="254"/>
    </row>
    <row r="410" spans="2:20" ht="47.25" customHeight="1" x14ac:dyDescent="0.25">
      <c r="B410" s="221" t="s">
        <v>3922</v>
      </c>
      <c r="C410" s="222" t="s">
        <v>493</v>
      </c>
      <c r="D410" s="231" t="s">
        <v>3923</v>
      </c>
      <c r="E410" s="232" t="str">
        <f>IF(MAX(MAX(H413:T413),-MIN(H413:T413))&lt;=Inputs!$E$50,"Matches v29",IF(OR($E$22=1,$E$23=1),"Differs - requested change: "&amp;IF($E$22=1,"LT loan repaid in 2027 (not 2025); ","")&amp;IF($E$23=1,"new equity = residual funding requirement (not the v29 schedule)","")&amp;IF($E$21&gt;0," (and inputs changed)",""),IF($E$21&gt;0,"Differs - inputs changed","UNEXPLAINED")))</f>
        <v>Differs - requested change: LT loan repaid in 2027 (not 2025); new equity = residual funding requirement (not the v29 schedule) (and inputs changed)</v>
      </c>
      <c r="F410" s="225">
        <f>MAX(MAX(H413:T413),-MIN(H413:T413))</f>
        <v>73.448542388000007</v>
      </c>
      <c r="G410" s="226">
        <f>IF(OR($E$22=1,$E$23=1),0,MAX(MAX(H413:T413),-MIN(H413:T413)))</f>
        <v>0</v>
      </c>
    </row>
    <row r="411" spans="2:20" x14ac:dyDescent="0.25">
      <c r="B411" s="23" t="s">
        <v>3683</v>
      </c>
      <c r="C411" s="28" t="s">
        <v>493</v>
      </c>
      <c r="D411" s="155" t="s">
        <v>3924</v>
      </c>
      <c r="E411" s="178">
        <f>INDEX($G$411:$T$411,1,Inputs!$E$49-2022)</f>
        <v>3214.9276286066201</v>
      </c>
      <c r="H411" s="30">
        <f>'Source Data'!H889</f>
        <v>324.68853378382698</v>
      </c>
      <c r="I411" s="30">
        <f>'Source Data'!I889</f>
        <v>408.34396465550901</v>
      </c>
      <c r="J411" s="30">
        <f>'Source Data'!J889</f>
        <v>538.64871095041201</v>
      </c>
      <c r="K411" s="30">
        <f>'Source Data'!K889</f>
        <v>714.945034292081</v>
      </c>
      <c r="L411" s="30">
        <f>'Source Data'!L889</f>
        <v>914.37227188922202</v>
      </c>
      <c r="M411" s="30">
        <f>'Source Data'!M889</f>
        <v>1144.1917117607099</v>
      </c>
      <c r="N411" s="30">
        <f>'Source Data'!N889</f>
        <v>1386.1156087966599</v>
      </c>
      <c r="O411" s="30">
        <f>'Source Data'!O889</f>
        <v>1651.81795358461</v>
      </c>
      <c r="P411" s="30">
        <f>'Source Data'!P889</f>
        <v>1932.7961544914999</v>
      </c>
      <c r="Q411" s="30">
        <f>'Source Data'!Q889</f>
        <v>2239.8595458556401</v>
      </c>
      <c r="R411" s="30">
        <f>'Source Data'!R889</f>
        <v>2562.0567848361102</v>
      </c>
      <c r="S411" s="30">
        <f>'Source Data'!S889</f>
        <v>2882.0742513538398</v>
      </c>
      <c r="T411" s="30">
        <f>'Source Data'!T889</f>
        <v>3214.9276286066201</v>
      </c>
    </row>
    <row r="412" spans="2:20" x14ac:dyDescent="0.25">
      <c r="B412" s="23" t="s">
        <v>3685</v>
      </c>
      <c r="C412" s="28" t="s">
        <v>493</v>
      </c>
      <c r="D412" s="227" t="s">
        <v>3925</v>
      </c>
      <c r="E412" s="178">
        <f>INDEX($G$412:$T$412,1,Inputs!$E$49-2022)</f>
        <v>3288.3761709942887</v>
      </c>
      <c r="H412" s="30">
        <f>Financing!H76</f>
        <v>324.6885337838267</v>
      </c>
      <c r="I412" s="30">
        <f>Financing!I76</f>
        <v>401.1938772856434</v>
      </c>
      <c r="J412" s="30">
        <f>Financing!J76</f>
        <v>522.86022537883343</v>
      </c>
      <c r="K412" s="30">
        <f>Financing!K76</f>
        <v>759.33857766544588</v>
      </c>
      <c r="L412" s="30">
        <f>Financing!L76</f>
        <v>955.32486026258698</v>
      </c>
      <c r="M412" s="30">
        <f>Financing!M76</f>
        <v>1180.4409426990987</v>
      </c>
      <c r="N412" s="30">
        <f>Financing!N76</f>
        <v>1422.4116144357663</v>
      </c>
      <c r="O412" s="30">
        <f>Financing!O76</f>
        <v>1691.0106519044334</v>
      </c>
      <c r="P412" s="30">
        <f>Financing!P76</f>
        <v>1977.0394626391662</v>
      </c>
      <c r="Q412" s="30">
        <f>Financing!Q76</f>
        <v>2290.1029560840348</v>
      </c>
      <c r="R412" s="30">
        <f>Financing!R76</f>
        <v>2619.2327695952176</v>
      </c>
      <c r="S412" s="30">
        <f>Financing!S76</f>
        <v>2947.1152830936694</v>
      </c>
      <c r="T412" s="30">
        <f>Financing!T76</f>
        <v>3288.3761709942887</v>
      </c>
    </row>
    <row r="413" spans="2:20" x14ac:dyDescent="0.25">
      <c r="B413" s="21" t="s">
        <v>3687</v>
      </c>
      <c r="C413" s="28" t="s">
        <v>493</v>
      </c>
      <c r="E413" s="228">
        <f>INDEX($G$413:$T$413,1,Inputs!$E$49-2022)</f>
        <v>73.448542388000007</v>
      </c>
      <c r="H413" s="229">
        <f t="shared" ref="H413:T413" si="57">ROUND(H412-H411,9)</f>
        <v>0</v>
      </c>
      <c r="I413" s="229">
        <f t="shared" si="57"/>
        <v>-7.1500873699999996</v>
      </c>
      <c r="J413" s="229">
        <f t="shared" si="57"/>
        <v>-15.788485572000001</v>
      </c>
      <c r="K413" s="229">
        <f t="shared" si="57"/>
        <v>44.393543373</v>
      </c>
      <c r="L413" s="229">
        <f t="shared" si="57"/>
        <v>40.952588372999998</v>
      </c>
      <c r="M413" s="229">
        <f t="shared" si="57"/>
        <v>36.249230937999997</v>
      </c>
      <c r="N413" s="229">
        <f t="shared" si="57"/>
        <v>36.296005639000001</v>
      </c>
      <c r="O413" s="229">
        <f t="shared" si="57"/>
        <v>39.192698319999998</v>
      </c>
      <c r="P413" s="229">
        <f t="shared" si="57"/>
        <v>44.243308147999997</v>
      </c>
      <c r="Q413" s="229">
        <f t="shared" si="57"/>
        <v>50.243410228000002</v>
      </c>
      <c r="R413" s="229">
        <f t="shared" si="57"/>
        <v>57.175984759000002</v>
      </c>
      <c r="S413" s="229">
        <f t="shared" si="57"/>
        <v>65.041031739999994</v>
      </c>
      <c r="T413" s="229">
        <f t="shared" si="57"/>
        <v>73.448542388000007</v>
      </c>
    </row>
    <row r="414" spans="2:20" ht="27.75" customHeight="1" x14ac:dyDescent="0.25">
      <c r="B414" s="63" t="s">
        <v>3688</v>
      </c>
      <c r="G414" s="254" t="str">
        <f>"With-SC11 FY"&amp;Inputs!$E$49&amp;": model "&amp;TEXT(E412,"#,##0.000")&amp;" vs v29 "&amp;TEXT(E411,"#,##0.000")&amp;" (difference "&amp;TEXT(ROUND(E413,3),"+#,##0.000;-#,##0.000;0.000")&amp;")"&amp;IF(ABS(E413)&lt;=Inputs!$E$50," - matches v29.",IF(LEFT(E410,19)="Differs - requested"," - due to the requested change: "&amp;MID(E410,29,200),IF($E$21&gt;0," - differs because inputs / switches were changed."," - UNEXPLAINED: no input was changed.")))</f>
        <v>With-SC11 FY2036: model 3,288.376 vs v29 3,214.928 (difference +73.449) - due to the requested change: LT loan repaid in 2027 (not 2025); new equity = residual funding requirement (not the v29 schedule) (and inputs changed)</v>
      </c>
      <c r="H414" s="254"/>
      <c r="I414" s="254"/>
      <c r="J414" s="254"/>
      <c r="K414" s="254"/>
      <c r="L414" s="254"/>
      <c r="M414" s="254"/>
      <c r="N414" s="254"/>
      <c r="O414" s="254"/>
      <c r="P414" s="254"/>
      <c r="Q414" s="254"/>
      <c r="R414" s="254"/>
      <c r="S414" s="254"/>
      <c r="T414" s="254"/>
    </row>
    <row r="415" spans="2:20" x14ac:dyDescent="0.25">
      <c r="B415" s="221" t="s">
        <v>3926</v>
      </c>
      <c r="D415" s="218">
        <f>'Source Data'!$E$876</f>
        <v>2.1644236967844601</v>
      </c>
      <c r="E415" s="218">
        <f>'FSL Output - With BUMN'!$E$303</f>
        <v>1.7641413569450377</v>
      </c>
      <c r="F415" s="233">
        <f>IF(ISNUMBER(E415),E415-D415,"n/a")</f>
        <v>-0.40028233983942241</v>
      </c>
      <c r="G415" s="135" t="str">
        <f>IF(ISNUMBER(F415),IF(ABS(F415)&lt;0.000001,"Reproduced","Differs"),"n/a - no IRR solution for these cash flows")</f>
        <v>Differs</v>
      </c>
    </row>
    <row r="416" spans="2:20" x14ac:dyDescent="0.25">
      <c r="B416" s="221" t="s">
        <v>3927</v>
      </c>
      <c r="D416" s="182">
        <f>'Source Data'!$E$877</f>
        <v>3.4319289097624299</v>
      </c>
      <c r="E416" s="182">
        <f>'FSL Output - With BUMN'!$E$304</f>
        <v>3.6752042219496763</v>
      </c>
      <c r="F416" s="233">
        <f>IF(ISNUMBER(E416),E416-D416,"n/a")</f>
        <v>0.24327531218724641</v>
      </c>
      <c r="G416" s="135" t="str">
        <f>IF(ISNUMBER(F416),IF(ABS(F416)&lt;0.000001,"Reproduced","Differs"),"n/a - no IRR solution for these cash flows")</f>
        <v>Differs</v>
      </c>
    </row>
    <row r="418" spans="2:8" x14ac:dyDescent="0.25">
      <c r="B418" s="154" t="s">
        <v>3928</v>
      </c>
    </row>
    <row r="419" spans="2:8" x14ac:dyDescent="0.25">
      <c r="B419" s="70" t="s">
        <v>3681</v>
      </c>
      <c r="E419" s="135" t="str">
        <f>E135</f>
        <v>Differs - inputs changed</v>
      </c>
      <c r="F419" s="178">
        <f>F135</f>
        <v>48.195</v>
      </c>
      <c r="G419" s="234">
        <f>G135</f>
        <v>48.195</v>
      </c>
      <c r="H419" s="22" t="s">
        <v>3929</v>
      </c>
    </row>
    <row r="420" spans="2:8" x14ac:dyDescent="0.25">
      <c r="B420" s="70" t="s">
        <v>3689</v>
      </c>
      <c r="E420" s="135" t="str">
        <f>E140</f>
        <v>Differs - inputs changed</v>
      </c>
      <c r="F420" s="178">
        <f>F140</f>
        <v>18.88775</v>
      </c>
      <c r="G420" s="234">
        <f>G140</f>
        <v>18.88775</v>
      </c>
      <c r="H420" s="22" t="s">
        <v>3929</v>
      </c>
    </row>
    <row r="421" spans="2:8" x14ac:dyDescent="0.25">
      <c r="B421" s="70" t="s">
        <v>3693</v>
      </c>
      <c r="E421" s="135" t="str">
        <f>E145</f>
        <v>Differs - inputs changed</v>
      </c>
      <c r="F421" s="178">
        <f>F145</f>
        <v>29.30725</v>
      </c>
      <c r="G421" s="234">
        <f>G145</f>
        <v>29.30725</v>
      </c>
      <c r="H421" s="22" t="s">
        <v>3929</v>
      </c>
    </row>
    <row r="422" spans="2:8" x14ac:dyDescent="0.25">
      <c r="B422" s="70" t="s">
        <v>3697</v>
      </c>
      <c r="E422" s="135" t="str">
        <f>E150</f>
        <v>Differs - inputs changed</v>
      </c>
      <c r="F422" s="178">
        <f>F150</f>
        <v>2.5</v>
      </c>
      <c r="G422" s="234">
        <f>G150</f>
        <v>2.5</v>
      </c>
      <c r="H422" s="22" t="s">
        <v>3929</v>
      </c>
    </row>
    <row r="423" spans="2:8" x14ac:dyDescent="0.25">
      <c r="B423" s="70" t="s">
        <v>3702</v>
      </c>
      <c r="E423" s="135" t="str">
        <f>E155</f>
        <v>Differs - inputs changed</v>
      </c>
      <c r="F423" s="178">
        <f>F155</f>
        <v>26.80725</v>
      </c>
      <c r="G423" s="234">
        <f>G155</f>
        <v>26.80725</v>
      </c>
      <c r="H423" s="22" t="s">
        <v>3929</v>
      </c>
    </row>
    <row r="424" spans="2:8" x14ac:dyDescent="0.25">
      <c r="B424" s="70" t="s">
        <v>3706</v>
      </c>
      <c r="E424" s="135" t="str">
        <f>E160</f>
        <v>Differs - inputs changed</v>
      </c>
      <c r="F424" s="178">
        <f>F160</f>
        <v>11.408878850000001</v>
      </c>
      <c r="G424" s="234">
        <f>G160</f>
        <v>11.408878850000001</v>
      </c>
      <c r="H424" s="22" t="s">
        <v>3929</v>
      </c>
    </row>
    <row r="425" spans="2:8" x14ac:dyDescent="0.25">
      <c r="B425" s="70" t="s">
        <v>3710</v>
      </c>
      <c r="E425" s="135" t="str">
        <f>E165</f>
        <v>Differs - inputs changed</v>
      </c>
      <c r="F425" s="178">
        <f>F165</f>
        <v>15.42954295</v>
      </c>
      <c r="G425" s="234">
        <f>G165</f>
        <v>15.42954295</v>
      </c>
      <c r="H425" s="22" t="s">
        <v>3929</v>
      </c>
    </row>
    <row r="426" spans="2:8" ht="24.75" customHeight="1" x14ac:dyDescent="0.25">
      <c r="B426" s="70" t="s">
        <v>3714</v>
      </c>
      <c r="E426" s="212" t="str">
        <f>E170</f>
        <v>Differs - requested change: LT loan repaid in 2027 (not 2025);  (and inputs changed)</v>
      </c>
      <c r="F426" s="178">
        <f>F170</f>
        <v>15.273450177999999</v>
      </c>
      <c r="G426" s="234">
        <f>G170</f>
        <v>0</v>
      </c>
      <c r="H426" s="22" t="s">
        <v>3929</v>
      </c>
    </row>
    <row r="427" spans="2:8" ht="24.75" customHeight="1" x14ac:dyDescent="0.25">
      <c r="B427" s="70" t="s">
        <v>3719</v>
      </c>
      <c r="E427" s="212" t="str">
        <f>E175</f>
        <v>Differs - requested change: LT loan repaid in 2027 (not 2025);  (and inputs changed)</v>
      </c>
      <c r="F427" s="178">
        <f>F175</f>
        <v>15.398371149999999</v>
      </c>
      <c r="G427" s="234">
        <f>G175</f>
        <v>0</v>
      </c>
      <c r="H427" s="22" t="s">
        <v>3929</v>
      </c>
    </row>
    <row r="428" spans="2:8" ht="24.75" customHeight="1" x14ac:dyDescent="0.25">
      <c r="B428" s="70" t="s">
        <v>3723</v>
      </c>
      <c r="E428" s="212" t="str">
        <f>E180</f>
        <v>Differs - requested change: LT loan repaid in 2027 (not 2025);  (and inputs changed)</v>
      </c>
      <c r="F428" s="178">
        <f>F180</f>
        <v>3.3876416530000002</v>
      </c>
      <c r="G428" s="234">
        <f>G180</f>
        <v>0</v>
      </c>
      <c r="H428" s="22" t="s">
        <v>3929</v>
      </c>
    </row>
    <row r="429" spans="2:8" ht="24.75" customHeight="1" x14ac:dyDescent="0.25">
      <c r="B429" s="70" t="s">
        <v>3728</v>
      </c>
      <c r="E429" s="212" t="str">
        <f>E185</f>
        <v>Differs - requested change: LT loan repaid in 2027 (not 2025);  (and inputs changed)</v>
      </c>
      <c r="F429" s="178">
        <f>F185</f>
        <v>12.340568859999999</v>
      </c>
      <c r="G429" s="234">
        <f>G185</f>
        <v>0</v>
      </c>
      <c r="H429" s="22" t="s">
        <v>3929</v>
      </c>
    </row>
    <row r="430" spans="2:8" ht="24.75" customHeight="1" x14ac:dyDescent="0.25">
      <c r="B430" s="70" t="s">
        <v>3732</v>
      </c>
      <c r="E430" s="212" t="str">
        <f>E190</f>
        <v>Differs - requested change: LT loan repaid in 2027 (not 2025);  (and inputs changed)</v>
      </c>
      <c r="F430" s="178">
        <f>F190</f>
        <v>12.340568859999999</v>
      </c>
      <c r="G430" s="234">
        <f>G190</f>
        <v>0</v>
      </c>
      <c r="H430" s="22" t="s">
        <v>3929</v>
      </c>
    </row>
    <row r="431" spans="2:8" x14ac:dyDescent="0.25">
      <c r="B431" s="70" t="s">
        <v>3736</v>
      </c>
      <c r="E431" s="135" t="str">
        <f>E195</f>
        <v>Differs - inputs changed</v>
      </c>
      <c r="F431" s="178">
        <f>F195</f>
        <v>11.408878850000001</v>
      </c>
      <c r="G431" s="234">
        <f>G195</f>
        <v>11.408878850000001</v>
      </c>
      <c r="H431" s="22" t="s">
        <v>3929</v>
      </c>
    </row>
    <row r="432" spans="2:8" x14ac:dyDescent="0.25">
      <c r="B432" s="70" t="s">
        <v>3740</v>
      </c>
      <c r="E432" s="135" t="str">
        <f>E200</f>
        <v>Differs - inputs changed</v>
      </c>
      <c r="F432" s="178">
        <f>F200</f>
        <v>2.5718013700000002</v>
      </c>
      <c r="G432" s="234">
        <f>G200</f>
        <v>2.5718013700000002</v>
      </c>
      <c r="H432" s="22" t="s">
        <v>3929</v>
      </c>
    </row>
    <row r="433" spans="2:8" ht="24.75" customHeight="1" x14ac:dyDescent="0.25">
      <c r="B433" s="70" t="s">
        <v>3744</v>
      </c>
      <c r="E433" s="212" t="str">
        <f>E205</f>
        <v>Differs - requested change: LT loan repaid in 2027 (not 2025);  (and inputs changed)</v>
      </c>
      <c r="F433" s="178">
        <f>F205</f>
        <v>23.431601328999999</v>
      </c>
      <c r="G433" s="234">
        <f>G205</f>
        <v>0</v>
      </c>
      <c r="H433" s="22" t="s">
        <v>3929</v>
      </c>
    </row>
    <row r="434" spans="2:8" x14ac:dyDescent="0.25">
      <c r="B434" s="70" t="s">
        <v>3748</v>
      </c>
      <c r="E434" s="135" t="str">
        <f>E210</f>
        <v>Matches v29</v>
      </c>
      <c r="F434" s="178">
        <f>F210</f>
        <v>0</v>
      </c>
      <c r="G434" s="234">
        <f>G210</f>
        <v>0</v>
      </c>
      <c r="H434" s="22" t="s">
        <v>3929</v>
      </c>
    </row>
    <row r="435" spans="2:8" x14ac:dyDescent="0.25">
      <c r="B435" s="70" t="s">
        <v>3752</v>
      </c>
      <c r="E435" s="135" t="str">
        <f>E215</f>
        <v>Differs - inputs changed</v>
      </c>
      <c r="F435" s="178">
        <f>F215</f>
        <v>97.59</v>
      </c>
      <c r="G435" s="234">
        <f>G215</f>
        <v>97.59</v>
      </c>
      <c r="H435" s="22" t="s">
        <v>3929</v>
      </c>
    </row>
    <row r="436" spans="2:8" x14ac:dyDescent="0.25">
      <c r="B436" s="70" t="s">
        <v>3757</v>
      </c>
      <c r="E436" s="135" t="str">
        <f>E220</f>
        <v>Differs - inputs changed</v>
      </c>
      <c r="F436" s="178">
        <f>F220</f>
        <v>97.59</v>
      </c>
      <c r="G436" s="234">
        <f>G220</f>
        <v>97.59</v>
      </c>
      <c r="H436" s="22" t="s">
        <v>3929</v>
      </c>
    </row>
    <row r="437" spans="2:8" ht="47.25" customHeight="1" x14ac:dyDescent="0.25">
      <c r="B437" s="70" t="s">
        <v>3761</v>
      </c>
      <c r="E437" s="212" t="str">
        <f>E225</f>
        <v>Differs - requested change: LT loan repaid in 2027 (not 2025); new equity = residual funding requirement (not the v29 schedule) (and inputs changed)</v>
      </c>
      <c r="F437" s="178">
        <f>F225</f>
        <v>419.77202976199999</v>
      </c>
      <c r="G437" s="234">
        <f>G225</f>
        <v>0</v>
      </c>
      <c r="H437" s="22" t="s">
        <v>3929</v>
      </c>
    </row>
    <row r="438" spans="2:8" ht="24.75" customHeight="1" x14ac:dyDescent="0.25">
      <c r="B438" s="70" t="s">
        <v>3766</v>
      </c>
      <c r="E438" s="212" t="str">
        <f>E230</f>
        <v>Differs - requested change: LT loan repaid in 2027 (not 2025);  (and inputs changed)</v>
      </c>
      <c r="F438" s="178">
        <f>F230</f>
        <v>195.18</v>
      </c>
      <c r="G438" s="234">
        <f>G230</f>
        <v>0</v>
      </c>
      <c r="H438" s="22" t="s">
        <v>3929</v>
      </c>
    </row>
    <row r="439" spans="2:8" ht="47.25" customHeight="1" x14ac:dyDescent="0.25">
      <c r="B439" s="70" t="s">
        <v>3770</v>
      </c>
      <c r="E439" s="212" t="str">
        <f>E235</f>
        <v>Differs - requested change: LT loan repaid in 2027 (not 2025); new equity = residual funding requirement (not the v29 schedule) (and inputs changed)</v>
      </c>
      <c r="F439" s="178">
        <f>F235</f>
        <v>66.301598708</v>
      </c>
      <c r="G439" s="234">
        <f>G235</f>
        <v>0</v>
      </c>
      <c r="H439" s="22" t="s">
        <v>3929</v>
      </c>
    </row>
    <row r="440" spans="2:8" ht="47.25" customHeight="1" x14ac:dyDescent="0.25">
      <c r="B440" s="70" t="s">
        <v>3775</v>
      </c>
      <c r="E440" s="212" t="str">
        <f>E240</f>
        <v>Differs - requested change: LT loan repaid in 2027 (not 2025); new equity = residual funding requirement (not the v29 schedule) (and inputs changed)</v>
      </c>
      <c r="F440" s="178">
        <f>F240</f>
        <v>416.06985910399999</v>
      </c>
      <c r="G440" s="234">
        <f>G240</f>
        <v>0</v>
      </c>
      <c r="H440" s="22" t="s">
        <v>3929</v>
      </c>
    </row>
    <row r="441" spans="2:8" ht="47.25" customHeight="1" x14ac:dyDescent="0.25">
      <c r="B441" s="70" t="s">
        <v>3779</v>
      </c>
      <c r="E441" s="212" t="str">
        <f>E245</f>
        <v>Differs - requested change: LT loan repaid in 2027 (not 2025); new equity = residual funding requirement (not the v29 schedule) (and inputs changed)</v>
      </c>
      <c r="F441" s="178">
        <f>F245</f>
        <v>428.41042796400001</v>
      </c>
      <c r="G441" s="234">
        <f>G245</f>
        <v>0</v>
      </c>
      <c r="H441" s="22" t="s">
        <v>3929</v>
      </c>
    </row>
    <row r="442" spans="2:8" ht="47.25" customHeight="1" x14ac:dyDescent="0.25">
      <c r="B442" s="70" t="s">
        <v>3783</v>
      </c>
      <c r="E442" s="212" t="str">
        <f>E250</f>
        <v>Differs - requested change: LT loan repaid in 2027 (not 2025); new equity = residual funding requirement (not the v29 schedule) (and inputs changed)</v>
      </c>
      <c r="F442" s="178">
        <f>F250</f>
        <v>591.26390362999996</v>
      </c>
      <c r="G442" s="234">
        <f>G250</f>
        <v>0</v>
      </c>
      <c r="H442" s="22" t="s">
        <v>3929</v>
      </c>
    </row>
    <row r="443" spans="2:8" ht="47.25" customHeight="1" x14ac:dyDescent="0.25">
      <c r="B443" s="70" t="s">
        <v>3787</v>
      </c>
      <c r="E443" s="212" t="str">
        <f>E255</f>
        <v>Differs - requested change: LT loan repaid in 2027 (not 2025); new equity = residual funding requirement (not the v29 schedule) (and inputs changed)</v>
      </c>
      <c r="F443" s="178">
        <f>F255</f>
        <v>591.26390362999996</v>
      </c>
      <c r="G443" s="234">
        <f>G255</f>
        <v>0</v>
      </c>
      <c r="H443" s="22" t="s">
        <v>3929</v>
      </c>
    </row>
    <row r="444" spans="2:8" x14ac:dyDescent="0.25">
      <c r="B444" s="70" t="s">
        <v>3791</v>
      </c>
      <c r="E444" s="135" t="str">
        <f>E260</f>
        <v>Matches v29</v>
      </c>
      <c r="F444" s="178">
        <f>F260</f>
        <v>0</v>
      </c>
      <c r="G444" s="234">
        <f>G260</f>
        <v>0</v>
      </c>
      <c r="H444" s="22" t="s">
        <v>3929</v>
      </c>
    </row>
    <row r="445" spans="2:8" x14ac:dyDescent="0.25">
      <c r="B445" s="70" t="s">
        <v>3796</v>
      </c>
      <c r="E445" s="135" t="str">
        <f>E265</f>
        <v>Differs - inputs changed</v>
      </c>
      <c r="F445" s="178">
        <f>F265</f>
        <v>5.9418493149999998</v>
      </c>
      <c r="G445" s="234">
        <f>G265</f>
        <v>5.9418493149999998</v>
      </c>
      <c r="H445" s="22" t="s">
        <v>3929</v>
      </c>
    </row>
    <row r="446" spans="2:8" x14ac:dyDescent="0.25">
      <c r="B446" s="70" t="s">
        <v>3801</v>
      </c>
      <c r="E446" s="135" t="str">
        <f>E270</f>
        <v>Differs - inputs changed</v>
      </c>
      <c r="F446" s="178">
        <f>F270</f>
        <v>162.65</v>
      </c>
      <c r="G446" s="234">
        <f>G270</f>
        <v>162.65</v>
      </c>
      <c r="H446" s="22" t="s">
        <v>3929</v>
      </c>
    </row>
    <row r="447" spans="2:8" x14ac:dyDescent="0.25">
      <c r="B447" s="70" t="s">
        <v>3806</v>
      </c>
      <c r="E447" s="135" t="str">
        <f>E275</f>
        <v>Matches v29</v>
      </c>
      <c r="F447" s="178">
        <f>F275</f>
        <v>0</v>
      </c>
      <c r="G447" s="234">
        <f>G275</f>
        <v>0</v>
      </c>
      <c r="H447" s="22" t="s">
        <v>3929</v>
      </c>
    </row>
    <row r="448" spans="2:8" ht="47.25" customHeight="1" x14ac:dyDescent="0.25">
      <c r="B448" s="70" t="s">
        <v>3811</v>
      </c>
      <c r="E448" s="212" t="str">
        <f>E280</f>
        <v>Differs - requested change: LT loan repaid in 2027 (not 2025); new equity = residual funding requirement (not the v29 schedule) (and inputs changed)</v>
      </c>
      <c r="F448" s="178">
        <f>F280</f>
        <v>484.29804245499997</v>
      </c>
      <c r="G448" s="234">
        <f>G280</f>
        <v>0</v>
      </c>
      <c r="H448" s="22" t="s">
        <v>3929</v>
      </c>
    </row>
    <row r="449" spans="2:8" x14ac:dyDescent="0.25">
      <c r="B449" s="70" t="s">
        <v>3815</v>
      </c>
      <c r="E449" s="135" t="str">
        <f>E285</f>
        <v>Differs - inputs changed</v>
      </c>
      <c r="F449" s="178">
        <f>F285</f>
        <v>1.552417808</v>
      </c>
      <c r="G449" s="234">
        <f>G285</f>
        <v>1.552417808</v>
      </c>
      <c r="H449" s="22" t="s">
        <v>3929</v>
      </c>
    </row>
    <row r="450" spans="2:8" ht="24.75" customHeight="1" x14ac:dyDescent="0.25">
      <c r="B450" s="70" t="s">
        <v>3820</v>
      </c>
      <c r="E450" s="212" t="str">
        <f>E290</f>
        <v>Differs - requested change: LT loan repaid in 2027 (not 2025);  (and inputs changed)</v>
      </c>
      <c r="F450" s="178">
        <f>F290</f>
        <v>195.18</v>
      </c>
      <c r="G450" s="234">
        <f>G290</f>
        <v>0</v>
      </c>
      <c r="H450" s="22" t="s">
        <v>3929</v>
      </c>
    </row>
    <row r="451" spans="2:8" x14ac:dyDescent="0.25">
      <c r="B451" s="70" t="s">
        <v>3825</v>
      </c>
      <c r="E451" s="135" t="str">
        <f>E295</f>
        <v>Matches v29</v>
      </c>
      <c r="F451" s="178">
        <f>F295</f>
        <v>0</v>
      </c>
      <c r="G451" s="234">
        <f>G295</f>
        <v>0</v>
      </c>
      <c r="H451" s="22" t="s">
        <v>3929</v>
      </c>
    </row>
    <row r="452" spans="2:8" ht="24.75" customHeight="1" x14ac:dyDescent="0.25">
      <c r="B452" s="70" t="s">
        <v>3830</v>
      </c>
      <c r="E452" s="212" t="str">
        <f>E300</f>
        <v>Differs - requested change: LT loan repaid in 2027 (not 2025);  (and inputs changed)</v>
      </c>
      <c r="F452" s="178">
        <f>F300</f>
        <v>195.18</v>
      </c>
      <c r="G452" s="234">
        <f>G300</f>
        <v>0</v>
      </c>
      <c r="H452" s="22" t="s">
        <v>3929</v>
      </c>
    </row>
    <row r="453" spans="2:8" ht="47.25" customHeight="1" x14ac:dyDescent="0.25">
      <c r="B453" s="70" t="s">
        <v>3834</v>
      </c>
      <c r="E453" s="212" t="str">
        <f>E305</f>
        <v>Differs - requested change: LT loan repaid in 2027 (not 2025); new equity = residual funding requirement (not the v29 schedule) (and inputs changed)</v>
      </c>
      <c r="F453" s="178">
        <f>F305</f>
        <v>550.89149200300005</v>
      </c>
      <c r="G453" s="234">
        <f>G305</f>
        <v>0</v>
      </c>
      <c r="H453" s="22" t="s">
        <v>3929</v>
      </c>
    </row>
    <row r="454" spans="2:8" ht="47.25" customHeight="1" x14ac:dyDescent="0.25">
      <c r="B454" s="70" t="s">
        <v>3838</v>
      </c>
      <c r="E454" s="212" t="str">
        <f>E310</f>
        <v>Differs - requested change: LT loan repaid in 2027 (not 2025); new equity = residual funding requirement (not the v29 schedule) (and inputs changed)</v>
      </c>
      <c r="F454" s="178">
        <f>F310</f>
        <v>73.448542388000007</v>
      </c>
      <c r="G454" s="234">
        <f>G310</f>
        <v>0</v>
      </c>
      <c r="H454" s="22" t="s">
        <v>3929</v>
      </c>
    </row>
    <row r="455" spans="2:8" ht="47.25" customHeight="1" x14ac:dyDescent="0.25">
      <c r="B455" s="70" t="s">
        <v>3842</v>
      </c>
      <c r="E455" s="212" t="str">
        <f>E315</f>
        <v>Differs - requested change: LT loan repaid in 2027 (not 2025); new equity = residual funding requirement (not the v29 schedule) (and inputs changed)</v>
      </c>
      <c r="F455" s="178">
        <f>F315</f>
        <v>514.64226106499996</v>
      </c>
      <c r="G455" s="234">
        <f>G315</f>
        <v>0</v>
      </c>
      <c r="H455" s="22" t="s">
        <v>3929</v>
      </c>
    </row>
    <row r="456" spans="2:8" x14ac:dyDescent="0.25">
      <c r="B456" s="70" t="s">
        <v>3846</v>
      </c>
      <c r="E456" s="135" t="str">
        <f>E320</f>
        <v>Matches v29</v>
      </c>
      <c r="F456" s="178">
        <f>F320</f>
        <v>0</v>
      </c>
      <c r="G456" s="234">
        <f>G320</f>
        <v>0</v>
      </c>
      <c r="H456" s="22" t="s">
        <v>3929</v>
      </c>
    </row>
    <row r="457" spans="2:8" x14ac:dyDescent="0.25">
      <c r="B457" s="70" t="s">
        <v>3851</v>
      </c>
      <c r="E457" s="135" t="str">
        <f>E325</f>
        <v>Differs - inputs changed</v>
      </c>
      <c r="F457" s="178">
        <f>F325</f>
        <v>15.42954295</v>
      </c>
      <c r="G457" s="234">
        <f>G325</f>
        <v>15.42954295</v>
      </c>
      <c r="H457" s="22" t="s">
        <v>3929</v>
      </c>
    </row>
    <row r="458" spans="2:8" x14ac:dyDescent="0.25">
      <c r="B458" s="70" t="s">
        <v>3856</v>
      </c>
      <c r="E458" s="135" t="str">
        <f>E330</f>
        <v>Differs - inputs changed</v>
      </c>
      <c r="F458" s="178">
        <f>F330</f>
        <v>3.394499449</v>
      </c>
      <c r="G458" s="234">
        <f>G330</f>
        <v>3.394499449</v>
      </c>
      <c r="H458" s="22" t="s">
        <v>3929</v>
      </c>
    </row>
    <row r="459" spans="2:8" x14ac:dyDescent="0.25">
      <c r="B459" s="70" t="s">
        <v>3860</v>
      </c>
      <c r="E459" s="135" t="str">
        <f>E335</f>
        <v>Differs - inputs changed</v>
      </c>
      <c r="F459" s="178">
        <f>F335</f>
        <v>11.408878850000001</v>
      </c>
      <c r="G459" s="234">
        <f>G335</f>
        <v>11.408878850000001</v>
      </c>
      <c r="H459" s="22" t="s">
        <v>3929</v>
      </c>
    </row>
    <row r="460" spans="2:8" x14ac:dyDescent="0.25">
      <c r="B460" s="70" t="s">
        <v>3864</v>
      </c>
      <c r="E460" s="135" t="str">
        <f>E340</f>
        <v>Differs - inputs changed</v>
      </c>
      <c r="F460" s="178">
        <f>F340</f>
        <v>97.59</v>
      </c>
      <c r="G460" s="234">
        <f>G340</f>
        <v>97.59</v>
      </c>
      <c r="H460" s="22" t="s">
        <v>3929</v>
      </c>
    </row>
    <row r="461" spans="2:8" x14ac:dyDescent="0.25">
      <c r="B461" s="70" t="s">
        <v>3868</v>
      </c>
      <c r="E461" s="135" t="str">
        <f>E345</f>
        <v>Differs - inputs changed</v>
      </c>
      <c r="F461" s="178">
        <f>F345</f>
        <v>2.5718013700000002</v>
      </c>
      <c r="G461" s="234">
        <f>G345</f>
        <v>2.5718013700000002</v>
      </c>
      <c r="H461" s="22" t="s">
        <v>3929</v>
      </c>
    </row>
    <row r="462" spans="2:8" x14ac:dyDescent="0.25">
      <c r="B462" s="70" t="s">
        <v>3872</v>
      </c>
      <c r="E462" s="135" t="str">
        <f>E350</f>
        <v>Differs - inputs changed</v>
      </c>
      <c r="F462" s="178">
        <f>F350</f>
        <v>98.76</v>
      </c>
      <c r="G462" s="234">
        <f>G350</f>
        <v>98.76</v>
      </c>
      <c r="H462" s="22" t="s">
        <v>3929</v>
      </c>
    </row>
    <row r="463" spans="2:8" x14ac:dyDescent="0.25">
      <c r="B463" s="70" t="s">
        <v>3876</v>
      </c>
      <c r="E463" s="135" t="str">
        <f>E355</f>
        <v>Differs - inputs changed</v>
      </c>
      <c r="F463" s="178">
        <f>F355</f>
        <v>163.82</v>
      </c>
      <c r="G463" s="234">
        <f>G355</f>
        <v>163.82</v>
      </c>
      <c r="H463" s="22" t="s">
        <v>3929</v>
      </c>
    </row>
    <row r="464" spans="2:8" x14ac:dyDescent="0.25">
      <c r="B464" s="70" t="s">
        <v>3880</v>
      </c>
      <c r="E464" s="135" t="str">
        <f>E360</f>
        <v>Differs - inputs changed</v>
      </c>
      <c r="F464" s="178">
        <f>F360</f>
        <v>4.3894315070000003</v>
      </c>
      <c r="G464" s="234">
        <f>G360</f>
        <v>4.3894315070000003</v>
      </c>
      <c r="H464" s="22" t="s">
        <v>3929</v>
      </c>
    </row>
    <row r="465" spans="2:8" x14ac:dyDescent="0.25">
      <c r="B465" s="70" t="s">
        <v>3884</v>
      </c>
      <c r="E465" s="135" t="str">
        <f>E365</f>
        <v>Differs - inputs changed</v>
      </c>
      <c r="F465" s="178">
        <f>F365</f>
        <v>97.59</v>
      </c>
      <c r="G465" s="234">
        <f>G365</f>
        <v>97.59</v>
      </c>
      <c r="H465" s="22" t="s">
        <v>3929</v>
      </c>
    </row>
    <row r="466" spans="2:8" ht="47.25" customHeight="1" x14ac:dyDescent="0.25">
      <c r="B466" s="70" t="s">
        <v>3888</v>
      </c>
      <c r="E466" s="212" t="str">
        <f>E370</f>
        <v>Differs - requested change: LT loan repaid in 2027 (not 2025); new equity = residual funding requirement (not the v29 schedule) (and inputs changed)</v>
      </c>
      <c r="F466" s="178">
        <f>F370</f>
        <v>419.77202976199999</v>
      </c>
      <c r="G466" s="234">
        <f>G370</f>
        <v>0</v>
      </c>
      <c r="H466" s="22" t="s">
        <v>3929</v>
      </c>
    </row>
    <row r="467" spans="2:8" ht="24.75" customHeight="1" x14ac:dyDescent="0.25">
      <c r="B467" s="70" t="s">
        <v>3892</v>
      </c>
      <c r="E467" s="212" t="str">
        <f>E375</f>
        <v>Differs - requested change: LT loan repaid in 2027 (not 2025);  (and inputs changed)</v>
      </c>
      <c r="F467" s="178">
        <f>F375</f>
        <v>195.18</v>
      </c>
      <c r="G467" s="234">
        <f>G375</f>
        <v>0</v>
      </c>
      <c r="H467" s="22" t="s">
        <v>3929</v>
      </c>
    </row>
    <row r="468" spans="2:8" x14ac:dyDescent="0.25">
      <c r="B468" s="70" t="s">
        <v>3896</v>
      </c>
      <c r="E468" s="135" t="str">
        <f>E380</f>
        <v>Matches v29</v>
      </c>
      <c r="F468" s="178">
        <f>F380</f>
        <v>0</v>
      </c>
      <c r="G468" s="234">
        <f>G380</f>
        <v>0</v>
      </c>
      <c r="H468" s="22" t="s">
        <v>3929</v>
      </c>
    </row>
    <row r="469" spans="2:8" ht="24.75" customHeight="1" x14ac:dyDescent="0.25">
      <c r="B469" s="70" t="s">
        <v>3901</v>
      </c>
      <c r="E469" s="212" t="str">
        <f>E385</f>
        <v>Differs - requested change: LT loan repaid in 2027 (not 2025);  (and inputs changed)</v>
      </c>
      <c r="F469" s="178">
        <f>F385</f>
        <v>12.340568859999999</v>
      </c>
      <c r="G469" s="234">
        <f>G385</f>
        <v>0</v>
      </c>
      <c r="H469" s="22" t="s">
        <v>3929</v>
      </c>
    </row>
    <row r="470" spans="2:8" ht="24.75" customHeight="1" x14ac:dyDescent="0.25">
      <c r="B470" s="70" t="s">
        <v>3906</v>
      </c>
      <c r="E470" s="212" t="str">
        <f>E390</f>
        <v>Differs - requested change: LT loan repaid in 2027 (not 2025);  (and inputs changed)</v>
      </c>
      <c r="F470" s="178">
        <f>F390</f>
        <v>3.702170658</v>
      </c>
      <c r="G470" s="234">
        <f>G390</f>
        <v>0</v>
      </c>
      <c r="H470" s="22" t="s">
        <v>3929</v>
      </c>
    </row>
    <row r="471" spans="2:8" ht="24.75" customHeight="1" x14ac:dyDescent="0.25">
      <c r="B471" s="70" t="s">
        <v>3910</v>
      </c>
      <c r="E471" s="212" t="str">
        <f>E395</f>
        <v>Differs - requested change: LT loan repaid in 2027 (not 2025);  (and inputs changed)</v>
      </c>
      <c r="F471" s="178">
        <f>F395</f>
        <v>30.094870672999999</v>
      </c>
      <c r="G471" s="234">
        <f>G395</f>
        <v>0</v>
      </c>
      <c r="H471" s="22" t="s">
        <v>3929</v>
      </c>
    </row>
    <row r="472" spans="2:8" ht="47.25" customHeight="1" x14ac:dyDescent="0.25">
      <c r="B472" s="70" t="s">
        <v>3914</v>
      </c>
      <c r="E472" s="212" t="str">
        <f>E400</f>
        <v>Differs - requested change: LT loan repaid in 2027 (not 2025); new equity = residual funding requirement (not the v29 schedule) (and inputs changed)</v>
      </c>
      <c r="F472" s="178">
        <f>F400</f>
        <v>605.329547338</v>
      </c>
      <c r="G472" s="234">
        <f>G400</f>
        <v>0</v>
      </c>
      <c r="H472" s="22" t="s">
        <v>3929</v>
      </c>
    </row>
    <row r="473" spans="2:8" ht="47.25" customHeight="1" x14ac:dyDescent="0.25">
      <c r="B473" s="70" t="s">
        <v>3918</v>
      </c>
      <c r="E473" s="212" t="str">
        <f>E405</f>
        <v>Differs - requested change: LT loan repaid in 2027 (not 2025); new equity = residual funding requirement (not the v29 schedule) (and inputs changed)</v>
      </c>
      <c r="F473" s="178">
        <f>F405</f>
        <v>66.301598708</v>
      </c>
      <c r="G473" s="234">
        <f>G405</f>
        <v>0</v>
      </c>
      <c r="H473" s="22" t="s">
        <v>3929</v>
      </c>
    </row>
    <row r="474" spans="2:8" ht="47.25" customHeight="1" x14ac:dyDescent="0.25">
      <c r="B474" s="70" t="s">
        <v>3922</v>
      </c>
      <c r="E474" s="212" t="str">
        <f>E410</f>
        <v>Differs - requested change: LT loan repaid in 2027 (not 2025); new equity = residual funding requirement (not the v29 schedule) (and inputs changed)</v>
      </c>
      <c r="F474" s="178">
        <f>F410</f>
        <v>73.448542388000007</v>
      </c>
      <c r="G474" s="234">
        <f>G410</f>
        <v>0</v>
      </c>
      <c r="H474" s="22" t="s">
        <v>3929</v>
      </c>
    </row>
    <row r="475" spans="2:8" x14ac:dyDescent="0.25">
      <c r="B475" s="23" t="s">
        <v>3930</v>
      </c>
      <c r="C475" s="28" t="s">
        <v>3931</v>
      </c>
      <c r="E475" s="45">
        <f>COUNTIF(E419:E474,"Matches v29")</f>
        <v>6</v>
      </c>
    </row>
    <row r="476" spans="2:8" x14ac:dyDescent="0.25">
      <c r="B476" s="23" t="s">
        <v>3932</v>
      </c>
      <c r="C476" s="28" t="s">
        <v>3931</v>
      </c>
      <c r="E476" s="45">
        <f>COUNTIF(E419:E474,"Differs - requested*")</f>
        <v>27</v>
      </c>
    </row>
    <row r="477" spans="2:8" x14ac:dyDescent="0.25">
      <c r="B477" s="23" t="s">
        <v>3933</v>
      </c>
      <c r="C477" s="28" t="s">
        <v>3931</v>
      </c>
      <c r="E477" s="45">
        <f>COUNTIF(E419:E474,"Differs - inputs*")</f>
        <v>23</v>
      </c>
    </row>
    <row r="478" spans="2:8" x14ac:dyDescent="0.25">
      <c r="B478" s="21" t="s">
        <v>3934</v>
      </c>
      <c r="C478" s="28" t="s">
        <v>3931</v>
      </c>
      <c r="E478" s="73">
        <f>COUNTIF(E419:E474,"UNEXPLAINED")</f>
        <v>0</v>
      </c>
    </row>
    <row r="479" spans="2:8" x14ac:dyDescent="0.25">
      <c r="B479" s="23" t="s">
        <v>3935</v>
      </c>
      <c r="C479" s="28" t="s">
        <v>3931</v>
      </c>
      <c r="E479" s="45">
        <f>COUNTA(E419:E474)</f>
        <v>56</v>
      </c>
    </row>
    <row r="480" spans="2:8" x14ac:dyDescent="0.25">
      <c r="B480" s="23" t="s">
        <v>3936</v>
      </c>
      <c r="C480" s="28" t="s">
        <v>493</v>
      </c>
      <c r="E480" s="161">
        <f>MAX(F419:F474)</f>
        <v>605.329547338</v>
      </c>
    </row>
    <row r="481" spans="2:20" ht="26.25" customHeight="1" x14ac:dyDescent="0.25">
      <c r="B481" s="133" t="s">
        <v>3937</v>
      </c>
      <c r="C481" s="28" t="s">
        <v>493</v>
      </c>
      <c r="E481" s="229">
        <f>MAX(G419:G474)</f>
        <v>163.82</v>
      </c>
    </row>
    <row r="483" spans="2:20" x14ac:dyDescent="0.25">
      <c r="B483" s="220" t="s">
        <v>3938</v>
      </c>
    </row>
    <row r="484" spans="2:20" x14ac:dyDescent="0.25">
      <c r="B484" s="221" t="s">
        <v>3939</v>
      </c>
      <c r="C484" s="222" t="s">
        <v>493</v>
      </c>
      <c r="D484" s="223" t="s">
        <v>3940</v>
      </c>
      <c r="E484" s="224" t="str">
        <f>IF(MAX(MAX(H487:T487),-MIN(H487:T487))&lt;=Inputs!$E$50,"Matches v29",IF($E$21&gt;0,"Differs - inputs changed","UNEXPLAINED"))</f>
        <v>Differs - inputs changed</v>
      </c>
      <c r="F484" s="225">
        <f>MAX(MAX(H487:T487),-MIN(H487:T487))</f>
        <v>48.195</v>
      </c>
      <c r="G484" s="226">
        <f>MAX(MAX(H487:T487),-MIN(H487:T487))</f>
        <v>48.195</v>
      </c>
    </row>
    <row r="485" spans="2:20" x14ac:dyDescent="0.25">
      <c r="B485" s="23" t="s">
        <v>3683</v>
      </c>
      <c r="C485" s="28" t="s">
        <v>493</v>
      </c>
      <c r="D485" s="155" t="s">
        <v>3684</v>
      </c>
      <c r="E485" s="178">
        <f>INDEX($G$485:$T$485,1,Inputs!$E$49-2022)</f>
        <v>1040.9485003447601</v>
      </c>
      <c r="H485" s="30">
        <f>'Source Data'!H893</f>
        <v>305.288636575314</v>
      </c>
      <c r="I485" s="30">
        <f>'Source Data'!I893</f>
        <v>427.60286647031597</v>
      </c>
      <c r="J485" s="30">
        <f>'Source Data'!J893</f>
        <v>494.57107893834001</v>
      </c>
      <c r="K485" s="30">
        <f>'Source Data'!K893</f>
        <v>619.92635843667301</v>
      </c>
      <c r="L485" s="30">
        <f>'Source Data'!L893</f>
        <v>702.02908072202604</v>
      </c>
      <c r="M485" s="30">
        <f>'Source Data'!M893</f>
        <v>773.764332303419</v>
      </c>
      <c r="N485" s="30">
        <f>'Source Data'!N893</f>
        <v>807.89023325860398</v>
      </c>
      <c r="O485" s="30">
        <f>'Source Data'!O893</f>
        <v>867.20713833723198</v>
      </c>
      <c r="P485" s="30">
        <f>'Source Data'!P893</f>
        <v>908.85467478467103</v>
      </c>
      <c r="Q485" s="30">
        <f>'Source Data'!Q893</f>
        <v>972.37600327123903</v>
      </c>
      <c r="R485" s="30">
        <f>'Source Data'!R893</f>
        <v>992.22753084100998</v>
      </c>
      <c r="S485" s="30">
        <f>'Source Data'!S893</f>
        <v>1004.86386136365</v>
      </c>
      <c r="T485" s="30">
        <f>'Source Data'!T893</f>
        <v>1040.9485003447601</v>
      </c>
    </row>
    <row r="486" spans="2:20" x14ac:dyDescent="0.25">
      <c r="B486" s="23" t="s">
        <v>3685</v>
      </c>
      <c r="C486" s="28" t="s">
        <v>493</v>
      </c>
      <c r="D486" s="227" t="s">
        <v>3941</v>
      </c>
      <c r="E486" s="178">
        <f>INDEX($G$486:$T$486,1,Inputs!$E$49-2022)</f>
        <v>1089.1435003447618</v>
      </c>
      <c r="H486" s="30">
        <f>'FSL Output - Without BUMN'!H9</f>
        <v>305.28863657531394</v>
      </c>
      <c r="I486" s="30">
        <f>'FSL Output - Without BUMN'!I9</f>
        <v>427.60286647031643</v>
      </c>
      <c r="J486" s="30">
        <f>'FSL Output - Without BUMN'!J9</f>
        <v>494.5710789383395</v>
      </c>
      <c r="K486" s="30">
        <f>'FSL Output - Without BUMN'!K9</f>
        <v>619.9263584366729</v>
      </c>
      <c r="L486" s="30">
        <f>'FSL Output - Without BUMN'!L9</f>
        <v>702.02908072202558</v>
      </c>
      <c r="M486" s="30">
        <f>'FSL Output - Without BUMN'!M9</f>
        <v>804.94933230341962</v>
      </c>
      <c r="N486" s="30">
        <f>'FSL Output - Without BUMN'!N9</f>
        <v>847.58023325860461</v>
      </c>
      <c r="O486" s="30">
        <f>'FSL Output - Without BUMN'!O9</f>
        <v>912.56713833723211</v>
      </c>
      <c r="P486" s="30">
        <f>'FSL Output - Without BUMN'!P9</f>
        <v>957.04967478467086</v>
      </c>
      <c r="Q486" s="30">
        <f>'FSL Output - Without BUMN'!Q9</f>
        <v>1020.571003271239</v>
      </c>
      <c r="R486" s="30">
        <f>'FSL Output - Without BUMN'!R9</f>
        <v>1040.4225308410098</v>
      </c>
      <c r="S486" s="30">
        <f>'FSL Output - Without BUMN'!S9</f>
        <v>1053.0588613636462</v>
      </c>
      <c r="T486" s="30">
        <f>'FSL Output - Without BUMN'!T9</f>
        <v>1089.1435003447618</v>
      </c>
    </row>
    <row r="487" spans="2:20" x14ac:dyDescent="0.25">
      <c r="B487" s="21" t="s">
        <v>3687</v>
      </c>
      <c r="C487" s="28" t="s">
        <v>493</v>
      </c>
      <c r="E487" s="228">
        <f>INDEX($G$487:$T$487,1,Inputs!$E$49-2022)</f>
        <v>48.195</v>
      </c>
      <c r="H487" s="229">
        <f t="shared" ref="H487:T487" si="58">ROUND(H486-H485,9)</f>
        <v>0</v>
      </c>
      <c r="I487" s="229">
        <f t="shared" si="58"/>
        <v>0</v>
      </c>
      <c r="J487" s="229">
        <f t="shared" si="58"/>
        <v>0</v>
      </c>
      <c r="K487" s="229">
        <f t="shared" si="58"/>
        <v>0</v>
      </c>
      <c r="L487" s="229">
        <f t="shared" si="58"/>
        <v>0</v>
      </c>
      <c r="M487" s="229">
        <f t="shared" si="58"/>
        <v>31.184999999999999</v>
      </c>
      <c r="N487" s="229">
        <f t="shared" si="58"/>
        <v>39.69</v>
      </c>
      <c r="O487" s="229">
        <f t="shared" si="58"/>
        <v>45.36</v>
      </c>
      <c r="P487" s="229">
        <f t="shared" si="58"/>
        <v>48.195</v>
      </c>
      <c r="Q487" s="229">
        <f t="shared" si="58"/>
        <v>48.195</v>
      </c>
      <c r="R487" s="229">
        <f t="shared" si="58"/>
        <v>48.195</v>
      </c>
      <c r="S487" s="229">
        <f t="shared" si="58"/>
        <v>48.195</v>
      </c>
      <c r="T487" s="229">
        <f t="shared" si="58"/>
        <v>48.195</v>
      </c>
    </row>
    <row r="488" spans="2:20" ht="27.75" customHeight="1" x14ac:dyDescent="0.25">
      <c r="B488" s="63" t="s">
        <v>3688</v>
      </c>
      <c r="G488" s="254" t="str">
        <f>"Without-IS01 FY"&amp;Inputs!$E$49&amp;": model "&amp;TEXT(E486,"#,##0.000")&amp;" vs v29 "&amp;TEXT(E485,"#,##0.000")&amp;" (difference "&amp;TEXT(ROUND(E487,3),"+#,##0.000;-#,##0.000;0.000")&amp;")"&amp;IF(ABS(E487)&lt;=Inputs!$E$50," - matches v29.",IF(LEFT(E484,19)="Differs - requested"," - due to the requested change: "&amp;MID(E484,29,200),IF($E$21&gt;0," - differs because inputs / switches were changed."," - UNEXPLAINED: no input was changed.")))</f>
        <v>Without-IS01 FY2036: model 1,089.144 vs v29 1,040.949 (difference +48.195) - differs because inputs / switches were changed.</v>
      </c>
      <c r="H488" s="254"/>
      <c r="I488" s="254"/>
      <c r="J488" s="254"/>
      <c r="K488" s="254"/>
      <c r="L488" s="254"/>
      <c r="M488" s="254"/>
      <c r="N488" s="254"/>
      <c r="O488" s="254"/>
      <c r="P488" s="254"/>
      <c r="Q488" s="254"/>
      <c r="R488" s="254"/>
      <c r="S488" s="254"/>
      <c r="T488" s="254"/>
    </row>
    <row r="489" spans="2:20" x14ac:dyDescent="0.25">
      <c r="B489" s="221" t="s">
        <v>3942</v>
      </c>
      <c r="C489" s="222" t="s">
        <v>493</v>
      </c>
      <c r="D489" s="223" t="s">
        <v>3943</v>
      </c>
      <c r="E489" s="224" t="str">
        <f>IF(MAX(MAX(H492:T492),-MIN(H492:T492))&lt;=Inputs!$E$50,"Matches v29",IF($E$21&gt;0,"Differs - inputs changed","UNEXPLAINED"))</f>
        <v>Differs - inputs changed</v>
      </c>
      <c r="F489" s="225">
        <f>MAX(MAX(H492:T492),-MIN(H492:T492))</f>
        <v>18.88775</v>
      </c>
      <c r="G489" s="226">
        <f>MAX(MAX(H492:T492),-MIN(H492:T492))</f>
        <v>18.88775</v>
      </c>
    </row>
    <row r="490" spans="2:20" x14ac:dyDescent="0.25">
      <c r="B490" s="23" t="s">
        <v>3683</v>
      </c>
      <c r="C490" s="28" t="s">
        <v>493</v>
      </c>
      <c r="D490" s="155" t="s">
        <v>3691</v>
      </c>
      <c r="E490" s="178">
        <f>INDEX($G$490:$T$490,1,Inputs!$E$49-2022)</f>
        <v>-216.931142504853</v>
      </c>
      <c r="H490" s="30">
        <f>'Source Data'!H894</f>
        <v>-122.543058427959</v>
      </c>
      <c r="I490" s="30">
        <f>'Source Data'!I894</f>
        <v>-114.658762824422</v>
      </c>
      <c r="J490" s="30">
        <f>'Source Data'!J894</f>
        <v>-112.224966728287</v>
      </c>
      <c r="K490" s="30">
        <f>'Source Data'!K894</f>
        <v>-124.58113550223101</v>
      </c>
      <c r="L490" s="30">
        <f>'Source Data'!L894</f>
        <v>-146.73492706822401</v>
      </c>
      <c r="M490" s="30">
        <f>'Source Data'!M894</f>
        <v>-157.56435050601601</v>
      </c>
      <c r="N490" s="30">
        <f>'Source Data'!N894</f>
        <v>-167.62312796545601</v>
      </c>
      <c r="O490" s="30">
        <f>'Source Data'!O894</f>
        <v>-179.279132373637</v>
      </c>
      <c r="P490" s="30">
        <f>'Source Data'!P894</f>
        <v>-190.134995813909</v>
      </c>
      <c r="Q490" s="30">
        <f>'Source Data'!Q894</f>
        <v>-201.60267788366599</v>
      </c>
      <c r="R490" s="30">
        <f>'Source Data'!R894</f>
        <v>-197.45913659428501</v>
      </c>
      <c r="S490" s="30">
        <f>'Source Data'!S894</f>
        <v>-206.40946772791</v>
      </c>
      <c r="T490" s="30">
        <f>'Source Data'!T894</f>
        <v>-216.931142504853</v>
      </c>
    </row>
    <row r="491" spans="2:20" x14ac:dyDescent="0.25">
      <c r="B491" s="23" t="s">
        <v>3685</v>
      </c>
      <c r="C491" s="28" t="s">
        <v>493</v>
      </c>
      <c r="D491" s="227" t="s">
        <v>3944</v>
      </c>
      <c r="E491" s="178">
        <f>INDEX($G$491:$T$491,1,Inputs!$E$49-2022)</f>
        <v>-235.8188925048529</v>
      </c>
      <c r="H491" s="30">
        <f>'FSL Output - Without BUMN'!H12</f>
        <v>-122.54305842795951</v>
      </c>
      <c r="I491" s="30">
        <f>'FSL Output - Without BUMN'!I12</f>
        <v>-114.65876282442217</v>
      </c>
      <c r="J491" s="30">
        <f>'FSL Output - Without BUMN'!J12</f>
        <v>-112.22496672828655</v>
      </c>
      <c r="K491" s="30">
        <f>'FSL Output - Without BUMN'!K12</f>
        <v>-124.58113550223146</v>
      </c>
      <c r="L491" s="30">
        <f>'FSL Output - Without BUMN'!L12</f>
        <v>-146.73492706822378</v>
      </c>
      <c r="M491" s="30">
        <f>'FSL Output - Without BUMN'!M12</f>
        <v>-173.05160050601611</v>
      </c>
      <c r="N491" s="30">
        <f>'FSL Output - Without BUMN'!N12</f>
        <v>-184.81062796545601</v>
      </c>
      <c r="O491" s="30">
        <f>'FSL Output - Without BUMN'!O12</f>
        <v>-197.60013237363654</v>
      </c>
      <c r="P491" s="30">
        <f>'FSL Output - Without BUMN'!P12</f>
        <v>-209.02274581390924</v>
      </c>
      <c r="Q491" s="30">
        <f>'FSL Output - Without BUMN'!Q12</f>
        <v>-220.49042788366614</v>
      </c>
      <c r="R491" s="30">
        <f>'FSL Output - Without BUMN'!R12</f>
        <v>-216.34688659428522</v>
      </c>
      <c r="S491" s="30">
        <f>'FSL Output - Without BUMN'!S12</f>
        <v>-225.29721772791021</v>
      </c>
      <c r="T491" s="30">
        <f>'FSL Output - Without BUMN'!T12</f>
        <v>-235.8188925048529</v>
      </c>
    </row>
    <row r="492" spans="2:20" x14ac:dyDescent="0.25">
      <c r="B492" s="21" t="s">
        <v>3687</v>
      </c>
      <c r="C492" s="28" t="s">
        <v>493</v>
      </c>
      <c r="E492" s="228">
        <f>INDEX($G$492:$T$492,1,Inputs!$E$49-2022)</f>
        <v>-18.88775</v>
      </c>
      <c r="H492" s="229">
        <f t="shared" ref="H492:T492" si="59">ROUND(H491-H490,9)</f>
        <v>0</v>
      </c>
      <c r="I492" s="229">
        <f t="shared" si="59"/>
        <v>0</v>
      </c>
      <c r="J492" s="229">
        <f t="shared" si="59"/>
        <v>0</v>
      </c>
      <c r="K492" s="229">
        <f t="shared" si="59"/>
        <v>0</v>
      </c>
      <c r="L492" s="229">
        <f t="shared" si="59"/>
        <v>0</v>
      </c>
      <c r="M492" s="229">
        <f t="shared" si="59"/>
        <v>-15.48725</v>
      </c>
      <c r="N492" s="229">
        <f t="shared" si="59"/>
        <v>-17.1875</v>
      </c>
      <c r="O492" s="229">
        <f t="shared" si="59"/>
        <v>-18.321000000000002</v>
      </c>
      <c r="P492" s="229">
        <f t="shared" si="59"/>
        <v>-18.88775</v>
      </c>
      <c r="Q492" s="229">
        <f t="shared" si="59"/>
        <v>-18.88775</v>
      </c>
      <c r="R492" s="229">
        <f t="shared" si="59"/>
        <v>-18.88775</v>
      </c>
      <c r="S492" s="229">
        <f t="shared" si="59"/>
        <v>-18.88775</v>
      </c>
      <c r="T492" s="229">
        <f t="shared" si="59"/>
        <v>-18.88775</v>
      </c>
    </row>
    <row r="493" spans="2:20" ht="27.75" customHeight="1" x14ac:dyDescent="0.25">
      <c r="B493" s="63" t="s">
        <v>3688</v>
      </c>
      <c r="G493" s="254" t="str">
        <f>"Without-IS02 FY"&amp;Inputs!$E$49&amp;": model "&amp;TEXT(E491,"#,##0.000")&amp;" vs v29 "&amp;TEXT(E490,"#,##0.000")&amp;" (difference "&amp;TEXT(ROUND(E492,3),"+#,##0.000;-#,##0.000;0.000")&amp;")"&amp;IF(ABS(E492)&lt;=Inputs!$E$50," - matches v29.",IF(LEFT(E489,19)="Differs - requested"," - due to the requested change: "&amp;MID(E489,29,200),IF($E$21&gt;0," - differs because inputs / switches were changed."," - UNEXPLAINED: no input was changed.")))</f>
        <v>Without-IS02 FY2036: model -235.819 vs v29 -216.931 (difference -18.888) - differs because inputs / switches were changed.</v>
      </c>
      <c r="H493" s="254"/>
      <c r="I493" s="254"/>
      <c r="J493" s="254"/>
      <c r="K493" s="254"/>
      <c r="L493" s="254"/>
      <c r="M493" s="254"/>
      <c r="N493" s="254"/>
      <c r="O493" s="254"/>
      <c r="P493" s="254"/>
      <c r="Q493" s="254"/>
      <c r="R493" s="254"/>
      <c r="S493" s="254"/>
      <c r="T493" s="254"/>
    </row>
    <row r="494" spans="2:20" x14ac:dyDescent="0.25">
      <c r="B494" s="221" t="s">
        <v>3945</v>
      </c>
      <c r="C494" s="222" t="s">
        <v>493</v>
      </c>
      <c r="D494" s="223" t="s">
        <v>3946</v>
      </c>
      <c r="E494" s="224" t="str">
        <f>IF(MAX(MAX(H497:T497),-MIN(H497:T497))&lt;=Inputs!$E$50,"Matches v29",IF($E$21&gt;0,"Differs - inputs changed","UNEXPLAINED"))</f>
        <v>Differs - inputs changed</v>
      </c>
      <c r="F494" s="225">
        <f>MAX(MAX(H497:T497),-MIN(H497:T497))</f>
        <v>29.30725</v>
      </c>
      <c r="G494" s="226">
        <f>MAX(MAX(H497:T497),-MIN(H497:T497))</f>
        <v>29.30725</v>
      </c>
    </row>
    <row r="495" spans="2:20" x14ac:dyDescent="0.25">
      <c r="B495" s="23" t="s">
        <v>3683</v>
      </c>
      <c r="C495" s="28" t="s">
        <v>493</v>
      </c>
      <c r="D495" s="155" t="s">
        <v>3695</v>
      </c>
      <c r="E495" s="178">
        <f>INDEX($G$495:$T$495,1,Inputs!$E$49-2022)</f>
        <v>824.01735783990898</v>
      </c>
      <c r="H495" s="30">
        <f>'Source Data'!H895</f>
        <v>182.745578147354</v>
      </c>
      <c r="I495" s="30">
        <f>'Source Data'!I895</f>
        <v>312.94410364589402</v>
      </c>
      <c r="J495" s="30">
        <f>'Source Data'!J895</f>
        <v>382.34611221005298</v>
      </c>
      <c r="K495" s="30">
        <f>'Source Data'!K895</f>
        <v>495.34522293444098</v>
      </c>
      <c r="L495" s="30">
        <f>'Source Data'!L895</f>
        <v>555.29415365380203</v>
      </c>
      <c r="M495" s="30">
        <f>'Source Data'!M895</f>
        <v>616.19998179740298</v>
      </c>
      <c r="N495" s="30">
        <f>'Source Data'!N895</f>
        <v>640.26710529314903</v>
      </c>
      <c r="O495" s="30">
        <f>'Source Data'!O895</f>
        <v>687.92800596359598</v>
      </c>
      <c r="P495" s="30">
        <f>'Source Data'!P895</f>
        <v>718.71967897076195</v>
      </c>
      <c r="Q495" s="30">
        <f>'Source Data'!Q895</f>
        <v>770.77332538757298</v>
      </c>
      <c r="R495" s="30">
        <f>'Source Data'!R895</f>
        <v>794.76839424672505</v>
      </c>
      <c r="S495" s="30">
        <f>'Source Data'!S895</f>
        <v>798.45439363573598</v>
      </c>
      <c r="T495" s="30">
        <f>'Source Data'!T895</f>
        <v>824.01735783990898</v>
      </c>
    </row>
    <row r="496" spans="2:20" x14ac:dyDescent="0.25">
      <c r="B496" s="23" t="s">
        <v>3685</v>
      </c>
      <c r="C496" s="28" t="s">
        <v>493</v>
      </c>
      <c r="D496" s="227" t="s">
        <v>3947</v>
      </c>
      <c r="E496" s="178">
        <f>INDEX($G$496:$T$496,1,Inputs!$E$49-2022)</f>
        <v>853.32460783990894</v>
      </c>
      <c r="H496" s="30">
        <f>'FSL Output - Without BUMN'!H13</f>
        <v>182.74557814735442</v>
      </c>
      <c r="I496" s="30">
        <f>'FSL Output - Without BUMN'!I13</f>
        <v>312.94410364589424</v>
      </c>
      <c r="J496" s="30">
        <f>'FSL Output - Without BUMN'!J13</f>
        <v>382.34611221005298</v>
      </c>
      <c r="K496" s="30">
        <f>'FSL Output - Without BUMN'!K13</f>
        <v>495.34522293444144</v>
      </c>
      <c r="L496" s="30">
        <f>'FSL Output - Without BUMN'!L13</f>
        <v>555.2941536538018</v>
      </c>
      <c r="M496" s="30">
        <f>'FSL Output - Without BUMN'!M13</f>
        <v>631.89773179740348</v>
      </c>
      <c r="N496" s="30">
        <f>'FSL Output - Without BUMN'!N13</f>
        <v>662.76960529314863</v>
      </c>
      <c r="O496" s="30">
        <f>'FSL Output - Without BUMN'!O13</f>
        <v>714.96700596359551</v>
      </c>
      <c r="P496" s="30">
        <f>'FSL Output - Without BUMN'!P13</f>
        <v>748.02692897076167</v>
      </c>
      <c r="Q496" s="30">
        <f>'FSL Output - Without BUMN'!Q13</f>
        <v>800.08057538757282</v>
      </c>
      <c r="R496" s="30">
        <f>'FSL Output - Without BUMN'!R13</f>
        <v>824.07564424672455</v>
      </c>
      <c r="S496" s="30">
        <f>'FSL Output - Without BUMN'!S13</f>
        <v>827.76164363573594</v>
      </c>
      <c r="T496" s="30">
        <f>'FSL Output - Without BUMN'!T13</f>
        <v>853.32460783990894</v>
      </c>
    </row>
    <row r="497" spans="2:20" x14ac:dyDescent="0.25">
      <c r="B497" s="21" t="s">
        <v>3687</v>
      </c>
      <c r="C497" s="28" t="s">
        <v>493</v>
      </c>
      <c r="E497" s="228">
        <f>INDEX($G$497:$T$497,1,Inputs!$E$49-2022)</f>
        <v>29.30725</v>
      </c>
      <c r="H497" s="229">
        <f t="shared" ref="H497:T497" si="60">ROUND(H496-H495,9)</f>
        <v>0</v>
      </c>
      <c r="I497" s="229">
        <f t="shared" si="60"/>
        <v>0</v>
      </c>
      <c r="J497" s="229">
        <f t="shared" si="60"/>
        <v>0</v>
      </c>
      <c r="K497" s="229">
        <f t="shared" si="60"/>
        <v>0</v>
      </c>
      <c r="L497" s="229">
        <f t="shared" si="60"/>
        <v>0</v>
      </c>
      <c r="M497" s="229">
        <f t="shared" si="60"/>
        <v>15.697749999999999</v>
      </c>
      <c r="N497" s="229">
        <f t="shared" si="60"/>
        <v>22.502500000000001</v>
      </c>
      <c r="O497" s="229">
        <f t="shared" si="60"/>
        <v>27.039000000000001</v>
      </c>
      <c r="P497" s="229">
        <f t="shared" si="60"/>
        <v>29.30725</v>
      </c>
      <c r="Q497" s="229">
        <f t="shared" si="60"/>
        <v>29.30725</v>
      </c>
      <c r="R497" s="229">
        <f t="shared" si="60"/>
        <v>29.30725</v>
      </c>
      <c r="S497" s="229">
        <f t="shared" si="60"/>
        <v>29.30725</v>
      </c>
      <c r="T497" s="229">
        <f t="shared" si="60"/>
        <v>29.30725</v>
      </c>
    </row>
    <row r="498" spans="2:20" ht="27.75" customHeight="1" x14ac:dyDescent="0.25">
      <c r="B498" s="63" t="s">
        <v>3688</v>
      </c>
      <c r="G498" s="254" t="str">
        <f>"Without-IS03 FY"&amp;Inputs!$E$49&amp;": model "&amp;TEXT(E496,"#,##0.000")&amp;" vs v29 "&amp;TEXT(E495,"#,##0.000")&amp;" (difference "&amp;TEXT(ROUND(E497,3),"+#,##0.000;-#,##0.000;0.000")&amp;")"&amp;IF(ABS(E497)&lt;=Inputs!$E$50," - matches v29.",IF(LEFT(E494,19)="Differs - requested"," - due to the requested change: "&amp;MID(E494,29,200),IF($E$21&gt;0," - differs because inputs / switches were changed."," - UNEXPLAINED: no input was changed.")))</f>
        <v>Without-IS03 FY2036: model 853.325 vs v29 824.017 (difference +29.307) - differs because inputs / switches were changed.</v>
      </c>
      <c r="H498" s="254"/>
      <c r="I498" s="254"/>
      <c r="J498" s="254"/>
      <c r="K498" s="254"/>
      <c r="L498" s="254"/>
      <c r="M498" s="254"/>
      <c r="N498" s="254"/>
      <c r="O498" s="254"/>
      <c r="P498" s="254"/>
      <c r="Q498" s="254"/>
      <c r="R498" s="254"/>
      <c r="S498" s="254"/>
      <c r="T498" s="254"/>
    </row>
    <row r="499" spans="2:20" x14ac:dyDescent="0.25">
      <c r="B499" s="221" t="s">
        <v>3948</v>
      </c>
      <c r="C499" s="222" t="s">
        <v>493</v>
      </c>
      <c r="D499" s="223" t="s">
        <v>3949</v>
      </c>
      <c r="E499" s="224" t="str">
        <f>IF(MAX(MAX(H502:T502),-MIN(H502:T502))&lt;=Inputs!$E$50,"Matches v29",IF($E$21&gt;0,"Differs - inputs changed","UNEXPLAINED"))</f>
        <v>Differs - inputs changed</v>
      </c>
      <c r="F499" s="225">
        <f>MAX(MAX(H502:T502),-MIN(H502:T502))</f>
        <v>2.5</v>
      </c>
      <c r="G499" s="226">
        <f>MAX(MAX(H502:T502),-MIN(H502:T502))</f>
        <v>2.5</v>
      </c>
    </row>
    <row r="500" spans="2:20" x14ac:dyDescent="0.25">
      <c r="B500" s="23" t="s">
        <v>3683</v>
      </c>
      <c r="C500" s="28" t="s">
        <v>493</v>
      </c>
      <c r="D500" s="155" t="s">
        <v>3699</v>
      </c>
      <c r="E500" s="178">
        <f>INDEX($G$500:$T$500,1,Inputs!$E$49-2022)</f>
        <v>-168.11906490294899</v>
      </c>
      <c r="H500" s="30">
        <f>'Source Data'!H896</f>
        <v>-28.510102744491402</v>
      </c>
      <c r="I500" s="30">
        <f>'Source Data'!I896</f>
        <v>-49.385569867169998</v>
      </c>
      <c r="J500" s="30">
        <f>'Source Data'!J896</f>
        <v>-73.173997228735601</v>
      </c>
      <c r="K500" s="30">
        <f>'Source Data'!K896</f>
        <v>-106.548484580276</v>
      </c>
      <c r="L500" s="30">
        <f>'Source Data'!L896</f>
        <v>-119.72399388216</v>
      </c>
      <c r="M500" s="30">
        <f>'Source Data'!M896</f>
        <v>-128.010999034381</v>
      </c>
      <c r="N500" s="30">
        <f>'Source Data'!N896</f>
        <v>-132.96014150120999</v>
      </c>
      <c r="O500" s="30">
        <f>'Source Data'!O896</f>
        <v>-139.929412485634</v>
      </c>
      <c r="P500" s="30">
        <f>'Source Data'!P896</f>
        <v>-144.39863081691399</v>
      </c>
      <c r="Q500" s="30">
        <f>'Source Data'!Q896</f>
        <v>-151.664628028404</v>
      </c>
      <c r="R500" s="30">
        <f>'Source Data'!R896</f>
        <v>-156.53972661262799</v>
      </c>
      <c r="S500" s="30">
        <f>'Source Data'!S896</f>
        <v>-163.20099574239001</v>
      </c>
      <c r="T500" s="30">
        <f>'Source Data'!T896</f>
        <v>-168.11906490294899</v>
      </c>
    </row>
    <row r="501" spans="2:20" ht="21.75" customHeight="1" x14ac:dyDescent="0.25">
      <c r="B501" s="23" t="s">
        <v>3685</v>
      </c>
      <c r="C501" s="28" t="s">
        <v>493</v>
      </c>
      <c r="D501" s="230" t="s">
        <v>3950</v>
      </c>
      <c r="E501" s="178">
        <f>INDEX($G$501:$T$501,1,Inputs!$E$49-2022)</f>
        <v>-170.61906490294865</v>
      </c>
      <c r="H501" s="161">
        <f>'FSL Output - Without BUMN'!H14+'FSL Output - Without BUMN'!H15</f>
        <v>-28.510102744491377</v>
      </c>
      <c r="I501" s="161">
        <f>'FSL Output - Without BUMN'!I14+'FSL Output - Without BUMN'!I15</f>
        <v>-49.385569867169949</v>
      </c>
      <c r="J501" s="161">
        <f>'FSL Output - Without BUMN'!J14+'FSL Output - Without BUMN'!J15</f>
        <v>-73.173997228735644</v>
      </c>
      <c r="K501" s="161">
        <f>'FSL Output - Without BUMN'!K14+'FSL Output - Without BUMN'!K15</f>
        <v>-106.54848458027581</v>
      </c>
      <c r="L501" s="161">
        <f>'FSL Output - Without BUMN'!L14+'FSL Output - Without BUMN'!L15</f>
        <v>-121.22399388216016</v>
      </c>
      <c r="M501" s="161">
        <f>'FSL Output - Without BUMN'!M14+'FSL Output - Without BUMN'!M15</f>
        <v>-130.51099903438086</v>
      </c>
      <c r="N501" s="161">
        <f>'FSL Output - Without BUMN'!N14+'FSL Output - Without BUMN'!N15</f>
        <v>-135.46014150120965</v>
      </c>
      <c r="O501" s="161">
        <f>'FSL Output - Without BUMN'!O14+'FSL Output - Without BUMN'!O15</f>
        <v>-142.4294124856342</v>
      </c>
      <c r="P501" s="161">
        <f>'FSL Output - Without BUMN'!P14+'FSL Output - Without BUMN'!P15</f>
        <v>-146.89863081691368</v>
      </c>
      <c r="Q501" s="161">
        <f>'FSL Output - Without BUMN'!Q14+'FSL Output - Without BUMN'!Q15</f>
        <v>-154.164628028404</v>
      </c>
      <c r="R501" s="161">
        <f>'FSL Output - Without BUMN'!R14+'FSL Output - Without BUMN'!R15</f>
        <v>-159.03972661262833</v>
      </c>
      <c r="S501" s="161">
        <f>'FSL Output - Without BUMN'!S14+'FSL Output - Without BUMN'!S15</f>
        <v>-165.70099574239049</v>
      </c>
      <c r="T501" s="161">
        <f>'FSL Output - Without BUMN'!T14+'FSL Output - Without BUMN'!T15</f>
        <v>-170.61906490294865</v>
      </c>
    </row>
    <row r="502" spans="2:20" x14ac:dyDescent="0.25">
      <c r="B502" s="21" t="s">
        <v>3687</v>
      </c>
      <c r="C502" s="28" t="s">
        <v>493</v>
      </c>
      <c r="E502" s="228">
        <f>INDEX($G$502:$T$502,1,Inputs!$E$49-2022)</f>
        <v>-2.5</v>
      </c>
      <c r="H502" s="229">
        <f t="shared" ref="H502:T502" si="61">ROUND(H501-H500,9)</f>
        <v>0</v>
      </c>
      <c r="I502" s="229">
        <f t="shared" si="61"/>
        <v>0</v>
      </c>
      <c r="J502" s="229">
        <f t="shared" si="61"/>
        <v>0</v>
      </c>
      <c r="K502" s="229">
        <f t="shared" si="61"/>
        <v>0</v>
      </c>
      <c r="L502" s="229">
        <f t="shared" si="61"/>
        <v>-1.5</v>
      </c>
      <c r="M502" s="229">
        <f t="shared" si="61"/>
        <v>-2.5</v>
      </c>
      <c r="N502" s="229">
        <f t="shared" si="61"/>
        <v>-2.5</v>
      </c>
      <c r="O502" s="229">
        <f t="shared" si="61"/>
        <v>-2.5</v>
      </c>
      <c r="P502" s="229">
        <f t="shared" si="61"/>
        <v>-2.5</v>
      </c>
      <c r="Q502" s="229">
        <f t="shared" si="61"/>
        <v>-2.5</v>
      </c>
      <c r="R502" s="229">
        <f t="shared" si="61"/>
        <v>-2.5</v>
      </c>
      <c r="S502" s="229">
        <f t="shared" si="61"/>
        <v>-2.5</v>
      </c>
      <c r="T502" s="229">
        <f t="shared" si="61"/>
        <v>-2.5</v>
      </c>
    </row>
    <row r="503" spans="2:20" ht="27.75" customHeight="1" x14ac:dyDescent="0.25">
      <c r="B503" s="63" t="s">
        <v>3701</v>
      </c>
      <c r="G503" s="254" t="str">
        <f>"Without-IS04 FY"&amp;Inputs!$E$49&amp;": model "&amp;TEXT(E501,"#,##0.000")&amp;" vs v29 "&amp;TEXT(E500,"#,##0.000")&amp;" (difference "&amp;TEXT(ROUND(E502,3),"+#,##0.000;-#,##0.000;0.000")&amp;")"&amp;IF(ABS(E502)&lt;=Inputs!$E$50," - matches v29.",IF(LEFT(E499,19)="Differs - requested"," - due to the requested change: "&amp;MID(E499,29,200),IF($E$21&gt;0," - differs because inputs / switches were changed."," - UNEXPLAINED: no input was changed.")))</f>
        <v>Without-IS04 FY2036: model -170.619 vs v29 -168.119 (difference -2.500) - differs because inputs / switches were changed.</v>
      </c>
      <c r="H503" s="254"/>
      <c r="I503" s="254"/>
      <c r="J503" s="254"/>
      <c r="K503" s="254"/>
      <c r="L503" s="254"/>
      <c r="M503" s="254"/>
      <c r="N503" s="254"/>
      <c r="O503" s="254"/>
      <c r="P503" s="254"/>
      <c r="Q503" s="254"/>
      <c r="R503" s="254"/>
      <c r="S503" s="254"/>
      <c r="T503" s="254"/>
    </row>
    <row r="504" spans="2:20" x14ac:dyDescent="0.25">
      <c r="B504" s="221" t="s">
        <v>3951</v>
      </c>
      <c r="C504" s="222" t="s">
        <v>493</v>
      </c>
      <c r="D504" s="223" t="s">
        <v>3952</v>
      </c>
      <c r="E504" s="224" t="str">
        <f>IF(MAX(MAX(H507:T507),-MIN(H507:T507))&lt;=Inputs!$E$50,"Matches v29",IF($E$21&gt;0,"Differs - inputs changed","UNEXPLAINED"))</f>
        <v>Differs - inputs changed</v>
      </c>
      <c r="F504" s="225">
        <f>MAX(MAX(H507:T507),-MIN(H507:T507))</f>
        <v>26.80725</v>
      </c>
      <c r="G504" s="226">
        <f>MAX(MAX(H507:T507),-MIN(H507:T507))</f>
        <v>26.80725</v>
      </c>
    </row>
    <row r="505" spans="2:20" x14ac:dyDescent="0.25">
      <c r="B505" s="23" t="s">
        <v>3683</v>
      </c>
      <c r="C505" s="28" t="s">
        <v>493</v>
      </c>
      <c r="D505" s="155" t="s">
        <v>3704</v>
      </c>
      <c r="E505" s="178">
        <f>INDEX($G$505:$T$505,1,Inputs!$E$49-2022)</f>
        <v>655.89829293696005</v>
      </c>
      <c r="H505" s="30">
        <f>'Source Data'!H897</f>
        <v>154.23547540286299</v>
      </c>
      <c r="I505" s="30">
        <f>'Source Data'!I897</f>
        <v>263.55853377872398</v>
      </c>
      <c r="J505" s="30">
        <f>'Source Data'!J897</f>
        <v>309.17211498131701</v>
      </c>
      <c r="K505" s="30">
        <f>'Source Data'!K897</f>
        <v>388.796738354166</v>
      </c>
      <c r="L505" s="30">
        <f>'Source Data'!L897</f>
        <v>435.57015977164201</v>
      </c>
      <c r="M505" s="30">
        <f>'Source Data'!M897</f>
        <v>488.18898276302298</v>
      </c>
      <c r="N505" s="30">
        <f>'Source Data'!N897</f>
        <v>507.30696379193898</v>
      </c>
      <c r="O505" s="30">
        <f>'Source Data'!O897</f>
        <v>547.99859347796098</v>
      </c>
      <c r="P505" s="30">
        <f>'Source Data'!P897</f>
        <v>574.32104815384798</v>
      </c>
      <c r="Q505" s="30">
        <f>'Source Data'!Q897</f>
        <v>619.10869735916901</v>
      </c>
      <c r="R505" s="30">
        <f>'Source Data'!R897</f>
        <v>638.22866763409604</v>
      </c>
      <c r="S505" s="30">
        <f>'Source Data'!S897</f>
        <v>635.25339789334498</v>
      </c>
      <c r="T505" s="30">
        <f>'Source Data'!T897</f>
        <v>655.89829293696005</v>
      </c>
    </row>
    <row r="506" spans="2:20" x14ac:dyDescent="0.25">
      <c r="B506" s="23" t="s">
        <v>3685</v>
      </c>
      <c r="C506" s="28" t="s">
        <v>493</v>
      </c>
      <c r="D506" s="227" t="s">
        <v>3953</v>
      </c>
      <c r="E506" s="178">
        <f>INDEX($G$506:$T$506,1,Inputs!$E$49-2022)</f>
        <v>682.70554293696023</v>
      </c>
      <c r="H506" s="30">
        <f>'FSL Output - Without BUMN'!H16</f>
        <v>154.23547540286305</v>
      </c>
      <c r="I506" s="30">
        <f>'FSL Output - Without BUMN'!I16</f>
        <v>263.55853377872427</v>
      </c>
      <c r="J506" s="30">
        <f>'FSL Output - Without BUMN'!J16</f>
        <v>309.17211498131735</v>
      </c>
      <c r="K506" s="30">
        <f>'FSL Output - Without BUMN'!K16</f>
        <v>388.79673835416565</v>
      </c>
      <c r="L506" s="30">
        <f>'FSL Output - Without BUMN'!L16</f>
        <v>434.07015977164167</v>
      </c>
      <c r="M506" s="30">
        <f>'FSL Output - Without BUMN'!M16</f>
        <v>501.38673276302262</v>
      </c>
      <c r="N506" s="30">
        <f>'FSL Output - Without BUMN'!N16</f>
        <v>527.30946379193892</v>
      </c>
      <c r="O506" s="30">
        <f>'FSL Output - Without BUMN'!O16</f>
        <v>572.53759347796131</v>
      </c>
      <c r="P506" s="30">
        <f>'FSL Output - Without BUMN'!P16</f>
        <v>601.12829815384794</v>
      </c>
      <c r="Q506" s="30">
        <f>'FSL Output - Without BUMN'!Q16</f>
        <v>645.91594735916885</v>
      </c>
      <c r="R506" s="30">
        <f>'FSL Output - Without BUMN'!R16</f>
        <v>665.03591763409622</v>
      </c>
      <c r="S506" s="30">
        <f>'FSL Output - Without BUMN'!S16</f>
        <v>662.0606478933455</v>
      </c>
      <c r="T506" s="30">
        <f>'FSL Output - Without BUMN'!T16</f>
        <v>682.70554293696023</v>
      </c>
    </row>
    <row r="507" spans="2:20" x14ac:dyDescent="0.25">
      <c r="B507" s="21" t="s">
        <v>3687</v>
      </c>
      <c r="C507" s="28" t="s">
        <v>493</v>
      </c>
      <c r="E507" s="228">
        <f>INDEX($G$507:$T$507,1,Inputs!$E$49-2022)</f>
        <v>26.80725</v>
      </c>
      <c r="H507" s="229">
        <f t="shared" ref="H507:T507" si="62">ROUND(H506-H505,9)</f>
        <v>0</v>
      </c>
      <c r="I507" s="229">
        <f t="shared" si="62"/>
        <v>0</v>
      </c>
      <c r="J507" s="229">
        <f t="shared" si="62"/>
        <v>0</v>
      </c>
      <c r="K507" s="229">
        <f t="shared" si="62"/>
        <v>0</v>
      </c>
      <c r="L507" s="229">
        <f t="shared" si="62"/>
        <v>-1.5</v>
      </c>
      <c r="M507" s="229">
        <f t="shared" si="62"/>
        <v>13.197749999999999</v>
      </c>
      <c r="N507" s="229">
        <f t="shared" si="62"/>
        <v>20.002500000000001</v>
      </c>
      <c r="O507" s="229">
        <f t="shared" si="62"/>
        <v>24.539000000000001</v>
      </c>
      <c r="P507" s="229">
        <f t="shared" si="62"/>
        <v>26.80725</v>
      </c>
      <c r="Q507" s="229">
        <f t="shared" si="62"/>
        <v>26.80725</v>
      </c>
      <c r="R507" s="229">
        <f t="shared" si="62"/>
        <v>26.80725</v>
      </c>
      <c r="S507" s="229">
        <f t="shared" si="62"/>
        <v>26.80725</v>
      </c>
      <c r="T507" s="229">
        <f t="shared" si="62"/>
        <v>26.80725</v>
      </c>
    </row>
    <row r="508" spans="2:20" ht="27.75" customHeight="1" x14ac:dyDescent="0.25">
      <c r="B508" s="63" t="s">
        <v>3688</v>
      </c>
      <c r="G508" s="254" t="str">
        <f>"Without-IS05 FY"&amp;Inputs!$E$49&amp;": model "&amp;TEXT(E506,"#,##0.000")&amp;" vs v29 "&amp;TEXT(E505,"#,##0.000")&amp;" (difference "&amp;TEXT(ROUND(E507,3),"+#,##0.000;-#,##0.000;0.000")&amp;")"&amp;IF(ABS(E507)&lt;=Inputs!$E$50," - matches v29.",IF(LEFT(E504,19)="Differs - requested"," - due to the requested change: "&amp;MID(E504,29,200),IF($E$21&gt;0," - differs because inputs / switches were changed."," - UNEXPLAINED: no input was changed.")))</f>
        <v>Without-IS05 FY2036: model 682.706 vs v29 655.898 (difference +26.807) - differs because inputs / switches were changed.</v>
      </c>
      <c r="H508" s="254"/>
      <c r="I508" s="254"/>
      <c r="J508" s="254"/>
      <c r="K508" s="254"/>
      <c r="L508" s="254"/>
      <c r="M508" s="254"/>
      <c r="N508" s="254"/>
      <c r="O508" s="254"/>
      <c r="P508" s="254"/>
      <c r="Q508" s="254"/>
      <c r="R508" s="254"/>
      <c r="S508" s="254"/>
      <c r="T508" s="254"/>
    </row>
    <row r="509" spans="2:20" x14ac:dyDescent="0.25">
      <c r="B509" s="221" t="s">
        <v>3954</v>
      </c>
      <c r="C509" s="222" t="s">
        <v>493</v>
      </c>
      <c r="D509" s="223" t="s">
        <v>3955</v>
      </c>
      <c r="E509" s="224" t="str">
        <f>IF(MAX(MAX(H512:T512),-MIN(H512:T512))&lt;=Inputs!$E$50,"Matches v29",IF($E$21&gt;0,"Differs - inputs changed","UNEXPLAINED"))</f>
        <v>Differs - inputs changed</v>
      </c>
      <c r="F509" s="225">
        <f>MAX(MAX(H512:T512),-MIN(H512:T512))</f>
        <v>11.408878850000001</v>
      </c>
      <c r="G509" s="226">
        <f>MAX(MAX(H512:T512),-MIN(H512:T512))</f>
        <v>11.408878850000001</v>
      </c>
    </row>
    <row r="510" spans="2:20" x14ac:dyDescent="0.25">
      <c r="B510" s="23" t="s">
        <v>3683</v>
      </c>
      <c r="C510" s="28" t="s">
        <v>493</v>
      </c>
      <c r="D510" s="155" t="s">
        <v>3708</v>
      </c>
      <c r="E510" s="178">
        <f>INDEX($G$510:$T$510,1,Inputs!$E$49-2022)</f>
        <v>-142.73553211478</v>
      </c>
      <c r="H510" s="30">
        <f>'Source Data'!H898</f>
        <v>-88.373062408935297</v>
      </c>
      <c r="I510" s="30">
        <f>'Source Data'!I898</f>
        <v>-113.59968518200201</v>
      </c>
      <c r="J510" s="30">
        <f>'Source Data'!J898</f>
        <v>-134.96780390311301</v>
      </c>
      <c r="K510" s="30">
        <f>'Source Data'!K898</f>
        <v>-136.94134168720899</v>
      </c>
      <c r="L510" s="30">
        <f>'Source Data'!L898</f>
        <v>-144.19843006333599</v>
      </c>
      <c r="M510" s="30">
        <f>'Source Data'!M898</f>
        <v>-146.20716215698599</v>
      </c>
      <c r="N510" s="30">
        <f>'Source Data'!N898</f>
        <v>-146.21606889250901</v>
      </c>
      <c r="O510" s="30">
        <f>'Source Data'!O898</f>
        <v>-146.225153762742</v>
      </c>
      <c r="P510" s="30">
        <f>'Source Data'!P898</f>
        <v>-148.23442033038</v>
      </c>
      <c r="Q510" s="30">
        <f>'Source Data'!Q898</f>
        <v>-148.24387222937099</v>
      </c>
      <c r="R510" s="30">
        <f>'Source Data'!R898</f>
        <v>-142.71566792824601</v>
      </c>
      <c r="S510" s="30">
        <f>'Source Data'!S898</f>
        <v>-142.725501683956</v>
      </c>
      <c r="T510" s="30">
        <f>'Source Data'!T898</f>
        <v>-142.73553211478</v>
      </c>
    </row>
    <row r="511" spans="2:20" x14ac:dyDescent="0.25">
      <c r="B511" s="23" t="s">
        <v>3685</v>
      </c>
      <c r="C511" s="28" t="s">
        <v>493</v>
      </c>
      <c r="D511" s="227" t="s">
        <v>3956</v>
      </c>
      <c r="E511" s="178">
        <f>INDEX($G$511:$T$511,1,Inputs!$E$49-2022)</f>
        <v>-154.14441096488284</v>
      </c>
      <c r="H511" s="30">
        <f>'FSL Output - Without BUMN'!H17</f>
        <v>-88.373062408935311</v>
      </c>
      <c r="I511" s="30">
        <f>'FSL Output - Without BUMN'!I17</f>
        <v>-113.59968518200155</v>
      </c>
      <c r="J511" s="30">
        <f>'FSL Output - Without BUMN'!J17</f>
        <v>-134.96780390311255</v>
      </c>
      <c r="K511" s="30">
        <f>'FSL Output - Without BUMN'!K17</f>
        <v>-136.94134168720865</v>
      </c>
      <c r="L511" s="30">
        <f>'FSL Output - Without BUMN'!L17</f>
        <v>-144.19843006333596</v>
      </c>
      <c r="M511" s="30">
        <f>'FSL Output - Without BUMN'!M17</f>
        <v>-157.58486920695159</v>
      </c>
      <c r="N511" s="30">
        <f>'FSL Output - Without BUMN'!N17</f>
        <v>-157.59377594247448</v>
      </c>
      <c r="O511" s="30">
        <f>'FSL Output - Without BUMN'!O17</f>
        <v>-157.60286081270777</v>
      </c>
      <c r="P511" s="30">
        <f>'FSL Output - Without BUMN'!P17</f>
        <v>-159.64329918048264</v>
      </c>
      <c r="Q511" s="30">
        <f>'FSL Output - Without BUMN'!Q17</f>
        <v>-159.62157927933652</v>
      </c>
      <c r="R511" s="30">
        <f>'FSL Output - Without BUMN'!R17</f>
        <v>-154.09337497821181</v>
      </c>
      <c r="S511" s="30">
        <f>'FSL Output - Without BUMN'!S17</f>
        <v>-154.10320873392178</v>
      </c>
      <c r="T511" s="30">
        <f>'FSL Output - Without BUMN'!T17</f>
        <v>-154.14441096488284</v>
      </c>
    </row>
    <row r="512" spans="2:20" x14ac:dyDescent="0.25">
      <c r="B512" s="21" t="s">
        <v>3687</v>
      </c>
      <c r="C512" s="28" t="s">
        <v>493</v>
      </c>
      <c r="E512" s="228">
        <f>INDEX($G$512:$T$512,1,Inputs!$E$49-2022)</f>
        <v>-11.408878850000001</v>
      </c>
      <c r="H512" s="229">
        <f t="shared" ref="H512:T512" si="63">ROUND(H511-H510,9)</f>
        <v>0</v>
      </c>
      <c r="I512" s="229">
        <f t="shared" si="63"/>
        <v>0</v>
      </c>
      <c r="J512" s="229">
        <f t="shared" si="63"/>
        <v>0</v>
      </c>
      <c r="K512" s="229">
        <f t="shared" si="63"/>
        <v>0</v>
      </c>
      <c r="L512" s="229">
        <f t="shared" si="63"/>
        <v>0</v>
      </c>
      <c r="M512" s="229">
        <f t="shared" si="63"/>
        <v>-11.37770705</v>
      </c>
      <c r="N512" s="229">
        <f t="shared" si="63"/>
        <v>-11.37770705</v>
      </c>
      <c r="O512" s="229">
        <f t="shared" si="63"/>
        <v>-11.37770705</v>
      </c>
      <c r="P512" s="229">
        <f t="shared" si="63"/>
        <v>-11.408878850000001</v>
      </c>
      <c r="Q512" s="229">
        <f t="shared" si="63"/>
        <v>-11.37770705</v>
      </c>
      <c r="R512" s="229">
        <f t="shared" si="63"/>
        <v>-11.37770705</v>
      </c>
      <c r="S512" s="229">
        <f t="shared" si="63"/>
        <v>-11.37770705</v>
      </c>
      <c r="T512" s="229">
        <f t="shared" si="63"/>
        <v>-11.408878850000001</v>
      </c>
    </row>
    <row r="513" spans="2:20" ht="27.75" customHeight="1" x14ac:dyDescent="0.25">
      <c r="B513" s="63" t="s">
        <v>3688</v>
      </c>
      <c r="G513" s="254" t="str">
        <f>"Without-IS06 FY"&amp;Inputs!$E$49&amp;": model "&amp;TEXT(E511,"#,##0.000")&amp;" vs v29 "&amp;TEXT(E510,"#,##0.000")&amp;" (difference "&amp;TEXT(ROUND(E512,3),"+#,##0.000;-#,##0.000;0.000")&amp;")"&amp;IF(ABS(E512)&lt;=Inputs!$E$50," - matches v29.",IF(LEFT(E509,19)="Differs - requested"," - due to the requested change: "&amp;MID(E509,29,200),IF($E$21&gt;0," - differs because inputs / switches were changed."," - UNEXPLAINED: no input was changed.")))</f>
        <v>Without-IS06 FY2036: model -154.144 vs v29 -142.736 (difference -11.409) - differs because inputs / switches were changed.</v>
      </c>
      <c r="H513" s="254"/>
      <c r="I513" s="254"/>
      <c r="J513" s="254"/>
      <c r="K513" s="254"/>
      <c r="L513" s="254"/>
      <c r="M513" s="254"/>
      <c r="N513" s="254"/>
      <c r="O513" s="254"/>
      <c r="P513" s="254"/>
      <c r="Q513" s="254"/>
      <c r="R513" s="254"/>
      <c r="S513" s="254"/>
      <c r="T513" s="254"/>
    </row>
    <row r="514" spans="2:20" x14ac:dyDescent="0.25">
      <c r="B514" s="221" t="s">
        <v>3957</v>
      </c>
      <c r="C514" s="222" t="s">
        <v>493</v>
      </c>
      <c r="D514" s="223" t="s">
        <v>3958</v>
      </c>
      <c r="E514" s="224" t="str">
        <f>IF(MAX(MAX(H517:T517),-MIN(H517:T517))&lt;=Inputs!$E$50,"Matches v29",IF($E$21&gt;0,"Differs - inputs changed","UNEXPLAINED"))</f>
        <v>Differs - inputs changed</v>
      </c>
      <c r="F514" s="225">
        <f>MAX(MAX(H517:T517),-MIN(H517:T517))</f>
        <v>15.42954295</v>
      </c>
      <c r="G514" s="226">
        <f>MAX(MAX(H517:T517),-MIN(H517:T517))</f>
        <v>15.42954295</v>
      </c>
    </row>
    <row r="515" spans="2:20" x14ac:dyDescent="0.25">
      <c r="B515" s="23" t="s">
        <v>3683</v>
      </c>
      <c r="C515" s="28" t="s">
        <v>493</v>
      </c>
      <c r="D515" s="155" t="s">
        <v>3712</v>
      </c>
      <c r="E515" s="178">
        <f>INDEX($G$515:$T$515,1,Inputs!$E$49-2022)</f>
        <v>513.16276082217996</v>
      </c>
      <c r="H515" s="30">
        <f>'Source Data'!H899</f>
        <v>65.862412993927705</v>
      </c>
      <c r="I515" s="30">
        <f>'Source Data'!I899</f>
        <v>149.95884859672299</v>
      </c>
      <c r="J515" s="30">
        <f>'Source Data'!J899</f>
        <v>174.204311078205</v>
      </c>
      <c r="K515" s="30">
        <f>'Source Data'!K899</f>
        <v>251.85539666695701</v>
      </c>
      <c r="L515" s="30">
        <f>'Source Data'!L899</f>
        <v>291.37172970830602</v>
      </c>
      <c r="M515" s="30">
        <f>'Source Data'!M899</f>
        <v>341.98182060603699</v>
      </c>
      <c r="N515" s="30">
        <f>'Source Data'!N899</f>
        <v>361.09089489943</v>
      </c>
      <c r="O515" s="30">
        <f>'Source Data'!O899</f>
        <v>401.77343971521901</v>
      </c>
      <c r="P515" s="30">
        <f>'Source Data'!P899</f>
        <v>426.08662782346801</v>
      </c>
      <c r="Q515" s="30">
        <f>'Source Data'!Q899</f>
        <v>470.86482512979802</v>
      </c>
      <c r="R515" s="30">
        <f>'Source Data'!R899</f>
        <v>495.51299970585001</v>
      </c>
      <c r="S515" s="30">
        <f>'Source Data'!S899</f>
        <v>492.52789620938898</v>
      </c>
      <c r="T515" s="30">
        <f>'Source Data'!T899</f>
        <v>513.16276082217996</v>
      </c>
    </row>
    <row r="516" spans="2:20" x14ac:dyDescent="0.25">
      <c r="B516" s="23" t="s">
        <v>3685</v>
      </c>
      <c r="C516" s="28" t="s">
        <v>493</v>
      </c>
      <c r="D516" s="227" t="s">
        <v>3959</v>
      </c>
      <c r="E516" s="178">
        <f>INDEX($G$516:$T$516,1,Inputs!$E$49-2022)</f>
        <v>528.56113197207742</v>
      </c>
      <c r="H516" s="30">
        <f>'FSL Output - Without BUMN'!H18</f>
        <v>65.862412993927734</v>
      </c>
      <c r="I516" s="30">
        <f>'FSL Output - Without BUMN'!I18</f>
        <v>149.9588485967227</v>
      </c>
      <c r="J516" s="30">
        <f>'FSL Output - Without BUMN'!J18</f>
        <v>174.2043110782048</v>
      </c>
      <c r="K516" s="30">
        <f>'FSL Output - Without BUMN'!K18</f>
        <v>251.85539666695701</v>
      </c>
      <c r="L516" s="30">
        <f>'FSL Output - Without BUMN'!L18</f>
        <v>289.87172970830568</v>
      </c>
      <c r="M516" s="30">
        <f>'FSL Output - Without BUMN'!M18</f>
        <v>343.801863556071</v>
      </c>
      <c r="N516" s="30">
        <f>'FSL Output - Without BUMN'!N18</f>
        <v>369.71568784946442</v>
      </c>
      <c r="O516" s="30">
        <f>'FSL Output - Without BUMN'!O18</f>
        <v>414.93473266525353</v>
      </c>
      <c r="P516" s="30">
        <f>'FSL Output - Without BUMN'!P18</f>
        <v>441.48499897336529</v>
      </c>
      <c r="Q516" s="30">
        <f>'FSL Output - Without BUMN'!Q18</f>
        <v>486.29436807983234</v>
      </c>
      <c r="R516" s="30">
        <f>'FSL Output - Without BUMN'!R18</f>
        <v>510.94254265588438</v>
      </c>
      <c r="S516" s="30">
        <f>'FSL Output - Without BUMN'!S18</f>
        <v>507.95743915942376</v>
      </c>
      <c r="T516" s="30">
        <f>'FSL Output - Without BUMN'!T18</f>
        <v>528.56113197207742</v>
      </c>
    </row>
    <row r="517" spans="2:20" x14ac:dyDescent="0.25">
      <c r="B517" s="21" t="s">
        <v>3687</v>
      </c>
      <c r="C517" s="28" t="s">
        <v>493</v>
      </c>
      <c r="E517" s="228">
        <f>INDEX($G$517:$T$517,1,Inputs!$E$49-2022)</f>
        <v>15.398371149999999</v>
      </c>
      <c r="H517" s="229">
        <f t="shared" ref="H517:T517" si="64">ROUND(H516-H515,9)</f>
        <v>0</v>
      </c>
      <c r="I517" s="229">
        <f t="shared" si="64"/>
        <v>0</v>
      </c>
      <c r="J517" s="229">
        <f t="shared" si="64"/>
        <v>0</v>
      </c>
      <c r="K517" s="229">
        <f t="shared" si="64"/>
        <v>0</v>
      </c>
      <c r="L517" s="229">
        <f t="shared" si="64"/>
        <v>-1.5</v>
      </c>
      <c r="M517" s="229">
        <f t="shared" si="64"/>
        <v>1.8200429499999999</v>
      </c>
      <c r="N517" s="229">
        <f t="shared" si="64"/>
        <v>8.6247929499999998</v>
      </c>
      <c r="O517" s="229">
        <f t="shared" si="64"/>
        <v>13.16129295</v>
      </c>
      <c r="P517" s="229">
        <f t="shared" si="64"/>
        <v>15.398371149999999</v>
      </c>
      <c r="Q517" s="229">
        <f t="shared" si="64"/>
        <v>15.42954295</v>
      </c>
      <c r="R517" s="229">
        <f t="shared" si="64"/>
        <v>15.42954295</v>
      </c>
      <c r="S517" s="229">
        <f t="shared" si="64"/>
        <v>15.42954295</v>
      </c>
      <c r="T517" s="229">
        <f t="shared" si="64"/>
        <v>15.398371149999999</v>
      </c>
    </row>
    <row r="518" spans="2:20" ht="27.75" customHeight="1" x14ac:dyDescent="0.25">
      <c r="B518" s="63" t="s">
        <v>3688</v>
      </c>
      <c r="G518" s="254" t="str">
        <f>"Without-IS07 FY"&amp;Inputs!$E$49&amp;": model "&amp;TEXT(E516,"#,##0.000")&amp;" vs v29 "&amp;TEXT(E515,"#,##0.000")&amp;" (difference "&amp;TEXT(ROUND(E517,3),"+#,##0.000;-#,##0.000;0.000")&amp;")"&amp;IF(ABS(E517)&lt;=Inputs!$E$50," - matches v29.",IF(LEFT(E514,19)="Differs - requested"," - due to the requested change: "&amp;MID(E514,29,200),IF($E$21&gt;0," - differs because inputs / switches were changed."," - UNEXPLAINED: no input was changed.")))</f>
        <v>Without-IS07 FY2036: model 528.561 vs v29 513.163 (difference +15.398) - differs because inputs / switches were changed.</v>
      </c>
      <c r="H518" s="254"/>
      <c r="I518" s="254"/>
      <c r="J518" s="254"/>
      <c r="K518" s="254"/>
      <c r="L518" s="254"/>
      <c r="M518" s="254"/>
      <c r="N518" s="254"/>
      <c r="O518" s="254"/>
      <c r="P518" s="254"/>
      <c r="Q518" s="254"/>
      <c r="R518" s="254"/>
      <c r="S518" s="254"/>
      <c r="T518" s="254"/>
    </row>
    <row r="519" spans="2:20" ht="24.75" customHeight="1" x14ac:dyDescent="0.25">
      <c r="B519" s="221" t="s">
        <v>3960</v>
      </c>
      <c r="C519" s="222" t="s">
        <v>493</v>
      </c>
      <c r="D519" s="231" t="s">
        <v>3961</v>
      </c>
      <c r="E519" s="232" t="str">
        <f>IF(MAX(MAX(H522:T522),-MIN(H522:T522))&lt;=Inputs!$E$50,"Matches v29",IF(OR($E$22=1),"Differs - requested change: "&amp;IF($E$22=1,"LT loan repaid in 2027 (not 2025); ","")&amp;IF($E$21&gt;0," (and inputs changed)",""),IF($E$21&gt;0,"Differs - inputs changed","UNEXPLAINED")))</f>
        <v>Differs - requested change: LT loan repaid in 2027 (not 2025);  (and inputs changed)</v>
      </c>
      <c r="F519" s="225">
        <f>MAX(MAX(H522:T522),-MIN(H522:T522))</f>
        <v>15.273450177999999</v>
      </c>
      <c r="G519" s="226">
        <f>IF(OR($E$22=1),0,MAX(MAX(H522:T522),-MIN(H522:T522)))</f>
        <v>0</v>
      </c>
    </row>
    <row r="520" spans="2:20" x14ac:dyDescent="0.25">
      <c r="B520" s="23" t="s">
        <v>3683</v>
      </c>
      <c r="C520" s="28" t="s">
        <v>493</v>
      </c>
      <c r="D520" s="155" t="s">
        <v>3716</v>
      </c>
      <c r="E520" s="178">
        <f>INDEX($G$520:$T$520,1,Inputs!$E$49-2022)</f>
        <v>0</v>
      </c>
      <c r="H520" s="30">
        <f>'Source Data'!H900</f>
        <v>-5.4709055176610004</v>
      </c>
      <c r="I520" s="30">
        <f>'Source Data'!I900</f>
        <v>-15.2734501777697</v>
      </c>
      <c r="J520" s="30">
        <f>'Source Data'!J900</f>
        <v>0</v>
      </c>
      <c r="K520" s="30">
        <f>'Source Data'!K900</f>
        <v>0</v>
      </c>
      <c r="L520" s="30">
        <f>'Source Data'!L900</f>
        <v>0</v>
      </c>
      <c r="M520" s="30">
        <f>'Source Data'!M900</f>
        <v>0</v>
      </c>
      <c r="N520" s="30">
        <f>'Source Data'!N900</f>
        <v>0</v>
      </c>
      <c r="O520" s="30">
        <f>'Source Data'!O900</f>
        <v>0</v>
      </c>
      <c r="P520" s="30">
        <f>'Source Data'!P900</f>
        <v>0</v>
      </c>
      <c r="Q520" s="30">
        <f>'Source Data'!Q900</f>
        <v>0</v>
      </c>
      <c r="R520" s="30">
        <f>'Source Data'!R900</f>
        <v>0</v>
      </c>
      <c r="S520" s="30">
        <f>'Source Data'!S900</f>
        <v>0</v>
      </c>
      <c r="T520" s="30">
        <f>'Source Data'!T900</f>
        <v>0</v>
      </c>
    </row>
    <row r="521" spans="2:20" x14ac:dyDescent="0.25">
      <c r="B521" s="23" t="s">
        <v>3685</v>
      </c>
      <c r="C521" s="28" t="s">
        <v>493</v>
      </c>
      <c r="D521" s="227" t="s">
        <v>3962</v>
      </c>
      <c r="E521" s="178">
        <f>INDEX($G$521:$T$521,1,Inputs!$E$49-2022)</f>
        <v>0</v>
      </c>
      <c r="H521" s="30">
        <f>'FSL Output - Without BUMN'!H23</f>
        <v>-5.4709055176610004</v>
      </c>
      <c r="I521" s="30">
        <f>'FSL Output - Without BUMN'!I23</f>
        <v>-15.273450177769661</v>
      </c>
      <c r="J521" s="30">
        <f>'FSL Output - Without BUMN'!J23</f>
        <v>-15.273450177769659</v>
      </c>
      <c r="K521" s="30">
        <f>'FSL Output - Without BUMN'!K23</f>
        <v>-7.5739574854145442</v>
      </c>
      <c r="L521" s="30">
        <f>'FSL Output - Without BUMN'!L23</f>
        <v>-3.4156499999999999</v>
      </c>
      <c r="M521" s="30">
        <f>'FSL Output - Without BUMN'!M23</f>
        <v>-8.5391250000000003</v>
      </c>
      <c r="N521" s="30">
        <f>'FSL Output - Without BUMN'!N23</f>
        <v>-8.5391250000000003</v>
      </c>
      <c r="O521" s="30">
        <f>'FSL Output - Without BUMN'!O23</f>
        <v>-7.8559950000000001</v>
      </c>
      <c r="P521" s="30">
        <f>'FSL Output - Without BUMN'!P23</f>
        <v>-6.1481700000000004</v>
      </c>
      <c r="Q521" s="30">
        <f>'FSL Output - Without BUMN'!Q23</f>
        <v>-4.4403449999999998</v>
      </c>
      <c r="R521" s="30">
        <f>'FSL Output - Without BUMN'!R23</f>
        <v>-2.7325200000000001</v>
      </c>
      <c r="S521" s="30">
        <f>'FSL Output - Without BUMN'!S23</f>
        <v>-1.0246949999999999</v>
      </c>
      <c r="T521" s="30">
        <f>'FSL Output - Without BUMN'!T23</f>
        <v>0</v>
      </c>
    </row>
    <row r="522" spans="2:20" x14ac:dyDescent="0.25">
      <c r="B522" s="21" t="s">
        <v>3687</v>
      </c>
      <c r="C522" s="28" t="s">
        <v>493</v>
      </c>
      <c r="E522" s="228">
        <f>INDEX($G$522:$T$522,1,Inputs!$E$49-2022)</f>
        <v>0</v>
      </c>
      <c r="H522" s="229">
        <f t="shared" ref="H522:T522" si="65">ROUND(H521-H520,9)</f>
        <v>0</v>
      </c>
      <c r="I522" s="229">
        <f t="shared" si="65"/>
        <v>0</v>
      </c>
      <c r="J522" s="229">
        <f t="shared" si="65"/>
        <v>-15.273450177999999</v>
      </c>
      <c r="K522" s="229">
        <f t="shared" si="65"/>
        <v>-7.5739574850000002</v>
      </c>
      <c r="L522" s="229">
        <f t="shared" si="65"/>
        <v>-3.4156499999999999</v>
      </c>
      <c r="M522" s="229">
        <f t="shared" si="65"/>
        <v>-8.5391250000000003</v>
      </c>
      <c r="N522" s="229">
        <f t="shared" si="65"/>
        <v>-8.5391250000000003</v>
      </c>
      <c r="O522" s="229">
        <f t="shared" si="65"/>
        <v>-7.8559950000000001</v>
      </c>
      <c r="P522" s="229">
        <f t="shared" si="65"/>
        <v>-6.1481700000000004</v>
      </c>
      <c r="Q522" s="229">
        <f t="shared" si="65"/>
        <v>-4.4403449999999998</v>
      </c>
      <c r="R522" s="229">
        <f t="shared" si="65"/>
        <v>-2.7325200000000001</v>
      </c>
      <c r="S522" s="229">
        <f t="shared" si="65"/>
        <v>-1.0246949999999999</v>
      </c>
      <c r="T522" s="229">
        <f t="shared" si="65"/>
        <v>0</v>
      </c>
    </row>
    <row r="523" spans="2:20" ht="27.75" customHeight="1" x14ac:dyDescent="0.25">
      <c r="B523" s="63" t="s">
        <v>3718</v>
      </c>
      <c r="G523" s="254" t="str">
        <f>"Without-IS08 FY"&amp;Inputs!$E$49&amp;": model "&amp;TEXT(E521,"#,##0.000")&amp;" vs v29 "&amp;TEXT(E520,"#,##0.000")&amp;" (difference "&amp;TEXT(ROUND(E522,3),"+#,##0.000;-#,##0.000;0.000")&amp;")"&amp;IF(ABS(E522)&lt;=Inputs!$E$50," - matches v29.",IF(LEFT(E519,19)="Differs - requested"," - due to the requested change: "&amp;MID(E519,29,200),IF($E$21&gt;0," - differs because inputs / switches were changed."," - UNEXPLAINED: no input was changed.")))</f>
        <v>Without-IS08 FY2036: model 0.000 vs v29 0.000 (difference 0.000) - matches v29.</v>
      </c>
      <c r="H523" s="254"/>
      <c r="I523" s="254"/>
      <c r="J523" s="254"/>
      <c r="K523" s="254"/>
      <c r="L523" s="254"/>
      <c r="M523" s="254"/>
      <c r="N523" s="254"/>
      <c r="O523" s="254"/>
      <c r="P523" s="254"/>
      <c r="Q523" s="254"/>
      <c r="R523" s="254"/>
      <c r="S523" s="254"/>
      <c r="T523" s="254"/>
    </row>
    <row r="524" spans="2:20" ht="24.75" customHeight="1" x14ac:dyDescent="0.25">
      <c r="B524" s="221" t="s">
        <v>3963</v>
      </c>
      <c r="C524" s="222" t="s">
        <v>493</v>
      </c>
      <c r="D524" s="231" t="s">
        <v>3964</v>
      </c>
      <c r="E524" s="232" t="str">
        <f>IF(MAX(MAX(H527:T527),-MIN(H527:T527))&lt;=Inputs!$E$50,"Matches v29",IF(OR($E$22=1),"Differs - requested change: "&amp;IF($E$22=1,"LT loan repaid in 2027 (not 2025); ","")&amp;IF($E$21&gt;0," (and inputs changed)",""),IF($E$21&gt;0,"Differs - inputs changed","UNEXPLAINED")))</f>
        <v>Differs - requested change: LT loan repaid in 2027 (not 2025);  (and inputs changed)</v>
      </c>
      <c r="F524" s="225">
        <f>MAX(MAX(H527:T527),-MIN(H527:T527))</f>
        <v>15.398371149999999</v>
      </c>
      <c r="G524" s="226">
        <f>IF(OR($E$22=1),0,MAX(MAX(H527:T527),-MIN(H527:T527)))</f>
        <v>0</v>
      </c>
    </row>
    <row r="525" spans="2:20" x14ac:dyDescent="0.25">
      <c r="B525" s="23" t="s">
        <v>3683</v>
      </c>
      <c r="C525" s="28" t="s">
        <v>493</v>
      </c>
      <c r="D525" s="155" t="s">
        <v>3721</v>
      </c>
      <c r="E525" s="178">
        <f>INDEX($G$525:$T$525,1,Inputs!$E$49-2022)</f>
        <v>513.16276082217996</v>
      </c>
      <c r="H525" s="30">
        <f>'Source Data'!H901</f>
        <v>60.391507476266703</v>
      </c>
      <c r="I525" s="30">
        <f>'Source Data'!I901</f>
        <v>134.68539841895301</v>
      </c>
      <c r="J525" s="30">
        <f>'Source Data'!J901</f>
        <v>174.204311078205</v>
      </c>
      <c r="K525" s="30">
        <f>'Source Data'!K901</f>
        <v>251.85539666695701</v>
      </c>
      <c r="L525" s="30">
        <f>'Source Data'!L901</f>
        <v>291.37172970830602</v>
      </c>
      <c r="M525" s="30">
        <f>'Source Data'!M901</f>
        <v>341.98182060603699</v>
      </c>
      <c r="N525" s="30">
        <f>'Source Data'!N901</f>
        <v>361.09089489943</v>
      </c>
      <c r="O525" s="30">
        <f>'Source Data'!O901</f>
        <v>401.77343971521901</v>
      </c>
      <c r="P525" s="30">
        <f>'Source Data'!P901</f>
        <v>426.08662782346801</v>
      </c>
      <c r="Q525" s="30">
        <f>'Source Data'!Q901</f>
        <v>470.86482512979802</v>
      </c>
      <c r="R525" s="30">
        <f>'Source Data'!R901</f>
        <v>495.51299970585001</v>
      </c>
      <c r="S525" s="30">
        <f>'Source Data'!S901</f>
        <v>492.52789620938898</v>
      </c>
      <c r="T525" s="30">
        <f>'Source Data'!T901</f>
        <v>513.16276082217996</v>
      </c>
    </row>
    <row r="526" spans="2:20" x14ac:dyDescent="0.25">
      <c r="B526" s="23" t="s">
        <v>3685</v>
      </c>
      <c r="C526" s="28" t="s">
        <v>493</v>
      </c>
      <c r="D526" s="227" t="s">
        <v>3965</v>
      </c>
      <c r="E526" s="178">
        <f>INDEX($G$526:$T$526,1,Inputs!$E$49-2022)</f>
        <v>528.56113197207742</v>
      </c>
      <c r="H526" s="30">
        <f>'FSL Output - Without BUMN'!H24</f>
        <v>60.391507476266732</v>
      </c>
      <c r="I526" s="30">
        <f>'FSL Output - Without BUMN'!I24</f>
        <v>134.68539841895304</v>
      </c>
      <c r="J526" s="30">
        <f>'FSL Output - Without BUMN'!J24</f>
        <v>158.93086090043514</v>
      </c>
      <c r="K526" s="30">
        <f>'FSL Output - Without BUMN'!K24</f>
        <v>244.28143918154245</v>
      </c>
      <c r="L526" s="30">
        <f>'FSL Output - Without BUMN'!L24</f>
        <v>286.45607970830565</v>
      </c>
      <c r="M526" s="30">
        <f>'FSL Output - Without BUMN'!M24</f>
        <v>335.26273855607099</v>
      </c>
      <c r="N526" s="30">
        <f>'FSL Output - Without BUMN'!N24</f>
        <v>361.1765628494644</v>
      </c>
      <c r="O526" s="30">
        <f>'FSL Output - Without BUMN'!O24</f>
        <v>407.07873766525353</v>
      </c>
      <c r="P526" s="30">
        <f>'FSL Output - Without BUMN'!P24</f>
        <v>435.3368289733653</v>
      </c>
      <c r="Q526" s="30">
        <f>'FSL Output - Without BUMN'!Q24</f>
        <v>481.85402307983236</v>
      </c>
      <c r="R526" s="30">
        <f>'FSL Output - Without BUMN'!R24</f>
        <v>508.21002265588436</v>
      </c>
      <c r="S526" s="30">
        <f>'FSL Output - Without BUMN'!S24</f>
        <v>506.93274415942375</v>
      </c>
      <c r="T526" s="30">
        <f>'FSL Output - Without BUMN'!T24</f>
        <v>528.56113197207742</v>
      </c>
    </row>
    <row r="527" spans="2:20" x14ac:dyDescent="0.25">
      <c r="B527" s="21" t="s">
        <v>3687</v>
      </c>
      <c r="C527" s="28" t="s">
        <v>493</v>
      </c>
      <c r="E527" s="228">
        <f>INDEX($G$527:$T$527,1,Inputs!$E$49-2022)</f>
        <v>15.398371149999999</v>
      </c>
      <c r="H527" s="229">
        <f t="shared" ref="H527:T527" si="66">ROUND(H526-H525,9)</f>
        <v>0</v>
      </c>
      <c r="I527" s="229">
        <f t="shared" si="66"/>
        <v>0</v>
      </c>
      <c r="J527" s="229">
        <f t="shared" si="66"/>
        <v>-15.273450177999999</v>
      </c>
      <c r="K527" s="229">
        <f t="shared" si="66"/>
        <v>-7.5739574850000002</v>
      </c>
      <c r="L527" s="229">
        <f t="shared" si="66"/>
        <v>-4.9156500000000003</v>
      </c>
      <c r="M527" s="229">
        <f t="shared" si="66"/>
        <v>-6.7190820499999999</v>
      </c>
      <c r="N527" s="229">
        <f t="shared" si="66"/>
        <v>8.5667950000000007E-2</v>
      </c>
      <c r="O527" s="229">
        <f t="shared" si="66"/>
        <v>5.3052979499999999</v>
      </c>
      <c r="P527" s="229">
        <f t="shared" si="66"/>
        <v>9.2502011500000005</v>
      </c>
      <c r="Q527" s="229">
        <f t="shared" si="66"/>
        <v>10.989197949999999</v>
      </c>
      <c r="R527" s="229">
        <f t="shared" si="66"/>
        <v>12.697022949999999</v>
      </c>
      <c r="S527" s="229">
        <f t="shared" si="66"/>
        <v>14.404847950000001</v>
      </c>
      <c r="T527" s="229">
        <f t="shared" si="66"/>
        <v>15.398371149999999</v>
      </c>
    </row>
    <row r="528" spans="2:20" ht="27.75" customHeight="1" x14ac:dyDescent="0.25">
      <c r="B528" s="63" t="s">
        <v>3688</v>
      </c>
      <c r="G528" s="254" t="str">
        <f>"Without-IS09 FY"&amp;Inputs!$E$49&amp;": model "&amp;TEXT(E526,"#,##0.000")&amp;" vs v29 "&amp;TEXT(E525,"#,##0.000")&amp;" (difference "&amp;TEXT(ROUND(E527,3),"+#,##0.000;-#,##0.000;0.000")&amp;")"&amp;IF(ABS(E527)&lt;=Inputs!$E$50," - matches v29.",IF(LEFT(E524,19)="Differs - requested"," - due to the requested change: "&amp;MID(E524,29,200),IF($E$21&gt;0," - differs because inputs / switches were changed."," - UNEXPLAINED: no input was changed.")))</f>
        <v>Without-IS09 FY2036: model 528.561 vs v29 513.163 (difference +15.398) - due to the requested change: LT loan repaid in 2027 (not 2025);  (and inputs changed)</v>
      </c>
      <c r="H528" s="254"/>
      <c r="I528" s="254"/>
      <c r="J528" s="254"/>
      <c r="K528" s="254"/>
      <c r="L528" s="254"/>
      <c r="M528" s="254"/>
      <c r="N528" s="254"/>
      <c r="O528" s="254"/>
      <c r="P528" s="254"/>
      <c r="Q528" s="254"/>
      <c r="R528" s="254"/>
      <c r="S528" s="254"/>
      <c r="T528" s="254"/>
    </row>
    <row r="529" spans="2:20" ht="24.75" customHeight="1" x14ac:dyDescent="0.25">
      <c r="B529" s="221" t="s">
        <v>3966</v>
      </c>
      <c r="C529" s="222" t="s">
        <v>493</v>
      </c>
      <c r="D529" s="231" t="s">
        <v>3967</v>
      </c>
      <c r="E529" s="232" t="str">
        <f>IF(MAX(MAX(H532:T532),-MIN(H532:T532))&lt;=Inputs!$E$50,"Matches v29",IF(OR($E$22=1),"Differs - requested change: "&amp;IF($E$22=1,"LT loan repaid in 2027 (not 2025); ","")&amp;IF($E$21&gt;0," (and inputs changed)",""),IF($E$21&gt;0,"Differs - inputs changed","UNEXPLAINED")))</f>
        <v>Differs - requested change: LT loan repaid in 2027 (not 2025);  (and inputs changed)</v>
      </c>
      <c r="F529" s="225">
        <f>MAX(MAX(H532:T532),-MIN(H532:T532))</f>
        <v>3.3876416530000002</v>
      </c>
      <c r="G529" s="226">
        <f>IF(OR($E$22=1),0,MAX(MAX(H532:T532),-MIN(H532:T532)))</f>
        <v>0</v>
      </c>
    </row>
    <row r="530" spans="2:20" x14ac:dyDescent="0.25">
      <c r="B530" s="23" t="s">
        <v>3683</v>
      </c>
      <c r="C530" s="28" t="s">
        <v>493</v>
      </c>
      <c r="D530" s="155" t="s">
        <v>3725</v>
      </c>
      <c r="E530" s="178">
        <f>INDEX($G$530:$T$530,1,Inputs!$E$49-2022)</f>
        <v>-112.89580738088</v>
      </c>
      <c r="H530" s="30">
        <f>'Source Data'!H902</f>
        <v>-19.962283512427799</v>
      </c>
      <c r="I530" s="30">
        <f>'Source Data'!I902</f>
        <v>-34.011742338910203</v>
      </c>
      <c r="J530" s="30">
        <f>'Source Data'!J902</f>
        <v>-42.389451520554303</v>
      </c>
      <c r="K530" s="30">
        <f>'Source Data'!K902</f>
        <v>-57.189562698069899</v>
      </c>
      <c r="L530" s="30">
        <f>'Source Data'!L902</f>
        <v>-65.699389416239896</v>
      </c>
      <c r="M530" s="30">
        <f>'Source Data'!M902</f>
        <v>-75.495776591622899</v>
      </c>
      <c r="N530" s="30">
        <f>'Source Data'!N902</f>
        <v>-79.4687660485355</v>
      </c>
      <c r="O530" s="30">
        <f>'Source Data'!O902</f>
        <v>-88.390156737348306</v>
      </c>
      <c r="P530" s="30">
        <f>'Source Data'!P902</f>
        <v>-93.739058121162898</v>
      </c>
      <c r="Q530" s="30">
        <f>'Source Data'!Q902</f>
        <v>-103.590261528556</v>
      </c>
      <c r="R530" s="30">
        <f>'Source Data'!R902</f>
        <v>-109.012859935287</v>
      </c>
      <c r="S530" s="30">
        <f>'Source Data'!S902</f>
        <v>-108.35613716606601</v>
      </c>
      <c r="T530" s="30">
        <f>'Source Data'!T902</f>
        <v>-112.89580738088</v>
      </c>
    </row>
    <row r="531" spans="2:20" x14ac:dyDescent="0.25">
      <c r="B531" s="23" t="s">
        <v>3685</v>
      </c>
      <c r="C531" s="28" t="s">
        <v>493</v>
      </c>
      <c r="D531" s="227" t="s">
        <v>3968</v>
      </c>
      <c r="E531" s="178">
        <f>INDEX($G$531:$T$531,1,Inputs!$E$49-2022)</f>
        <v>-116.28344903385702</v>
      </c>
      <c r="H531" s="30">
        <f>'FSL Output - Without BUMN'!H25</f>
        <v>-19.962283512427824</v>
      </c>
      <c r="I531" s="30">
        <f>'FSL Output - Without BUMN'!I25</f>
        <v>-34.011742338910175</v>
      </c>
      <c r="J531" s="30">
        <f>'FSL Output - Without BUMN'!J25</f>
        <v>-39.45657020237433</v>
      </c>
      <c r="K531" s="30">
        <f>'FSL Output - Without BUMN'!K25</f>
        <v>-55.735174975903888</v>
      </c>
      <c r="L531" s="30">
        <f>'FSL Output - Without BUMN'!L25</f>
        <v>-65.69938941623991</v>
      </c>
      <c r="M531" s="30">
        <f>'FSL Output - Without BUMN'!M25</f>
        <v>-75.495776591622914</v>
      </c>
      <c r="N531" s="30">
        <f>'FSL Output - Without BUMN'!N25</f>
        <v>-79.487612997543067</v>
      </c>
      <c r="O531" s="30">
        <f>'FSL Output - Without BUMN'!O25</f>
        <v>-89.557322286355799</v>
      </c>
      <c r="P531" s="30">
        <f>'FSL Output - Without BUMN'!P25</f>
        <v>-95.774102374140355</v>
      </c>
      <c r="Q531" s="30">
        <f>'FSL Output - Without BUMN'!Q25</f>
        <v>-106.0078850775631</v>
      </c>
      <c r="R531" s="30">
        <f>'FSL Output - Without BUMN'!R25</f>
        <v>-111.80620498429455</v>
      </c>
      <c r="S531" s="30">
        <f>'FSL Output - Without BUMN'!S25</f>
        <v>-111.52520371507319</v>
      </c>
      <c r="T531" s="30">
        <f>'FSL Output - Without BUMN'!T25</f>
        <v>-116.28344903385702</v>
      </c>
    </row>
    <row r="532" spans="2:20" x14ac:dyDescent="0.25">
      <c r="B532" s="21" t="s">
        <v>3687</v>
      </c>
      <c r="C532" s="28" t="s">
        <v>493</v>
      </c>
      <c r="E532" s="228">
        <f>INDEX($G$532:$T$532,1,Inputs!$E$49-2022)</f>
        <v>-3.3876416530000002</v>
      </c>
      <c r="H532" s="229">
        <f t="shared" ref="H532:T532" si="67">ROUND(H531-H530,9)</f>
        <v>0</v>
      </c>
      <c r="I532" s="229">
        <f t="shared" si="67"/>
        <v>0</v>
      </c>
      <c r="J532" s="229">
        <f t="shared" si="67"/>
        <v>2.9328813180000002</v>
      </c>
      <c r="K532" s="229">
        <f t="shared" si="67"/>
        <v>1.4543877220000001</v>
      </c>
      <c r="L532" s="229">
        <f t="shared" si="67"/>
        <v>0</v>
      </c>
      <c r="M532" s="229">
        <f t="shared" si="67"/>
        <v>0</v>
      </c>
      <c r="N532" s="229">
        <f t="shared" si="67"/>
        <v>-1.8846949000000002E-2</v>
      </c>
      <c r="O532" s="229">
        <f t="shared" si="67"/>
        <v>-1.1671655489999999</v>
      </c>
      <c r="P532" s="229">
        <f t="shared" si="67"/>
        <v>-2.0350442530000001</v>
      </c>
      <c r="Q532" s="229">
        <f t="shared" si="67"/>
        <v>-2.417623549</v>
      </c>
      <c r="R532" s="229">
        <f t="shared" si="67"/>
        <v>-2.793345049</v>
      </c>
      <c r="S532" s="229">
        <f t="shared" si="67"/>
        <v>-3.1690665490000001</v>
      </c>
      <c r="T532" s="229">
        <f t="shared" si="67"/>
        <v>-3.3876416530000002</v>
      </c>
    </row>
    <row r="533" spans="2:20" ht="27.75" customHeight="1" x14ac:dyDescent="0.25">
      <c r="B533" s="63" t="s">
        <v>3727</v>
      </c>
      <c r="G533" s="254" t="str">
        <f>"Without-IS10 FY"&amp;Inputs!$E$49&amp;": model "&amp;TEXT(E531,"#,##0.000")&amp;" vs v29 "&amp;TEXT(E530,"#,##0.000")&amp;" (difference "&amp;TEXT(ROUND(E532,3),"+#,##0.000;-#,##0.000;0.000")&amp;")"&amp;IF(ABS(E532)&lt;=Inputs!$E$50," - matches v29.",IF(LEFT(E529,19)="Differs - requested"," - due to the requested change: "&amp;MID(E529,29,200),IF($E$21&gt;0," - differs because inputs / switches were changed."," - UNEXPLAINED: no input was changed.")))</f>
        <v>Without-IS10 FY2036: model -116.283 vs v29 -112.896 (difference -3.388) - due to the requested change: LT loan repaid in 2027 (not 2025);  (and inputs changed)</v>
      </c>
      <c r="H533" s="254"/>
      <c r="I533" s="254"/>
      <c r="J533" s="254"/>
      <c r="K533" s="254"/>
      <c r="L533" s="254"/>
      <c r="M533" s="254"/>
      <c r="N533" s="254"/>
      <c r="O533" s="254"/>
      <c r="P533" s="254"/>
      <c r="Q533" s="254"/>
      <c r="R533" s="254"/>
      <c r="S533" s="254"/>
      <c r="T533" s="254"/>
    </row>
    <row r="534" spans="2:20" ht="24.75" customHeight="1" x14ac:dyDescent="0.25">
      <c r="B534" s="221" t="s">
        <v>3969</v>
      </c>
      <c r="C534" s="222" t="s">
        <v>493</v>
      </c>
      <c r="D534" s="231" t="s">
        <v>3970</v>
      </c>
      <c r="E534" s="232" t="str">
        <f>IF(MAX(MAX(H537:T537),-MIN(H537:T537))&lt;=Inputs!$E$50,"Matches v29",IF(OR($E$22=1),"Differs - requested change: "&amp;IF($E$22=1,"LT loan repaid in 2027 (not 2025); ","")&amp;IF($E$21&gt;0," (and inputs changed)",""),IF($E$21&gt;0,"Differs - inputs changed","UNEXPLAINED")))</f>
        <v>Differs - requested change: LT loan repaid in 2027 (not 2025);  (and inputs changed)</v>
      </c>
      <c r="F534" s="225">
        <f>MAX(MAX(H537:T537),-MIN(H537:T537))</f>
        <v>12.340568859999999</v>
      </c>
      <c r="G534" s="226">
        <f>IF(OR($E$22=1),0,MAX(MAX(H537:T537),-MIN(H537:T537)))</f>
        <v>0</v>
      </c>
    </row>
    <row r="535" spans="2:20" x14ac:dyDescent="0.25">
      <c r="B535" s="23" t="s">
        <v>3683</v>
      </c>
      <c r="C535" s="28" t="s">
        <v>493</v>
      </c>
      <c r="D535" s="155" t="s">
        <v>3730</v>
      </c>
      <c r="E535" s="178">
        <f>INDEX($G$535:$T$535,1,Inputs!$E$49-2022)</f>
        <v>400.26695344130002</v>
      </c>
      <c r="H535" s="30">
        <f>'Source Data'!H903</f>
        <v>40.429223963838901</v>
      </c>
      <c r="I535" s="30">
        <f>'Source Data'!I903</f>
        <v>100.673656080043</v>
      </c>
      <c r="J535" s="30">
        <f>'Source Data'!J903</f>
        <v>131.814859557651</v>
      </c>
      <c r="K535" s="30">
        <f>'Source Data'!K903</f>
        <v>194.665833968887</v>
      </c>
      <c r="L535" s="30">
        <f>'Source Data'!L903</f>
        <v>225.672340292066</v>
      </c>
      <c r="M535" s="30">
        <f>'Source Data'!M903</f>
        <v>266.48604401441401</v>
      </c>
      <c r="N535" s="30">
        <f>'Source Data'!N903</f>
        <v>281.62212885089502</v>
      </c>
      <c r="O535" s="30">
        <f>'Source Data'!O903</f>
        <v>313.38328297787098</v>
      </c>
      <c r="P535" s="30">
        <f>'Source Data'!P903</f>
        <v>332.34756970230501</v>
      </c>
      <c r="Q535" s="30">
        <f>'Source Data'!Q903</f>
        <v>367.27456360124302</v>
      </c>
      <c r="R535" s="30">
        <f>'Source Data'!R903</f>
        <v>386.50013977056301</v>
      </c>
      <c r="S535" s="30">
        <f>'Source Data'!S903</f>
        <v>384.17175904332402</v>
      </c>
      <c r="T535" s="30">
        <f>'Source Data'!T903</f>
        <v>400.26695344130002</v>
      </c>
    </row>
    <row r="536" spans="2:20" x14ac:dyDescent="0.25">
      <c r="B536" s="23" t="s">
        <v>3685</v>
      </c>
      <c r="C536" s="28" t="s">
        <v>493</v>
      </c>
      <c r="D536" s="227" t="s">
        <v>3971</v>
      </c>
      <c r="E536" s="178">
        <f>INDEX($G$536:$T$536,1,Inputs!$E$49-2022)</f>
        <v>412.27768293822038</v>
      </c>
      <c r="H536" s="30">
        <f>'FSL Output - Without BUMN'!H26</f>
        <v>40.429223963838908</v>
      </c>
      <c r="I536" s="30">
        <f>'FSL Output - Without BUMN'!I26</f>
        <v>100.67365608004286</v>
      </c>
      <c r="J536" s="30">
        <f>'FSL Output - Without BUMN'!J26</f>
        <v>119.4742906980608</v>
      </c>
      <c r="K536" s="30">
        <f>'FSL Output - Without BUMN'!K26</f>
        <v>188.54626420563858</v>
      </c>
      <c r="L536" s="30">
        <f>'FSL Output - Without BUMN'!L26</f>
        <v>220.75669029206574</v>
      </c>
      <c r="M536" s="30">
        <f>'FSL Output - Without BUMN'!M26</f>
        <v>259.76696196444806</v>
      </c>
      <c r="N536" s="30">
        <f>'FSL Output - Without BUMN'!N26</f>
        <v>281.68894985192134</v>
      </c>
      <c r="O536" s="30">
        <f>'FSL Output - Without BUMN'!O26</f>
        <v>317.5214153788977</v>
      </c>
      <c r="P536" s="30">
        <f>'FSL Output - Without BUMN'!P26</f>
        <v>339.56272659922496</v>
      </c>
      <c r="Q536" s="30">
        <f>'FSL Output - Without BUMN'!Q26</f>
        <v>375.84613800226924</v>
      </c>
      <c r="R536" s="30">
        <f>'FSL Output - Without BUMN'!R26</f>
        <v>396.40381767158982</v>
      </c>
      <c r="S536" s="30">
        <f>'FSL Output - Without BUMN'!S26</f>
        <v>395.40754044435056</v>
      </c>
      <c r="T536" s="30">
        <f>'FSL Output - Without BUMN'!T26</f>
        <v>412.27768293822038</v>
      </c>
    </row>
    <row r="537" spans="2:20" x14ac:dyDescent="0.25">
      <c r="B537" s="21" t="s">
        <v>3687</v>
      </c>
      <c r="C537" s="28" t="s">
        <v>493</v>
      </c>
      <c r="E537" s="228">
        <f>INDEX($G$537:$T$537,1,Inputs!$E$49-2022)</f>
        <v>12.010729497</v>
      </c>
      <c r="H537" s="229">
        <f t="shared" ref="H537:T537" si="68">ROUND(H536-H535,9)</f>
        <v>0</v>
      </c>
      <c r="I537" s="229">
        <f t="shared" si="68"/>
        <v>0</v>
      </c>
      <c r="J537" s="229">
        <f t="shared" si="68"/>
        <v>-12.340568859999999</v>
      </c>
      <c r="K537" s="229">
        <f t="shared" si="68"/>
        <v>-6.1195697630000003</v>
      </c>
      <c r="L537" s="229">
        <f t="shared" si="68"/>
        <v>-4.9156500000000003</v>
      </c>
      <c r="M537" s="229">
        <f t="shared" si="68"/>
        <v>-6.7190820499999999</v>
      </c>
      <c r="N537" s="229">
        <f t="shared" si="68"/>
        <v>6.6821001000000005E-2</v>
      </c>
      <c r="O537" s="229">
        <f t="shared" si="68"/>
        <v>4.138132401</v>
      </c>
      <c r="P537" s="229">
        <f t="shared" si="68"/>
        <v>7.215156897</v>
      </c>
      <c r="Q537" s="229">
        <f t="shared" si="68"/>
        <v>8.5715744009999995</v>
      </c>
      <c r="R537" s="229">
        <f t="shared" si="68"/>
        <v>9.903677901</v>
      </c>
      <c r="S537" s="229">
        <f t="shared" si="68"/>
        <v>11.235781401000001</v>
      </c>
      <c r="T537" s="229">
        <f t="shared" si="68"/>
        <v>12.010729497</v>
      </c>
    </row>
    <row r="538" spans="2:20" ht="27.75" customHeight="1" x14ac:dyDescent="0.25">
      <c r="B538" s="63" t="s">
        <v>3688</v>
      </c>
      <c r="G538" s="254" t="str">
        <f>"Without-IS11 FY"&amp;Inputs!$E$49&amp;": model "&amp;TEXT(E536,"#,##0.000")&amp;" vs v29 "&amp;TEXT(E535,"#,##0.000")&amp;" (difference "&amp;TEXT(ROUND(E537,3),"+#,##0.000;-#,##0.000;0.000")&amp;")"&amp;IF(ABS(E537)&lt;=Inputs!$E$50," - matches v29.",IF(LEFT(E534,19)="Differs - requested"," - due to the requested change: "&amp;MID(E534,29,200),IF($E$21&gt;0," - differs because inputs / switches were changed."," - UNEXPLAINED: no input was changed.")))</f>
        <v>Without-IS11 FY2036: model 412.278 vs v29 400.267 (difference +12.011) - due to the requested change: LT loan repaid in 2027 (not 2025);  (and inputs changed)</v>
      </c>
      <c r="H538" s="254"/>
      <c r="I538" s="254"/>
      <c r="J538" s="254"/>
      <c r="K538" s="254"/>
      <c r="L538" s="254"/>
      <c r="M538" s="254"/>
      <c r="N538" s="254"/>
      <c r="O538" s="254"/>
      <c r="P538" s="254"/>
      <c r="Q538" s="254"/>
      <c r="R538" s="254"/>
      <c r="S538" s="254"/>
      <c r="T538" s="254"/>
    </row>
    <row r="539" spans="2:20" ht="24.75" customHeight="1" x14ac:dyDescent="0.25">
      <c r="B539" s="221" t="s">
        <v>3972</v>
      </c>
      <c r="C539" s="222" t="s">
        <v>493</v>
      </c>
      <c r="D539" s="231" t="s">
        <v>3973</v>
      </c>
      <c r="E539" s="232" t="str">
        <f>IF(MAX(MAX(H542:T542),-MIN(H542:T542))&lt;=Inputs!$E$50,"Matches v29",IF(OR($E$22=1),"Differs - requested change: "&amp;IF($E$22=1,"LT loan repaid in 2027 (not 2025); ","")&amp;IF($E$21&gt;0," (and inputs changed)",""),IF($E$21&gt;0,"Differs - inputs changed","UNEXPLAINED")))</f>
        <v>Differs - requested change: LT loan repaid in 2027 (not 2025);  (and inputs changed)</v>
      </c>
      <c r="F539" s="225">
        <f>MAX(MAX(H542:T542),-MIN(H542:T542))</f>
        <v>12.340568859999999</v>
      </c>
      <c r="G539" s="226">
        <f>IF(OR($E$22=1),0,MAX(MAX(H542:T542),-MIN(H542:T542)))</f>
        <v>0</v>
      </c>
    </row>
    <row r="540" spans="2:20" x14ac:dyDescent="0.25">
      <c r="B540" s="23" t="s">
        <v>3683</v>
      </c>
      <c r="C540" s="28" t="s">
        <v>493</v>
      </c>
      <c r="D540" s="155" t="s">
        <v>3734</v>
      </c>
      <c r="E540" s="178">
        <f>INDEX($G$540:$T$540,1,Inputs!$E$49-2022)</f>
        <v>400.26695344130002</v>
      </c>
      <c r="H540" s="30">
        <f>'Source Data'!H905</f>
        <v>40.429223963838901</v>
      </c>
      <c r="I540" s="30">
        <f>'Source Data'!I905</f>
        <v>100.673656080043</v>
      </c>
      <c r="J540" s="30">
        <f>'Source Data'!J905</f>
        <v>131.814859557651</v>
      </c>
      <c r="K540" s="30">
        <f>'Source Data'!K905</f>
        <v>194.665833968887</v>
      </c>
      <c r="L540" s="30">
        <f>'Source Data'!L905</f>
        <v>225.672340292066</v>
      </c>
      <c r="M540" s="30">
        <f>'Source Data'!M905</f>
        <v>266.48604401441401</v>
      </c>
      <c r="N540" s="30">
        <f>'Source Data'!N905</f>
        <v>281.62212885089502</v>
      </c>
      <c r="O540" s="30">
        <f>'Source Data'!O905</f>
        <v>313.38328297787098</v>
      </c>
      <c r="P540" s="30">
        <f>'Source Data'!P905</f>
        <v>332.34756970230501</v>
      </c>
      <c r="Q540" s="30">
        <f>'Source Data'!Q905</f>
        <v>367.27456360124302</v>
      </c>
      <c r="R540" s="30">
        <f>'Source Data'!R905</f>
        <v>386.50013977056301</v>
      </c>
      <c r="S540" s="30">
        <f>'Source Data'!S905</f>
        <v>384.17175904332402</v>
      </c>
      <c r="T540" s="30">
        <f>'Source Data'!T905</f>
        <v>400.26695344130002</v>
      </c>
    </row>
    <row r="541" spans="2:20" x14ac:dyDescent="0.25">
      <c r="B541" s="23" t="s">
        <v>3685</v>
      </c>
      <c r="C541" s="28" t="s">
        <v>493</v>
      </c>
      <c r="D541" s="227" t="s">
        <v>3974</v>
      </c>
      <c r="E541" s="178">
        <f>INDEX($G$541:$T$541,1,Inputs!$E$49-2022)</f>
        <v>412.27768293822038</v>
      </c>
      <c r="H541" s="30">
        <f>'FSL Output - Without BUMN'!H218</f>
        <v>40.429223963838908</v>
      </c>
      <c r="I541" s="30">
        <f>'FSL Output - Without BUMN'!I218</f>
        <v>100.67365608004286</v>
      </c>
      <c r="J541" s="30">
        <f>'FSL Output - Without BUMN'!J218</f>
        <v>119.4742906980608</v>
      </c>
      <c r="K541" s="30">
        <f>'FSL Output - Without BUMN'!K218</f>
        <v>188.54626420563858</v>
      </c>
      <c r="L541" s="30">
        <f>'FSL Output - Without BUMN'!L218</f>
        <v>220.75669029206574</v>
      </c>
      <c r="M541" s="30">
        <f>'FSL Output - Without BUMN'!M218</f>
        <v>259.76696196444806</v>
      </c>
      <c r="N541" s="30">
        <f>'FSL Output - Without BUMN'!N218</f>
        <v>281.68894985192134</v>
      </c>
      <c r="O541" s="30">
        <f>'FSL Output - Without BUMN'!O218</f>
        <v>317.5214153788977</v>
      </c>
      <c r="P541" s="30">
        <f>'FSL Output - Without BUMN'!P218</f>
        <v>339.56272659922496</v>
      </c>
      <c r="Q541" s="30">
        <f>'FSL Output - Without BUMN'!Q218</f>
        <v>375.84613800226924</v>
      </c>
      <c r="R541" s="30">
        <f>'FSL Output - Without BUMN'!R218</f>
        <v>396.40381767158982</v>
      </c>
      <c r="S541" s="30">
        <f>'FSL Output - Without BUMN'!S218</f>
        <v>395.40754044435056</v>
      </c>
      <c r="T541" s="30">
        <f>'FSL Output - Without BUMN'!T218</f>
        <v>412.27768293822038</v>
      </c>
    </row>
    <row r="542" spans="2:20" x14ac:dyDescent="0.25">
      <c r="B542" s="21" t="s">
        <v>3687</v>
      </c>
      <c r="C542" s="28" t="s">
        <v>493</v>
      </c>
      <c r="E542" s="228">
        <f>INDEX($G$542:$T$542,1,Inputs!$E$49-2022)</f>
        <v>12.010729497</v>
      </c>
      <c r="H542" s="229">
        <f t="shared" ref="H542:T542" si="69">ROUND(H541-H540,9)</f>
        <v>0</v>
      </c>
      <c r="I542" s="229">
        <f t="shared" si="69"/>
        <v>0</v>
      </c>
      <c r="J542" s="229">
        <f t="shared" si="69"/>
        <v>-12.340568859999999</v>
      </c>
      <c r="K542" s="229">
        <f t="shared" si="69"/>
        <v>-6.1195697630000003</v>
      </c>
      <c r="L542" s="229">
        <f t="shared" si="69"/>
        <v>-4.9156500000000003</v>
      </c>
      <c r="M542" s="229">
        <f t="shared" si="69"/>
        <v>-6.7190820499999999</v>
      </c>
      <c r="N542" s="229">
        <f t="shared" si="69"/>
        <v>6.6821001000000005E-2</v>
      </c>
      <c r="O542" s="229">
        <f t="shared" si="69"/>
        <v>4.138132401</v>
      </c>
      <c r="P542" s="229">
        <f t="shared" si="69"/>
        <v>7.215156897</v>
      </c>
      <c r="Q542" s="229">
        <f t="shared" si="69"/>
        <v>8.5715744009999995</v>
      </c>
      <c r="R542" s="229">
        <f t="shared" si="69"/>
        <v>9.903677901</v>
      </c>
      <c r="S542" s="229">
        <f t="shared" si="69"/>
        <v>11.235781401000001</v>
      </c>
      <c r="T542" s="229">
        <f t="shared" si="69"/>
        <v>12.010729497</v>
      </c>
    </row>
    <row r="543" spans="2:20" ht="27.75" customHeight="1" x14ac:dyDescent="0.25">
      <c r="B543" s="63" t="s">
        <v>3688</v>
      </c>
      <c r="G543" s="254" t="str">
        <f>"Without-CF01 FY"&amp;Inputs!$E$49&amp;": model "&amp;TEXT(E541,"#,##0.000")&amp;" vs v29 "&amp;TEXT(E540,"#,##0.000")&amp;" (difference "&amp;TEXT(ROUND(E542,3),"+#,##0.000;-#,##0.000;0.000")&amp;")"&amp;IF(ABS(E542)&lt;=Inputs!$E$50," - matches v29.",IF(LEFT(E539,19)="Differs - requested"," - due to the requested change: "&amp;MID(E539,29,200),IF($E$21&gt;0," - differs because inputs / switches were changed."," - UNEXPLAINED: no input was changed.")))</f>
        <v>Without-CF01 FY2036: model 412.278 vs v29 400.267 (difference +12.011) - due to the requested change: LT loan repaid in 2027 (not 2025);  (and inputs changed)</v>
      </c>
      <c r="H543" s="254"/>
      <c r="I543" s="254"/>
      <c r="J543" s="254"/>
      <c r="K543" s="254"/>
      <c r="L543" s="254"/>
      <c r="M543" s="254"/>
      <c r="N543" s="254"/>
      <c r="O543" s="254"/>
      <c r="P543" s="254"/>
      <c r="Q543" s="254"/>
      <c r="R543" s="254"/>
      <c r="S543" s="254"/>
      <c r="T543" s="254"/>
    </row>
    <row r="544" spans="2:20" x14ac:dyDescent="0.25">
      <c r="B544" s="221" t="s">
        <v>3975</v>
      </c>
      <c r="C544" s="222" t="s">
        <v>493</v>
      </c>
      <c r="D544" s="223" t="s">
        <v>3976</v>
      </c>
      <c r="E544" s="224" t="str">
        <f>IF(MAX(MAX(H547:T547),-MIN(H547:T547))&lt;=Inputs!$E$50,"Matches v29",IF($E$21&gt;0,"Differs - inputs changed","UNEXPLAINED"))</f>
        <v>Differs - inputs changed</v>
      </c>
      <c r="F544" s="225">
        <f>MAX(MAX(H547:T547),-MIN(H547:T547))</f>
        <v>11.408878850000001</v>
      </c>
      <c r="G544" s="226">
        <f>MAX(MAX(H547:T547),-MIN(H547:T547))</f>
        <v>11.408878850000001</v>
      </c>
    </row>
    <row r="545" spans="2:20" x14ac:dyDescent="0.25">
      <c r="B545" s="23" t="s">
        <v>3683</v>
      </c>
      <c r="C545" s="28" t="s">
        <v>493</v>
      </c>
      <c r="D545" s="155" t="s">
        <v>3738</v>
      </c>
      <c r="E545" s="178">
        <f>INDEX($G$545:$T$545,1,Inputs!$E$49-2022)</f>
        <v>142.73553211478</v>
      </c>
      <c r="H545" s="30">
        <f>'Source Data'!H906</f>
        <v>88.373062408935297</v>
      </c>
      <c r="I545" s="30">
        <f>'Source Data'!I906</f>
        <v>113.59968518200201</v>
      </c>
      <c r="J545" s="30">
        <f>'Source Data'!J906</f>
        <v>134.96780390311301</v>
      </c>
      <c r="K545" s="30">
        <f>'Source Data'!K906</f>
        <v>136.94134168720899</v>
      </c>
      <c r="L545" s="30">
        <f>'Source Data'!L906</f>
        <v>144.19843006333599</v>
      </c>
      <c r="M545" s="30">
        <f>'Source Data'!M906</f>
        <v>146.20716215698599</v>
      </c>
      <c r="N545" s="30">
        <f>'Source Data'!N906</f>
        <v>146.21606889250901</v>
      </c>
      <c r="O545" s="30">
        <f>'Source Data'!O906</f>
        <v>146.225153762742</v>
      </c>
      <c r="P545" s="30">
        <f>'Source Data'!P906</f>
        <v>148.23442033038</v>
      </c>
      <c r="Q545" s="30">
        <f>'Source Data'!Q906</f>
        <v>148.24387222937099</v>
      </c>
      <c r="R545" s="30">
        <f>'Source Data'!R906</f>
        <v>142.71566792824601</v>
      </c>
      <c r="S545" s="30">
        <f>'Source Data'!S906</f>
        <v>142.725501683956</v>
      </c>
      <c r="T545" s="30">
        <f>'Source Data'!T906</f>
        <v>142.73553211478</v>
      </c>
    </row>
    <row r="546" spans="2:20" x14ac:dyDescent="0.25">
      <c r="B546" s="23" t="s">
        <v>3685</v>
      </c>
      <c r="C546" s="28" t="s">
        <v>493</v>
      </c>
      <c r="D546" s="227" t="s">
        <v>3977</v>
      </c>
      <c r="E546" s="178">
        <f>INDEX($G$546:$T$546,1,Inputs!$E$49-2022)</f>
        <v>154.14441096488284</v>
      </c>
      <c r="H546" s="30">
        <f>'FSL Output - Without BUMN'!H219</f>
        <v>88.373062408935311</v>
      </c>
      <c r="I546" s="30">
        <f>'FSL Output - Without BUMN'!I219</f>
        <v>113.59968518200155</v>
      </c>
      <c r="J546" s="30">
        <f>'FSL Output - Without BUMN'!J219</f>
        <v>134.96780390311255</v>
      </c>
      <c r="K546" s="30">
        <f>'FSL Output - Without BUMN'!K219</f>
        <v>136.94134168720865</v>
      </c>
      <c r="L546" s="30">
        <f>'FSL Output - Without BUMN'!L219</f>
        <v>144.19843006333596</v>
      </c>
      <c r="M546" s="30">
        <f>'FSL Output - Without BUMN'!M219</f>
        <v>157.58486920695159</v>
      </c>
      <c r="N546" s="30">
        <f>'FSL Output - Without BUMN'!N219</f>
        <v>157.59377594247448</v>
      </c>
      <c r="O546" s="30">
        <f>'FSL Output - Without BUMN'!O219</f>
        <v>157.60286081270777</v>
      </c>
      <c r="P546" s="30">
        <f>'FSL Output - Without BUMN'!P219</f>
        <v>159.64329918048264</v>
      </c>
      <c r="Q546" s="30">
        <f>'FSL Output - Without BUMN'!Q219</f>
        <v>159.62157927933652</v>
      </c>
      <c r="R546" s="30">
        <f>'FSL Output - Without BUMN'!R219</f>
        <v>154.09337497821181</v>
      </c>
      <c r="S546" s="30">
        <f>'FSL Output - Without BUMN'!S219</f>
        <v>154.10320873392178</v>
      </c>
      <c r="T546" s="30">
        <f>'FSL Output - Without BUMN'!T219</f>
        <v>154.14441096488284</v>
      </c>
    </row>
    <row r="547" spans="2:20" x14ac:dyDescent="0.25">
      <c r="B547" s="21" t="s">
        <v>3687</v>
      </c>
      <c r="C547" s="28" t="s">
        <v>493</v>
      </c>
      <c r="E547" s="228">
        <f>INDEX($G$547:$T$547,1,Inputs!$E$49-2022)</f>
        <v>11.408878850000001</v>
      </c>
      <c r="H547" s="229">
        <f t="shared" ref="H547:T547" si="70">ROUND(H546-H545,9)</f>
        <v>0</v>
      </c>
      <c r="I547" s="229">
        <f t="shared" si="70"/>
        <v>0</v>
      </c>
      <c r="J547" s="229">
        <f t="shared" si="70"/>
        <v>0</v>
      </c>
      <c r="K547" s="229">
        <f t="shared" si="70"/>
        <v>0</v>
      </c>
      <c r="L547" s="229">
        <f t="shared" si="70"/>
        <v>0</v>
      </c>
      <c r="M547" s="229">
        <f t="shared" si="70"/>
        <v>11.37770705</v>
      </c>
      <c r="N547" s="229">
        <f t="shared" si="70"/>
        <v>11.37770705</v>
      </c>
      <c r="O547" s="229">
        <f t="shared" si="70"/>
        <v>11.37770705</v>
      </c>
      <c r="P547" s="229">
        <f t="shared" si="70"/>
        <v>11.408878850000001</v>
      </c>
      <c r="Q547" s="229">
        <f t="shared" si="70"/>
        <v>11.37770705</v>
      </c>
      <c r="R547" s="229">
        <f t="shared" si="70"/>
        <v>11.37770705</v>
      </c>
      <c r="S547" s="229">
        <f t="shared" si="70"/>
        <v>11.37770705</v>
      </c>
      <c r="T547" s="229">
        <f t="shared" si="70"/>
        <v>11.408878850000001</v>
      </c>
    </row>
    <row r="548" spans="2:20" ht="27.75" customHeight="1" x14ac:dyDescent="0.25">
      <c r="B548" s="63" t="s">
        <v>3688</v>
      </c>
      <c r="G548" s="254" t="str">
        <f>"Without-CF02 FY"&amp;Inputs!$E$49&amp;": model "&amp;TEXT(E546,"#,##0.000")&amp;" vs v29 "&amp;TEXT(E545,"#,##0.000")&amp;" (difference "&amp;TEXT(ROUND(E547,3),"+#,##0.000;-#,##0.000;0.000")&amp;")"&amp;IF(ABS(E547)&lt;=Inputs!$E$50," - matches v29.",IF(LEFT(E544,19)="Differs - requested"," - due to the requested change: "&amp;MID(E544,29,200),IF($E$21&gt;0," - differs because inputs / switches were changed."," - UNEXPLAINED: no input was changed.")))</f>
        <v>Without-CF02 FY2036: model 154.144 vs v29 142.736 (difference +11.409) - differs because inputs / switches were changed.</v>
      </c>
      <c r="H548" s="254"/>
      <c r="I548" s="254"/>
      <c r="J548" s="254"/>
      <c r="K548" s="254"/>
      <c r="L548" s="254"/>
      <c r="M548" s="254"/>
      <c r="N548" s="254"/>
      <c r="O548" s="254"/>
      <c r="P548" s="254"/>
      <c r="Q548" s="254"/>
      <c r="R548" s="254"/>
      <c r="S548" s="254"/>
      <c r="T548" s="254"/>
    </row>
    <row r="549" spans="2:20" x14ac:dyDescent="0.25">
      <c r="B549" s="221" t="s">
        <v>3978</v>
      </c>
      <c r="C549" s="222" t="s">
        <v>493</v>
      </c>
      <c r="D549" s="223" t="s">
        <v>3979</v>
      </c>
      <c r="E549" s="224" t="str">
        <f>IF(MAX(MAX(H552:T552),-MIN(H552:T552))&lt;=Inputs!$E$50,"Matches v29",IF($E$21&gt;0,"Differs - inputs changed","UNEXPLAINED"))</f>
        <v>Differs - inputs changed</v>
      </c>
      <c r="F549" s="225">
        <f>MAX(MAX(H552:T552),-MIN(H552:T552))</f>
        <v>2.5718013700000002</v>
      </c>
      <c r="G549" s="226">
        <f>MAX(MAX(H552:T552),-MIN(H552:T552))</f>
        <v>2.5718013700000002</v>
      </c>
    </row>
    <row r="550" spans="2:20" x14ac:dyDescent="0.25">
      <c r="B550" s="23" t="s">
        <v>3683</v>
      </c>
      <c r="C550" s="28" t="s">
        <v>493</v>
      </c>
      <c r="D550" s="155" t="s">
        <v>3742</v>
      </c>
      <c r="E550" s="178">
        <f>INDEX($G$550:$T$550,1,Inputs!$E$49-2022)</f>
        <v>-3.2820665224026899</v>
      </c>
      <c r="H550" s="30">
        <f>'Source Data'!H907</f>
        <v>2.8370388994712199</v>
      </c>
      <c r="I550" s="30">
        <f>'Source Data'!I907</f>
        <v>-15.803178598626999</v>
      </c>
      <c r="J550" s="30">
        <f>'Source Data'!J907</f>
        <v>-8.4563929971098908</v>
      </c>
      <c r="K550" s="30">
        <f>'Source Data'!K907</f>
        <v>-14.439184970429199</v>
      </c>
      <c r="L550" s="30">
        <f>'Source Data'!L907</f>
        <v>-8.0978661862768</v>
      </c>
      <c r="M550" s="30">
        <f>'Source Data'!M907</f>
        <v>-8.1575101805452697</v>
      </c>
      <c r="N550" s="30">
        <f>'Source Data'!N907</f>
        <v>-3.3805540252058099</v>
      </c>
      <c r="O550" s="30">
        <f>'Source Data'!O907</f>
        <v>-6.3550153323091401</v>
      </c>
      <c r="P550" s="30">
        <f>'Source Data'!P907</f>
        <v>-3.97891409704489</v>
      </c>
      <c r="Q550" s="30">
        <f>'Source Data'!Q907</f>
        <v>-7.1522983871453096</v>
      </c>
      <c r="R550" s="30">
        <f>'Source Data'!R907</f>
        <v>-2.26820295449305</v>
      </c>
      <c r="S550" s="30">
        <f>'Source Data'!S907</f>
        <v>-0.82226010824623996</v>
      </c>
      <c r="T550" s="30">
        <f>'Source Data'!T907</f>
        <v>-3.2820665224026899</v>
      </c>
    </row>
    <row r="551" spans="2:20" x14ac:dyDescent="0.25">
      <c r="B551" s="23" t="s">
        <v>3685</v>
      </c>
      <c r="C551" s="28" t="s">
        <v>493</v>
      </c>
      <c r="D551" s="227" t="s">
        <v>3980</v>
      </c>
      <c r="E551" s="178">
        <f>INDEX($G$551:$T$551,1,Inputs!$E$49-2022)</f>
        <v>-3.2700735401435708</v>
      </c>
      <c r="H551" s="30">
        <f>'FSL Output - Without BUMN'!H221</f>
        <v>2.8370388994712172</v>
      </c>
      <c r="I551" s="30">
        <f>'FSL Output - Without BUMN'!I221</f>
        <v>-15.803178598627007</v>
      </c>
      <c r="J551" s="30">
        <f>'FSL Output - Without BUMN'!J221</f>
        <v>-8.4563929971098872</v>
      </c>
      <c r="K551" s="30">
        <f>'FSL Output - Without BUMN'!K221</f>
        <v>-14.439184970429189</v>
      </c>
      <c r="L551" s="30">
        <f>'FSL Output - Without BUMN'!L221</f>
        <v>-8.0978661862768035</v>
      </c>
      <c r="M551" s="30">
        <f>'FSL Output - Without BUMN'!M221</f>
        <v>-10.729311550408283</v>
      </c>
      <c r="N551" s="30">
        <f>'FSL Output - Without BUMN'!N221</f>
        <v>-4.2893690936989941</v>
      </c>
      <c r="O551" s="30">
        <f>'FSL Output - Without BUMN'!O221</f>
        <v>-6.9608920446379159</v>
      </c>
      <c r="P551" s="30">
        <f>'FSL Output - Without BUMN'!P221</f>
        <v>-4.2698594709500952</v>
      </c>
      <c r="Q551" s="30">
        <f>'FSL Output - Without BUMN'!Q221</f>
        <v>-7.1642913694044239</v>
      </c>
      <c r="R551" s="30">
        <f>'FSL Output - Without BUMN'!R221</f>
        <v>-2.2682029544930629</v>
      </c>
      <c r="S551" s="30">
        <f>'FSL Output - Without BUMN'!S221</f>
        <v>-0.82226010824624041</v>
      </c>
      <c r="T551" s="30">
        <f>'FSL Output - Without BUMN'!T221</f>
        <v>-3.2700735401435708</v>
      </c>
    </row>
    <row r="552" spans="2:20" x14ac:dyDescent="0.25">
      <c r="B552" s="21" t="s">
        <v>3687</v>
      </c>
      <c r="C552" s="28" t="s">
        <v>493</v>
      </c>
      <c r="E552" s="228">
        <f>INDEX($G$552:$T$552,1,Inputs!$E$49-2022)</f>
        <v>1.1992981999999999E-2</v>
      </c>
      <c r="H552" s="229">
        <f t="shared" ref="H552:T552" si="71">ROUND(H551-H550,9)</f>
        <v>0</v>
      </c>
      <c r="I552" s="229">
        <f t="shared" si="71"/>
        <v>0</v>
      </c>
      <c r="J552" s="229">
        <f t="shared" si="71"/>
        <v>0</v>
      </c>
      <c r="K552" s="229">
        <f t="shared" si="71"/>
        <v>0</v>
      </c>
      <c r="L552" s="229">
        <f t="shared" si="71"/>
        <v>0</v>
      </c>
      <c r="M552" s="229">
        <f t="shared" si="71"/>
        <v>-2.5718013700000002</v>
      </c>
      <c r="N552" s="229">
        <f t="shared" si="71"/>
        <v>-0.908815068</v>
      </c>
      <c r="O552" s="229">
        <f t="shared" si="71"/>
        <v>-0.60587671200000004</v>
      </c>
      <c r="P552" s="229">
        <f t="shared" si="71"/>
        <v>-0.29094537399999998</v>
      </c>
      <c r="Q552" s="229">
        <f t="shared" si="71"/>
        <v>-1.1992981999999999E-2</v>
      </c>
      <c r="R552" s="229">
        <f t="shared" si="71"/>
        <v>0</v>
      </c>
      <c r="S552" s="229">
        <f t="shared" si="71"/>
        <v>0</v>
      </c>
      <c r="T552" s="229">
        <f t="shared" si="71"/>
        <v>1.1992981999999999E-2</v>
      </c>
    </row>
    <row r="553" spans="2:20" ht="27.75" customHeight="1" x14ac:dyDescent="0.25">
      <c r="B553" s="63" t="s">
        <v>3688</v>
      </c>
      <c r="G553" s="254" t="str">
        <f>"Without-CF03 FY"&amp;Inputs!$E$49&amp;": model "&amp;TEXT(E551,"#,##0.000")&amp;" vs v29 "&amp;TEXT(E550,"#,##0.000")&amp;" (difference "&amp;TEXT(ROUND(E552,3),"+#,##0.000;-#,##0.000;0.000")&amp;")"&amp;IF(ABS(E552)&lt;=Inputs!$E$50," - matches v29.",IF(LEFT(E549,19)="Differs - requested"," - due to the requested change: "&amp;MID(E549,29,200),IF($E$21&gt;0," - differs because inputs / switches were changed."," - UNEXPLAINED: no input was changed.")))</f>
        <v>Without-CF03 FY2036: model -3.270 vs v29 -3.282 (difference +0.012) - differs because inputs / switches were changed.</v>
      </c>
      <c r="H553" s="254"/>
      <c r="I553" s="254"/>
      <c r="J553" s="254"/>
      <c r="K553" s="254"/>
      <c r="L553" s="254"/>
      <c r="M553" s="254"/>
      <c r="N553" s="254"/>
      <c r="O553" s="254"/>
      <c r="P553" s="254"/>
      <c r="Q553" s="254"/>
      <c r="R553" s="254"/>
      <c r="S553" s="254"/>
      <c r="T553" s="254"/>
    </row>
    <row r="554" spans="2:20" ht="24.75" customHeight="1" x14ac:dyDescent="0.25">
      <c r="B554" s="221" t="s">
        <v>3981</v>
      </c>
      <c r="C554" s="222" t="s">
        <v>493</v>
      </c>
      <c r="D554" s="231" t="s">
        <v>3982</v>
      </c>
      <c r="E554" s="232" t="str">
        <f>IF(MAX(MAX(H557:T557),-MIN(H557:T557))&lt;=Inputs!$E$50,"Matches v29",IF(OR($E$22=1),"Differs - requested change: "&amp;IF($E$22=1,"LT loan repaid in 2027 (not 2025); ","")&amp;IF($E$21&gt;0," (and inputs changed)",""),IF($E$21&gt;0,"Differs - inputs changed","UNEXPLAINED")))</f>
        <v>Differs - requested change: LT loan repaid in 2027 (not 2025);  (and inputs changed)</v>
      </c>
      <c r="F554" s="225">
        <f>MAX(MAX(H557:T557),-MIN(H557:T557))</f>
        <v>23.431601328999999</v>
      </c>
      <c r="G554" s="226">
        <f>IF(OR($E$22=1),0,MAX(MAX(H557:T557),-MIN(H557:T557)))</f>
        <v>0</v>
      </c>
    </row>
    <row r="555" spans="2:20" x14ac:dyDescent="0.25">
      <c r="B555" s="23" t="s">
        <v>3683</v>
      </c>
      <c r="C555" s="28" t="s">
        <v>493</v>
      </c>
      <c r="D555" s="155" t="s">
        <v>3746</v>
      </c>
      <c r="E555" s="178">
        <f>INDEX($G$555:$T$555,1,Inputs!$E$49-2022)</f>
        <v>539.72041903367801</v>
      </c>
      <c r="H555" s="30">
        <f>'Source Data'!H908</f>
        <v>131.639325272245</v>
      </c>
      <c r="I555" s="30">
        <f>'Source Data'!I908</f>
        <v>198.470162663417</v>
      </c>
      <c r="J555" s="30">
        <f>'Source Data'!J908</f>
        <v>258.32627046365297</v>
      </c>
      <c r="K555" s="30">
        <f>'Source Data'!K908</f>
        <v>317.16799068566701</v>
      </c>
      <c r="L555" s="30">
        <f>'Source Data'!L908</f>
        <v>361.77290416912501</v>
      </c>
      <c r="M555" s="30">
        <f>'Source Data'!M908</f>
        <v>404.53569599085398</v>
      </c>
      <c r="N555" s="30">
        <f>'Source Data'!N908</f>
        <v>424.45764371819803</v>
      </c>
      <c r="O555" s="30">
        <f>'Source Data'!O908</f>
        <v>453.25342140830401</v>
      </c>
      <c r="P555" s="30">
        <f>'Source Data'!P908</f>
        <v>476.60307593563999</v>
      </c>
      <c r="Q555" s="30">
        <f>'Source Data'!Q908</f>
        <v>508.36613744346801</v>
      </c>
      <c r="R555" s="30">
        <f>'Source Data'!R908</f>
        <v>526.94760474431598</v>
      </c>
      <c r="S555" s="30">
        <f>'Source Data'!S908</f>
        <v>526.07500061903397</v>
      </c>
      <c r="T555" s="30">
        <f>'Source Data'!T908</f>
        <v>539.72041903367801</v>
      </c>
    </row>
    <row r="556" spans="2:20" x14ac:dyDescent="0.25">
      <c r="B556" s="23" t="s">
        <v>3685</v>
      </c>
      <c r="C556" s="28" t="s">
        <v>493</v>
      </c>
      <c r="D556" s="227" t="s">
        <v>3983</v>
      </c>
      <c r="E556" s="178">
        <f>INDEX($G$556:$T$556,1,Inputs!$E$49-2022)</f>
        <v>563.15202036295966</v>
      </c>
      <c r="H556" s="30">
        <f>'FSL Output - Without BUMN'!H222</f>
        <v>131.63932527224546</v>
      </c>
      <c r="I556" s="30">
        <f>'FSL Output - Without BUMN'!I222</f>
        <v>198.47016266341743</v>
      </c>
      <c r="J556" s="30">
        <f>'FSL Output - Without BUMN'!J222</f>
        <v>245.98570160406348</v>
      </c>
      <c r="K556" s="30">
        <f>'FSL Output - Without BUMN'!K222</f>
        <v>311.04842092241802</v>
      </c>
      <c r="L556" s="30">
        <f>'FSL Output - Without BUMN'!L222</f>
        <v>356.85725416912493</v>
      </c>
      <c r="M556" s="30">
        <f>'FSL Output - Without BUMN'!M222</f>
        <v>406.6225196209914</v>
      </c>
      <c r="N556" s="30">
        <f>'FSL Output - Without BUMN'!N222</f>
        <v>434.99335670069678</v>
      </c>
      <c r="O556" s="30">
        <f>'FSL Output - Without BUMN'!O222</f>
        <v>468.16338414696759</v>
      </c>
      <c r="P556" s="30">
        <f>'FSL Output - Without BUMN'!P222</f>
        <v>494.93616630875749</v>
      </c>
      <c r="Q556" s="30">
        <f>'FSL Output - Without BUMN'!Q222</f>
        <v>528.30342591220131</v>
      </c>
      <c r="R556" s="30">
        <f>'FSL Output - Without BUMN'!R222</f>
        <v>548.22898969530854</v>
      </c>
      <c r="S556" s="30">
        <f>'FSL Output - Without BUMN'!S222</f>
        <v>548.68848907002609</v>
      </c>
      <c r="T556" s="30">
        <f>'FSL Output - Without BUMN'!T222</f>
        <v>563.15202036295966</v>
      </c>
    </row>
    <row r="557" spans="2:20" x14ac:dyDescent="0.25">
      <c r="B557" s="21" t="s">
        <v>3687</v>
      </c>
      <c r="C557" s="28" t="s">
        <v>493</v>
      </c>
      <c r="E557" s="228">
        <f>INDEX($G$557:$T$557,1,Inputs!$E$49-2022)</f>
        <v>23.431601328999999</v>
      </c>
      <c r="H557" s="229">
        <f t="shared" ref="H557:T557" si="72">ROUND(H556-H555,9)</f>
        <v>0</v>
      </c>
      <c r="I557" s="229">
        <f t="shared" si="72"/>
        <v>0</v>
      </c>
      <c r="J557" s="229">
        <f t="shared" si="72"/>
        <v>-12.340568859999999</v>
      </c>
      <c r="K557" s="229">
        <f t="shared" si="72"/>
        <v>-6.1195697630000003</v>
      </c>
      <c r="L557" s="229">
        <f t="shared" si="72"/>
        <v>-4.9156500000000003</v>
      </c>
      <c r="M557" s="229">
        <f t="shared" si="72"/>
        <v>2.08682363</v>
      </c>
      <c r="N557" s="229">
        <f t="shared" si="72"/>
        <v>10.535712982</v>
      </c>
      <c r="O557" s="229">
        <f t="shared" si="72"/>
        <v>14.909962738999999</v>
      </c>
      <c r="P557" s="229">
        <f t="shared" si="72"/>
        <v>18.333090373000001</v>
      </c>
      <c r="Q557" s="229">
        <f t="shared" si="72"/>
        <v>19.937288468999999</v>
      </c>
      <c r="R557" s="229">
        <f t="shared" si="72"/>
        <v>21.281384951</v>
      </c>
      <c r="S557" s="229">
        <f t="shared" si="72"/>
        <v>22.613488450999998</v>
      </c>
      <c r="T557" s="229">
        <f t="shared" si="72"/>
        <v>23.431601328999999</v>
      </c>
    </row>
    <row r="558" spans="2:20" ht="27.75" customHeight="1" x14ac:dyDescent="0.25">
      <c r="B558" s="63" t="s">
        <v>3688</v>
      </c>
      <c r="G558" s="254" t="str">
        <f>"Without-CF04 FY"&amp;Inputs!$E$49&amp;": model "&amp;TEXT(E556,"#,##0.000")&amp;" vs v29 "&amp;TEXT(E555,"#,##0.000")&amp;" (difference "&amp;TEXT(ROUND(E557,3),"+#,##0.000;-#,##0.000;0.000")&amp;")"&amp;IF(ABS(E557)&lt;=Inputs!$E$50," - matches v29.",IF(LEFT(E554,19)="Differs - requested"," - due to the requested change: "&amp;MID(E554,29,200),IF($E$21&gt;0," - differs because inputs / switches were changed."," - UNEXPLAINED: no input was changed.")))</f>
        <v>Without-CF04 FY2036: model 563.152 vs v29 539.720 (difference +23.432) - due to the requested change: LT loan repaid in 2027 (not 2025);  (and inputs changed)</v>
      </c>
      <c r="H558" s="254"/>
      <c r="I558" s="254"/>
      <c r="J558" s="254"/>
      <c r="K558" s="254"/>
      <c r="L558" s="254"/>
      <c r="M558" s="254"/>
      <c r="N558" s="254"/>
      <c r="O558" s="254"/>
      <c r="P558" s="254"/>
      <c r="Q558" s="254"/>
      <c r="R558" s="254"/>
      <c r="S558" s="254"/>
      <c r="T558" s="254"/>
    </row>
    <row r="559" spans="2:20" x14ac:dyDescent="0.25">
      <c r="B559" s="221" t="s">
        <v>3984</v>
      </c>
      <c r="C559" s="222" t="s">
        <v>493</v>
      </c>
      <c r="D559" s="223" t="s">
        <v>3985</v>
      </c>
      <c r="E559" s="224" t="str">
        <f>IF(MAX(MAX(H562:T562),-MIN(H562:T562))&lt;=Inputs!$E$50,"Matches v29",IF($E$21&gt;0,"Differs - inputs changed","UNEXPLAINED"))</f>
        <v>Matches v29</v>
      </c>
      <c r="F559" s="225">
        <f>MAX(MAX(H562:T562),-MIN(H562:T562))</f>
        <v>0</v>
      </c>
      <c r="G559" s="226">
        <f>MAX(MAX(H562:T562),-MIN(H562:T562))</f>
        <v>0</v>
      </c>
    </row>
    <row r="560" spans="2:20" x14ac:dyDescent="0.25">
      <c r="B560" s="23" t="s">
        <v>3683</v>
      </c>
      <c r="C560" s="28" t="s">
        <v>493</v>
      </c>
      <c r="D560" s="155" t="s">
        <v>3750</v>
      </c>
      <c r="E560" s="178">
        <f>INDEX($G$560:$T$560,1,Inputs!$E$49-2022)</f>
        <v>0</v>
      </c>
      <c r="H560" s="30">
        <f>'Source Data'!H909</f>
        <v>0</v>
      </c>
      <c r="I560" s="30">
        <f>'Source Data'!I909</f>
        <v>0</v>
      </c>
      <c r="J560" s="30">
        <f>'Source Data'!J909</f>
        <v>0</v>
      </c>
      <c r="K560" s="30">
        <f>'Source Data'!K909</f>
        <v>0</v>
      </c>
      <c r="L560" s="30">
        <f>'Source Data'!L909</f>
        <v>0</v>
      </c>
      <c r="M560" s="30">
        <f>'Source Data'!M909</f>
        <v>0</v>
      </c>
      <c r="N560" s="30">
        <f>'Source Data'!N909</f>
        <v>0</v>
      </c>
      <c r="O560" s="30">
        <f>'Source Data'!O909</f>
        <v>0</v>
      </c>
      <c r="P560" s="30">
        <f>'Source Data'!P909</f>
        <v>0</v>
      </c>
      <c r="Q560" s="30">
        <f>'Source Data'!Q909</f>
        <v>0</v>
      </c>
      <c r="R560" s="30">
        <f>'Source Data'!R909</f>
        <v>0</v>
      </c>
      <c r="S560" s="30">
        <f>'Source Data'!S909</f>
        <v>0</v>
      </c>
      <c r="T560" s="30">
        <f>'Source Data'!T909</f>
        <v>0</v>
      </c>
    </row>
    <row r="561" spans="2:20" x14ac:dyDescent="0.25">
      <c r="B561" s="23" t="s">
        <v>3685</v>
      </c>
      <c r="C561" s="28" t="s">
        <v>493</v>
      </c>
      <c r="E561" s="178">
        <f>INDEX($G$561:$T$561,1,Inputs!$E$49-2022)</f>
        <v>0</v>
      </c>
      <c r="H561" s="161">
        <f>0</f>
        <v>0</v>
      </c>
      <c r="I561" s="161">
        <f>0</f>
        <v>0</v>
      </c>
      <c r="J561" s="161">
        <f>0</f>
        <v>0</v>
      </c>
      <c r="K561" s="161">
        <f>0</f>
        <v>0</v>
      </c>
      <c r="L561" s="161">
        <f>0</f>
        <v>0</v>
      </c>
      <c r="M561" s="161">
        <f>0</f>
        <v>0</v>
      </c>
      <c r="N561" s="161">
        <f>0</f>
        <v>0</v>
      </c>
      <c r="O561" s="161">
        <f>0</f>
        <v>0</v>
      </c>
      <c r="P561" s="161">
        <f>0</f>
        <v>0</v>
      </c>
      <c r="Q561" s="161">
        <f>0</f>
        <v>0</v>
      </c>
      <c r="R561" s="161">
        <f>0</f>
        <v>0</v>
      </c>
      <c r="S561" s="161">
        <f>0</f>
        <v>0</v>
      </c>
      <c r="T561" s="161">
        <f>0</f>
        <v>0</v>
      </c>
    </row>
    <row r="562" spans="2:20" x14ac:dyDescent="0.25">
      <c r="B562" s="21" t="s">
        <v>3687</v>
      </c>
      <c r="C562" s="28" t="s">
        <v>493</v>
      </c>
      <c r="E562" s="228">
        <f>INDEX($G$562:$T$562,1,Inputs!$E$49-2022)</f>
        <v>0</v>
      </c>
      <c r="H562" s="229">
        <f t="shared" ref="H562:T562" si="73">ROUND(H561-H560,9)</f>
        <v>0</v>
      </c>
      <c r="I562" s="229">
        <f t="shared" si="73"/>
        <v>0</v>
      </c>
      <c r="J562" s="229">
        <f t="shared" si="73"/>
        <v>0</v>
      </c>
      <c r="K562" s="229">
        <f t="shared" si="73"/>
        <v>0</v>
      </c>
      <c r="L562" s="229">
        <f t="shared" si="73"/>
        <v>0</v>
      </c>
      <c r="M562" s="229">
        <f t="shared" si="73"/>
        <v>0</v>
      </c>
      <c r="N562" s="229">
        <f t="shared" si="73"/>
        <v>0</v>
      </c>
      <c r="O562" s="229">
        <f t="shared" si="73"/>
        <v>0</v>
      </c>
      <c r="P562" s="229">
        <f t="shared" si="73"/>
        <v>0</v>
      </c>
      <c r="Q562" s="229">
        <f t="shared" si="73"/>
        <v>0</v>
      </c>
      <c r="R562" s="229">
        <f t="shared" si="73"/>
        <v>0</v>
      </c>
      <c r="S562" s="229">
        <f t="shared" si="73"/>
        <v>0</v>
      </c>
      <c r="T562" s="229">
        <f t="shared" si="73"/>
        <v>0</v>
      </c>
    </row>
    <row r="563" spans="2:20" ht="27.75" customHeight="1" x14ac:dyDescent="0.25">
      <c r="B563" s="63" t="s">
        <v>3751</v>
      </c>
      <c r="G563" s="254" t="str">
        <f>"Without-CF05 FY"&amp;Inputs!$E$49&amp;": model "&amp;TEXT(E561,"#,##0.000")&amp;" vs v29 "&amp;TEXT(E560,"#,##0.000")&amp;" (difference "&amp;TEXT(ROUND(E562,3),"+#,##0.000;-#,##0.000;0.000")&amp;")"&amp;IF(ABS(E562)&lt;=Inputs!$E$50," - matches v29.",IF(LEFT(E559,19)="Differs - requested"," - due to the requested change: "&amp;MID(E559,29,200),IF($E$21&gt;0," - differs because inputs / switches were changed."," - UNEXPLAINED: no input was changed.")))</f>
        <v>Without-CF05 FY2036: model 0.000 vs v29 0.000 (difference 0.000) - matches v29.</v>
      </c>
      <c r="H563" s="254"/>
      <c r="I563" s="254"/>
      <c r="J563" s="254"/>
      <c r="K563" s="254"/>
      <c r="L563" s="254"/>
      <c r="M563" s="254"/>
      <c r="N563" s="254"/>
      <c r="O563" s="254"/>
      <c r="P563" s="254"/>
      <c r="Q563" s="254"/>
      <c r="R563" s="254"/>
      <c r="S563" s="254"/>
      <c r="T563" s="254"/>
    </row>
    <row r="564" spans="2:20" x14ac:dyDescent="0.25">
      <c r="B564" s="221" t="s">
        <v>3986</v>
      </c>
      <c r="C564" s="222" t="s">
        <v>493</v>
      </c>
      <c r="D564" s="223" t="s">
        <v>3987</v>
      </c>
      <c r="E564" s="224" t="str">
        <f>IF(MAX(MAX(G567:T567),-MIN(G567:T567))&lt;=Inputs!$E$50,"Matches v29",IF($E$21&gt;0,"Differs - inputs changed","UNEXPLAINED"))</f>
        <v>Differs - inputs changed</v>
      </c>
      <c r="F564" s="225">
        <f>MAX(MAX(G567:T567),-MIN(G567:T567))</f>
        <v>97.59</v>
      </c>
      <c r="G564" s="226">
        <f>MAX(MAX(G567:T567),-MIN(G567:T567))</f>
        <v>97.59</v>
      </c>
    </row>
    <row r="565" spans="2:20" x14ac:dyDescent="0.25">
      <c r="B565" s="23" t="s">
        <v>3683</v>
      </c>
      <c r="C565" s="28" t="s">
        <v>493</v>
      </c>
      <c r="D565" s="155" t="s">
        <v>3754</v>
      </c>
      <c r="E565" s="178">
        <f>INDEX($G$565:$T$565,1,Inputs!$E$49-2022)</f>
        <v>0</v>
      </c>
      <c r="G565" s="30">
        <f>'Source Data'!G910</f>
        <v>-198.43299999999999</v>
      </c>
      <c r="H565" s="30">
        <f>'Source Data'!H910</f>
        <v>-125.2405</v>
      </c>
      <c r="I565" s="30">
        <f>'Source Data'!I910</f>
        <v>-14.638500000000001</v>
      </c>
      <c r="J565" s="30">
        <f>'Source Data'!J910</f>
        <v>-419.772029761905</v>
      </c>
      <c r="K565" s="30">
        <f>'Source Data'!K910</f>
        <v>-160.003625</v>
      </c>
      <c r="L565" s="30">
        <f>'Source Data'!L910</f>
        <v>0</v>
      </c>
      <c r="M565" s="30">
        <f>'Source Data'!M910</f>
        <v>0</v>
      </c>
      <c r="N565" s="30">
        <f>'Source Data'!N910</f>
        <v>0</v>
      </c>
      <c r="O565" s="30">
        <f>'Source Data'!O910</f>
        <v>0</v>
      </c>
      <c r="P565" s="30">
        <f>'Source Data'!P910</f>
        <v>0</v>
      </c>
      <c r="Q565" s="30">
        <f>'Source Data'!Q910</f>
        <v>0</v>
      </c>
      <c r="R565" s="30">
        <f>'Source Data'!R910</f>
        <v>0</v>
      </c>
      <c r="S565" s="30">
        <f>'Source Data'!S910</f>
        <v>0</v>
      </c>
      <c r="T565" s="30">
        <f>'Source Data'!T910</f>
        <v>0</v>
      </c>
    </row>
    <row r="566" spans="2:20" ht="21.75" customHeight="1" x14ac:dyDescent="0.25">
      <c r="B566" s="23" t="s">
        <v>3685</v>
      </c>
      <c r="C566" s="28" t="s">
        <v>493</v>
      </c>
      <c r="D566" s="230" t="s">
        <v>3988</v>
      </c>
      <c r="E566" s="178">
        <f>INDEX($G$566:$T$566,1,Inputs!$E$49-2022)</f>
        <v>0</v>
      </c>
      <c r="G566" s="161">
        <f>-'Capex &amp; Depreciation'!G80</f>
        <v>-198.43299999999999</v>
      </c>
      <c r="H566" s="161">
        <f>'FSL Output - Without BUMN'!H223+'FSL Output - Without BUMN'!H224</f>
        <v>-125.24050000000001</v>
      </c>
      <c r="I566" s="161">
        <f>'FSL Output - Without BUMN'!I223+'FSL Output - Without BUMN'!I224</f>
        <v>-14.638500000000001</v>
      </c>
      <c r="J566" s="161">
        <f>'FSL Output - Without BUMN'!J223+'FSL Output - Without BUMN'!J224</f>
        <v>-419.77202976190472</v>
      </c>
      <c r="K566" s="161">
        <f>'FSL Output - Without BUMN'!K223+'FSL Output - Without BUMN'!K224</f>
        <v>-225.06362499999994</v>
      </c>
      <c r="L566" s="161">
        <f>'FSL Output - Without BUMN'!L223+'FSL Output - Without BUMN'!L224</f>
        <v>-97.59</v>
      </c>
      <c r="M566" s="161">
        <f>'FSL Output - Without BUMN'!M223+'FSL Output - Without BUMN'!M224</f>
        <v>0</v>
      </c>
      <c r="N566" s="161">
        <f>'FSL Output - Without BUMN'!N223+'FSL Output - Without BUMN'!N224</f>
        <v>0</v>
      </c>
      <c r="O566" s="161">
        <f>'FSL Output - Without BUMN'!O223+'FSL Output - Without BUMN'!O224</f>
        <v>0</v>
      </c>
      <c r="P566" s="161">
        <f>'FSL Output - Without BUMN'!P223+'FSL Output - Without BUMN'!P224</f>
        <v>0</v>
      </c>
      <c r="Q566" s="161">
        <f>'FSL Output - Without BUMN'!Q223+'FSL Output - Without BUMN'!Q224</f>
        <v>0</v>
      </c>
      <c r="R566" s="161">
        <f>'FSL Output - Without BUMN'!R223+'FSL Output - Without BUMN'!R224</f>
        <v>0</v>
      </c>
      <c r="S566" s="161">
        <f>'FSL Output - Without BUMN'!S223+'FSL Output - Without BUMN'!S224</f>
        <v>0</v>
      </c>
      <c r="T566" s="161">
        <f>'FSL Output - Without BUMN'!T223+'FSL Output - Without BUMN'!T224</f>
        <v>0</v>
      </c>
    </row>
    <row r="567" spans="2:20" x14ac:dyDescent="0.25">
      <c r="B567" s="21" t="s">
        <v>3687</v>
      </c>
      <c r="C567" s="28" t="s">
        <v>493</v>
      </c>
      <c r="E567" s="228">
        <f>INDEX($G$567:$T$567,1,Inputs!$E$49-2022)</f>
        <v>0</v>
      </c>
      <c r="G567" s="229">
        <f t="shared" ref="G567:T567" si="74">ROUND(G566-G565,9)</f>
        <v>0</v>
      </c>
      <c r="H567" s="229">
        <f t="shared" si="74"/>
        <v>0</v>
      </c>
      <c r="I567" s="229">
        <f t="shared" si="74"/>
        <v>0</v>
      </c>
      <c r="J567" s="229">
        <f t="shared" si="74"/>
        <v>0</v>
      </c>
      <c r="K567" s="229">
        <f t="shared" si="74"/>
        <v>-65.06</v>
      </c>
      <c r="L567" s="229">
        <f t="shared" si="74"/>
        <v>-97.59</v>
      </c>
      <c r="M567" s="229">
        <f t="shared" si="74"/>
        <v>0</v>
      </c>
      <c r="N567" s="229">
        <f t="shared" si="74"/>
        <v>0</v>
      </c>
      <c r="O567" s="229">
        <f t="shared" si="74"/>
        <v>0</v>
      </c>
      <c r="P567" s="229">
        <f t="shared" si="74"/>
        <v>0</v>
      </c>
      <c r="Q567" s="229">
        <f t="shared" si="74"/>
        <v>0</v>
      </c>
      <c r="R567" s="229">
        <f t="shared" si="74"/>
        <v>0</v>
      </c>
      <c r="S567" s="229">
        <f t="shared" si="74"/>
        <v>0</v>
      </c>
      <c r="T567" s="229">
        <f t="shared" si="74"/>
        <v>0</v>
      </c>
    </row>
    <row r="568" spans="2:20" ht="27.75" customHeight="1" x14ac:dyDescent="0.25">
      <c r="B568" s="63" t="s">
        <v>3756</v>
      </c>
      <c r="G568" s="254" t="str">
        <f>"Without-CF06 FY"&amp;Inputs!$E$49&amp;": model "&amp;TEXT(E566,"#,##0.000")&amp;" vs v29 "&amp;TEXT(E565,"#,##0.000")&amp;" (difference "&amp;TEXT(ROUND(E567,3),"+#,##0.000;-#,##0.000;0.000")&amp;")"&amp;IF(ABS(E567)&lt;=Inputs!$E$50," - matches v29.",IF(LEFT(E564,19)="Differs - requested"," - due to the requested change: "&amp;MID(E564,29,200),IF($E$21&gt;0," - differs because inputs / switches were changed."," - UNEXPLAINED: no input was changed.")))</f>
        <v>Without-CF06 FY2036: model 0.000 vs v29 0.000 (difference 0.000) - matches v29.</v>
      </c>
      <c r="H568" s="254"/>
      <c r="I568" s="254"/>
      <c r="J568" s="254"/>
      <c r="K568" s="254"/>
      <c r="L568" s="254"/>
      <c r="M568" s="254"/>
      <c r="N568" s="254"/>
      <c r="O568" s="254"/>
      <c r="P568" s="254"/>
      <c r="Q568" s="254"/>
      <c r="R568" s="254"/>
      <c r="S568" s="254"/>
      <c r="T568" s="254"/>
    </row>
    <row r="569" spans="2:20" x14ac:dyDescent="0.25">
      <c r="B569" s="221" t="s">
        <v>3989</v>
      </c>
      <c r="C569" s="222" t="s">
        <v>493</v>
      </c>
      <c r="D569" s="223" t="s">
        <v>3990</v>
      </c>
      <c r="E569" s="224" t="str">
        <f>IF(MAX(MAX(H572:T572),-MIN(H572:T572))&lt;=Inputs!$E$50,"Matches v29",IF($E$21&gt;0,"Differs - inputs changed","UNEXPLAINED"))</f>
        <v>Differs - inputs changed</v>
      </c>
      <c r="F569" s="225">
        <f>MAX(MAX(H572:T572),-MIN(H572:T572))</f>
        <v>97.59</v>
      </c>
      <c r="G569" s="226">
        <f>MAX(MAX(H572:T572),-MIN(H572:T572))</f>
        <v>97.59</v>
      </c>
    </row>
    <row r="570" spans="2:20" x14ac:dyDescent="0.25">
      <c r="B570" s="23" t="s">
        <v>3683</v>
      </c>
      <c r="C570" s="28" t="s">
        <v>493</v>
      </c>
      <c r="D570" s="155" t="s">
        <v>3759</v>
      </c>
      <c r="E570" s="178">
        <f>INDEX($G$570:$T$570,1,Inputs!$E$49-2022)</f>
        <v>0</v>
      </c>
      <c r="H570" s="30">
        <f>'Source Data'!H911</f>
        <v>-125.2405</v>
      </c>
      <c r="I570" s="30">
        <f>'Source Data'!I911</f>
        <v>-14.638500000000001</v>
      </c>
      <c r="J570" s="30">
        <f>'Source Data'!J911</f>
        <v>-419.772029761905</v>
      </c>
      <c r="K570" s="30">
        <f>'Source Data'!K911</f>
        <v>-160.003625</v>
      </c>
      <c r="L570" s="30">
        <f>'Source Data'!L911</f>
        <v>0</v>
      </c>
      <c r="M570" s="30">
        <f>'Source Data'!M911</f>
        <v>0</v>
      </c>
      <c r="N570" s="30">
        <f>'Source Data'!N911</f>
        <v>0</v>
      </c>
      <c r="O570" s="30">
        <f>'Source Data'!O911</f>
        <v>0</v>
      </c>
      <c r="P570" s="30">
        <f>'Source Data'!P911</f>
        <v>0</v>
      </c>
      <c r="Q570" s="30">
        <f>'Source Data'!Q911</f>
        <v>0</v>
      </c>
      <c r="R570" s="30">
        <f>'Source Data'!R911</f>
        <v>0</v>
      </c>
      <c r="S570" s="30">
        <f>'Source Data'!S911</f>
        <v>0</v>
      </c>
      <c r="T570" s="30">
        <f>'Source Data'!T911</f>
        <v>0</v>
      </c>
    </row>
    <row r="571" spans="2:20" x14ac:dyDescent="0.25">
      <c r="B571" s="23" t="s">
        <v>3685</v>
      </c>
      <c r="C571" s="28" t="s">
        <v>493</v>
      </c>
      <c r="D571" s="227" t="s">
        <v>3991</v>
      </c>
      <c r="E571" s="178">
        <f>INDEX($G$571:$T$571,1,Inputs!$E$49-2022)</f>
        <v>0</v>
      </c>
      <c r="H571" s="30">
        <f>'FSL Output - Without BUMN'!H225</f>
        <v>-125.24050000000001</v>
      </c>
      <c r="I571" s="30">
        <f>'FSL Output - Without BUMN'!I225</f>
        <v>-14.638500000000001</v>
      </c>
      <c r="J571" s="30">
        <f>'FSL Output - Without BUMN'!J225</f>
        <v>-419.77202976190472</v>
      </c>
      <c r="K571" s="30">
        <f>'FSL Output - Without BUMN'!K225</f>
        <v>-225.06362499999994</v>
      </c>
      <c r="L571" s="30">
        <f>'FSL Output - Without BUMN'!L225</f>
        <v>-97.59</v>
      </c>
      <c r="M571" s="30">
        <f>'FSL Output - Without BUMN'!M225</f>
        <v>0</v>
      </c>
      <c r="N571" s="30">
        <f>'FSL Output - Without BUMN'!N225</f>
        <v>0</v>
      </c>
      <c r="O571" s="30">
        <f>'FSL Output - Without BUMN'!O225</f>
        <v>0</v>
      </c>
      <c r="P571" s="30">
        <f>'FSL Output - Without BUMN'!P225</f>
        <v>0</v>
      </c>
      <c r="Q571" s="30">
        <f>'FSL Output - Without BUMN'!Q225</f>
        <v>0</v>
      </c>
      <c r="R571" s="30">
        <f>'FSL Output - Without BUMN'!R225</f>
        <v>0</v>
      </c>
      <c r="S571" s="30">
        <f>'FSL Output - Without BUMN'!S225</f>
        <v>0</v>
      </c>
      <c r="T571" s="30">
        <f>'FSL Output - Without BUMN'!T225</f>
        <v>0</v>
      </c>
    </row>
    <row r="572" spans="2:20" x14ac:dyDescent="0.25">
      <c r="B572" s="21" t="s">
        <v>3687</v>
      </c>
      <c r="C572" s="28" t="s">
        <v>493</v>
      </c>
      <c r="E572" s="228">
        <f>INDEX($G$572:$T$572,1,Inputs!$E$49-2022)</f>
        <v>0</v>
      </c>
      <c r="H572" s="229">
        <f t="shared" ref="H572:T572" si="75">ROUND(H571-H570,9)</f>
        <v>0</v>
      </c>
      <c r="I572" s="229">
        <f t="shared" si="75"/>
        <v>0</v>
      </c>
      <c r="J572" s="229">
        <f t="shared" si="75"/>
        <v>0</v>
      </c>
      <c r="K572" s="229">
        <f t="shared" si="75"/>
        <v>-65.06</v>
      </c>
      <c r="L572" s="229">
        <f t="shared" si="75"/>
        <v>-97.59</v>
      </c>
      <c r="M572" s="229">
        <f t="shared" si="75"/>
        <v>0</v>
      </c>
      <c r="N572" s="229">
        <f t="shared" si="75"/>
        <v>0</v>
      </c>
      <c r="O572" s="229">
        <f t="shared" si="75"/>
        <v>0</v>
      </c>
      <c r="P572" s="229">
        <f t="shared" si="75"/>
        <v>0</v>
      </c>
      <c r="Q572" s="229">
        <f t="shared" si="75"/>
        <v>0</v>
      </c>
      <c r="R572" s="229">
        <f t="shared" si="75"/>
        <v>0</v>
      </c>
      <c r="S572" s="229">
        <f t="shared" si="75"/>
        <v>0</v>
      </c>
      <c r="T572" s="229">
        <f t="shared" si="75"/>
        <v>0</v>
      </c>
    </row>
    <row r="573" spans="2:20" ht="27.75" customHeight="1" x14ac:dyDescent="0.25">
      <c r="B573" s="63" t="s">
        <v>3688</v>
      </c>
      <c r="G573" s="254" t="str">
        <f>"Without-CF07 FY"&amp;Inputs!$E$49&amp;": model "&amp;TEXT(E571,"#,##0.000")&amp;" vs v29 "&amp;TEXT(E570,"#,##0.000")&amp;" (difference "&amp;TEXT(ROUND(E572,3),"+#,##0.000;-#,##0.000;0.000")&amp;")"&amp;IF(ABS(E572)&lt;=Inputs!$E$50," - matches v29.",IF(LEFT(E569,19)="Differs - requested"," - due to the requested change: "&amp;MID(E569,29,200),IF($E$21&gt;0," - differs because inputs / switches were changed."," - UNEXPLAINED: no input was changed.")))</f>
        <v>Without-CF07 FY2036: model 0.000 vs v29 0.000 (difference 0.000) - matches v29.</v>
      </c>
      <c r="H573" s="254"/>
      <c r="I573" s="254"/>
      <c r="J573" s="254"/>
      <c r="K573" s="254"/>
      <c r="L573" s="254"/>
      <c r="M573" s="254"/>
      <c r="N573" s="254"/>
      <c r="O573" s="254"/>
      <c r="P573" s="254"/>
      <c r="Q573" s="254"/>
      <c r="R573" s="254"/>
      <c r="S573" s="254"/>
      <c r="T573" s="254"/>
    </row>
    <row r="574" spans="2:20" ht="47.25" customHeight="1" x14ac:dyDescent="0.25">
      <c r="B574" s="221" t="s">
        <v>3992</v>
      </c>
      <c r="C574" s="222" t="s">
        <v>493</v>
      </c>
      <c r="D574" s="231" t="s">
        <v>3993</v>
      </c>
      <c r="E574" s="232" t="str">
        <f>IF(MAX(MAX(H577:T577),-MIN(H577:T577))&lt;=Inputs!$E$50,"Matches v29",IF(OR($E$22=1,$E$23=1),"Differs - requested change: "&amp;IF($E$22=1,"LT loan repaid in 2027 (not 2025); ","")&amp;IF($E$23=1,"new equity = residual funding requirement (not the v29 schedule)","")&amp;IF($E$21&gt;0," (and inputs changed)",""),IF($E$21&gt;0,"Differs - inputs changed","UNEXPLAINED")))</f>
        <v>Differs - requested change: LT loan repaid in 2027 (not 2025); new equity = residual funding requirement (not the v29 schedule) (and inputs changed)</v>
      </c>
      <c r="F574" s="225">
        <f>MAX(MAX(H577:T577),-MIN(H577:T577))</f>
        <v>419.77202976199999</v>
      </c>
      <c r="G574" s="226">
        <f>IF(OR($E$22=1,$E$23=1),0,MAX(MAX(H577:T577),-MIN(H577:T577)))</f>
        <v>0</v>
      </c>
    </row>
    <row r="575" spans="2:20" x14ac:dyDescent="0.25">
      <c r="B575" s="23" t="s">
        <v>3683</v>
      </c>
      <c r="C575" s="28" t="s">
        <v>493</v>
      </c>
      <c r="D575" s="155" t="s">
        <v>3763</v>
      </c>
      <c r="E575" s="178">
        <f>INDEX($G$575:$T$575,1,Inputs!$E$49-2022)</f>
        <v>0</v>
      </c>
      <c r="H575" s="30">
        <f>'Source Data'!H912</f>
        <v>0</v>
      </c>
      <c r="I575" s="30">
        <f>'Source Data'!I912</f>
        <v>0</v>
      </c>
      <c r="J575" s="30">
        <f>'Source Data'!J912</f>
        <v>419.772029761905</v>
      </c>
      <c r="K575" s="30">
        <f>'Source Data'!K912</f>
        <v>160.003625</v>
      </c>
      <c r="L575" s="30">
        <f>'Source Data'!L912</f>
        <v>0</v>
      </c>
      <c r="M575" s="30">
        <f>'Source Data'!M912</f>
        <v>0</v>
      </c>
      <c r="N575" s="30">
        <f>'Source Data'!N912</f>
        <v>0</v>
      </c>
      <c r="O575" s="30">
        <f>'Source Data'!O912</f>
        <v>0</v>
      </c>
      <c r="P575" s="30">
        <f>'Source Data'!P912</f>
        <v>0</v>
      </c>
      <c r="Q575" s="30">
        <f>'Source Data'!Q912</f>
        <v>0</v>
      </c>
      <c r="R575" s="30">
        <f>'Source Data'!R912</f>
        <v>0</v>
      </c>
      <c r="S575" s="30">
        <f>'Source Data'!S912</f>
        <v>0</v>
      </c>
      <c r="T575" s="30">
        <f>'Source Data'!T912</f>
        <v>0</v>
      </c>
    </row>
    <row r="576" spans="2:20" x14ac:dyDescent="0.25">
      <c r="B576" s="23" t="s">
        <v>3685</v>
      </c>
      <c r="C576" s="28" t="s">
        <v>493</v>
      </c>
      <c r="D576" s="227" t="s">
        <v>3994</v>
      </c>
      <c r="E576" s="178">
        <f>INDEX($G$576:$T$576,1,Inputs!$E$49-2022)</f>
        <v>0</v>
      </c>
      <c r="H576" s="30">
        <f>'FSL Output - Without BUMN'!H226</f>
        <v>0</v>
      </c>
      <c r="I576" s="30">
        <f>'FSL Output - Without BUMN'!I226</f>
        <v>0</v>
      </c>
      <c r="J576" s="30">
        <f>'FSL Output - Without BUMN'!J226</f>
        <v>0</v>
      </c>
      <c r="K576" s="30">
        <f>'FSL Output - Without BUMN'!K226</f>
        <v>76.665204077581919</v>
      </c>
      <c r="L576" s="30">
        <f>'FSL Output - Without BUMN'!L226</f>
        <v>0</v>
      </c>
      <c r="M576" s="30">
        <f>'FSL Output - Without BUMN'!M226</f>
        <v>0</v>
      </c>
      <c r="N576" s="30">
        <f>'FSL Output - Without BUMN'!N226</f>
        <v>0</v>
      </c>
      <c r="O576" s="30">
        <f>'FSL Output - Without BUMN'!O226</f>
        <v>0</v>
      </c>
      <c r="P576" s="30">
        <f>'FSL Output - Without BUMN'!P226</f>
        <v>0</v>
      </c>
      <c r="Q576" s="30">
        <f>'FSL Output - Without BUMN'!Q226</f>
        <v>0</v>
      </c>
      <c r="R576" s="30">
        <f>'FSL Output - Without BUMN'!R226</f>
        <v>0</v>
      </c>
      <c r="S576" s="30">
        <f>'FSL Output - Without BUMN'!S226</f>
        <v>0</v>
      </c>
      <c r="T576" s="30">
        <f>'FSL Output - Without BUMN'!T226</f>
        <v>0</v>
      </c>
    </row>
    <row r="577" spans="2:20" x14ac:dyDescent="0.25">
      <c r="B577" s="21" t="s">
        <v>3687</v>
      </c>
      <c r="C577" s="28" t="s">
        <v>493</v>
      </c>
      <c r="E577" s="228">
        <f>INDEX($G$577:$T$577,1,Inputs!$E$49-2022)</f>
        <v>0</v>
      </c>
      <c r="H577" s="229">
        <f t="shared" ref="H577:T577" si="76">ROUND(H576-H575,9)</f>
        <v>0</v>
      </c>
      <c r="I577" s="229">
        <f t="shared" si="76"/>
        <v>0</v>
      </c>
      <c r="J577" s="229">
        <f t="shared" si="76"/>
        <v>-419.77202976199999</v>
      </c>
      <c r="K577" s="229">
        <f t="shared" si="76"/>
        <v>-83.338420921999997</v>
      </c>
      <c r="L577" s="229">
        <f t="shared" si="76"/>
        <v>0</v>
      </c>
      <c r="M577" s="229">
        <f t="shared" si="76"/>
        <v>0</v>
      </c>
      <c r="N577" s="229">
        <f t="shared" si="76"/>
        <v>0</v>
      </c>
      <c r="O577" s="229">
        <f t="shared" si="76"/>
        <v>0</v>
      </c>
      <c r="P577" s="229">
        <f t="shared" si="76"/>
        <v>0</v>
      </c>
      <c r="Q577" s="229">
        <f t="shared" si="76"/>
        <v>0</v>
      </c>
      <c r="R577" s="229">
        <f t="shared" si="76"/>
        <v>0</v>
      </c>
      <c r="S577" s="229">
        <f t="shared" si="76"/>
        <v>0</v>
      </c>
      <c r="T577" s="229">
        <f t="shared" si="76"/>
        <v>0</v>
      </c>
    </row>
    <row r="578" spans="2:20" ht="27.75" customHeight="1" x14ac:dyDescent="0.25">
      <c r="B578" s="63" t="s">
        <v>3765</v>
      </c>
      <c r="G578" s="254" t="str">
        <f>"Without-CF08 FY"&amp;Inputs!$E$49&amp;": model "&amp;TEXT(E576,"#,##0.000")&amp;" vs v29 "&amp;TEXT(E575,"#,##0.000")&amp;" (difference "&amp;TEXT(ROUND(E577,3),"+#,##0.000;-#,##0.000;0.000")&amp;")"&amp;IF(ABS(E577)&lt;=Inputs!$E$50," - matches v29.",IF(LEFT(E574,19)="Differs - requested"," - due to the requested change: "&amp;MID(E574,29,200),IF($E$21&gt;0," - differs because inputs / switches were changed."," - UNEXPLAINED: no input was changed.")))</f>
        <v>Without-CF08 FY2036: model 0.000 vs v29 0.000 (difference 0.000) - matches v29.</v>
      </c>
      <c r="H578" s="254"/>
      <c r="I578" s="254"/>
      <c r="J578" s="254"/>
      <c r="K578" s="254"/>
      <c r="L578" s="254"/>
      <c r="M578" s="254"/>
      <c r="N578" s="254"/>
      <c r="O578" s="254"/>
      <c r="P578" s="254"/>
      <c r="Q578" s="254"/>
      <c r="R578" s="254"/>
      <c r="S578" s="254"/>
      <c r="T578" s="254"/>
    </row>
    <row r="579" spans="2:20" ht="24.75" customHeight="1" x14ac:dyDescent="0.25">
      <c r="B579" s="221" t="s">
        <v>3995</v>
      </c>
      <c r="C579" s="222" t="s">
        <v>493</v>
      </c>
      <c r="D579" s="231" t="s">
        <v>3996</v>
      </c>
      <c r="E579" s="232" t="str">
        <f>IF(MAX(MAX(H582:T582),-MIN(H582:T582))&lt;=Inputs!$E$50,"Matches v29",IF(OR($E$22=1),"Differs - requested change: "&amp;IF($E$22=1,"LT loan repaid in 2027 (not 2025); ","")&amp;IF($E$21&gt;0," (and inputs changed)",""),IF($E$21&gt;0,"Differs - inputs changed","UNEXPLAINED")))</f>
        <v>Differs - requested change: LT loan repaid in 2027 (not 2025);  (and inputs changed)</v>
      </c>
      <c r="F579" s="225">
        <f>MAX(MAX(H582:T582),-MIN(H582:T582))</f>
        <v>195.18</v>
      </c>
      <c r="G579" s="226">
        <f>IF(OR($E$22=1),0,MAX(MAX(H582:T582),-MIN(H582:T582)))</f>
        <v>0</v>
      </c>
    </row>
    <row r="580" spans="2:20" x14ac:dyDescent="0.25">
      <c r="B580" s="23" t="s">
        <v>3683</v>
      </c>
      <c r="C580" s="28" t="s">
        <v>493</v>
      </c>
      <c r="D580" s="155" t="s">
        <v>3768</v>
      </c>
      <c r="E580" s="178">
        <f>INDEX($G$580:$T$580,1,Inputs!$E$49-2022)</f>
        <v>0</v>
      </c>
      <c r="H580" s="30">
        <f>'Source Data'!H913</f>
        <v>-29.338465248760102</v>
      </c>
      <c r="I580" s="30">
        <f>'Source Data'!I913</f>
        <v>-195.18</v>
      </c>
      <c r="J580" s="30">
        <f>'Source Data'!J913</f>
        <v>0</v>
      </c>
      <c r="K580" s="30">
        <f>'Source Data'!K913</f>
        <v>0</v>
      </c>
      <c r="L580" s="30">
        <f>'Source Data'!L913</f>
        <v>0</v>
      </c>
      <c r="M580" s="30">
        <f>'Source Data'!M913</f>
        <v>0</v>
      </c>
      <c r="N580" s="30">
        <f>'Source Data'!N913</f>
        <v>0</v>
      </c>
      <c r="O580" s="30">
        <f>'Source Data'!O913</f>
        <v>0</v>
      </c>
      <c r="P580" s="30">
        <f>'Source Data'!P913</f>
        <v>0</v>
      </c>
      <c r="Q580" s="30">
        <f>'Source Data'!Q913</f>
        <v>0</v>
      </c>
      <c r="R580" s="30">
        <f>'Source Data'!R913</f>
        <v>0</v>
      </c>
      <c r="S580" s="30">
        <f>'Source Data'!S913</f>
        <v>0</v>
      </c>
      <c r="T580" s="30">
        <f>'Source Data'!T913</f>
        <v>0</v>
      </c>
    </row>
    <row r="581" spans="2:20" ht="21.75" customHeight="1" x14ac:dyDescent="0.25">
      <c r="B581" s="23" t="s">
        <v>3685</v>
      </c>
      <c r="C581" s="28" t="s">
        <v>493</v>
      </c>
      <c r="D581" s="230" t="s">
        <v>3997</v>
      </c>
      <c r="E581" s="178">
        <f>INDEX($G$581:$T$581,1,Inputs!$E$49-2022)</f>
        <v>0</v>
      </c>
      <c r="H581" s="161">
        <f>'FSL Output - Without BUMN'!H227+'FSL Output - Without BUMN'!H228</f>
        <v>-29.338465248760002</v>
      </c>
      <c r="I581" s="161">
        <f>'FSL Output - Without BUMN'!I227+'FSL Output - Without BUMN'!I228</f>
        <v>0</v>
      </c>
      <c r="J581" s="161">
        <f>'FSL Output - Without BUMN'!J227+'FSL Output - Without BUMN'!J228</f>
        <v>0</v>
      </c>
      <c r="K581" s="161">
        <f>'FSL Output - Without BUMN'!K227+'FSL Output - Without BUMN'!K228</f>
        <v>-162.65</v>
      </c>
      <c r="L581" s="161">
        <f>'FSL Output - Without BUMN'!L227+'FSL Output - Without BUMN'!L228</f>
        <v>48.795000000000002</v>
      </c>
      <c r="M581" s="161">
        <f>'FSL Output - Without BUMN'!M227+'FSL Output - Without BUMN'!M228</f>
        <v>0</v>
      </c>
      <c r="N581" s="161">
        <f>'FSL Output - Without BUMN'!N227+'FSL Output - Without BUMN'!N228</f>
        <v>-6.5060000000000002</v>
      </c>
      <c r="O581" s="161">
        <f>'FSL Output - Without BUMN'!O227+'FSL Output - Without BUMN'!O228</f>
        <v>-16.265000000000001</v>
      </c>
      <c r="P581" s="161">
        <f>'FSL Output - Without BUMN'!P227+'FSL Output - Without BUMN'!P228</f>
        <v>-16.265000000000001</v>
      </c>
      <c r="Q581" s="161">
        <f>'FSL Output - Without BUMN'!Q227+'FSL Output - Without BUMN'!Q228</f>
        <v>-16.265000000000001</v>
      </c>
      <c r="R581" s="161">
        <f>'FSL Output - Without BUMN'!R227+'FSL Output - Without BUMN'!R228</f>
        <v>-16.265000000000001</v>
      </c>
      <c r="S581" s="161">
        <f>'FSL Output - Without BUMN'!S227+'FSL Output - Without BUMN'!S228</f>
        <v>-9.7590000000000003</v>
      </c>
      <c r="T581" s="161">
        <f>'FSL Output - Without BUMN'!T227+'FSL Output - Without BUMN'!T228</f>
        <v>0</v>
      </c>
    </row>
    <row r="582" spans="2:20" x14ac:dyDescent="0.25">
      <c r="B582" s="21" t="s">
        <v>3687</v>
      </c>
      <c r="C582" s="28" t="s">
        <v>493</v>
      </c>
      <c r="E582" s="228">
        <f>INDEX($G$582:$T$582,1,Inputs!$E$49-2022)</f>
        <v>0</v>
      </c>
      <c r="H582" s="229">
        <f t="shared" ref="H582:T582" si="77">ROUND(H581-H580,9)</f>
        <v>0</v>
      </c>
      <c r="I582" s="229">
        <f t="shared" si="77"/>
        <v>195.18</v>
      </c>
      <c r="J582" s="229">
        <f t="shared" si="77"/>
        <v>0</v>
      </c>
      <c r="K582" s="229">
        <f t="shared" si="77"/>
        <v>-162.65</v>
      </c>
      <c r="L582" s="229">
        <f t="shared" si="77"/>
        <v>48.795000000000002</v>
      </c>
      <c r="M582" s="229">
        <f t="shared" si="77"/>
        <v>0</v>
      </c>
      <c r="N582" s="229">
        <f t="shared" si="77"/>
        <v>-6.5060000000000002</v>
      </c>
      <c r="O582" s="229">
        <f t="shared" si="77"/>
        <v>-16.265000000000001</v>
      </c>
      <c r="P582" s="229">
        <f t="shared" si="77"/>
        <v>-16.265000000000001</v>
      </c>
      <c r="Q582" s="229">
        <f t="shared" si="77"/>
        <v>-16.265000000000001</v>
      </c>
      <c r="R582" s="229">
        <f t="shared" si="77"/>
        <v>-16.265000000000001</v>
      </c>
      <c r="S582" s="229">
        <f t="shared" si="77"/>
        <v>-9.7590000000000003</v>
      </c>
      <c r="T582" s="229">
        <f t="shared" si="77"/>
        <v>0</v>
      </c>
    </row>
    <row r="583" spans="2:20" ht="27.75" customHeight="1" x14ac:dyDescent="0.25">
      <c r="B583" s="63" t="s">
        <v>3688</v>
      </c>
      <c r="G583" s="254" t="str">
        <f>"Without-CF09 FY"&amp;Inputs!$E$49&amp;": model "&amp;TEXT(E581,"#,##0.000")&amp;" vs v29 "&amp;TEXT(E580,"#,##0.000")&amp;" (difference "&amp;TEXT(ROUND(E582,3),"+#,##0.000;-#,##0.000;0.000")&amp;")"&amp;IF(ABS(E582)&lt;=Inputs!$E$50," - matches v29.",IF(LEFT(E579,19)="Differs - requested"," - due to the requested change: "&amp;MID(E579,29,200),IF($E$21&gt;0," - differs because inputs / switches were changed."," - UNEXPLAINED: no input was changed.")))</f>
        <v>Without-CF09 FY2036: model 0.000 vs v29 0.000 (difference 0.000) - matches v29.</v>
      </c>
      <c r="H583" s="254"/>
      <c r="I583" s="254"/>
      <c r="J583" s="254"/>
      <c r="K583" s="254"/>
      <c r="L583" s="254"/>
      <c r="M583" s="254"/>
      <c r="N583" s="254"/>
      <c r="O583" s="254"/>
      <c r="P583" s="254"/>
      <c r="Q583" s="254"/>
      <c r="R583" s="254"/>
      <c r="S583" s="254"/>
      <c r="T583" s="254"/>
    </row>
    <row r="584" spans="2:20" ht="47.25" customHeight="1" x14ac:dyDescent="0.25">
      <c r="B584" s="221" t="s">
        <v>3998</v>
      </c>
      <c r="C584" s="222" t="s">
        <v>493</v>
      </c>
      <c r="D584" s="231" t="s">
        <v>3999</v>
      </c>
      <c r="E584" s="232" t="str">
        <f>IF(MAX(MAX(H587:T587),-MIN(H587:T587))&lt;=Inputs!$E$50,"Matches v29",IF(OR($E$22=1,$E$23=1),"Differs - requested change: "&amp;IF($E$22=1,"LT loan repaid in 2027 (not 2025); ","")&amp;IF($E$23=1,"new equity = residual funding requirement (not the v29 schedule)","")&amp;IF($E$21&gt;0," (and inputs changed)",""),IF($E$21&gt;0,"Differs - inputs changed","UNEXPLAINED")))</f>
        <v>Differs - requested change: LT loan repaid in 2027 (not 2025); new equity = residual funding requirement (not the v29 schedule) (and inputs changed)</v>
      </c>
      <c r="F584" s="225">
        <f>MAX(MAX(H587:T587),-MIN(H587:T587))</f>
        <v>51.921972283999999</v>
      </c>
      <c r="G584" s="226">
        <f>IF(OR($E$22=1,$E$23=1),0,MAX(MAX(H587:T587),-MIN(H587:T587)))</f>
        <v>0</v>
      </c>
    </row>
    <row r="585" spans="2:20" x14ac:dyDescent="0.25">
      <c r="B585" s="23" t="s">
        <v>3683</v>
      </c>
      <c r="C585" s="28" t="s">
        <v>493</v>
      </c>
      <c r="D585" s="155" t="s">
        <v>3772</v>
      </c>
      <c r="E585" s="178">
        <f>INDEX($G$585:$T$585,1,Inputs!$E$49-2022)</f>
        <v>-110.206188582968</v>
      </c>
      <c r="H585" s="30">
        <f>'Source Data'!H914</f>
        <v>-6.3327025288222201</v>
      </c>
      <c r="I585" s="30">
        <f>'Source Data'!I914</f>
        <v>-17.018225208360501</v>
      </c>
      <c r="J585" s="30">
        <f>'Source Data'!J914</f>
        <v>-33.351835747986797</v>
      </c>
      <c r="K585" s="30">
        <f>'Source Data'!K914</f>
        <v>-51.921972283900097</v>
      </c>
      <c r="L585" s="30">
        <f>'Source Data'!L914</f>
        <v>-60.9703454506217</v>
      </c>
      <c r="M585" s="30">
        <f>'Source Data'!M914</f>
        <v>-72.5941452743822</v>
      </c>
      <c r="N585" s="30">
        <f>'Source Data'!N914</f>
        <v>-76.858474117207294</v>
      </c>
      <c r="O585" s="30">
        <f>'Source Data'!O914</f>
        <v>-86.105196541886698</v>
      </c>
      <c r="P585" s="30">
        <f>'Source Data'!P914</f>
        <v>-91.0898975223474</v>
      </c>
      <c r="Q585" s="30">
        <f>'Source Data'!Q914</f>
        <v>-101.261193294013</v>
      </c>
      <c r="R585" s="30">
        <f>'Source Data'!R914</f>
        <v>-106.71663279068299</v>
      </c>
      <c r="S585" s="30">
        <f>'Source Data'!S914</f>
        <v>-105.700518151263</v>
      </c>
      <c r="T585" s="30">
        <f>'Source Data'!T914</f>
        <v>-110.206188582968</v>
      </c>
    </row>
    <row r="586" spans="2:20" ht="21.75" customHeight="1" x14ac:dyDescent="0.25">
      <c r="B586" s="23" t="s">
        <v>3685</v>
      </c>
      <c r="C586" s="28" t="s">
        <v>493</v>
      </c>
      <c r="D586" s="230" t="s">
        <v>4000</v>
      </c>
      <c r="E586" s="178">
        <f>INDEX($G$586:$T$586,1,Inputs!$E$49-2022)</f>
        <v>-113.80940743204413</v>
      </c>
      <c r="H586" s="161">
        <f>'FSL Output - Without BUMN'!H229+'FSL Output - Without BUMN'!H230</f>
        <v>-6.3327025288222343</v>
      </c>
      <c r="I586" s="161">
        <f>'FSL Output - Without BUMN'!I229+'FSL Output - Without BUMN'!I230</f>
        <v>-24.168312578226143</v>
      </c>
      <c r="J586" s="161">
        <f>'FSL Output - Without BUMN'!J229+'FSL Output - Without BUMN'!J230</f>
        <v>-14.243584472293236</v>
      </c>
      <c r="K586" s="161">
        <f>'FSL Output - Without BUMN'!K229+'FSL Output - Without BUMN'!K230</f>
        <v>0</v>
      </c>
      <c r="L586" s="161">
        <f>'FSL Output - Without BUMN'!L229+'FSL Output - Without BUMN'!L230</f>
        <v>-59.495650450621696</v>
      </c>
      <c r="M586" s="161">
        <f>'FSL Output - Without BUMN'!M229+'FSL Output - Without BUMN'!M230</f>
        <v>-70.578420659392435</v>
      </c>
      <c r="N586" s="161">
        <f>'FSL Output - Without BUMN'!N229+'FSL Output - Without BUMN'!N230</f>
        <v>-76.878520417515276</v>
      </c>
      <c r="O586" s="161">
        <f>'FSL Output - Without BUMN'!O229+'FSL Output - Without BUMN'!O230</f>
        <v>-87.346636262194721</v>
      </c>
      <c r="P586" s="161">
        <f>'FSL Output - Without BUMN'!P229+'FSL Output - Without BUMN'!P230</f>
        <v>-93.254444591423393</v>
      </c>
      <c r="Q586" s="161">
        <f>'FSL Output - Without BUMN'!Q229+'FSL Output - Without BUMN'!Q230</f>
        <v>-103.83266561432144</v>
      </c>
      <c r="R586" s="161">
        <f>'FSL Output - Without BUMN'!R229+'FSL Output - Without BUMN'!R230</f>
        <v>-109.68773616099057</v>
      </c>
      <c r="S586" s="161">
        <f>'FSL Output - Without BUMN'!S229+'FSL Output - Without BUMN'!S230</f>
        <v>-109.07125257157128</v>
      </c>
      <c r="T586" s="161">
        <f>'FSL Output - Without BUMN'!T229+'FSL Output - Without BUMN'!T230</f>
        <v>-113.80940743204413</v>
      </c>
    </row>
    <row r="587" spans="2:20" x14ac:dyDescent="0.25">
      <c r="B587" s="21" t="s">
        <v>3687</v>
      </c>
      <c r="C587" s="28" t="s">
        <v>493</v>
      </c>
      <c r="E587" s="228">
        <f>INDEX($G$587:$T$587,1,Inputs!$E$49-2022)</f>
        <v>-3.6032188490000001</v>
      </c>
      <c r="H587" s="229">
        <f t="shared" ref="H587:T587" si="78">ROUND(H586-H585,9)</f>
        <v>0</v>
      </c>
      <c r="I587" s="229">
        <f t="shared" si="78"/>
        <v>-7.1500873699999996</v>
      </c>
      <c r="J587" s="229">
        <f t="shared" si="78"/>
        <v>19.108251276000001</v>
      </c>
      <c r="K587" s="229">
        <f t="shared" si="78"/>
        <v>51.921972283999999</v>
      </c>
      <c r="L587" s="229">
        <f t="shared" si="78"/>
        <v>1.4746950000000001</v>
      </c>
      <c r="M587" s="229">
        <f t="shared" si="78"/>
        <v>2.0157246149999999</v>
      </c>
      <c r="N587" s="229">
        <f t="shared" si="78"/>
        <v>-2.00463E-2</v>
      </c>
      <c r="O587" s="229">
        <f t="shared" si="78"/>
        <v>-1.24143972</v>
      </c>
      <c r="P587" s="229">
        <f t="shared" si="78"/>
        <v>-2.1645470690000002</v>
      </c>
      <c r="Q587" s="229">
        <f t="shared" si="78"/>
        <v>-2.5714723199999998</v>
      </c>
      <c r="R587" s="229">
        <f t="shared" si="78"/>
        <v>-2.9711033699999998</v>
      </c>
      <c r="S587" s="229">
        <f t="shared" si="78"/>
        <v>-3.3707344199999998</v>
      </c>
      <c r="T587" s="229">
        <f t="shared" si="78"/>
        <v>-3.6032188490000001</v>
      </c>
    </row>
    <row r="588" spans="2:20" ht="27.75" customHeight="1" x14ac:dyDescent="0.25">
      <c r="B588" s="63" t="s">
        <v>3774</v>
      </c>
      <c r="G588" s="254" t="str">
        <f>"Without-CF10 FY"&amp;Inputs!$E$49&amp;": model "&amp;TEXT(E586,"#,##0.000")&amp;" vs v29 "&amp;TEXT(E585,"#,##0.000")&amp;" (difference "&amp;TEXT(ROUND(E587,3),"+#,##0.000;-#,##0.000;0.000")&amp;")"&amp;IF(ABS(E587)&lt;=Inputs!$E$50," - matches v29.",IF(LEFT(E584,19)="Differs - requested"," - due to the requested change: "&amp;MID(E584,29,200),IF($E$21&gt;0," - differs because inputs / switches were changed."," - UNEXPLAINED: no input was changed.")))</f>
        <v>Without-CF10 FY2036: model -113.809 vs v29 -110.206 (difference -3.603) - due to the requested change: LT loan repaid in 2027 (not 2025); new equity = residual funding requirement (not the v29 schedule) (and inputs changed)</v>
      </c>
      <c r="H588" s="254"/>
      <c r="I588" s="254"/>
      <c r="J588" s="254"/>
      <c r="K588" s="254"/>
      <c r="L588" s="254"/>
      <c r="M588" s="254"/>
      <c r="N588" s="254"/>
      <c r="O588" s="254"/>
      <c r="P588" s="254"/>
      <c r="Q588" s="254"/>
      <c r="R588" s="254"/>
      <c r="S588" s="254"/>
      <c r="T588" s="254"/>
    </row>
    <row r="589" spans="2:20" ht="47.25" customHeight="1" x14ac:dyDescent="0.25">
      <c r="B589" s="221" t="s">
        <v>4001</v>
      </c>
      <c r="C589" s="222" t="s">
        <v>493</v>
      </c>
      <c r="D589" s="231" t="s">
        <v>4002</v>
      </c>
      <c r="E589" s="232" t="str">
        <f>IF(MAX(MAX(H592:T592),-MIN(H592:T592))&lt;=Inputs!$E$50,"Matches v29",IF(OR($E$22=1,$E$23=1),"Differs - requested change: "&amp;IF($E$22=1,"LT loan repaid in 2027 (not 2025); ","")&amp;IF($E$23=1,"new equity = residual funding requirement (not the v29 schedule)","")&amp;IF($E$21&gt;0," (and inputs changed)",""),IF($E$21&gt;0,"Differs - inputs changed","UNEXPLAINED")))</f>
        <v>Differs - requested change: LT loan repaid in 2027 (not 2025); new equity = residual funding requirement (not the v29 schedule) (and inputs changed)</v>
      </c>
      <c r="F589" s="225">
        <f>MAX(MAX(H592:T592),-MIN(H592:T592))</f>
        <v>400.66377848600001</v>
      </c>
      <c r="G589" s="226">
        <f>IF(OR($E$22=1,$E$23=1),0,MAX(MAX(H592:T592),-MIN(H592:T592)))</f>
        <v>0</v>
      </c>
    </row>
    <row r="590" spans="2:20" x14ac:dyDescent="0.25">
      <c r="B590" s="23" t="s">
        <v>3683</v>
      </c>
      <c r="C590" s="28" t="s">
        <v>493</v>
      </c>
      <c r="D590" s="155" t="s">
        <v>3777</v>
      </c>
      <c r="E590" s="178">
        <f>INDEX($G$590:$T$590,1,Inputs!$E$49-2022)</f>
        <v>-110.206188582968</v>
      </c>
      <c r="H590" s="30">
        <f>'Source Data'!H915</f>
        <v>-35.671167777582298</v>
      </c>
      <c r="I590" s="30">
        <f>'Source Data'!I915</f>
        <v>-212.19822520836101</v>
      </c>
      <c r="J590" s="30">
        <f>'Source Data'!J915</f>
        <v>386.42019401391798</v>
      </c>
      <c r="K590" s="30">
        <f>'Source Data'!K915</f>
        <v>108.0816527161</v>
      </c>
      <c r="L590" s="30">
        <f>'Source Data'!L915</f>
        <v>-60.9703454506217</v>
      </c>
      <c r="M590" s="30">
        <f>'Source Data'!M915</f>
        <v>-72.5941452743822</v>
      </c>
      <c r="N590" s="30">
        <f>'Source Data'!N915</f>
        <v>-76.858474117207294</v>
      </c>
      <c r="O590" s="30">
        <f>'Source Data'!O915</f>
        <v>-86.105196541886698</v>
      </c>
      <c r="P590" s="30">
        <f>'Source Data'!P915</f>
        <v>-91.0898975223474</v>
      </c>
      <c r="Q590" s="30">
        <f>'Source Data'!Q915</f>
        <v>-101.261193294013</v>
      </c>
      <c r="R590" s="30">
        <f>'Source Data'!R915</f>
        <v>-106.71663279068299</v>
      </c>
      <c r="S590" s="30">
        <f>'Source Data'!S915</f>
        <v>-105.700518151263</v>
      </c>
      <c r="T590" s="30">
        <f>'Source Data'!T915</f>
        <v>-110.206188582968</v>
      </c>
    </row>
    <row r="591" spans="2:20" x14ac:dyDescent="0.25">
      <c r="B591" s="23" t="s">
        <v>3685</v>
      </c>
      <c r="C591" s="28" t="s">
        <v>493</v>
      </c>
      <c r="D591" s="227" t="s">
        <v>4003</v>
      </c>
      <c r="E591" s="178">
        <f>INDEX($G$591:$T$591,1,Inputs!$E$49-2022)</f>
        <v>-113.80940743204413</v>
      </c>
      <c r="H591" s="30">
        <f>'FSL Output - Without BUMN'!H231</f>
        <v>-35.671167777582234</v>
      </c>
      <c r="I591" s="30">
        <f>'FSL Output - Without BUMN'!I231</f>
        <v>-24.168312578226143</v>
      </c>
      <c r="J591" s="30">
        <f>'FSL Output - Without BUMN'!J231</f>
        <v>-14.243584472293236</v>
      </c>
      <c r="K591" s="30">
        <f>'FSL Output - Without BUMN'!K231</f>
        <v>-85.984795922418087</v>
      </c>
      <c r="L591" s="30">
        <f>'FSL Output - Without BUMN'!L231</f>
        <v>-10.700650450621694</v>
      </c>
      <c r="M591" s="30">
        <f>'FSL Output - Without BUMN'!M231</f>
        <v>-70.578420659392435</v>
      </c>
      <c r="N591" s="30">
        <f>'FSL Output - Without BUMN'!N231</f>
        <v>-83.384520417515276</v>
      </c>
      <c r="O591" s="30">
        <f>'FSL Output - Without BUMN'!O231</f>
        <v>-103.61163626219472</v>
      </c>
      <c r="P591" s="30">
        <f>'FSL Output - Without BUMN'!P231</f>
        <v>-109.51944459142339</v>
      </c>
      <c r="Q591" s="30">
        <f>'FSL Output - Without BUMN'!Q231</f>
        <v>-120.09766561432144</v>
      </c>
      <c r="R591" s="30">
        <f>'FSL Output - Without BUMN'!R231</f>
        <v>-125.95273616099057</v>
      </c>
      <c r="S591" s="30">
        <f>'FSL Output - Without BUMN'!S231</f>
        <v>-118.83025257157128</v>
      </c>
      <c r="T591" s="30">
        <f>'FSL Output - Without BUMN'!T231</f>
        <v>-113.80940743204413</v>
      </c>
    </row>
    <row r="592" spans="2:20" x14ac:dyDescent="0.25">
      <c r="B592" s="21" t="s">
        <v>3687</v>
      </c>
      <c r="C592" s="28" t="s">
        <v>493</v>
      </c>
      <c r="E592" s="228">
        <f>INDEX($G$592:$T$592,1,Inputs!$E$49-2022)</f>
        <v>-3.6032188490000001</v>
      </c>
      <c r="H592" s="229">
        <f t="shared" ref="H592:T592" si="79">ROUND(H591-H590,9)</f>
        <v>0</v>
      </c>
      <c r="I592" s="229">
        <f t="shared" si="79"/>
        <v>188.02991263000001</v>
      </c>
      <c r="J592" s="229">
        <f t="shared" si="79"/>
        <v>-400.66377848600001</v>
      </c>
      <c r="K592" s="229">
        <f t="shared" si="79"/>
        <v>-194.06644863899999</v>
      </c>
      <c r="L592" s="229">
        <f t="shared" si="79"/>
        <v>50.269694999999999</v>
      </c>
      <c r="M592" s="229">
        <f t="shared" si="79"/>
        <v>2.0157246149999999</v>
      </c>
      <c r="N592" s="229">
        <f t="shared" si="79"/>
        <v>-6.5260463</v>
      </c>
      <c r="O592" s="229">
        <f t="shared" si="79"/>
        <v>-17.506439719999999</v>
      </c>
      <c r="P592" s="229">
        <f t="shared" si="79"/>
        <v>-18.429547069000002</v>
      </c>
      <c r="Q592" s="229">
        <f t="shared" si="79"/>
        <v>-18.836472319999999</v>
      </c>
      <c r="R592" s="229">
        <f t="shared" si="79"/>
        <v>-19.236103369999999</v>
      </c>
      <c r="S592" s="229">
        <f t="shared" si="79"/>
        <v>-13.12973442</v>
      </c>
      <c r="T592" s="229">
        <f t="shared" si="79"/>
        <v>-3.6032188490000001</v>
      </c>
    </row>
    <row r="593" spans="2:20" ht="27.75" customHeight="1" x14ac:dyDescent="0.25">
      <c r="B593" s="63" t="s">
        <v>3688</v>
      </c>
      <c r="G593" s="254" t="str">
        <f>"Without-CF11 FY"&amp;Inputs!$E$49&amp;": model "&amp;TEXT(E591,"#,##0.000")&amp;" vs v29 "&amp;TEXT(E590,"#,##0.000")&amp;" (difference "&amp;TEXT(ROUND(E592,3),"+#,##0.000;-#,##0.000;0.000")&amp;")"&amp;IF(ABS(E592)&lt;=Inputs!$E$50," - matches v29.",IF(LEFT(E589,19)="Differs - requested"," - due to the requested change: "&amp;MID(E589,29,200),IF($E$21&gt;0," - differs because inputs / switches were changed."," - UNEXPLAINED: no input was changed.")))</f>
        <v>Without-CF11 FY2036: model -113.809 vs v29 -110.206 (difference -3.603) - due to the requested change: LT loan repaid in 2027 (not 2025); new equity = residual funding requirement (not the v29 schedule) (and inputs changed)</v>
      </c>
      <c r="H593" s="254"/>
      <c r="I593" s="254"/>
      <c r="J593" s="254"/>
      <c r="K593" s="254"/>
      <c r="L593" s="254"/>
      <c r="M593" s="254"/>
      <c r="N593" s="254"/>
      <c r="O593" s="254"/>
      <c r="P593" s="254"/>
      <c r="Q593" s="254"/>
      <c r="R593" s="254"/>
      <c r="S593" s="254"/>
      <c r="T593" s="254"/>
    </row>
    <row r="594" spans="2:20" ht="47.25" customHeight="1" x14ac:dyDescent="0.25">
      <c r="B594" s="221" t="s">
        <v>4004</v>
      </c>
      <c r="C594" s="222" t="s">
        <v>493</v>
      </c>
      <c r="D594" s="231" t="s">
        <v>4005</v>
      </c>
      <c r="E594" s="232" t="str">
        <f>IF(MAX(MAX(H597:T597),-MIN(H597:T597))&lt;=Inputs!$E$50,"Matches v29",IF(OR($E$22=1,$E$23=1),"Differs - requested change: "&amp;IF($E$22=1,"LT loan repaid in 2027 (not 2025); ","")&amp;IF($E$23=1,"new equity = residual funding requirement (not the v29 schedule)","")&amp;IF($E$21&gt;0," (and inputs changed)",""),IF($E$21&gt;0,"Differs - inputs changed","UNEXPLAINED")))</f>
        <v>Differs - requested change: LT loan repaid in 2027 (not 2025); new equity = residual funding requirement (not the v29 schedule) (and inputs changed)</v>
      </c>
      <c r="F594" s="225">
        <f>MAX(MAX(H597:T597),-MIN(H597:T597))</f>
        <v>413.00434734599997</v>
      </c>
      <c r="G594" s="226">
        <f>IF(OR($E$22=1,$E$23=1),0,MAX(MAX(H597:T597),-MIN(H597:T597)))</f>
        <v>0</v>
      </c>
    </row>
    <row r="595" spans="2:20" x14ac:dyDescent="0.25">
      <c r="B595" s="23" t="s">
        <v>3683</v>
      </c>
      <c r="C595" s="28" t="s">
        <v>493</v>
      </c>
      <c r="D595" s="155" t="s">
        <v>3781</v>
      </c>
      <c r="E595" s="178">
        <f>INDEX($G$595:$T$595,1,Inputs!$E$49-2022)</f>
        <v>429.51423045070999</v>
      </c>
      <c r="H595" s="30">
        <f>'Source Data'!H916</f>
        <v>-29.272342505336901</v>
      </c>
      <c r="I595" s="30">
        <f>'Source Data'!I916</f>
        <v>-28.3665625449431</v>
      </c>
      <c r="J595" s="30">
        <f>'Source Data'!J916</f>
        <v>224.97443471566601</v>
      </c>
      <c r="K595" s="30">
        <f>'Source Data'!K916</f>
        <v>265.246018401767</v>
      </c>
      <c r="L595" s="30">
        <f>'Source Data'!L916</f>
        <v>300.80255871850301</v>
      </c>
      <c r="M595" s="30">
        <f>'Source Data'!M916</f>
        <v>331.94155071647202</v>
      </c>
      <c r="N595" s="30">
        <f>'Source Data'!N916</f>
        <v>347.59916960099002</v>
      </c>
      <c r="O595" s="30">
        <f>'Source Data'!O916</f>
        <v>367.14822486641702</v>
      </c>
      <c r="P595" s="30">
        <f>'Source Data'!P916</f>
        <v>385.51317841329302</v>
      </c>
      <c r="Q595" s="30">
        <f>'Source Data'!Q916</f>
        <v>407.10494414945498</v>
      </c>
      <c r="R595" s="30">
        <f>'Source Data'!R916</f>
        <v>420.23097195363403</v>
      </c>
      <c r="S595" s="30">
        <f>'Source Data'!S916</f>
        <v>420.37448246777001</v>
      </c>
      <c r="T595" s="30">
        <f>'Source Data'!T916</f>
        <v>429.51423045070999</v>
      </c>
    </row>
    <row r="596" spans="2:20" x14ac:dyDescent="0.25">
      <c r="B596" s="23" t="s">
        <v>3685</v>
      </c>
      <c r="C596" s="28" t="s">
        <v>493</v>
      </c>
      <c r="D596" s="227" t="s">
        <v>4006</v>
      </c>
      <c r="E596" s="178">
        <f>INDEX($G$596:$T$596,1,Inputs!$E$49-2022)</f>
        <v>449.34261293091555</v>
      </c>
      <c r="H596" s="30">
        <f>'FSL Output - Without BUMN'!H232</f>
        <v>-29.272342505336788</v>
      </c>
      <c r="I596" s="30">
        <f>'FSL Output - Without BUMN'!I232</f>
        <v>159.6633500851913</v>
      </c>
      <c r="J596" s="30">
        <f>'FSL Output - Without BUMN'!J232</f>
        <v>-188.02991263013448</v>
      </c>
      <c r="K596" s="30">
        <f>'FSL Output - Without BUMN'!K232</f>
        <v>0</v>
      </c>
      <c r="L596" s="30">
        <f>'FSL Output - Without BUMN'!L232</f>
        <v>248.56660371850325</v>
      </c>
      <c r="M596" s="30">
        <f>'FSL Output - Without BUMN'!M232</f>
        <v>336.04409896159893</v>
      </c>
      <c r="N596" s="30">
        <f>'FSL Output - Without BUMN'!N232</f>
        <v>351.60883628318152</v>
      </c>
      <c r="O596" s="30">
        <f>'FSL Output - Without BUMN'!O232</f>
        <v>364.55174788477285</v>
      </c>
      <c r="P596" s="30">
        <f>'FSL Output - Without BUMN'!P232</f>
        <v>385.4167217173341</v>
      </c>
      <c r="Q596" s="30">
        <f>'FSL Output - Without BUMN'!Q232</f>
        <v>408.20576029787986</v>
      </c>
      <c r="R596" s="30">
        <f>'FSL Output - Without BUMN'!R232</f>
        <v>422.27625353431796</v>
      </c>
      <c r="S596" s="30">
        <f>'FSL Output - Without BUMN'!S232</f>
        <v>429.8582364984548</v>
      </c>
      <c r="T596" s="30">
        <f>'FSL Output - Without BUMN'!T232</f>
        <v>449.34261293091555</v>
      </c>
    </row>
    <row r="597" spans="2:20" x14ac:dyDescent="0.25">
      <c r="B597" s="21" t="s">
        <v>3687</v>
      </c>
      <c r="C597" s="28" t="s">
        <v>493</v>
      </c>
      <c r="E597" s="228">
        <f>INDEX($G$597:$T$597,1,Inputs!$E$49-2022)</f>
        <v>19.828382479999998</v>
      </c>
      <c r="H597" s="229">
        <f t="shared" ref="H597:T597" si="80">ROUND(H596-H595,9)</f>
        <v>0</v>
      </c>
      <c r="I597" s="229">
        <f t="shared" si="80"/>
        <v>188.02991263000001</v>
      </c>
      <c r="J597" s="229">
        <f t="shared" si="80"/>
        <v>-413.00434734599997</v>
      </c>
      <c r="K597" s="229">
        <f t="shared" si="80"/>
        <v>-265.246018402</v>
      </c>
      <c r="L597" s="229">
        <f t="shared" si="80"/>
        <v>-52.235954999999997</v>
      </c>
      <c r="M597" s="229">
        <f t="shared" si="80"/>
        <v>4.1025482450000004</v>
      </c>
      <c r="N597" s="229">
        <f t="shared" si="80"/>
        <v>4.0096666819999998</v>
      </c>
      <c r="O597" s="229">
        <f t="shared" si="80"/>
        <v>-2.596476982</v>
      </c>
      <c r="P597" s="229">
        <f t="shared" si="80"/>
        <v>-9.6456695999999995E-2</v>
      </c>
      <c r="Q597" s="229">
        <f t="shared" si="80"/>
        <v>1.100816148</v>
      </c>
      <c r="R597" s="229">
        <f t="shared" si="80"/>
        <v>2.0452815809999998</v>
      </c>
      <c r="S597" s="229">
        <f t="shared" si="80"/>
        <v>9.4837540310000001</v>
      </c>
      <c r="T597" s="229">
        <f t="shared" si="80"/>
        <v>19.828382479999998</v>
      </c>
    </row>
    <row r="598" spans="2:20" ht="27.75" customHeight="1" x14ac:dyDescent="0.25">
      <c r="B598" s="63" t="s">
        <v>3688</v>
      </c>
      <c r="G598" s="254" t="str">
        <f>"Without-CF12 FY"&amp;Inputs!$E$49&amp;": model "&amp;TEXT(E596,"#,##0.000")&amp;" vs v29 "&amp;TEXT(E595,"#,##0.000")&amp;" (difference "&amp;TEXT(ROUND(E597,3),"+#,##0.000;-#,##0.000;0.000")&amp;")"&amp;IF(ABS(E597)&lt;=Inputs!$E$50," - matches v29.",IF(LEFT(E594,19)="Differs - requested"," - due to the requested change: "&amp;MID(E594,29,200),IF($E$21&gt;0," - differs because inputs / switches were changed."," - UNEXPLAINED: no input was changed.")))</f>
        <v>Without-CF12 FY2036: model 449.343 vs v29 429.514 (difference +19.828) - due to the requested change: LT loan repaid in 2027 (not 2025); new equity = residual funding requirement (not the v29 schedule) (and inputs changed)</v>
      </c>
      <c r="H598" s="254"/>
      <c r="I598" s="254"/>
      <c r="J598" s="254"/>
      <c r="K598" s="254"/>
      <c r="L598" s="254"/>
      <c r="M598" s="254"/>
      <c r="N598" s="254"/>
      <c r="O598" s="254"/>
      <c r="P598" s="254"/>
      <c r="Q598" s="254"/>
      <c r="R598" s="254"/>
      <c r="S598" s="254"/>
      <c r="T598" s="254"/>
    </row>
    <row r="599" spans="2:20" ht="47.25" customHeight="1" x14ac:dyDescent="0.25">
      <c r="B599" s="221" t="s">
        <v>4007</v>
      </c>
      <c r="C599" s="222" t="s">
        <v>493</v>
      </c>
      <c r="D599" s="231" t="s">
        <v>4008</v>
      </c>
      <c r="E599" s="232" t="str">
        <f>IF(MAX(MAX(G602:T602),-MIN(G602:T602))&lt;=Inputs!$E$50,"Matches v29",IF(OR($E$22=1,$E$23=1),"Differs - requested change: "&amp;IF($E$22=1,"LT loan repaid in 2027 (not 2025); ","")&amp;IF($E$23=1,"new equity = residual funding requirement (not the v29 schedule)","")&amp;IF($E$21&gt;0," (and inputs changed)",""),IF($E$21&gt;0,"Differs - inputs changed","UNEXPLAINED")))</f>
        <v>Differs - requested change: LT loan repaid in 2027 (not 2025); new equity = residual funding requirement (not the v29 schedule) (and inputs changed)</v>
      </c>
      <c r="F599" s="225">
        <f>MAX(MAX(G602:T602),-MIN(G602:T602))</f>
        <v>542.45640811700002</v>
      </c>
      <c r="G599" s="226">
        <f>IF(OR($E$22=1,$E$23=1),0,MAX(MAX(G602:T602),-MIN(G602:T602)))</f>
        <v>0</v>
      </c>
    </row>
    <row r="600" spans="2:20" x14ac:dyDescent="0.25">
      <c r="B600" s="23" t="s">
        <v>3683</v>
      </c>
      <c r="C600" s="28" t="s">
        <v>493</v>
      </c>
      <c r="D600" s="155" t="s">
        <v>3785</v>
      </c>
      <c r="E600" s="178">
        <f>INDEX($G$600:$T$600,1,Inputs!$E$49-2022)</f>
        <v>3903.44976445468</v>
      </c>
      <c r="G600" s="30">
        <f>'Source Data'!G917</f>
        <v>60.638905050280002</v>
      </c>
      <c r="H600" s="30">
        <f>'Source Data'!H917</f>
        <v>31.3665625449431</v>
      </c>
      <c r="I600" s="30">
        <f>'Source Data'!I917</f>
        <v>2.9999999999999898</v>
      </c>
      <c r="J600" s="30">
        <f>'Source Data'!J917</f>
        <v>227.97443471566601</v>
      </c>
      <c r="K600" s="30">
        <f>'Source Data'!K917</f>
        <v>493.22045311743301</v>
      </c>
      <c r="L600" s="30">
        <f>'Source Data'!L917</f>
        <v>794.02301183593602</v>
      </c>
      <c r="M600" s="30">
        <f>'Source Data'!M917</f>
        <v>1125.9645625524099</v>
      </c>
      <c r="N600" s="30">
        <f>'Source Data'!N917</f>
        <v>1473.5637321534</v>
      </c>
      <c r="O600" s="30">
        <f>'Source Data'!O917</f>
        <v>1840.7119570198199</v>
      </c>
      <c r="P600" s="30">
        <f>'Source Data'!P917</f>
        <v>2226.2251354331102</v>
      </c>
      <c r="Q600" s="30">
        <f>'Source Data'!Q917</f>
        <v>2633.3300795825598</v>
      </c>
      <c r="R600" s="30">
        <f>'Source Data'!R917</f>
        <v>3053.5610515362</v>
      </c>
      <c r="S600" s="30">
        <f>'Source Data'!S917</f>
        <v>3473.9355340039701</v>
      </c>
      <c r="T600" s="30">
        <f>'Source Data'!T917</f>
        <v>3903.44976445468</v>
      </c>
    </row>
    <row r="601" spans="2:20" x14ac:dyDescent="0.25">
      <c r="B601" s="23" t="s">
        <v>3685</v>
      </c>
      <c r="C601" s="28" t="s">
        <v>493</v>
      </c>
      <c r="D601" s="227" t="s">
        <v>4009</v>
      </c>
      <c r="E601" s="178">
        <f>INDEX($G$601:$T$601,1,Inputs!$E$49-2022)</f>
        <v>3398.870871826959</v>
      </c>
      <c r="G601" s="30">
        <f>'FSL Output - Without BUMN'!G233</f>
        <v>60.638905050280002</v>
      </c>
      <c r="H601" s="30">
        <f>'FSL Output - Without BUMN'!H233</f>
        <v>31.366562544943214</v>
      </c>
      <c r="I601" s="30">
        <f>'FSL Output - Without BUMN'!I233</f>
        <v>191.0299126301345</v>
      </c>
      <c r="J601" s="30">
        <f>'FSL Output - Without BUMN'!J233</f>
        <v>3.0000000000000284</v>
      </c>
      <c r="K601" s="30">
        <f>'FSL Output - Without BUMN'!K233</f>
        <v>3.0000000000000284</v>
      </c>
      <c r="L601" s="30">
        <f>'FSL Output - Without BUMN'!L233</f>
        <v>251.56660371850327</v>
      </c>
      <c r="M601" s="30">
        <f>'FSL Output - Without BUMN'!M233</f>
        <v>587.61070268010224</v>
      </c>
      <c r="N601" s="30">
        <f>'FSL Output - Without BUMN'!N233</f>
        <v>939.21953896328375</v>
      </c>
      <c r="O601" s="30">
        <f>'FSL Output - Without BUMN'!O233</f>
        <v>1303.7712868480567</v>
      </c>
      <c r="P601" s="30">
        <f>'FSL Output - Without BUMN'!P233</f>
        <v>1689.1880085653906</v>
      </c>
      <c r="Q601" s="30">
        <f>'FSL Output - Without BUMN'!Q233</f>
        <v>2097.3937688632705</v>
      </c>
      <c r="R601" s="30">
        <f>'FSL Output - Without BUMN'!R233</f>
        <v>2519.6700223975886</v>
      </c>
      <c r="S601" s="30">
        <f>'FSL Output - Without BUMN'!S233</f>
        <v>2949.5282588960436</v>
      </c>
      <c r="T601" s="30">
        <f>'FSL Output - Without BUMN'!T233</f>
        <v>3398.870871826959</v>
      </c>
    </row>
    <row r="602" spans="2:20" x14ac:dyDescent="0.25">
      <c r="B602" s="21" t="s">
        <v>3687</v>
      </c>
      <c r="C602" s="28" t="s">
        <v>493</v>
      </c>
      <c r="E602" s="228">
        <f>INDEX($G$602:$T$602,1,Inputs!$E$49-2022)</f>
        <v>-504.57889262800001</v>
      </c>
      <c r="G602" s="229">
        <f t="shared" ref="G602:T602" si="81">ROUND(G601-G600,9)</f>
        <v>0</v>
      </c>
      <c r="H602" s="229">
        <f t="shared" si="81"/>
        <v>0</v>
      </c>
      <c r="I602" s="229">
        <f t="shared" si="81"/>
        <v>188.02991263000001</v>
      </c>
      <c r="J602" s="229">
        <f t="shared" si="81"/>
        <v>-224.97443471599999</v>
      </c>
      <c r="K602" s="229">
        <f t="shared" si="81"/>
        <v>-490.22045311699998</v>
      </c>
      <c r="L602" s="229">
        <f t="shared" si="81"/>
        <v>-542.45640811700002</v>
      </c>
      <c r="M602" s="229">
        <f t="shared" si="81"/>
        <v>-538.35385987200004</v>
      </c>
      <c r="N602" s="229">
        <f t="shared" si="81"/>
        <v>-534.34419319000006</v>
      </c>
      <c r="O602" s="229">
        <f t="shared" si="81"/>
        <v>-536.94067017199995</v>
      </c>
      <c r="P602" s="229">
        <f t="shared" si="81"/>
        <v>-537.03712686799997</v>
      </c>
      <c r="Q602" s="229">
        <f t="shared" si="81"/>
        <v>-535.93631071899995</v>
      </c>
      <c r="R602" s="229">
        <f t="shared" si="81"/>
        <v>-533.89102913900001</v>
      </c>
      <c r="S602" s="229">
        <f t="shared" si="81"/>
        <v>-524.40727510800002</v>
      </c>
      <c r="T602" s="229">
        <f t="shared" si="81"/>
        <v>-504.57889262800001</v>
      </c>
    </row>
    <row r="603" spans="2:20" ht="27.75" customHeight="1" x14ac:dyDescent="0.25">
      <c r="B603" s="63" t="s">
        <v>3688</v>
      </c>
      <c r="G603" s="254" t="str">
        <f>"Without-CF13 FY"&amp;Inputs!$E$49&amp;": model "&amp;TEXT(E601,"#,##0.000")&amp;" vs v29 "&amp;TEXT(E600,"#,##0.000")&amp;" (difference "&amp;TEXT(ROUND(E602,3),"+#,##0.000;-#,##0.000;0.000")&amp;")"&amp;IF(ABS(E602)&lt;=Inputs!$E$50," - matches v29.",IF(LEFT(E599,19)="Differs - requested"," - due to the requested change: "&amp;MID(E599,29,200),IF($E$21&gt;0," - differs because inputs / switches were changed."," - UNEXPLAINED: no input was changed.")))</f>
        <v>Without-CF13 FY2036: model 3,398.871 vs v29 3,903.450 (difference -504.579) - due to the requested change: LT loan repaid in 2027 (not 2025); new equity = residual funding requirement (not the v29 schedule) (and inputs changed)</v>
      </c>
      <c r="H603" s="254"/>
      <c r="I603" s="254"/>
      <c r="J603" s="254"/>
      <c r="K603" s="254"/>
      <c r="L603" s="254"/>
      <c r="M603" s="254"/>
      <c r="N603" s="254"/>
      <c r="O603" s="254"/>
      <c r="P603" s="254"/>
      <c r="Q603" s="254"/>
      <c r="R603" s="254"/>
      <c r="S603" s="254"/>
      <c r="T603" s="254"/>
    </row>
    <row r="604" spans="2:20" ht="47.25" customHeight="1" x14ac:dyDescent="0.25">
      <c r="B604" s="221" t="s">
        <v>4010</v>
      </c>
      <c r="C604" s="222" t="s">
        <v>493</v>
      </c>
      <c r="D604" s="231" t="s">
        <v>4011</v>
      </c>
      <c r="E604" s="232" t="str">
        <f>IF(MAX(MAX(G607:T607),-MIN(G607:T607))&lt;=Inputs!$E$50,"Matches v29",IF(OR($E$22=1,$E$23=1),"Differs - requested change: "&amp;IF($E$22=1,"LT loan repaid in 2027 (not 2025); ","")&amp;IF($E$23=1,"new equity = residual funding requirement (not the v29 schedule)","")&amp;IF($E$21&gt;0," (and inputs changed)",""),IF($E$21&gt;0,"Differs - inputs changed","UNEXPLAINED")))</f>
        <v>Differs - requested change: LT loan repaid in 2027 (not 2025); new equity = residual funding requirement (not the v29 schedule) (and inputs changed)</v>
      </c>
      <c r="F604" s="225">
        <f>MAX(MAX(G607:T607),-MIN(G607:T607))</f>
        <v>542.45640811700002</v>
      </c>
      <c r="G604" s="226">
        <f>IF(OR($E$22=1,$E$23=1),0,MAX(MAX(G607:T607),-MIN(G607:T607)))</f>
        <v>0</v>
      </c>
    </row>
    <row r="605" spans="2:20" x14ac:dyDescent="0.25">
      <c r="B605" s="23" t="s">
        <v>3683</v>
      </c>
      <c r="C605" s="28" t="s">
        <v>493</v>
      </c>
      <c r="D605" s="155" t="s">
        <v>3789</v>
      </c>
      <c r="E605" s="178">
        <f>INDEX($G$605:$T$605,1,Inputs!$E$49-2022)</f>
        <v>3903.44976445468</v>
      </c>
      <c r="G605" s="30">
        <f>'Source Data'!G919</f>
        <v>60.638905050280002</v>
      </c>
      <c r="H605" s="30">
        <f>'Source Data'!H919</f>
        <v>31.3665625449431</v>
      </c>
      <c r="I605" s="30">
        <f>'Source Data'!I919</f>
        <v>2.9999999999999898</v>
      </c>
      <c r="J605" s="30">
        <f>'Source Data'!J919</f>
        <v>227.97443471566601</v>
      </c>
      <c r="K605" s="30">
        <f>'Source Data'!K919</f>
        <v>493.22045311743301</v>
      </c>
      <c r="L605" s="30">
        <f>'Source Data'!L919</f>
        <v>794.02301183593602</v>
      </c>
      <c r="M605" s="30">
        <f>'Source Data'!M919</f>
        <v>1125.9645625524099</v>
      </c>
      <c r="N605" s="30">
        <f>'Source Data'!N919</f>
        <v>1473.5637321534</v>
      </c>
      <c r="O605" s="30">
        <f>'Source Data'!O919</f>
        <v>1840.7119570198199</v>
      </c>
      <c r="P605" s="30">
        <f>'Source Data'!P919</f>
        <v>2226.2251354331102</v>
      </c>
      <c r="Q605" s="30">
        <f>'Source Data'!Q919</f>
        <v>2633.3300795825598</v>
      </c>
      <c r="R605" s="30">
        <f>'Source Data'!R919</f>
        <v>3053.5610515362</v>
      </c>
      <c r="S605" s="30">
        <f>'Source Data'!S919</f>
        <v>3473.9355340039701</v>
      </c>
      <c r="T605" s="30">
        <f>'Source Data'!T919</f>
        <v>3903.44976445468</v>
      </c>
    </row>
    <row r="606" spans="2:20" x14ac:dyDescent="0.25">
      <c r="B606" s="23" t="s">
        <v>3685</v>
      </c>
      <c r="C606" s="28" t="s">
        <v>493</v>
      </c>
      <c r="D606" s="227" t="s">
        <v>4012</v>
      </c>
      <c r="E606" s="178">
        <f>INDEX($G$606:$T$606,1,Inputs!$E$49-2022)</f>
        <v>3398.8708718269595</v>
      </c>
      <c r="G606" s="30">
        <f>'FSL Output - Without BUMN'!G190</f>
        <v>60.638905050280002</v>
      </c>
      <c r="H606" s="30">
        <f>'FSL Output - Without BUMN'!H190</f>
        <v>31.366562544943211</v>
      </c>
      <c r="I606" s="30">
        <f>'FSL Output - Without BUMN'!I190</f>
        <v>191.0299126301345</v>
      </c>
      <c r="J606" s="30">
        <f>'FSL Output - Without BUMN'!J190</f>
        <v>3</v>
      </c>
      <c r="K606" s="30">
        <f>'FSL Output - Without BUMN'!K190</f>
        <v>3</v>
      </c>
      <c r="L606" s="30">
        <f>'FSL Output - Without BUMN'!L190</f>
        <v>251.56660371850327</v>
      </c>
      <c r="M606" s="30">
        <f>'FSL Output - Without BUMN'!M190</f>
        <v>587.61070268010224</v>
      </c>
      <c r="N606" s="30">
        <f>'FSL Output - Without BUMN'!N190</f>
        <v>939.21953896328387</v>
      </c>
      <c r="O606" s="30">
        <f>'FSL Output - Without BUMN'!O190</f>
        <v>1303.7712868480567</v>
      </c>
      <c r="P606" s="30">
        <f>'FSL Output - Without BUMN'!P190</f>
        <v>1689.1880085653906</v>
      </c>
      <c r="Q606" s="30">
        <f>'FSL Output - Without BUMN'!Q190</f>
        <v>2097.3937688632709</v>
      </c>
      <c r="R606" s="30">
        <f>'FSL Output - Without BUMN'!R190</f>
        <v>2519.670022397589</v>
      </c>
      <c r="S606" s="30">
        <f>'FSL Output - Without BUMN'!S190</f>
        <v>2949.528258896044</v>
      </c>
      <c r="T606" s="30">
        <f>'FSL Output - Without BUMN'!T190</f>
        <v>3398.8708718269595</v>
      </c>
    </row>
    <row r="607" spans="2:20" x14ac:dyDescent="0.25">
      <c r="B607" s="21" t="s">
        <v>3687</v>
      </c>
      <c r="C607" s="28" t="s">
        <v>493</v>
      </c>
      <c r="E607" s="228">
        <f>INDEX($G$607:$T$607,1,Inputs!$E$49-2022)</f>
        <v>-504.57889262800001</v>
      </c>
      <c r="G607" s="229">
        <f t="shared" ref="G607:T607" si="82">ROUND(G606-G605,9)</f>
        <v>0</v>
      </c>
      <c r="H607" s="229">
        <f t="shared" si="82"/>
        <v>0</v>
      </c>
      <c r="I607" s="229">
        <f t="shared" si="82"/>
        <v>188.02991263000001</v>
      </c>
      <c r="J607" s="229">
        <f t="shared" si="82"/>
        <v>-224.97443471599999</v>
      </c>
      <c r="K607" s="229">
        <f t="shared" si="82"/>
        <v>-490.22045311699998</v>
      </c>
      <c r="L607" s="229">
        <f t="shared" si="82"/>
        <v>-542.45640811700002</v>
      </c>
      <c r="M607" s="229">
        <f t="shared" si="82"/>
        <v>-538.35385987200004</v>
      </c>
      <c r="N607" s="229">
        <f t="shared" si="82"/>
        <v>-534.34419319000006</v>
      </c>
      <c r="O607" s="229">
        <f t="shared" si="82"/>
        <v>-536.94067017199995</v>
      </c>
      <c r="P607" s="229">
        <f t="shared" si="82"/>
        <v>-537.03712686799997</v>
      </c>
      <c r="Q607" s="229">
        <f t="shared" si="82"/>
        <v>-535.93631071899995</v>
      </c>
      <c r="R607" s="229">
        <f t="shared" si="82"/>
        <v>-533.89102913900001</v>
      </c>
      <c r="S607" s="229">
        <f t="shared" si="82"/>
        <v>-524.40727510800002</v>
      </c>
      <c r="T607" s="229">
        <f t="shared" si="82"/>
        <v>-504.57889262800001</v>
      </c>
    </row>
    <row r="608" spans="2:20" ht="27.75" customHeight="1" x14ac:dyDescent="0.25">
      <c r="B608" s="63" t="s">
        <v>3688</v>
      </c>
      <c r="G608" s="254" t="str">
        <f>"Without-BS01 FY"&amp;Inputs!$E$49&amp;": model "&amp;TEXT(E606,"#,##0.000")&amp;" vs v29 "&amp;TEXT(E605,"#,##0.000")&amp;" (difference "&amp;TEXT(ROUND(E607,3),"+#,##0.000;-#,##0.000;0.000")&amp;")"&amp;IF(ABS(E607)&lt;=Inputs!$E$50," - matches v29.",IF(LEFT(E604,19)="Differs - requested"," - due to the requested change: "&amp;MID(E604,29,200),IF($E$21&gt;0," - differs because inputs / switches were changed."," - UNEXPLAINED: no input was changed.")))</f>
        <v>Without-BS01 FY2036: model 3,398.871 vs v29 3,903.450 (difference -504.579) - due to the requested change: LT loan repaid in 2027 (not 2025); new equity = residual funding requirement (not the v29 schedule) (and inputs changed)</v>
      </c>
      <c r="H608" s="254"/>
      <c r="I608" s="254"/>
      <c r="J608" s="254"/>
      <c r="K608" s="254"/>
      <c r="L608" s="254"/>
      <c r="M608" s="254"/>
      <c r="N608" s="254"/>
      <c r="O608" s="254"/>
      <c r="P608" s="254"/>
      <c r="Q608" s="254"/>
      <c r="R608" s="254"/>
      <c r="S608" s="254"/>
      <c r="T608" s="254"/>
    </row>
    <row r="609" spans="2:20" x14ac:dyDescent="0.25">
      <c r="B609" s="221" t="s">
        <v>4013</v>
      </c>
      <c r="C609" s="222" t="s">
        <v>493</v>
      </c>
      <c r="D609" s="223" t="s">
        <v>4014</v>
      </c>
      <c r="E609" s="224" t="str">
        <f>IF(MAX(MAX(G612:T612),-MIN(G612:T612))&lt;=Inputs!$E$50,"Matches v29",IF($E$21&gt;0,"Differs - inputs changed","UNEXPLAINED"))</f>
        <v>Matches v29</v>
      </c>
      <c r="F609" s="225">
        <f>MAX(MAX(G612:T612),-MIN(G612:T612))</f>
        <v>0</v>
      </c>
      <c r="G609" s="226">
        <f>MAX(MAX(G612:T612),-MIN(G612:T612))</f>
        <v>0</v>
      </c>
    </row>
    <row r="610" spans="2:20" x14ac:dyDescent="0.25">
      <c r="B610" s="23" t="s">
        <v>3683</v>
      </c>
      <c r="C610" s="28" t="s">
        <v>493</v>
      </c>
      <c r="D610" s="155" t="s">
        <v>3793</v>
      </c>
      <c r="E610" s="178">
        <f>INDEX($G$610:$T$610,1,Inputs!$E$49-2022)</f>
        <v>0</v>
      </c>
      <c r="G610" s="30">
        <f>'Source Data'!G920</f>
        <v>0.51981068748259995</v>
      </c>
      <c r="H610" s="30">
        <f>'Source Data'!H920</f>
        <v>0.51981068748259995</v>
      </c>
      <c r="I610" s="30">
        <f>'Source Data'!I920</f>
        <v>0.51981068748259995</v>
      </c>
      <c r="J610" s="30">
        <f>'Source Data'!J920</f>
        <v>0.51981068748259995</v>
      </c>
      <c r="K610" s="30">
        <f>'Source Data'!K920</f>
        <v>0.51981068748259995</v>
      </c>
      <c r="L610" s="30">
        <f>'Source Data'!L920</f>
        <v>0.51981068748259995</v>
      </c>
      <c r="M610" s="30">
        <f>'Source Data'!M920</f>
        <v>0.51981068748259995</v>
      </c>
      <c r="N610" s="30">
        <f>'Source Data'!N920</f>
        <v>0.51981068748259995</v>
      </c>
      <c r="O610" s="30">
        <f>'Source Data'!O920</f>
        <v>0.51981068748259995</v>
      </c>
      <c r="P610" s="30">
        <f>'Source Data'!P920</f>
        <v>0.51981068748259995</v>
      </c>
      <c r="Q610" s="30">
        <f>'Source Data'!Q920</f>
        <v>0.51981068748259995</v>
      </c>
      <c r="R610" s="30">
        <f>'Source Data'!R920</f>
        <v>0</v>
      </c>
      <c r="S610" s="30">
        <f>'Source Data'!S920</f>
        <v>0</v>
      </c>
      <c r="T610" s="30">
        <f>'Source Data'!T920</f>
        <v>0</v>
      </c>
    </row>
    <row r="611" spans="2:20" x14ac:dyDescent="0.25">
      <c r="B611" s="23" t="s">
        <v>3685</v>
      </c>
      <c r="C611" s="28" t="s">
        <v>493</v>
      </c>
      <c r="D611" s="227" t="s">
        <v>4015</v>
      </c>
      <c r="E611" s="178">
        <f>INDEX($G$611:$T$611,1,Inputs!$E$49-2022)</f>
        <v>0</v>
      </c>
      <c r="G611" s="30">
        <f>'FSL Output - Without BUMN'!G191</f>
        <v>0.51981068748259995</v>
      </c>
      <c r="H611" s="30">
        <f>'FSL Output - Without BUMN'!H191</f>
        <v>0.51981068748259995</v>
      </c>
      <c r="I611" s="30">
        <f>'FSL Output - Without BUMN'!I191</f>
        <v>0.51981068748259995</v>
      </c>
      <c r="J611" s="30">
        <f>'FSL Output - Without BUMN'!J191</f>
        <v>0.51981068748259995</v>
      </c>
      <c r="K611" s="30">
        <f>'FSL Output - Without BUMN'!K191</f>
        <v>0.51981068748259995</v>
      </c>
      <c r="L611" s="30">
        <f>'FSL Output - Without BUMN'!L191</f>
        <v>0.51981068748259995</v>
      </c>
      <c r="M611" s="30">
        <f>'FSL Output - Without BUMN'!M191</f>
        <v>0.51981068748259995</v>
      </c>
      <c r="N611" s="30">
        <f>'FSL Output - Without BUMN'!N191</f>
        <v>0.51981068748259995</v>
      </c>
      <c r="O611" s="30">
        <f>'FSL Output - Without BUMN'!O191</f>
        <v>0.51981068748259995</v>
      </c>
      <c r="P611" s="30">
        <f>'FSL Output - Without BUMN'!P191</f>
        <v>0.51981068748259995</v>
      </c>
      <c r="Q611" s="30">
        <f>'FSL Output - Without BUMN'!Q191</f>
        <v>0.51981068748259995</v>
      </c>
      <c r="R611" s="30">
        <f>'FSL Output - Without BUMN'!R191</f>
        <v>0</v>
      </c>
      <c r="S611" s="30">
        <f>'FSL Output - Without BUMN'!S191</f>
        <v>0</v>
      </c>
      <c r="T611" s="30">
        <f>'FSL Output - Without BUMN'!T191</f>
        <v>0</v>
      </c>
    </row>
    <row r="612" spans="2:20" x14ac:dyDescent="0.25">
      <c r="B612" s="21" t="s">
        <v>3687</v>
      </c>
      <c r="C612" s="28" t="s">
        <v>493</v>
      </c>
      <c r="E612" s="228">
        <f>INDEX($G$612:$T$612,1,Inputs!$E$49-2022)</f>
        <v>0</v>
      </c>
      <c r="G612" s="229">
        <f t="shared" ref="G612:T612" si="83">ROUND(G611-G610,9)</f>
        <v>0</v>
      </c>
      <c r="H612" s="229">
        <f t="shared" si="83"/>
        <v>0</v>
      </c>
      <c r="I612" s="229">
        <f t="shared" si="83"/>
        <v>0</v>
      </c>
      <c r="J612" s="229">
        <f t="shared" si="83"/>
        <v>0</v>
      </c>
      <c r="K612" s="229">
        <f t="shared" si="83"/>
        <v>0</v>
      </c>
      <c r="L612" s="229">
        <f t="shared" si="83"/>
        <v>0</v>
      </c>
      <c r="M612" s="229">
        <f t="shared" si="83"/>
        <v>0</v>
      </c>
      <c r="N612" s="229">
        <f t="shared" si="83"/>
        <v>0</v>
      </c>
      <c r="O612" s="229">
        <f t="shared" si="83"/>
        <v>0</v>
      </c>
      <c r="P612" s="229">
        <f t="shared" si="83"/>
        <v>0</v>
      </c>
      <c r="Q612" s="229">
        <f t="shared" si="83"/>
        <v>0</v>
      </c>
      <c r="R612" s="229">
        <f t="shared" si="83"/>
        <v>0</v>
      </c>
      <c r="S612" s="229">
        <f t="shared" si="83"/>
        <v>0</v>
      </c>
      <c r="T612" s="229">
        <f t="shared" si="83"/>
        <v>0</v>
      </c>
    </row>
    <row r="613" spans="2:20" ht="27.75" customHeight="1" x14ac:dyDescent="0.25">
      <c r="B613" s="63" t="s">
        <v>3795</v>
      </c>
      <c r="G613" s="254" t="str">
        <f>"Without-BS02 FY"&amp;Inputs!$E$49&amp;": model "&amp;TEXT(E611,"#,##0.000")&amp;" vs v29 "&amp;TEXT(E610,"#,##0.000")&amp;" (difference "&amp;TEXT(ROUND(E612,3),"+#,##0.000;-#,##0.000;0.000")&amp;")"&amp;IF(ABS(E612)&lt;=Inputs!$E$50," - matches v29.",IF(LEFT(E609,19)="Differs - requested"," - due to the requested change: "&amp;MID(E609,29,200),IF($E$21&gt;0," - differs because inputs / switches were changed."," - UNEXPLAINED: no input was changed.")))</f>
        <v>Without-BS02 FY2036: model 0.000 vs v29 0.000 (difference 0.000) - matches v29.</v>
      </c>
      <c r="H613" s="254"/>
      <c r="I613" s="254"/>
      <c r="J613" s="254"/>
      <c r="K613" s="254"/>
      <c r="L613" s="254"/>
      <c r="M613" s="254"/>
      <c r="N613" s="254"/>
      <c r="O613" s="254"/>
      <c r="P613" s="254"/>
      <c r="Q613" s="254"/>
      <c r="R613" s="254"/>
      <c r="S613" s="254"/>
      <c r="T613" s="254"/>
    </row>
    <row r="614" spans="2:20" x14ac:dyDescent="0.25">
      <c r="B614" s="221" t="s">
        <v>4016</v>
      </c>
      <c r="C614" s="222" t="s">
        <v>493</v>
      </c>
      <c r="D614" s="223" t="s">
        <v>4017</v>
      </c>
      <c r="E614" s="224" t="str">
        <f>IF(MAX(MAX(G617:T617),-MIN(G617:T617))&lt;=Inputs!$E$50,"Matches v29",IF($E$21&gt;0,"Differs - inputs changed","UNEXPLAINED"))</f>
        <v>Differs - inputs changed</v>
      </c>
      <c r="F614" s="225">
        <f>MAX(MAX(G617:T617),-MIN(G617:T617))</f>
        <v>5.9418493149999998</v>
      </c>
      <c r="G614" s="226">
        <f>MAX(MAX(G617:T617),-MIN(G617:T617))</f>
        <v>5.9418493149999998</v>
      </c>
    </row>
    <row r="615" spans="2:20" x14ac:dyDescent="0.25">
      <c r="B615" s="23" t="s">
        <v>3683</v>
      </c>
      <c r="C615" s="28" t="s">
        <v>493</v>
      </c>
      <c r="D615" s="155" t="s">
        <v>3798</v>
      </c>
      <c r="E615" s="178">
        <f>INDEX($G$615:$T$615,1,Inputs!$E$49-2022)</f>
        <v>127.985471353864</v>
      </c>
      <c r="G615" s="30">
        <f>'Source Data'!G921</f>
        <v>45</v>
      </c>
      <c r="H615" s="30">
        <f>'Source Data'!H921</f>
        <v>37.535488103522198</v>
      </c>
      <c r="I615" s="30">
        <f>'Source Data'!I921</f>
        <v>52.718161619628098</v>
      </c>
      <c r="J615" s="30">
        <f>'Source Data'!J921</f>
        <v>60.974516581439097</v>
      </c>
      <c r="K615" s="30">
        <f>'Source Data'!K921</f>
        <v>76.429277067534997</v>
      </c>
      <c r="L615" s="30">
        <f>'Source Data'!L921</f>
        <v>86.315050908445798</v>
      </c>
      <c r="M615" s="30">
        <f>'Source Data'!M921</f>
        <v>95.395602612750295</v>
      </c>
      <c r="N615" s="30">
        <f>'Source Data'!N921</f>
        <v>99.602905470238895</v>
      </c>
      <c r="O615" s="30">
        <f>'Source Data'!O921</f>
        <v>106.915948562125</v>
      </c>
      <c r="P615" s="30">
        <f>'Source Data'!P921</f>
        <v>111.74442722762301</v>
      </c>
      <c r="Q615" s="30">
        <f>'Source Data'!Q921</f>
        <v>119.881973006043</v>
      </c>
      <c r="R615" s="30">
        <f>'Source Data'!R921</f>
        <v>122.32942161053499</v>
      </c>
      <c r="S615" s="30">
        <f>'Source Data'!S921</f>
        <v>123.88732537360001</v>
      </c>
      <c r="T615" s="30">
        <f>'Source Data'!T921</f>
        <v>127.985471353864</v>
      </c>
    </row>
    <row r="616" spans="2:20" x14ac:dyDescent="0.25">
      <c r="B616" s="23" t="s">
        <v>3685</v>
      </c>
      <c r="C616" s="28" t="s">
        <v>493</v>
      </c>
      <c r="D616" s="227" t="s">
        <v>4018</v>
      </c>
      <c r="E616" s="178">
        <f>INDEX($G$616:$T$616,1,Inputs!$E$49-2022)</f>
        <v>133.91108610796252</v>
      </c>
      <c r="G616" s="30">
        <f>'FSL Output - Without BUMN'!G192</f>
        <v>45</v>
      </c>
      <c r="H616" s="30">
        <f>'FSL Output - Without BUMN'!H192</f>
        <v>37.535488103522205</v>
      </c>
      <c r="I616" s="30">
        <f>'FSL Output - Without BUMN'!I192</f>
        <v>52.718161619628056</v>
      </c>
      <c r="J616" s="30">
        <f>'FSL Output - Without BUMN'!J192</f>
        <v>60.974516581439126</v>
      </c>
      <c r="K616" s="30">
        <f>'FSL Output - Without BUMN'!K192</f>
        <v>76.429277067535011</v>
      </c>
      <c r="L616" s="30">
        <f>'FSL Output - Without BUMN'!L192</f>
        <v>86.31505090844577</v>
      </c>
      <c r="M616" s="30">
        <f>'FSL Output - Without BUMN'!M192</f>
        <v>99.240328640147609</v>
      </c>
      <c r="N616" s="30">
        <f>'FSL Output - Without BUMN'!N192</f>
        <v>104.49619314147179</v>
      </c>
      <c r="O616" s="30">
        <f>'FSL Output - Without BUMN'!O192</f>
        <v>112.50827732924783</v>
      </c>
      <c r="P616" s="30">
        <f>'FSL Output - Without BUMN'!P192</f>
        <v>117.67004198172182</v>
      </c>
      <c r="Q616" s="30">
        <f>'FSL Output - Without BUMN'!Q192</f>
        <v>125.82382232111165</v>
      </c>
      <c r="R616" s="30">
        <f>'FSL Output - Without BUMN'!R192</f>
        <v>128.27127092560394</v>
      </c>
      <c r="S616" s="30">
        <f>'FSL Output - Without BUMN'!S192</f>
        <v>129.82917468866867</v>
      </c>
      <c r="T616" s="30">
        <f>'FSL Output - Without BUMN'!T192</f>
        <v>133.91108610796252</v>
      </c>
    </row>
    <row r="617" spans="2:20" x14ac:dyDescent="0.25">
      <c r="B617" s="21" t="s">
        <v>3687</v>
      </c>
      <c r="C617" s="28" t="s">
        <v>493</v>
      </c>
      <c r="E617" s="228">
        <f>INDEX($G$617:$T$617,1,Inputs!$E$49-2022)</f>
        <v>5.9256147539999997</v>
      </c>
      <c r="G617" s="229">
        <f t="shared" ref="G617:T617" si="84">ROUND(G616-G615,9)</f>
        <v>0</v>
      </c>
      <c r="H617" s="229">
        <f t="shared" si="84"/>
        <v>0</v>
      </c>
      <c r="I617" s="229">
        <f t="shared" si="84"/>
        <v>0</v>
      </c>
      <c r="J617" s="229">
        <f t="shared" si="84"/>
        <v>0</v>
      </c>
      <c r="K617" s="229">
        <f t="shared" si="84"/>
        <v>0</v>
      </c>
      <c r="L617" s="229">
        <f t="shared" si="84"/>
        <v>0</v>
      </c>
      <c r="M617" s="229">
        <f t="shared" si="84"/>
        <v>3.8447260270000001</v>
      </c>
      <c r="N617" s="229">
        <f t="shared" si="84"/>
        <v>4.8932876710000004</v>
      </c>
      <c r="O617" s="229">
        <f t="shared" si="84"/>
        <v>5.5923287669999997</v>
      </c>
      <c r="P617" s="229">
        <f t="shared" si="84"/>
        <v>5.9256147539999997</v>
      </c>
      <c r="Q617" s="229">
        <f t="shared" si="84"/>
        <v>5.9418493149999998</v>
      </c>
      <c r="R617" s="229">
        <f t="shared" si="84"/>
        <v>5.9418493149999998</v>
      </c>
      <c r="S617" s="229">
        <f t="shared" si="84"/>
        <v>5.9418493149999998</v>
      </c>
      <c r="T617" s="229">
        <f t="shared" si="84"/>
        <v>5.9256147539999997</v>
      </c>
    </row>
    <row r="618" spans="2:20" ht="27.75" customHeight="1" x14ac:dyDescent="0.25">
      <c r="B618" s="63" t="s">
        <v>3800</v>
      </c>
      <c r="G618" s="254" t="str">
        <f>"Without-BS03 FY"&amp;Inputs!$E$49&amp;": model "&amp;TEXT(E616,"#,##0.000")&amp;" vs v29 "&amp;TEXT(E615,"#,##0.000")&amp;" (difference "&amp;TEXT(ROUND(E617,3),"+#,##0.000;-#,##0.000;0.000")&amp;")"&amp;IF(ABS(E617)&lt;=Inputs!$E$50," - matches v29.",IF(LEFT(E614,19)="Differs - requested"," - due to the requested change: "&amp;MID(E614,29,200),IF($E$21&gt;0," - differs because inputs / switches were changed."," - UNEXPLAINED: no input was changed.")))</f>
        <v>Without-BS03 FY2036: model 133.911 vs v29 127.985 (difference +5.926) - differs because inputs / switches were changed.</v>
      </c>
      <c r="H618" s="254"/>
      <c r="I618" s="254"/>
      <c r="J618" s="254"/>
      <c r="K618" s="254"/>
      <c r="L618" s="254"/>
      <c r="M618" s="254"/>
      <c r="N618" s="254"/>
      <c r="O618" s="254"/>
      <c r="P618" s="254"/>
      <c r="Q618" s="254"/>
      <c r="R618" s="254"/>
      <c r="S618" s="254"/>
      <c r="T618" s="254"/>
    </row>
    <row r="619" spans="2:20" x14ac:dyDescent="0.25">
      <c r="B619" s="221" t="s">
        <v>4019</v>
      </c>
      <c r="C619" s="222" t="s">
        <v>493</v>
      </c>
      <c r="D619" s="223" t="s">
        <v>4020</v>
      </c>
      <c r="E619" s="224" t="str">
        <f>IF(MAX(MAX(G622:T622),-MIN(G622:T622))&lt;=Inputs!$E$50,"Matches v29",IF($E$21&gt;0,"Differs - inputs changed","UNEXPLAINED"))</f>
        <v>Differs - inputs changed</v>
      </c>
      <c r="F619" s="225">
        <f>MAX(MAX(G622:T622),-MIN(G622:T622))</f>
        <v>162.65</v>
      </c>
      <c r="G619" s="226">
        <f>MAX(MAX(G622:T622),-MIN(G622:T622))</f>
        <v>162.65</v>
      </c>
    </row>
    <row r="620" spans="2:20" x14ac:dyDescent="0.25">
      <c r="B620" s="23" t="s">
        <v>3683</v>
      </c>
      <c r="C620" s="28" t="s">
        <v>493</v>
      </c>
      <c r="D620" s="155" t="s">
        <v>3803</v>
      </c>
      <c r="E620" s="178">
        <f>INDEX($G$620:$T$620,1,Inputs!$E$49-2022)</f>
        <v>-235.70672864866199</v>
      </c>
      <c r="G620" s="30">
        <f>'Source Data'!G922</f>
        <v>826.022318932997</v>
      </c>
      <c r="H620" s="30">
        <f>'Source Data'!H922</f>
        <v>862.88975652406202</v>
      </c>
      <c r="I620" s="30">
        <f>'Source Data'!I922</f>
        <v>763.92857134205997</v>
      </c>
      <c r="J620" s="30">
        <f>'Source Data'!J922</f>
        <v>1048.73279720085</v>
      </c>
      <c r="K620" s="30">
        <f>'Source Data'!K922</f>
        <v>1071.79508051364</v>
      </c>
      <c r="L620" s="30">
        <f>'Source Data'!L922</f>
        <v>927.59665045030795</v>
      </c>
      <c r="M620" s="30">
        <f>'Source Data'!M922</f>
        <v>781.38948829332196</v>
      </c>
      <c r="N620" s="30">
        <f>'Source Data'!N922</f>
        <v>635.17341940081303</v>
      </c>
      <c r="O620" s="30">
        <f>'Source Data'!O922</f>
        <v>488.94826563807101</v>
      </c>
      <c r="P620" s="30">
        <f>'Source Data'!P922</f>
        <v>340.71384530769097</v>
      </c>
      <c r="Q620" s="30">
        <f>'Source Data'!Q922</f>
        <v>192.469973078321</v>
      </c>
      <c r="R620" s="30">
        <f>'Source Data'!R922</f>
        <v>49.7543051500746</v>
      </c>
      <c r="S620" s="30">
        <f>'Source Data'!S922</f>
        <v>-92.971196533881397</v>
      </c>
      <c r="T620" s="30">
        <f>'Source Data'!T922</f>
        <v>-235.70672864866199</v>
      </c>
    </row>
    <row r="621" spans="2:20" x14ac:dyDescent="0.25">
      <c r="B621" s="23" t="s">
        <v>3685</v>
      </c>
      <c r="C621" s="28" t="s">
        <v>493</v>
      </c>
      <c r="D621" s="227" t="s">
        <v>4021</v>
      </c>
      <c r="E621" s="178">
        <f>INDEX($G$621:$T$621,1,Inputs!$E$49-2022)</f>
        <v>-164.14072864866202</v>
      </c>
      <c r="G621" s="30">
        <f>'FSL Output - Without BUMN'!G193</f>
        <v>826.022318932997</v>
      </c>
      <c r="H621" s="30">
        <f>'FSL Output - Without BUMN'!H193</f>
        <v>862.88975652406168</v>
      </c>
      <c r="I621" s="30">
        <f>'FSL Output - Without BUMN'!I193</f>
        <v>763.9285713420602</v>
      </c>
      <c r="J621" s="30">
        <f>'FSL Output - Without BUMN'!J193</f>
        <v>1048.7327972008522</v>
      </c>
      <c r="K621" s="30">
        <f>'FSL Output - Without BUMN'!K193</f>
        <v>1136.8550805136435</v>
      </c>
      <c r="L621" s="30">
        <f>'FSL Output - Without BUMN'!L193</f>
        <v>1090.2466504503075</v>
      </c>
      <c r="M621" s="30">
        <f>'FSL Output - Without BUMN'!M193</f>
        <v>932.6617812433559</v>
      </c>
      <c r="N621" s="30">
        <f>'FSL Output - Without BUMN'!N193</f>
        <v>775.0680053008814</v>
      </c>
      <c r="O621" s="30">
        <f>'FSL Output - Without BUMN'!O193</f>
        <v>617.46514448817356</v>
      </c>
      <c r="P621" s="30">
        <f>'FSL Output - Without BUMN'!P193</f>
        <v>457.82184530769092</v>
      </c>
      <c r="Q621" s="30">
        <f>'FSL Output - Without BUMN'!Q193</f>
        <v>298.20026602835441</v>
      </c>
      <c r="R621" s="30">
        <f>'FSL Output - Without BUMN'!R193</f>
        <v>144.10689105014259</v>
      </c>
      <c r="S621" s="30">
        <f>'FSL Output - Without BUMN'!S193</f>
        <v>-9.9963176837791821</v>
      </c>
      <c r="T621" s="30">
        <f>'FSL Output - Without BUMN'!T193</f>
        <v>-164.14072864866202</v>
      </c>
    </row>
    <row r="622" spans="2:20" x14ac:dyDescent="0.25">
      <c r="B622" s="21" t="s">
        <v>3687</v>
      </c>
      <c r="C622" s="28" t="s">
        <v>493</v>
      </c>
      <c r="E622" s="228">
        <f>INDEX($G$622:$T$622,1,Inputs!$E$49-2022)</f>
        <v>71.566000000000003</v>
      </c>
      <c r="G622" s="229">
        <f t="shared" ref="G622:T622" si="85">ROUND(G621-G620,9)</f>
        <v>0</v>
      </c>
      <c r="H622" s="229">
        <f t="shared" si="85"/>
        <v>0</v>
      </c>
      <c r="I622" s="229">
        <f t="shared" si="85"/>
        <v>0</v>
      </c>
      <c r="J622" s="229">
        <f t="shared" si="85"/>
        <v>0</v>
      </c>
      <c r="K622" s="229">
        <f t="shared" si="85"/>
        <v>65.06</v>
      </c>
      <c r="L622" s="229">
        <f t="shared" si="85"/>
        <v>162.65</v>
      </c>
      <c r="M622" s="229">
        <f t="shared" si="85"/>
        <v>151.27229295000001</v>
      </c>
      <c r="N622" s="229">
        <f t="shared" si="85"/>
        <v>139.89458590000001</v>
      </c>
      <c r="O622" s="229">
        <f t="shared" si="85"/>
        <v>128.51687885000001</v>
      </c>
      <c r="P622" s="229">
        <f t="shared" si="85"/>
        <v>117.108</v>
      </c>
      <c r="Q622" s="229">
        <f t="shared" si="85"/>
        <v>105.73029295000001</v>
      </c>
      <c r="R622" s="229">
        <f t="shared" si="85"/>
        <v>94.352585899999994</v>
      </c>
      <c r="S622" s="229">
        <f t="shared" si="85"/>
        <v>82.974878849999996</v>
      </c>
      <c r="T622" s="229">
        <f t="shared" si="85"/>
        <v>71.566000000000003</v>
      </c>
    </row>
    <row r="623" spans="2:20" ht="27.75" customHeight="1" x14ac:dyDescent="0.25">
      <c r="B623" s="63" t="s">
        <v>3805</v>
      </c>
      <c r="G623" s="254" t="str">
        <f>"Without-BS04 FY"&amp;Inputs!$E$49&amp;": model "&amp;TEXT(E621,"#,##0.000")&amp;" vs v29 "&amp;TEXT(E620,"#,##0.000")&amp;" (difference "&amp;TEXT(ROUND(E622,3),"+#,##0.000;-#,##0.000;0.000")&amp;")"&amp;IF(ABS(E622)&lt;=Inputs!$E$50," - matches v29.",IF(LEFT(E619,19)="Differs - requested"," - due to the requested change: "&amp;MID(E619,29,200),IF($E$21&gt;0," - differs because inputs / switches were changed."," - UNEXPLAINED: no input was changed.")))</f>
        <v>Without-BS04 FY2036: model -164.141 vs v29 -235.707 (difference +71.566) - differs because inputs / switches were changed.</v>
      </c>
      <c r="H623" s="254"/>
      <c r="I623" s="254"/>
      <c r="J623" s="254"/>
      <c r="K623" s="254"/>
      <c r="L623" s="254"/>
      <c r="M623" s="254"/>
      <c r="N623" s="254"/>
      <c r="O623" s="254"/>
      <c r="P623" s="254"/>
      <c r="Q623" s="254"/>
      <c r="R623" s="254"/>
      <c r="S623" s="254"/>
      <c r="T623" s="254"/>
    </row>
    <row r="624" spans="2:20" x14ac:dyDescent="0.25">
      <c r="B624" s="221" t="s">
        <v>4022</v>
      </c>
      <c r="C624" s="222" t="s">
        <v>493</v>
      </c>
      <c r="D624" s="223" t="s">
        <v>4023</v>
      </c>
      <c r="E624" s="224" t="str">
        <f>IF(MAX(MAX(G627:T627),-MIN(G627:T627))&lt;=Inputs!$E$50,"Matches v29",IF($E$21&gt;0,"Differs - inputs changed","UNEXPLAINED"))</f>
        <v>Matches v29</v>
      </c>
      <c r="F624" s="225">
        <f>MAX(MAX(G627:T627),-MIN(G627:T627))</f>
        <v>0</v>
      </c>
      <c r="G624" s="226">
        <f>MAX(MAX(G627:T627),-MIN(G627:T627))</f>
        <v>0</v>
      </c>
    </row>
    <row r="625" spans="2:20" x14ac:dyDescent="0.25">
      <c r="B625" s="23" t="s">
        <v>3683</v>
      </c>
      <c r="C625" s="28" t="s">
        <v>493</v>
      </c>
      <c r="D625" s="155" t="s">
        <v>3808</v>
      </c>
      <c r="E625" s="178">
        <f>INDEX($G$625:$T$625,1,Inputs!$E$49-2022)</f>
        <v>331.262624869158</v>
      </c>
      <c r="G625" s="30">
        <f>'Source Data'!G923</f>
        <v>331.262624869158</v>
      </c>
      <c r="H625" s="30">
        <f>'Source Data'!H923</f>
        <v>331.262624869158</v>
      </c>
      <c r="I625" s="30">
        <f>'Source Data'!I923</f>
        <v>331.262624869158</v>
      </c>
      <c r="J625" s="30">
        <f>'Source Data'!J923</f>
        <v>331.262624869158</v>
      </c>
      <c r="K625" s="30">
        <f>'Source Data'!K923</f>
        <v>331.262624869158</v>
      </c>
      <c r="L625" s="30">
        <f>'Source Data'!L923</f>
        <v>331.262624869158</v>
      </c>
      <c r="M625" s="30">
        <f>'Source Data'!M923</f>
        <v>331.262624869158</v>
      </c>
      <c r="N625" s="30">
        <f>'Source Data'!N923</f>
        <v>331.262624869158</v>
      </c>
      <c r="O625" s="30">
        <f>'Source Data'!O923</f>
        <v>331.262624869158</v>
      </c>
      <c r="P625" s="30">
        <f>'Source Data'!P923</f>
        <v>331.262624869158</v>
      </c>
      <c r="Q625" s="30">
        <f>'Source Data'!Q923</f>
        <v>331.262624869158</v>
      </c>
      <c r="R625" s="30">
        <f>'Source Data'!R923</f>
        <v>331.262624869158</v>
      </c>
      <c r="S625" s="30">
        <f>'Source Data'!S923</f>
        <v>331.262624869158</v>
      </c>
      <c r="T625" s="30">
        <f>'Source Data'!T923</f>
        <v>331.262624869158</v>
      </c>
    </row>
    <row r="626" spans="2:20" x14ac:dyDescent="0.25">
      <c r="B626" s="23" t="s">
        <v>3685</v>
      </c>
      <c r="C626" s="28" t="s">
        <v>493</v>
      </c>
      <c r="D626" s="227" t="s">
        <v>4024</v>
      </c>
      <c r="E626" s="178">
        <f>INDEX($G$626:$T$626,1,Inputs!$E$49-2022)</f>
        <v>331.262624869158</v>
      </c>
      <c r="G626" s="30">
        <f>'FSL Output - Without BUMN'!G194</f>
        <v>331.262624869158</v>
      </c>
      <c r="H626" s="30">
        <f>'FSL Output - Without BUMN'!H194</f>
        <v>331.262624869158</v>
      </c>
      <c r="I626" s="30">
        <f>'FSL Output - Without BUMN'!I194</f>
        <v>331.262624869158</v>
      </c>
      <c r="J626" s="30">
        <f>'FSL Output - Without BUMN'!J194</f>
        <v>331.262624869158</v>
      </c>
      <c r="K626" s="30">
        <f>'FSL Output - Without BUMN'!K194</f>
        <v>331.262624869158</v>
      </c>
      <c r="L626" s="30">
        <f>'FSL Output - Without BUMN'!L194</f>
        <v>331.262624869158</v>
      </c>
      <c r="M626" s="30">
        <f>'FSL Output - Without BUMN'!M194</f>
        <v>331.262624869158</v>
      </c>
      <c r="N626" s="30">
        <f>'FSL Output - Without BUMN'!N194</f>
        <v>331.262624869158</v>
      </c>
      <c r="O626" s="30">
        <f>'FSL Output - Without BUMN'!O194</f>
        <v>331.262624869158</v>
      </c>
      <c r="P626" s="30">
        <f>'FSL Output - Without BUMN'!P194</f>
        <v>331.262624869158</v>
      </c>
      <c r="Q626" s="30">
        <f>'FSL Output - Without BUMN'!Q194</f>
        <v>331.262624869158</v>
      </c>
      <c r="R626" s="30">
        <f>'FSL Output - Without BUMN'!R194</f>
        <v>331.262624869158</v>
      </c>
      <c r="S626" s="30">
        <f>'FSL Output - Without BUMN'!S194</f>
        <v>331.262624869158</v>
      </c>
      <c r="T626" s="30">
        <f>'FSL Output - Without BUMN'!T194</f>
        <v>331.262624869158</v>
      </c>
    </row>
    <row r="627" spans="2:20" x14ac:dyDescent="0.25">
      <c r="B627" s="21" t="s">
        <v>3687</v>
      </c>
      <c r="C627" s="28" t="s">
        <v>493</v>
      </c>
      <c r="E627" s="228">
        <f>INDEX($G$627:$T$627,1,Inputs!$E$49-2022)</f>
        <v>0</v>
      </c>
      <c r="G627" s="229">
        <f t="shared" ref="G627:T627" si="86">ROUND(G626-G625,9)</f>
        <v>0</v>
      </c>
      <c r="H627" s="229">
        <f t="shared" si="86"/>
        <v>0</v>
      </c>
      <c r="I627" s="229">
        <f t="shared" si="86"/>
        <v>0</v>
      </c>
      <c r="J627" s="229">
        <f t="shared" si="86"/>
        <v>0</v>
      </c>
      <c r="K627" s="229">
        <f t="shared" si="86"/>
        <v>0</v>
      </c>
      <c r="L627" s="229">
        <f t="shared" si="86"/>
        <v>0</v>
      </c>
      <c r="M627" s="229">
        <f t="shared" si="86"/>
        <v>0</v>
      </c>
      <c r="N627" s="229">
        <f t="shared" si="86"/>
        <v>0</v>
      </c>
      <c r="O627" s="229">
        <f t="shared" si="86"/>
        <v>0</v>
      </c>
      <c r="P627" s="229">
        <f t="shared" si="86"/>
        <v>0</v>
      </c>
      <c r="Q627" s="229">
        <f t="shared" si="86"/>
        <v>0</v>
      </c>
      <c r="R627" s="229">
        <f t="shared" si="86"/>
        <v>0</v>
      </c>
      <c r="S627" s="229">
        <f t="shared" si="86"/>
        <v>0</v>
      </c>
      <c r="T627" s="229">
        <f t="shared" si="86"/>
        <v>0</v>
      </c>
    </row>
    <row r="628" spans="2:20" ht="27.75" customHeight="1" x14ac:dyDescent="0.25">
      <c r="B628" s="63" t="s">
        <v>3810</v>
      </c>
      <c r="G628" s="254" t="str">
        <f>"Without-BS05 FY"&amp;Inputs!$E$49&amp;": model "&amp;TEXT(E626,"#,##0.000")&amp;" vs v29 "&amp;TEXT(E625,"#,##0.000")&amp;" (difference "&amp;TEXT(ROUND(E627,3),"+#,##0.000;-#,##0.000;0.000")&amp;")"&amp;IF(ABS(E627)&lt;=Inputs!$E$50," - matches v29.",IF(LEFT(E624,19)="Differs - requested"," - due to the requested change: "&amp;MID(E624,29,200),IF($E$21&gt;0," - differs because inputs / switches were changed."," - UNEXPLAINED: no input was changed.")))</f>
        <v>Without-BS05 FY2036: model 331.263 vs v29 331.263 (difference 0.000) - matches v29.</v>
      </c>
      <c r="H628" s="254"/>
      <c r="I628" s="254"/>
      <c r="J628" s="254"/>
      <c r="K628" s="254"/>
      <c r="L628" s="254"/>
      <c r="M628" s="254"/>
      <c r="N628" s="254"/>
      <c r="O628" s="254"/>
      <c r="P628" s="254"/>
      <c r="Q628" s="254"/>
      <c r="R628" s="254"/>
      <c r="S628" s="254"/>
      <c r="T628" s="254"/>
    </row>
    <row r="629" spans="2:20" ht="47.25" customHeight="1" x14ac:dyDescent="0.25">
      <c r="B629" s="221" t="s">
        <v>4025</v>
      </c>
      <c r="C629" s="222" t="s">
        <v>493</v>
      </c>
      <c r="D629" s="231" t="s">
        <v>4026</v>
      </c>
      <c r="E629" s="232" t="str">
        <f>IF(MAX(MAX(G632:T632),-MIN(G632:T632))&lt;=Inputs!$E$50,"Matches v29",IF(OR($E$22=1,$E$23=1),"Differs - requested change: "&amp;IF($E$22=1,"LT loan repaid in 2027 (not 2025); ","")&amp;IF($E$23=1,"new equity = residual funding requirement (not the v29 schedule)","")&amp;IF($E$21&gt;0," (and inputs changed)",""),IF($E$21&gt;0,"Differs - inputs changed","UNEXPLAINED")))</f>
        <v>Differs - requested change: LT loan repaid in 2027 (not 2025); new equity = residual funding requirement (not the v29 schedule) (and inputs changed)</v>
      </c>
      <c r="F629" s="225">
        <f>MAX(MAX(G632:T632),-MIN(G632:T632))</f>
        <v>435.49054694300003</v>
      </c>
      <c r="G629" s="226">
        <f>IF(OR($E$22=1,$E$23=1),0,MAX(MAX(G632:T632),-MIN(G632:T632)))</f>
        <v>0</v>
      </c>
    </row>
    <row r="630" spans="2:20" x14ac:dyDescent="0.25">
      <c r="B630" s="23" t="s">
        <v>3683</v>
      </c>
      <c r="C630" s="28" t="s">
        <v>493</v>
      </c>
      <c r="D630" s="155" t="s">
        <v>3813</v>
      </c>
      <c r="E630" s="178">
        <f>INDEX($G$630:$T$630,1,Inputs!$E$49-2022)</f>
        <v>4126.9911320290403</v>
      </c>
      <c r="G630" s="30">
        <f>'Source Data'!G924</f>
        <v>1263.44365953992</v>
      </c>
      <c r="H630" s="30">
        <f>'Source Data'!H924</f>
        <v>1263.57424272917</v>
      </c>
      <c r="I630" s="30">
        <f>'Source Data'!I924</f>
        <v>1151.42916851833</v>
      </c>
      <c r="J630" s="30">
        <f>'Source Data'!J924</f>
        <v>1669.4641840546001</v>
      </c>
      <c r="K630" s="30">
        <f>'Source Data'!K924</f>
        <v>1973.2272462552501</v>
      </c>
      <c r="L630" s="30">
        <f>'Source Data'!L924</f>
        <v>2139.7171487513301</v>
      </c>
      <c r="M630" s="30">
        <f>'Source Data'!M924</f>
        <v>2334.5320890151202</v>
      </c>
      <c r="N630" s="30">
        <f>'Source Data'!N924</f>
        <v>2540.1224925810898</v>
      </c>
      <c r="O630" s="30">
        <f>'Source Data'!O924</f>
        <v>2768.35860677665</v>
      </c>
      <c r="P630" s="30">
        <f>'Source Data'!P924</f>
        <v>3010.4658435250599</v>
      </c>
      <c r="Q630" s="30">
        <f>'Source Data'!Q924</f>
        <v>3277.4644612235702</v>
      </c>
      <c r="R630" s="30">
        <f>'Source Data'!R924</f>
        <v>3556.9074031659602</v>
      </c>
      <c r="S630" s="30">
        <f>'Source Data'!S924</f>
        <v>3836.11428771284</v>
      </c>
      <c r="T630" s="30">
        <f>'Source Data'!T924</f>
        <v>4126.9911320290403</v>
      </c>
    </row>
    <row r="631" spans="2:20" x14ac:dyDescent="0.25">
      <c r="B631" s="23" t="s">
        <v>3685</v>
      </c>
      <c r="C631" s="28" t="s">
        <v>493</v>
      </c>
      <c r="D631" s="227" t="s">
        <v>4027</v>
      </c>
      <c r="E631" s="178">
        <f>INDEX($G$631:$T$631,1,Inputs!$E$49-2022)</f>
        <v>3699.9038541554182</v>
      </c>
      <c r="G631" s="30">
        <f>'FSL Output - Without BUMN'!G195</f>
        <v>1263.4436595399175</v>
      </c>
      <c r="H631" s="30">
        <f>'FSL Output - Without BUMN'!H195</f>
        <v>1263.5742427291677</v>
      </c>
      <c r="I631" s="30">
        <f>'FSL Output - Without BUMN'!I195</f>
        <v>1339.4590811484634</v>
      </c>
      <c r="J631" s="30">
        <f>'FSL Output - Without BUMN'!J195</f>
        <v>1444.4897493389321</v>
      </c>
      <c r="K631" s="30">
        <f>'FSL Output - Without BUMN'!K195</f>
        <v>1548.0667931378193</v>
      </c>
      <c r="L631" s="30">
        <f>'FSL Output - Without BUMN'!L195</f>
        <v>1759.9107406338971</v>
      </c>
      <c r="M631" s="30">
        <f>'FSL Output - Without BUMN'!M195</f>
        <v>1951.2952481202465</v>
      </c>
      <c r="N631" s="30">
        <f>'FSL Output - Without BUMN'!N195</f>
        <v>2150.5661729622775</v>
      </c>
      <c r="O631" s="30">
        <f>'FSL Output - Without BUMN'!O195</f>
        <v>2365.5271442221187</v>
      </c>
      <c r="P631" s="30">
        <f>'FSL Output - Without BUMN'!P195</f>
        <v>2596.4623314114442</v>
      </c>
      <c r="Q631" s="30">
        <f>'FSL Output - Without BUMN'!Q195</f>
        <v>2853.2002927693775</v>
      </c>
      <c r="R631" s="30">
        <f>'FSL Output - Without BUMN'!R195</f>
        <v>3123.3108092424936</v>
      </c>
      <c r="S631" s="30">
        <f>'FSL Output - Without BUMN'!S195</f>
        <v>3400.6237407700914</v>
      </c>
      <c r="T631" s="30">
        <f>'FSL Output - Without BUMN'!T195</f>
        <v>3699.9038541554182</v>
      </c>
    </row>
    <row r="632" spans="2:20" x14ac:dyDescent="0.25">
      <c r="B632" s="21" t="s">
        <v>3687</v>
      </c>
      <c r="C632" s="28" t="s">
        <v>493</v>
      </c>
      <c r="E632" s="228">
        <f>INDEX($G$632:$T$632,1,Inputs!$E$49-2022)</f>
        <v>-427.08727787399999</v>
      </c>
      <c r="G632" s="229">
        <f t="shared" ref="G632:T632" si="87">ROUND(G631-G630,9)</f>
        <v>0</v>
      </c>
      <c r="H632" s="229">
        <f t="shared" si="87"/>
        <v>0</v>
      </c>
      <c r="I632" s="229">
        <f t="shared" si="87"/>
        <v>188.02991263000001</v>
      </c>
      <c r="J632" s="229">
        <f t="shared" si="87"/>
        <v>-224.97443471599999</v>
      </c>
      <c r="K632" s="229">
        <f t="shared" si="87"/>
        <v>-425.16045311699997</v>
      </c>
      <c r="L632" s="229">
        <f t="shared" si="87"/>
        <v>-379.80640811699999</v>
      </c>
      <c r="M632" s="229">
        <f t="shared" si="87"/>
        <v>-383.236840895</v>
      </c>
      <c r="N632" s="229">
        <f t="shared" si="87"/>
        <v>-389.55631961900002</v>
      </c>
      <c r="O632" s="229">
        <f t="shared" si="87"/>
        <v>-402.83146255499997</v>
      </c>
      <c r="P632" s="229">
        <f t="shared" si="87"/>
        <v>-414.00351211399999</v>
      </c>
      <c r="Q632" s="229">
        <f t="shared" si="87"/>
        <v>-424.26416845400001</v>
      </c>
      <c r="R632" s="229">
        <f t="shared" si="87"/>
        <v>-433.596593923</v>
      </c>
      <c r="S632" s="229">
        <f t="shared" si="87"/>
        <v>-435.49054694300003</v>
      </c>
      <c r="T632" s="229">
        <f t="shared" si="87"/>
        <v>-427.08727787399999</v>
      </c>
    </row>
    <row r="633" spans="2:20" ht="27.75" customHeight="1" x14ac:dyDescent="0.25">
      <c r="B633" s="63" t="s">
        <v>3688</v>
      </c>
      <c r="G633" s="254" t="str">
        <f>"Without-BS06 FY"&amp;Inputs!$E$49&amp;": model "&amp;TEXT(E631,"#,##0.000")&amp;" vs v29 "&amp;TEXT(E630,"#,##0.000")&amp;" (difference "&amp;TEXT(ROUND(E632,3),"+#,##0.000;-#,##0.000;0.000")&amp;")"&amp;IF(ABS(E632)&lt;=Inputs!$E$50," - matches v29.",IF(LEFT(E629,19)="Differs - requested"," - due to the requested change: "&amp;MID(E629,29,200),IF($E$21&gt;0," - differs because inputs / switches were changed."," - UNEXPLAINED: no input was changed.")))</f>
        <v>Without-BS06 FY2036: model 3,699.904 vs v29 4,126.991 (difference -427.087) - due to the requested change: LT loan repaid in 2027 (not 2025); new equity = residual funding requirement (not the v29 schedule) (and inputs changed)</v>
      </c>
      <c r="H633" s="254"/>
      <c r="I633" s="254"/>
      <c r="J633" s="254"/>
      <c r="K633" s="254"/>
      <c r="L633" s="254"/>
      <c r="M633" s="254"/>
      <c r="N633" s="254"/>
      <c r="O633" s="254"/>
      <c r="P633" s="254"/>
      <c r="Q633" s="254"/>
      <c r="R633" s="254"/>
      <c r="S633" s="254"/>
      <c r="T633" s="254"/>
    </row>
    <row r="634" spans="2:20" x14ac:dyDescent="0.25">
      <c r="B634" s="221" t="s">
        <v>4028</v>
      </c>
      <c r="C634" s="222" t="s">
        <v>493</v>
      </c>
      <c r="D634" s="223" t="s">
        <v>4029</v>
      </c>
      <c r="E634" s="224" t="str">
        <f>IF(MAX(MAX(G637:T637),-MIN(G637:T637))&lt;=Inputs!$E$50,"Matches v29",IF($E$21&gt;0,"Differs - inputs changed","UNEXPLAINED"))</f>
        <v>Differs - inputs changed</v>
      </c>
      <c r="F634" s="225">
        <f>MAX(MAX(G637:T637),-MIN(G637:T637))</f>
        <v>1.552417808</v>
      </c>
      <c r="G634" s="226">
        <f>MAX(MAX(G637:T637),-MIN(G637:T637))</f>
        <v>1.552417808</v>
      </c>
    </row>
    <row r="635" spans="2:20" x14ac:dyDescent="0.25">
      <c r="B635" s="23" t="s">
        <v>3683</v>
      </c>
      <c r="C635" s="28" t="s">
        <v>493</v>
      </c>
      <c r="D635" s="155" t="s">
        <v>3817</v>
      </c>
      <c r="E635" s="178">
        <f>INDEX($G$635:$T$635,1,Inputs!$E$49-2022)</f>
        <v>17.781241188922401</v>
      </c>
      <c r="G635" s="30">
        <f>'Source Data'!G925</f>
        <v>14.6719859829049</v>
      </c>
      <c r="H635" s="30">
        <f>'Source Data'!H925</f>
        <v>10.044512985898301</v>
      </c>
      <c r="I635" s="30">
        <f>'Source Data'!I925</f>
        <v>9.42400790337717</v>
      </c>
      <c r="J635" s="30">
        <f>'Source Data'!J925</f>
        <v>9.2239698680783508</v>
      </c>
      <c r="K635" s="30">
        <f>'Source Data'!K925</f>
        <v>10.239545383745099</v>
      </c>
      <c r="L635" s="30">
        <f>'Source Data'!L925</f>
        <v>12.027453038379001</v>
      </c>
      <c r="M635" s="30">
        <f>'Source Data'!M925</f>
        <v>12.950494562138299</v>
      </c>
      <c r="N635" s="30">
        <f>'Source Data'!N925</f>
        <v>13.777243394420999</v>
      </c>
      <c r="O635" s="30">
        <f>'Source Data'!O925</f>
        <v>14.7352711539975</v>
      </c>
      <c r="P635" s="30">
        <f>'Source Data'!P925</f>
        <v>15.584835722451601</v>
      </c>
      <c r="Q635" s="30">
        <f>'Source Data'!Q925</f>
        <v>16.570083113726</v>
      </c>
      <c r="R635" s="30">
        <f>'Source Data'!R925</f>
        <v>16.229518076242599</v>
      </c>
      <c r="S635" s="30">
        <f>'Source Data'!S925</f>
        <v>16.965161731061102</v>
      </c>
      <c r="T635" s="30">
        <f>'Source Data'!T925</f>
        <v>17.781241188922401</v>
      </c>
    </row>
    <row r="636" spans="2:20" x14ac:dyDescent="0.25">
      <c r="B636" s="23" t="s">
        <v>3685</v>
      </c>
      <c r="C636" s="28" t="s">
        <v>493</v>
      </c>
      <c r="D636" s="227" t="s">
        <v>4030</v>
      </c>
      <c r="E636" s="178">
        <f>INDEX($G$636:$T$636,1,Inputs!$E$49-2022)</f>
        <v>19.329417418430562</v>
      </c>
      <c r="G636" s="30">
        <f>'FSL Output - Without BUMN'!G198</f>
        <v>14.6719859829049</v>
      </c>
      <c r="H636" s="30">
        <f>'FSL Output - Without BUMN'!H198</f>
        <v>10.04451298589832</v>
      </c>
      <c r="I636" s="30">
        <f>'FSL Output - Without BUMN'!I198</f>
        <v>9.4240079033771647</v>
      </c>
      <c r="J636" s="30">
        <f>'FSL Output - Without BUMN'!J198</f>
        <v>9.2239698680783473</v>
      </c>
      <c r="K636" s="30">
        <f>'FSL Output - Without BUMN'!K198</f>
        <v>10.239545383745051</v>
      </c>
      <c r="L636" s="30">
        <f>'FSL Output - Without BUMN'!L198</f>
        <v>12.027453038379001</v>
      </c>
      <c r="M636" s="30">
        <f>'FSL Output - Without BUMN'!M198</f>
        <v>14.223419219672557</v>
      </c>
      <c r="N636" s="30">
        <f>'FSL Output - Without BUMN'!N198</f>
        <v>15.189914627297753</v>
      </c>
      <c r="O636" s="30">
        <f>'FSL Output - Without BUMN'!O198</f>
        <v>16.241106770435881</v>
      </c>
      <c r="P636" s="30">
        <f>'FSL Output - Without BUMN'!P198</f>
        <v>17.133011951959769</v>
      </c>
      <c r="Q636" s="30">
        <f>'FSL Output - Without BUMN'!Q198</f>
        <v>18.122500921945168</v>
      </c>
      <c r="R636" s="30">
        <f>'FSL Output - Without BUMN'!R198</f>
        <v>17.781935884461795</v>
      </c>
      <c r="S636" s="30">
        <f>'FSL Output - Without BUMN'!S198</f>
        <v>18.517579539280291</v>
      </c>
      <c r="T636" s="30">
        <f>'FSL Output - Without BUMN'!T198</f>
        <v>19.329417418430562</v>
      </c>
    </row>
    <row r="637" spans="2:20" x14ac:dyDescent="0.25">
      <c r="B637" s="21" t="s">
        <v>3687</v>
      </c>
      <c r="C637" s="28" t="s">
        <v>493</v>
      </c>
      <c r="E637" s="228">
        <f>INDEX($G$637:$T$637,1,Inputs!$E$49-2022)</f>
        <v>1.5481762299999999</v>
      </c>
      <c r="G637" s="229">
        <f t="shared" ref="G637:T637" si="88">ROUND(G636-G635,9)</f>
        <v>0</v>
      </c>
      <c r="H637" s="229">
        <f t="shared" si="88"/>
        <v>0</v>
      </c>
      <c r="I637" s="229">
        <f t="shared" si="88"/>
        <v>0</v>
      </c>
      <c r="J637" s="229">
        <f t="shared" si="88"/>
        <v>0</v>
      </c>
      <c r="K637" s="229">
        <f t="shared" si="88"/>
        <v>0</v>
      </c>
      <c r="L637" s="229">
        <f t="shared" si="88"/>
        <v>0</v>
      </c>
      <c r="M637" s="229">
        <f t="shared" si="88"/>
        <v>1.272924658</v>
      </c>
      <c r="N637" s="229">
        <f t="shared" si="88"/>
        <v>1.412671233</v>
      </c>
      <c r="O637" s="229">
        <f t="shared" si="88"/>
        <v>1.5058356159999999</v>
      </c>
      <c r="P637" s="229">
        <f t="shared" si="88"/>
        <v>1.5481762299999999</v>
      </c>
      <c r="Q637" s="229">
        <f t="shared" si="88"/>
        <v>1.552417808</v>
      </c>
      <c r="R637" s="229">
        <f t="shared" si="88"/>
        <v>1.552417808</v>
      </c>
      <c r="S637" s="229">
        <f t="shared" si="88"/>
        <v>1.552417808</v>
      </c>
      <c r="T637" s="229">
        <f t="shared" si="88"/>
        <v>1.5481762299999999</v>
      </c>
    </row>
    <row r="638" spans="2:20" ht="27.75" customHeight="1" x14ac:dyDescent="0.25">
      <c r="B638" s="63" t="s">
        <v>3819</v>
      </c>
      <c r="G638" s="254" t="str">
        <f>"Without-BS07 FY"&amp;Inputs!$E$49&amp;": model "&amp;TEXT(E636,"#,##0.000")&amp;" vs v29 "&amp;TEXT(E635,"#,##0.000")&amp;" (difference "&amp;TEXT(ROUND(E637,3),"+#,##0.000;-#,##0.000;0.000")&amp;")"&amp;IF(ABS(E637)&lt;=Inputs!$E$50," - matches v29.",IF(LEFT(E634,19)="Differs - requested"," - due to the requested change: "&amp;MID(E634,29,200),IF($E$21&gt;0," - differs because inputs / switches were changed."," - UNEXPLAINED: no input was changed.")))</f>
        <v>Without-BS07 FY2036: model 19.329 vs v29 17.781 (difference +1.548) - differs because inputs / switches were changed.</v>
      </c>
      <c r="H638" s="254"/>
      <c r="I638" s="254"/>
      <c r="J638" s="254"/>
      <c r="K638" s="254"/>
      <c r="L638" s="254"/>
      <c r="M638" s="254"/>
      <c r="N638" s="254"/>
      <c r="O638" s="254"/>
      <c r="P638" s="254"/>
      <c r="Q638" s="254"/>
      <c r="R638" s="254"/>
      <c r="S638" s="254"/>
      <c r="T638" s="254"/>
    </row>
    <row r="639" spans="2:20" ht="24.75" customHeight="1" x14ac:dyDescent="0.25">
      <c r="B639" s="221" t="s">
        <v>4031</v>
      </c>
      <c r="C639" s="222" t="s">
        <v>493</v>
      </c>
      <c r="D639" s="231" t="s">
        <v>4032</v>
      </c>
      <c r="E639" s="232" t="str">
        <f>IF(MAX(MAX(G642:T642),-MIN(G642:T642))&lt;=Inputs!$E$50,"Matches v29",IF(OR($E$22=1),"Differs - requested change: "&amp;IF($E$22=1,"LT loan repaid in 2027 (not 2025); ","")&amp;IF($E$21&gt;0," (and inputs changed)",""),IF($E$21&gt;0,"Differs - inputs changed","UNEXPLAINED")))</f>
        <v>Differs - requested change: LT loan repaid in 2027 (not 2025);  (and inputs changed)</v>
      </c>
      <c r="F639" s="225">
        <f>MAX(MAX(G642:T642),-MIN(G642:T642))</f>
        <v>195.18</v>
      </c>
      <c r="G639" s="226">
        <f>IF(OR($E$22=1),0,MAX(MAX(G642:T642),-MIN(G642:T642)))</f>
        <v>0</v>
      </c>
    </row>
    <row r="640" spans="2:20" x14ac:dyDescent="0.25">
      <c r="B640" s="23" t="s">
        <v>3683</v>
      </c>
      <c r="C640" s="28" t="s">
        <v>493</v>
      </c>
      <c r="D640" s="155" t="s">
        <v>3822</v>
      </c>
      <c r="E640" s="178">
        <f>INDEX($G$640:$T$640,1,Inputs!$E$49-2022)</f>
        <v>0</v>
      </c>
      <c r="G640" s="30">
        <f>'Source Data'!G926</f>
        <v>224.51846524876001</v>
      </c>
      <c r="H640" s="30">
        <f>'Source Data'!H926</f>
        <v>195.18</v>
      </c>
      <c r="I640" s="30">
        <f>'Source Data'!I926</f>
        <v>0</v>
      </c>
      <c r="J640" s="30">
        <f>'Source Data'!J926</f>
        <v>0</v>
      </c>
      <c r="K640" s="30">
        <f>'Source Data'!K926</f>
        <v>0</v>
      </c>
      <c r="L640" s="30">
        <f>'Source Data'!L926</f>
        <v>0</v>
      </c>
      <c r="M640" s="30">
        <f>'Source Data'!M926</f>
        <v>0</v>
      </c>
      <c r="N640" s="30">
        <f>'Source Data'!N926</f>
        <v>0</v>
      </c>
      <c r="O640" s="30">
        <f>'Source Data'!O926</f>
        <v>0</v>
      </c>
      <c r="P640" s="30">
        <f>'Source Data'!P926</f>
        <v>0</v>
      </c>
      <c r="Q640" s="30">
        <f>'Source Data'!Q926</f>
        <v>0</v>
      </c>
      <c r="R640" s="30">
        <f>'Source Data'!R926</f>
        <v>0</v>
      </c>
      <c r="S640" s="30">
        <f>'Source Data'!S926</f>
        <v>0</v>
      </c>
      <c r="T640" s="30">
        <f>'Source Data'!T926</f>
        <v>0</v>
      </c>
    </row>
    <row r="641" spans="2:20" ht="31.5" customHeight="1" x14ac:dyDescent="0.25">
      <c r="B641" s="23" t="s">
        <v>3685</v>
      </c>
      <c r="C641" s="28" t="s">
        <v>493</v>
      </c>
      <c r="D641" s="230" t="s">
        <v>4033</v>
      </c>
      <c r="E641" s="178">
        <f>INDEX($G$641:$T$641,1,Inputs!$E$49-2022)</f>
        <v>0</v>
      </c>
      <c r="G641" s="161">
        <f>'FSL Output - Without BUMN'!G199+'FSL Output - Without BUMN'!G200+'FSL Output - Without BUMN'!G201</f>
        <v>224.51846524876001</v>
      </c>
      <c r="H641" s="161">
        <f>'FSL Output - Without BUMN'!H199+'FSL Output - Without BUMN'!H200+'FSL Output - Without BUMN'!H201</f>
        <v>195.18</v>
      </c>
      <c r="I641" s="161">
        <f>'FSL Output - Without BUMN'!I199+'FSL Output - Without BUMN'!I200+'FSL Output - Without BUMN'!I201</f>
        <v>195.18</v>
      </c>
      <c r="J641" s="161">
        <f>'FSL Output - Without BUMN'!J199+'FSL Output - Without BUMN'!J200+'FSL Output - Without BUMN'!J201</f>
        <v>195.18</v>
      </c>
      <c r="K641" s="161">
        <f>'FSL Output - Without BUMN'!K199+'FSL Output - Without BUMN'!K200+'FSL Output - Without BUMN'!K201</f>
        <v>32.53</v>
      </c>
      <c r="L641" s="161">
        <f>'FSL Output - Without BUMN'!L199+'FSL Output - Without BUMN'!L200+'FSL Output - Without BUMN'!L201</f>
        <v>81.325000000000003</v>
      </c>
      <c r="M641" s="161">
        <f>'FSL Output - Without BUMN'!M199+'FSL Output - Without BUMN'!M200+'FSL Output - Without BUMN'!M201</f>
        <v>81.325000000000003</v>
      </c>
      <c r="N641" s="161">
        <f>'FSL Output - Without BUMN'!N199+'FSL Output - Without BUMN'!N200+'FSL Output - Without BUMN'!N201</f>
        <v>74.819000000000003</v>
      </c>
      <c r="O641" s="161">
        <f>'FSL Output - Without BUMN'!O199+'FSL Output - Without BUMN'!O200+'FSL Output - Without BUMN'!O201</f>
        <v>58.554000000000002</v>
      </c>
      <c r="P641" s="161">
        <f>'FSL Output - Without BUMN'!P199+'FSL Output - Without BUMN'!P200+'FSL Output - Without BUMN'!P201</f>
        <v>42.289000000000001</v>
      </c>
      <c r="Q641" s="161">
        <f>'FSL Output - Without BUMN'!Q199+'FSL Output - Without BUMN'!Q200+'FSL Output - Without BUMN'!Q201</f>
        <v>26.024000000000001</v>
      </c>
      <c r="R641" s="161">
        <f>'FSL Output - Without BUMN'!R199+'FSL Output - Without BUMN'!R200+'FSL Output - Without BUMN'!R201</f>
        <v>9.7590000000000003</v>
      </c>
      <c r="S641" s="161">
        <f>'FSL Output - Without BUMN'!S199+'FSL Output - Without BUMN'!S200+'FSL Output - Without BUMN'!S201</f>
        <v>0</v>
      </c>
      <c r="T641" s="161">
        <f>'FSL Output - Without BUMN'!T199+'FSL Output - Without BUMN'!T200+'FSL Output - Without BUMN'!T201</f>
        <v>0</v>
      </c>
    </row>
    <row r="642" spans="2:20" x14ac:dyDescent="0.25">
      <c r="B642" s="21" t="s">
        <v>3687</v>
      </c>
      <c r="C642" s="28" t="s">
        <v>493</v>
      </c>
      <c r="E642" s="228">
        <f>INDEX($G$642:$T$642,1,Inputs!$E$49-2022)</f>
        <v>0</v>
      </c>
      <c r="G642" s="229">
        <f t="shared" ref="G642:T642" si="89">ROUND(G641-G640,9)</f>
        <v>0</v>
      </c>
      <c r="H642" s="229">
        <f t="shared" si="89"/>
        <v>0</v>
      </c>
      <c r="I642" s="229">
        <f t="shared" si="89"/>
        <v>195.18</v>
      </c>
      <c r="J642" s="229">
        <f t="shared" si="89"/>
        <v>195.18</v>
      </c>
      <c r="K642" s="229">
        <f t="shared" si="89"/>
        <v>32.53</v>
      </c>
      <c r="L642" s="229">
        <f t="shared" si="89"/>
        <v>81.325000000000003</v>
      </c>
      <c r="M642" s="229">
        <f t="shared" si="89"/>
        <v>81.325000000000003</v>
      </c>
      <c r="N642" s="229">
        <f t="shared" si="89"/>
        <v>74.819000000000003</v>
      </c>
      <c r="O642" s="229">
        <f t="shared" si="89"/>
        <v>58.554000000000002</v>
      </c>
      <c r="P642" s="229">
        <f t="shared" si="89"/>
        <v>42.289000000000001</v>
      </c>
      <c r="Q642" s="229">
        <f t="shared" si="89"/>
        <v>26.024000000000001</v>
      </c>
      <c r="R642" s="229">
        <f t="shared" si="89"/>
        <v>9.7590000000000003</v>
      </c>
      <c r="S642" s="229">
        <f t="shared" si="89"/>
        <v>0</v>
      </c>
      <c r="T642" s="229">
        <f t="shared" si="89"/>
        <v>0</v>
      </c>
    </row>
    <row r="643" spans="2:20" ht="27.75" customHeight="1" x14ac:dyDescent="0.25">
      <c r="B643" s="63" t="s">
        <v>3824</v>
      </c>
      <c r="G643" s="254" t="str">
        <f>"Without-BS08 FY"&amp;Inputs!$E$49&amp;": model "&amp;TEXT(E641,"#,##0.000")&amp;" vs v29 "&amp;TEXT(E640,"#,##0.000")&amp;" (difference "&amp;TEXT(ROUND(E642,3),"+#,##0.000;-#,##0.000;0.000")&amp;")"&amp;IF(ABS(E642)&lt;=Inputs!$E$50," - matches v29.",IF(LEFT(E639,19)="Differs - requested"," - due to the requested change: "&amp;MID(E639,29,200),IF($E$21&gt;0," - differs because inputs / switches were changed."," - UNEXPLAINED: no input was changed.")))</f>
        <v>Without-BS08 FY2036: model 0.000 vs v29 0.000 (difference 0.000) - matches v29.</v>
      </c>
      <c r="H643" s="254"/>
      <c r="I643" s="254"/>
      <c r="J643" s="254"/>
      <c r="K643" s="254"/>
      <c r="L643" s="254"/>
      <c r="M643" s="254"/>
      <c r="N643" s="254"/>
      <c r="O643" s="254"/>
      <c r="P643" s="254"/>
      <c r="Q643" s="254"/>
      <c r="R643" s="254"/>
      <c r="S643" s="254"/>
      <c r="T643" s="254"/>
    </row>
    <row r="644" spans="2:20" x14ac:dyDescent="0.25">
      <c r="B644" s="221" t="s">
        <v>4034</v>
      </c>
      <c r="C644" s="222" t="s">
        <v>493</v>
      </c>
      <c r="D644" s="223" t="s">
        <v>4035</v>
      </c>
      <c r="E644" s="224" t="str">
        <f>IF(MAX(MAX(G647:T647),-MIN(G647:T647))&lt;=Inputs!$E$50,"Matches v29",IF($E$21&gt;0,"Differs - inputs changed","UNEXPLAINED"))</f>
        <v>Matches v29</v>
      </c>
      <c r="F644" s="225">
        <f>MAX(MAX(G647:T647),-MIN(G647:T647))</f>
        <v>0</v>
      </c>
      <c r="G644" s="226">
        <f>MAX(MAX(G647:T647),-MIN(G647:T647))</f>
        <v>0</v>
      </c>
    </row>
    <row r="645" spans="2:20" x14ac:dyDescent="0.25">
      <c r="B645" s="23" t="s">
        <v>3683</v>
      </c>
      <c r="C645" s="28" t="s">
        <v>493</v>
      </c>
      <c r="D645" s="155" t="s">
        <v>3827</v>
      </c>
      <c r="E645" s="178">
        <f>INDEX($G$645:$T$645,1,Inputs!$E$49-2022)</f>
        <v>55.924464057122997</v>
      </c>
      <c r="G645" s="30">
        <f>'Source Data'!G927</f>
        <v>55.924464057122997</v>
      </c>
      <c r="H645" s="30">
        <f>'Source Data'!H927</f>
        <v>55.924464057122997</v>
      </c>
      <c r="I645" s="30">
        <f>'Source Data'!I927</f>
        <v>55.924464057122997</v>
      </c>
      <c r="J645" s="30">
        <f>'Source Data'!J927</f>
        <v>55.924464057122997</v>
      </c>
      <c r="K645" s="30">
        <f>'Source Data'!K927</f>
        <v>55.924464057122997</v>
      </c>
      <c r="L645" s="30">
        <f>'Source Data'!L927</f>
        <v>55.924464057122997</v>
      </c>
      <c r="M645" s="30">
        <f>'Source Data'!M927</f>
        <v>55.924464057122997</v>
      </c>
      <c r="N645" s="30">
        <f>'Source Data'!N927</f>
        <v>55.924464057122997</v>
      </c>
      <c r="O645" s="30">
        <f>'Source Data'!O927</f>
        <v>55.924464057122997</v>
      </c>
      <c r="P645" s="30">
        <f>'Source Data'!P927</f>
        <v>55.924464057122997</v>
      </c>
      <c r="Q645" s="30">
        <f>'Source Data'!Q927</f>
        <v>55.924464057122997</v>
      </c>
      <c r="R645" s="30">
        <f>'Source Data'!R927</f>
        <v>55.924464057122997</v>
      </c>
      <c r="S645" s="30">
        <f>'Source Data'!S927</f>
        <v>55.924464057122997</v>
      </c>
      <c r="T645" s="30">
        <f>'Source Data'!T927</f>
        <v>55.924464057122997</v>
      </c>
    </row>
    <row r="646" spans="2:20" x14ac:dyDescent="0.25">
      <c r="B646" s="23" t="s">
        <v>3685</v>
      </c>
      <c r="C646" s="28" t="s">
        <v>493</v>
      </c>
      <c r="D646" s="227" t="s">
        <v>4036</v>
      </c>
      <c r="E646" s="178">
        <f>INDEX($G$646:$T$646,1,Inputs!$E$49-2022)</f>
        <v>55.924464057122997</v>
      </c>
      <c r="G646" s="30">
        <f>'FSL Output - Without BUMN'!G202</f>
        <v>55.924464057122997</v>
      </c>
      <c r="H646" s="30">
        <f>'FSL Output - Without BUMN'!H202</f>
        <v>55.924464057122997</v>
      </c>
      <c r="I646" s="30">
        <f>'FSL Output - Without BUMN'!I202</f>
        <v>55.924464057122997</v>
      </c>
      <c r="J646" s="30">
        <f>'FSL Output - Without BUMN'!J202</f>
        <v>55.924464057122997</v>
      </c>
      <c r="K646" s="30">
        <f>'FSL Output - Without BUMN'!K202</f>
        <v>55.924464057122997</v>
      </c>
      <c r="L646" s="30">
        <f>'FSL Output - Without BUMN'!L202</f>
        <v>55.924464057122997</v>
      </c>
      <c r="M646" s="30">
        <f>'FSL Output - Without BUMN'!M202</f>
        <v>55.924464057122997</v>
      </c>
      <c r="N646" s="30">
        <f>'FSL Output - Without BUMN'!N202</f>
        <v>55.924464057122997</v>
      </c>
      <c r="O646" s="30">
        <f>'FSL Output - Without BUMN'!O202</f>
        <v>55.924464057122997</v>
      </c>
      <c r="P646" s="30">
        <f>'FSL Output - Without BUMN'!P202</f>
        <v>55.924464057122997</v>
      </c>
      <c r="Q646" s="30">
        <f>'FSL Output - Without BUMN'!Q202</f>
        <v>55.924464057122997</v>
      </c>
      <c r="R646" s="30">
        <f>'FSL Output - Without BUMN'!R202</f>
        <v>55.924464057122997</v>
      </c>
      <c r="S646" s="30">
        <f>'FSL Output - Without BUMN'!S202</f>
        <v>55.924464057122997</v>
      </c>
      <c r="T646" s="30">
        <f>'FSL Output - Without BUMN'!T202</f>
        <v>55.924464057122997</v>
      </c>
    </row>
    <row r="647" spans="2:20" x14ac:dyDescent="0.25">
      <c r="B647" s="21" t="s">
        <v>3687</v>
      </c>
      <c r="C647" s="28" t="s">
        <v>493</v>
      </c>
      <c r="E647" s="228">
        <f>INDEX($G$647:$T$647,1,Inputs!$E$49-2022)</f>
        <v>0</v>
      </c>
      <c r="G647" s="229">
        <f t="shared" ref="G647:T647" si="90">ROUND(G646-G645,9)</f>
        <v>0</v>
      </c>
      <c r="H647" s="229">
        <f t="shared" si="90"/>
        <v>0</v>
      </c>
      <c r="I647" s="229">
        <f t="shared" si="90"/>
        <v>0</v>
      </c>
      <c r="J647" s="229">
        <f t="shared" si="90"/>
        <v>0</v>
      </c>
      <c r="K647" s="229">
        <f t="shared" si="90"/>
        <v>0</v>
      </c>
      <c r="L647" s="229">
        <f t="shared" si="90"/>
        <v>0</v>
      </c>
      <c r="M647" s="229">
        <f t="shared" si="90"/>
        <v>0</v>
      </c>
      <c r="N647" s="229">
        <f t="shared" si="90"/>
        <v>0</v>
      </c>
      <c r="O647" s="229">
        <f t="shared" si="90"/>
        <v>0</v>
      </c>
      <c r="P647" s="229">
        <f t="shared" si="90"/>
        <v>0</v>
      </c>
      <c r="Q647" s="229">
        <f t="shared" si="90"/>
        <v>0</v>
      </c>
      <c r="R647" s="229">
        <f t="shared" si="90"/>
        <v>0</v>
      </c>
      <c r="S647" s="229">
        <f t="shared" si="90"/>
        <v>0</v>
      </c>
      <c r="T647" s="229">
        <f t="shared" si="90"/>
        <v>0</v>
      </c>
    </row>
    <row r="648" spans="2:20" ht="27.75" customHeight="1" x14ac:dyDescent="0.25">
      <c r="B648" s="63" t="s">
        <v>3829</v>
      </c>
      <c r="G648" s="254" t="str">
        <f>"Without-BS09 FY"&amp;Inputs!$E$49&amp;": model "&amp;TEXT(E646,"#,##0.000")&amp;" vs v29 "&amp;TEXT(E645,"#,##0.000")&amp;" (difference "&amp;TEXT(ROUND(E647,3),"+#,##0.000;-#,##0.000;0.000")&amp;")"&amp;IF(ABS(E647)&lt;=Inputs!$E$50," - matches v29.",IF(LEFT(E644,19)="Differs - requested"," - due to the requested change: "&amp;MID(E644,29,200),IF($E$21&gt;0," - differs because inputs / switches were changed."," - UNEXPLAINED: no input was changed.")))</f>
        <v>Without-BS09 FY2036: model 55.924 vs v29 55.924 (difference 0.000) - matches v29.</v>
      </c>
      <c r="H648" s="254"/>
      <c r="I648" s="254"/>
      <c r="J648" s="254"/>
      <c r="K648" s="254"/>
      <c r="L648" s="254"/>
      <c r="M648" s="254"/>
      <c r="N648" s="254"/>
      <c r="O648" s="254"/>
      <c r="P648" s="254"/>
      <c r="Q648" s="254"/>
      <c r="R648" s="254"/>
      <c r="S648" s="254"/>
      <c r="T648" s="254"/>
    </row>
    <row r="649" spans="2:20" ht="24.75" customHeight="1" x14ac:dyDescent="0.25">
      <c r="B649" s="221" t="s">
        <v>4037</v>
      </c>
      <c r="C649" s="222" t="s">
        <v>493</v>
      </c>
      <c r="D649" s="231" t="s">
        <v>4038</v>
      </c>
      <c r="E649" s="232" t="str">
        <f>IF(MAX(MAX(G652:T652),-MIN(G652:T652))&lt;=Inputs!$E$50,"Matches v29",IF(OR($E$22=1),"Differs - requested change: "&amp;IF($E$22=1,"LT loan repaid in 2027 (not 2025); ","")&amp;IF($E$21&gt;0," (and inputs changed)",""),IF($E$21&gt;0,"Differs - inputs changed","UNEXPLAINED")))</f>
        <v>Differs - requested change: LT loan repaid in 2027 (not 2025);  (and inputs changed)</v>
      </c>
      <c r="F649" s="225">
        <f>MAX(MAX(G652:T652),-MIN(G652:T652))</f>
        <v>195.18</v>
      </c>
      <c r="G649" s="226">
        <f>IF(OR($E$22=1),0,MAX(MAX(G652:T652),-MIN(G652:T652)))</f>
        <v>0</v>
      </c>
    </row>
    <row r="650" spans="2:20" x14ac:dyDescent="0.25">
      <c r="B650" s="23" t="s">
        <v>3683</v>
      </c>
      <c r="C650" s="28" t="s">
        <v>493</v>
      </c>
      <c r="D650" s="155" t="s">
        <v>3832</v>
      </c>
      <c r="E650" s="178">
        <f>INDEX($G$650:$T$650,1,Inputs!$E$49-2022)</f>
        <v>73.705705246045298</v>
      </c>
      <c r="G650" s="30">
        <f>'Source Data'!G928</f>
        <v>295.11491528878798</v>
      </c>
      <c r="H650" s="30">
        <f>'Source Data'!H928</f>
        <v>261.14897704302098</v>
      </c>
      <c r="I650" s="30">
        <f>'Source Data'!I928</f>
        <v>65.348471960500106</v>
      </c>
      <c r="J650" s="30">
        <f>'Source Data'!J928</f>
        <v>65.148433925201303</v>
      </c>
      <c r="K650" s="30">
        <f>'Source Data'!K928</f>
        <v>66.164009440868</v>
      </c>
      <c r="L650" s="30">
        <f>'Source Data'!L928</f>
        <v>67.951917095501997</v>
      </c>
      <c r="M650" s="30">
        <f>'Source Data'!M928</f>
        <v>68.874958619261307</v>
      </c>
      <c r="N650" s="30">
        <f>'Source Data'!N928</f>
        <v>69.701707451543996</v>
      </c>
      <c r="O650" s="30">
        <f>'Source Data'!O928</f>
        <v>70.659735211120505</v>
      </c>
      <c r="P650" s="30">
        <f>'Source Data'!P928</f>
        <v>71.509299779574604</v>
      </c>
      <c r="Q650" s="30">
        <f>'Source Data'!Q928</f>
        <v>72.494547170849003</v>
      </c>
      <c r="R650" s="30">
        <f>'Source Data'!R928</f>
        <v>72.153982133365602</v>
      </c>
      <c r="S650" s="30">
        <f>'Source Data'!S928</f>
        <v>72.889625788184105</v>
      </c>
      <c r="T650" s="30">
        <f>'Source Data'!T928</f>
        <v>73.705705246045298</v>
      </c>
    </row>
    <row r="651" spans="2:20" x14ac:dyDescent="0.25">
      <c r="B651" s="23" t="s">
        <v>3685</v>
      </c>
      <c r="C651" s="28" t="s">
        <v>493</v>
      </c>
      <c r="D651" s="227" t="s">
        <v>4039</v>
      </c>
      <c r="E651" s="178">
        <f>INDEX($G$651:$T$651,1,Inputs!$E$49-2022)</f>
        <v>75.253881475553555</v>
      </c>
      <c r="G651" s="30">
        <f>'FSL Output - Without BUMN'!G203</f>
        <v>295.11491528878787</v>
      </c>
      <c r="H651" s="30">
        <f>'FSL Output - Without BUMN'!H203</f>
        <v>261.14897704302132</v>
      </c>
      <c r="I651" s="30">
        <f>'FSL Output - Without BUMN'!I203</f>
        <v>260.52847196050016</v>
      </c>
      <c r="J651" s="30">
        <f>'FSL Output - Without BUMN'!J203</f>
        <v>260.32843392520135</v>
      </c>
      <c r="K651" s="30">
        <f>'FSL Output - Without BUMN'!K203</f>
        <v>98.694009440868058</v>
      </c>
      <c r="L651" s="30">
        <f>'FSL Output - Without BUMN'!L203</f>
        <v>149.276917095502</v>
      </c>
      <c r="M651" s="30">
        <f>'FSL Output - Without BUMN'!M203</f>
        <v>151.47288327679556</v>
      </c>
      <c r="N651" s="30">
        <f>'FSL Output - Without BUMN'!N203</f>
        <v>145.93337868442075</v>
      </c>
      <c r="O651" s="30">
        <f>'FSL Output - Without BUMN'!O203</f>
        <v>130.71957082755887</v>
      </c>
      <c r="P651" s="30">
        <f>'FSL Output - Without BUMN'!P203</f>
        <v>115.34647600908278</v>
      </c>
      <c r="Q651" s="30">
        <f>'FSL Output - Without BUMN'!Q203</f>
        <v>100.07096497906817</v>
      </c>
      <c r="R651" s="30">
        <f>'FSL Output - Without BUMN'!R203</f>
        <v>83.465399941584792</v>
      </c>
      <c r="S651" s="30">
        <f>'FSL Output - Without BUMN'!S203</f>
        <v>74.442043596403295</v>
      </c>
      <c r="T651" s="30">
        <f>'FSL Output - Without BUMN'!T203</f>
        <v>75.253881475553555</v>
      </c>
    </row>
    <row r="652" spans="2:20" x14ac:dyDescent="0.25">
      <c r="B652" s="21" t="s">
        <v>3687</v>
      </c>
      <c r="C652" s="28" t="s">
        <v>493</v>
      </c>
      <c r="E652" s="228">
        <f>INDEX($G$652:$T$652,1,Inputs!$E$49-2022)</f>
        <v>1.5481762299999999</v>
      </c>
      <c r="G652" s="229">
        <f t="shared" ref="G652:T652" si="91">ROUND(G651-G650,9)</f>
        <v>0</v>
      </c>
      <c r="H652" s="229">
        <f t="shared" si="91"/>
        <v>0</v>
      </c>
      <c r="I652" s="229">
        <f t="shared" si="91"/>
        <v>195.18</v>
      </c>
      <c r="J652" s="229">
        <f t="shared" si="91"/>
        <v>195.18</v>
      </c>
      <c r="K652" s="229">
        <f t="shared" si="91"/>
        <v>32.53</v>
      </c>
      <c r="L652" s="229">
        <f t="shared" si="91"/>
        <v>81.325000000000003</v>
      </c>
      <c r="M652" s="229">
        <f t="shared" si="91"/>
        <v>82.597924657999997</v>
      </c>
      <c r="N652" s="229">
        <f t="shared" si="91"/>
        <v>76.231671233</v>
      </c>
      <c r="O652" s="229">
        <f t="shared" si="91"/>
        <v>60.059835616000001</v>
      </c>
      <c r="P652" s="229">
        <f t="shared" si="91"/>
        <v>43.837176229999997</v>
      </c>
      <c r="Q652" s="229">
        <f t="shared" si="91"/>
        <v>27.576417807999999</v>
      </c>
      <c r="R652" s="229">
        <f t="shared" si="91"/>
        <v>11.311417808</v>
      </c>
      <c r="S652" s="229">
        <f t="shared" si="91"/>
        <v>1.552417808</v>
      </c>
      <c r="T652" s="229">
        <f t="shared" si="91"/>
        <v>1.5481762299999999</v>
      </c>
    </row>
    <row r="653" spans="2:20" ht="27.75" customHeight="1" x14ac:dyDescent="0.25">
      <c r="B653" s="63" t="s">
        <v>3688</v>
      </c>
      <c r="G653" s="254" t="str">
        <f>"Without-BS10 FY"&amp;Inputs!$E$49&amp;": model "&amp;TEXT(E651,"#,##0.000")&amp;" vs v29 "&amp;TEXT(E650,"#,##0.000")&amp;" (difference "&amp;TEXT(ROUND(E652,3),"+#,##0.000;-#,##0.000;0.000")&amp;")"&amp;IF(ABS(E652)&lt;=Inputs!$E$50," - matches v29.",IF(LEFT(E649,19)="Differs - requested"," - due to the requested change: "&amp;MID(E649,29,200),IF($E$21&gt;0," - differs because inputs / switches were changed."," - UNEXPLAINED: no input was changed.")))</f>
        <v>Without-BS10 FY2036: model 75.254 vs v29 73.706 (difference +1.548) - due to the requested change: LT loan repaid in 2027 (not 2025);  (and inputs changed)</v>
      </c>
      <c r="H653" s="254"/>
      <c r="I653" s="254"/>
      <c r="J653" s="254"/>
      <c r="K653" s="254"/>
      <c r="L653" s="254"/>
      <c r="M653" s="254"/>
      <c r="N653" s="254"/>
      <c r="O653" s="254"/>
      <c r="P653" s="254"/>
      <c r="Q653" s="254"/>
      <c r="R653" s="254"/>
      <c r="S653" s="254"/>
      <c r="T653" s="254"/>
    </row>
    <row r="654" spans="2:20" ht="47.25" customHeight="1" x14ac:dyDescent="0.25">
      <c r="B654" s="221" t="s">
        <v>4040</v>
      </c>
      <c r="C654" s="222" t="s">
        <v>493</v>
      </c>
      <c r="D654" s="231" t="s">
        <v>4041</v>
      </c>
      <c r="E654" s="232" t="str">
        <f>IF(MAX(MAX(G657:T657),-MIN(G657:T657))&lt;=Inputs!$E$50,"Matches v29",IF(OR($E$22=1,$E$23=1),"Differs - requested change: "&amp;IF($E$22=1,"LT loan repaid in 2027 (not 2025); ","")&amp;IF($E$23=1,"new equity = residual funding requirement (not the v29 schedule)","")&amp;IF($E$21&gt;0," (and inputs changed)",""),IF($E$21&gt;0,"Differs - inputs changed","UNEXPLAINED")))</f>
        <v>Differs - requested change: LT loan repaid in 2027 (not 2025); new equity = residual funding requirement (not the v29 schedule) (and inputs changed)</v>
      </c>
      <c r="F654" s="225">
        <f>MAX(MAX(G657:T657),-MIN(G657:T657))</f>
        <v>503.110450684</v>
      </c>
      <c r="G654" s="226">
        <f>IF(OR($E$22=1,$E$23=1),0,MAX(MAX(G657:T657),-MIN(G657:T657)))</f>
        <v>0</v>
      </c>
    </row>
    <row r="655" spans="2:20" x14ac:dyDescent="0.25">
      <c r="B655" s="23" t="s">
        <v>3683</v>
      </c>
      <c r="C655" s="28" t="s">
        <v>493</v>
      </c>
      <c r="D655" s="155" t="s">
        <v>3836</v>
      </c>
      <c r="E655" s="178">
        <f>INDEX($G$655:$T$655,1,Inputs!$E$49-2022)</f>
        <v>1257.5062547619</v>
      </c>
      <c r="G655" s="30">
        <f>'Source Data'!G929</f>
        <v>677.73059999999998</v>
      </c>
      <c r="H655" s="30">
        <f>'Source Data'!H929</f>
        <v>677.73059999999998</v>
      </c>
      <c r="I655" s="30">
        <f>'Source Data'!I929</f>
        <v>677.73059999999998</v>
      </c>
      <c r="J655" s="30">
        <f>'Source Data'!J929</f>
        <v>1097.5026297618999</v>
      </c>
      <c r="K655" s="30">
        <f>'Source Data'!K929</f>
        <v>1257.5062547619</v>
      </c>
      <c r="L655" s="30">
        <f>'Source Data'!L929</f>
        <v>1257.5062547619</v>
      </c>
      <c r="M655" s="30">
        <f>'Source Data'!M929</f>
        <v>1257.5062547619</v>
      </c>
      <c r="N655" s="30">
        <f>'Source Data'!N929</f>
        <v>1257.5062547619</v>
      </c>
      <c r="O655" s="30">
        <f>'Source Data'!O929</f>
        <v>1257.5062547619</v>
      </c>
      <c r="P655" s="30">
        <f>'Source Data'!P929</f>
        <v>1257.5062547619</v>
      </c>
      <c r="Q655" s="30">
        <f>'Source Data'!Q929</f>
        <v>1257.5062547619</v>
      </c>
      <c r="R655" s="30">
        <f>'Source Data'!R929</f>
        <v>1257.5062547619</v>
      </c>
      <c r="S655" s="30">
        <f>'Source Data'!S929</f>
        <v>1257.5062547619</v>
      </c>
      <c r="T655" s="30">
        <f>'Source Data'!T929</f>
        <v>1257.5062547619</v>
      </c>
    </row>
    <row r="656" spans="2:20" x14ac:dyDescent="0.25">
      <c r="B656" s="23" t="s">
        <v>3685</v>
      </c>
      <c r="C656" s="28" t="s">
        <v>493</v>
      </c>
      <c r="D656" s="227" t="s">
        <v>4042</v>
      </c>
      <c r="E656" s="178">
        <f>INDEX($G$656:$T$656,1,Inputs!$E$49-2022)</f>
        <v>754.39580407758194</v>
      </c>
      <c r="G656" s="30">
        <f>'FSL Output - Without BUMN'!G207</f>
        <v>677.73059999999998</v>
      </c>
      <c r="H656" s="30">
        <f>'FSL Output - Without BUMN'!H207</f>
        <v>677.73059999999998</v>
      </c>
      <c r="I656" s="30">
        <f>'FSL Output - Without BUMN'!I207</f>
        <v>677.73059999999998</v>
      </c>
      <c r="J656" s="30">
        <f>'FSL Output - Without BUMN'!J207</f>
        <v>677.73059999999998</v>
      </c>
      <c r="K656" s="30">
        <f>'FSL Output - Without BUMN'!K207</f>
        <v>754.39580407758194</v>
      </c>
      <c r="L656" s="30">
        <f>'FSL Output - Without BUMN'!L207</f>
        <v>754.39580407758194</v>
      </c>
      <c r="M656" s="30">
        <f>'FSL Output - Without BUMN'!M207</f>
        <v>754.39580407758194</v>
      </c>
      <c r="N656" s="30">
        <f>'FSL Output - Without BUMN'!N207</f>
        <v>754.39580407758194</v>
      </c>
      <c r="O656" s="30">
        <f>'FSL Output - Without BUMN'!O207</f>
        <v>754.39580407758194</v>
      </c>
      <c r="P656" s="30">
        <f>'FSL Output - Without BUMN'!P207</f>
        <v>754.39580407758194</v>
      </c>
      <c r="Q656" s="30">
        <f>'FSL Output - Without BUMN'!Q207</f>
        <v>754.39580407758194</v>
      </c>
      <c r="R656" s="30">
        <f>'FSL Output - Without BUMN'!R207</f>
        <v>754.39580407758194</v>
      </c>
      <c r="S656" s="30">
        <f>'FSL Output - Without BUMN'!S207</f>
        <v>754.39580407758194</v>
      </c>
      <c r="T656" s="30">
        <f>'FSL Output - Without BUMN'!T207</f>
        <v>754.39580407758194</v>
      </c>
    </row>
    <row r="657" spans="2:20" x14ac:dyDescent="0.25">
      <c r="B657" s="21" t="s">
        <v>3687</v>
      </c>
      <c r="C657" s="28" t="s">
        <v>493</v>
      </c>
      <c r="E657" s="228">
        <f>INDEX($G$657:$T$657,1,Inputs!$E$49-2022)</f>
        <v>-503.110450684</v>
      </c>
      <c r="G657" s="229">
        <f t="shared" ref="G657:T657" si="92">ROUND(G656-G655,9)</f>
        <v>0</v>
      </c>
      <c r="H657" s="229">
        <f t="shared" si="92"/>
        <v>0</v>
      </c>
      <c r="I657" s="229">
        <f t="shared" si="92"/>
        <v>0</v>
      </c>
      <c r="J657" s="229">
        <f t="shared" si="92"/>
        <v>-419.77202976199999</v>
      </c>
      <c r="K657" s="229">
        <f t="shared" si="92"/>
        <v>-503.110450684</v>
      </c>
      <c r="L657" s="229">
        <f t="shared" si="92"/>
        <v>-503.110450684</v>
      </c>
      <c r="M657" s="229">
        <f t="shared" si="92"/>
        <v>-503.110450684</v>
      </c>
      <c r="N657" s="229">
        <f t="shared" si="92"/>
        <v>-503.110450684</v>
      </c>
      <c r="O657" s="229">
        <f t="shared" si="92"/>
        <v>-503.110450684</v>
      </c>
      <c r="P657" s="229">
        <f t="shared" si="92"/>
        <v>-503.110450684</v>
      </c>
      <c r="Q657" s="229">
        <f t="shared" si="92"/>
        <v>-503.110450684</v>
      </c>
      <c r="R657" s="229">
        <f t="shared" si="92"/>
        <v>-503.110450684</v>
      </c>
      <c r="S657" s="229">
        <f t="shared" si="92"/>
        <v>-503.110450684</v>
      </c>
      <c r="T657" s="229">
        <f t="shared" si="92"/>
        <v>-503.110450684</v>
      </c>
    </row>
    <row r="658" spans="2:20" ht="27.75" customHeight="1" x14ac:dyDescent="0.25">
      <c r="B658" s="63" t="s">
        <v>3688</v>
      </c>
      <c r="G658" s="254" t="str">
        <f>"Without-BS11 FY"&amp;Inputs!$E$49&amp;": model "&amp;TEXT(E656,"#,##0.000")&amp;" vs v29 "&amp;TEXT(E655,"#,##0.000")&amp;" (difference "&amp;TEXT(ROUND(E657,3),"+#,##0.000;-#,##0.000;0.000")&amp;")"&amp;IF(ABS(E657)&lt;=Inputs!$E$50," - matches v29.",IF(LEFT(E654,19)="Differs - requested"," - due to the requested change: "&amp;MID(E654,29,200),IF($E$21&gt;0," - differs because inputs / switches were changed."," - UNEXPLAINED: no input was changed.")))</f>
        <v>Without-BS11 FY2036: model 754.396 vs v29 1,257.506 (difference -503.110) - due to the requested change: LT loan repaid in 2027 (not 2025); new equity = residual funding requirement (not the v29 schedule) (and inputs changed)</v>
      </c>
      <c r="H658" s="254"/>
      <c r="I658" s="254"/>
      <c r="J658" s="254"/>
      <c r="K658" s="254"/>
      <c r="L658" s="254"/>
      <c r="M658" s="254"/>
      <c r="N658" s="254"/>
      <c r="O658" s="254"/>
      <c r="P658" s="254"/>
      <c r="Q658" s="254"/>
      <c r="R658" s="254"/>
      <c r="S658" s="254"/>
      <c r="T658" s="254"/>
    </row>
    <row r="659" spans="2:20" ht="47.25" customHeight="1" x14ac:dyDescent="0.25">
      <c r="B659" s="221" t="s">
        <v>4043</v>
      </c>
      <c r="C659" s="222" t="s">
        <v>493</v>
      </c>
      <c r="D659" s="231" t="s">
        <v>4044</v>
      </c>
      <c r="E659" s="232" t="str">
        <f>IF(MAX(MAX(G662:T662),-MIN(G662:T662))&lt;=Inputs!$E$50,"Matches v29",IF(OR($E$22=1,$E$23=1),"Differs - requested change: "&amp;IF($E$22=1,"LT loan repaid in 2027 (not 2025); ","")&amp;IF($E$23=1,"new equity = residual funding requirement (not the v29 schedule)","")&amp;IF($E$21&gt;0," (and inputs changed)",""),IF($E$21&gt;0,"Differs - inputs changed","UNEXPLAINED")))</f>
        <v>Differs - requested change: LT loan repaid in 2027 (not 2025); new equity = residual funding requirement (not the v29 schedule) (and inputs changed)</v>
      </c>
      <c r="F659" s="225">
        <f>MAX(MAX(G662:T662),-MIN(G662:T662))</f>
        <v>74.474996580999999</v>
      </c>
      <c r="G659" s="226">
        <f>IF(OR($E$22=1,$E$23=1),0,MAX(MAX(G662:T662),-MIN(G662:T662)))</f>
        <v>0</v>
      </c>
    </row>
    <row r="660" spans="2:20" x14ac:dyDescent="0.25">
      <c r="B660" s="23" t="s">
        <v>3683</v>
      </c>
      <c r="C660" s="28" t="s">
        <v>493</v>
      </c>
      <c r="D660" s="155" t="s">
        <v>3840</v>
      </c>
      <c r="E660" s="178">
        <f>INDEX($G$660:$T$660,1,Inputs!$E$49-2022)</f>
        <v>2795.77304011877</v>
      </c>
      <c r="G660" s="30">
        <f>'Source Data'!G930</f>
        <v>290.59201234880999</v>
      </c>
      <c r="H660" s="30">
        <f>'Source Data'!H930</f>
        <v>324.68853378382698</v>
      </c>
      <c r="I660" s="30">
        <f>'Source Data'!I930</f>
        <v>408.34396465550901</v>
      </c>
      <c r="J660" s="30">
        <f>'Source Data'!J930</f>
        <v>506.80698846517299</v>
      </c>
      <c r="K660" s="30">
        <f>'Source Data'!K930</f>
        <v>649.55085015016004</v>
      </c>
      <c r="L660" s="30">
        <f>'Source Data'!L930</f>
        <v>814.25284499160398</v>
      </c>
      <c r="M660" s="30">
        <f>'Source Data'!M930</f>
        <v>1008.14474373164</v>
      </c>
      <c r="N660" s="30">
        <f>'Source Data'!N930</f>
        <v>1212.90839846532</v>
      </c>
      <c r="O660" s="30">
        <f>'Source Data'!O930</f>
        <v>1440.18648490131</v>
      </c>
      <c r="P660" s="30">
        <f>'Source Data'!P930</f>
        <v>1681.4441570812601</v>
      </c>
      <c r="Q660" s="30">
        <f>'Source Data'!Q930</f>
        <v>1947.45752738849</v>
      </c>
      <c r="R660" s="30">
        <f>'Source Data'!R930</f>
        <v>2227.24103436837</v>
      </c>
      <c r="S660" s="30">
        <f>'Source Data'!S930</f>
        <v>2505.71227526043</v>
      </c>
      <c r="T660" s="30">
        <f>'Source Data'!T930</f>
        <v>2795.77304011877</v>
      </c>
    </row>
    <row r="661" spans="2:20" x14ac:dyDescent="0.25">
      <c r="B661" s="23" t="s">
        <v>3685</v>
      </c>
      <c r="C661" s="28" t="s">
        <v>493</v>
      </c>
      <c r="D661" s="227" t="s">
        <v>4045</v>
      </c>
      <c r="E661" s="178">
        <f>INDEX($G$661:$T$661,1,Inputs!$E$49-2022)</f>
        <v>2870.2480366999621</v>
      </c>
      <c r="G661" s="30">
        <f>'FSL Output - Without BUMN'!G208</f>
        <v>290.59201234880999</v>
      </c>
      <c r="H661" s="30">
        <f>'FSL Output - Without BUMN'!H208</f>
        <v>324.6885337838267</v>
      </c>
      <c r="I661" s="30">
        <f>'FSL Output - Without BUMN'!I208</f>
        <v>401.1938772856434</v>
      </c>
      <c r="J661" s="30">
        <f>'FSL Output - Without BUMN'!J208</f>
        <v>506.4245835114109</v>
      </c>
      <c r="K661" s="30">
        <f>'FSL Output - Without BUMN'!K208</f>
        <v>694.97084771704954</v>
      </c>
      <c r="L661" s="30">
        <f>'FSL Output - Without BUMN'!L208</f>
        <v>856.23188755849355</v>
      </c>
      <c r="M661" s="30">
        <f>'FSL Output - Without BUMN'!M208</f>
        <v>1045.4204288635492</v>
      </c>
      <c r="N661" s="30">
        <f>'FSL Output - Without BUMN'!N208</f>
        <v>1250.2308582979551</v>
      </c>
      <c r="O661" s="30">
        <f>'FSL Output - Without BUMN'!O208</f>
        <v>1480.405637414658</v>
      </c>
      <c r="P661" s="30">
        <f>'FSL Output - Without BUMN'!P208</f>
        <v>1726.7139194224596</v>
      </c>
      <c r="Q661" s="30">
        <f>'FSL Output - Without BUMN'!Q208</f>
        <v>1998.7273918104072</v>
      </c>
      <c r="R661" s="30">
        <f>'FSL Output - Without BUMN'!R208</f>
        <v>2285.4434733210064</v>
      </c>
      <c r="S661" s="30">
        <f>'FSL Output - Without BUMN'!S208</f>
        <v>2571.7797611937858</v>
      </c>
      <c r="T661" s="30">
        <f>'FSL Output - Without BUMN'!T208</f>
        <v>2870.2480366999621</v>
      </c>
    </row>
    <row r="662" spans="2:20" x14ac:dyDescent="0.25">
      <c r="B662" s="21" t="s">
        <v>3687</v>
      </c>
      <c r="C662" s="28" t="s">
        <v>493</v>
      </c>
      <c r="E662" s="228">
        <f>INDEX($G$662:$T$662,1,Inputs!$E$49-2022)</f>
        <v>74.474996580999999</v>
      </c>
      <c r="G662" s="229">
        <f t="shared" ref="G662:T662" si="93">ROUND(G661-G660,9)</f>
        <v>0</v>
      </c>
      <c r="H662" s="229">
        <f t="shared" si="93"/>
        <v>0</v>
      </c>
      <c r="I662" s="229">
        <f t="shared" si="93"/>
        <v>-7.1500873699999996</v>
      </c>
      <c r="J662" s="229">
        <f t="shared" si="93"/>
        <v>-0.38240495400000002</v>
      </c>
      <c r="K662" s="229">
        <f t="shared" si="93"/>
        <v>45.419997567000003</v>
      </c>
      <c r="L662" s="229">
        <f t="shared" si="93"/>
        <v>41.979042567</v>
      </c>
      <c r="M662" s="229">
        <f t="shared" si="93"/>
        <v>37.275685132</v>
      </c>
      <c r="N662" s="229">
        <f t="shared" si="93"/>
        <v>37.322459833000003</v>
      </c>
      <c r="O662" s="229">
        <f t="shared" si="93"/>
        <v>40.219152512999997</v>
      </c>
      <c r="P662" s="229">
        <f t="shared" si="93"/>
        <v>45.269762341000003</v>
      </c>
      <c r="Q662" s="229">
        <f t="shared" si="93"/>
        <v>51.269864421999998</v>
      </c>
      <c r="R662" s="229">
        <f t="shared" si="93"/>
        <v>58.202438952999998</v>
      </c>
      <c r="S662" s="229">
        <f t="shared" si="93"/>
        <v>66.067485933</v>
      </c>
      <c r="T662" s="229">
        <f t="shared" si="93"/>
        <v>74.474996580999999</v>
      </c>
    </row>
    <row r="663" spans="2:20" ht="27.75" customHeight="1" x14ac:dyDescent="0.25">
      <c r="B663" s="63" t="s">
        <v>3688</v>
      </c>
      <c r="G663" s="254" t="str">
        <f>"Without-BS12 FY"&amp;Inputs!$E$49&amp;": model "&amp;TEXT(E661,"#,##0.000")&amp;" vs v29 "&amp;TEXT(E660,"#,##0.000")&amp;" (difference "&amp;TEXT(ROUND(E662,3),"+#,##0.000;-#,##0.000;0.000")&amp;")"&amp;IF(ABS(E662)&lt;=Inputs!$E$50," - matches v29.",IF(LEFT(E659,19)="Differs - requested"," - due to the requested change: "&amp;MID(E659,29,200),IF($E$21&gt;0," - differs because inputs / switches were changed."," - UNEXPLAINED: no input was changed.")))</f>
        <v>Without-BS12 FY2036: model 2,870.248 vs v29 2,795.773 (difference +74.475) - due to the requested change: LT loan repaid in 2027 (not 2025); new equity = residual funding requirement (not the v29 schedule) (and inputs changed)</v>
      </c>
      <c r="H663" s="254"/>
      <c r="I663" s="254"/>
      <c r="J663" s="254"/>
      <c r="K663" s="254"/>
      <c r="L663" s="254"/>
      <c r="M663" s="254"/>
      <c r="N663" s="254"/>
      <c r="O663" s="254"/>
      <c r="P663" s="254"/>
      <c r="Q663" s="254"/>
      <c r="R663" s="254"/>
      <c r="S663" s="254"/>
      <c r="T663" s="254"/>
    </row>
    <row r="664" spans="2:20" ht="47.25" customHeight="1" x14ac:dyDescent="0.25">
      <c r="B664" s="221" t="s">
        <v>4046</v>
      </c>
      <c r="C664" s="222" t="s">
        <v>493</v>
      </c>
      <c r="D664" s="231" t="s">
        <v>4047</v>
      </c>
      <c r="E664" s="232" t="str">
        <f>IF(MAX(MAX(G667:T667),-MIN(G667:T667))&lt;=Inputs!$E$50,"Matches v29",IF(OR($E$22=1,$E$23=1),"Differs - requested change: "&amp;IF($E$22=1,"LT loan repaid in 2027 (not 2025); ","")&amp;IF($E$23=1,"new equity = residual funding requirement (not the v29 schedule)","")&amp;IF($E$21&gt;0," (and inputs changed)",""),IF($E$21&gt;0,"Differs - inputs changed","UNEXPLAINED")))</f>
        <v>Differs - requested change: LT loan repaid in 2027 (not 2025); new equity = residual funding requirement (not the v29 schedule) (and inputs changed)</v>
      </c>
      <c r="F664" s="225">
        <f>MAX(MAX(G667:T667),-MIN(G667:T667))</f>
        <v>465.83476555200002</v>
      </c>
      <c r="G664" s="226">
        <f>IF(OR($E$22=1,$E$23=1),0,MAX(MAX(G667:T667),-MIN(G667:T667)))</f>
        <v>0</v>
      </c>
    </row>
    <row r="665" spans="2:20" x14ac:dyDescent="0.25">
      <c r="B665" s="23" t="s">
        <v>3683</v>
      </c>
      <c r="C665" s="28" t="s">
        <v>493</v>
      </c>
      <c r="D665" s="155" t="s">
        <v>3844</v>
      </c>
      <c r="E665" s="178">
        <f>INDEX($G$665:$T$665,1,Inputs!$E$49-2022)</f>
        <v>4053.27929488067</v>
      </c>
      <c r="G665" s="30">
        <f>'Source Data'!G931</f>
        <v>968.32261234881003</v>
      </c>
      <c r="H665" s="30">
        <f>'Source Data'!H931</f>
        <v>1002.41913378383</v>
      </c>
      <c r="I665" s="30">
        <f>'Source Data'!I931</f>
        <v>1086.0745646555099</v>
      </c>
      <c r="J665" s="30">
        <f>'Source Data'!J931</f>
        <v>1604.3096182270799</v>
      </c>
      <c r="K665" s="30">
        <f>'Source Data'!K931</f>
        <v>1907.0571049120599</v>
      </c>
      <c r="L665" s="30">
        <f>'Source Data'!L931</f>
        <v>2071.7590997535099</v>
      </c>
      <c r="M665" s="30">
        <f>'Source Data'!M931</f>
        <v>2265.6509984935401</v>
      </c>
      <c r="N665" s="30">
        <f>'Source Data'!N931</f>
        <v>2470.4146532272298</v>
      </c>
      <c r="O665" s="30">
        <f>'Source Data'!O931</f>
        <v>2697.69273966321</v>
      </c>
      <c r="P665" s="30">
        <f>'Source Data'!P931</f>
        <v>2938.9504118431701</v>
      </c>
      <c r="Q665" s="30">
        <f>'Source Data'!Q931</f>
        <v>3204.9637821504002</v>
      </c>
      <c r="R665" s="30">
        <f>'Source Data'!R931</f>
        <v>3484.74728913028</v>
      </c>
      <c r="S665" s="30">
        <f>'Source Data'!S931</f>
        <v>3763.21853002234</v>
      </c>
      <c r="T665" s="30">
        <f>'Source Data'!T931</f>
        <v>4053.27929488067</v>
      </c>
    </row>
    <row r="666" spans="2:20" x14ac:dyDescent="0.25">
      <c r="B666" s="23" t="s">
        <v>3685</v>
      </c>
      <c r="C666" s="28" t="s">
        <v>493</v>
      </c>
      <c r="D666" s="227" t="s">
        <v>4048</v>
      </c>
      <c r="E666" s="178">
        <f>INDEX($G$666:$T$666,1,Inputs!$E$49-2022)</f>
        <v>3624.643840777544</v>
      </c>
      <c r="G666" s="30">
        <f>'FSL Output - Without BUMN'!G209</f>
        <v>968.32261234881003</v>
      </c>
      <c r="H666" s="30">
        <f>'FSL Output - Without BUMN'!H209</f>
        <v>1002.4191337838267</v>
      </c>
      <c r="I666" s="30">
        <f>'FSL Output - Without BUMN'!I209</f>
        <v>1078.9244772856434</v>
      </c>
      <c r="J666" s="30">
        <f>'FSL Output - Without BUMN'!J209</f>
        <v>1184.155183511411</v>
      </c>
      <c r="K666" s="30">
        <f>'FSL Output - Without BUMN'!K209</f>
        <v>1449.3666517946315</v>
      </c>
      <c r="L666" s="30">
        <f>'FSL Output - Without BUMN'!L209</f>
        <v>1610.6276916360755</v>
      </c>
      <c r="M666" s="30">
        <f>'FSL Output - Without BUMN'!M209</f>
        <v>1799.8162329411311</v>
      </c>
      <c r="N666" s="30">
        <f>'FSL Output - Without BUMN'!N209</f>
        <v>2004.6266623755371</v>
      </c>
      <c r="O666" s="30">
        <f>'FSL Output - Without BUMN'!O209</f>
        <v>2234.80144149224</v>
      </c>
      <c r="P666" s="30">
        <f>'FSL Output - Without BUMN'!P209</f>
        <v>2481.1097235000416</v>
      </c>
      <c r="Q666" s="30">
        <f>'FSL Output - Without BUMN'!Q209</f>
        <v>2753.1231958879889</v>
      </c>
      <c r="R666" s="30">
        <f>'FSL Output - Without BUMN'!R209</f>
        <v>3039.8392773985884</v>
      </c>
      <c r="S666" s="30">
        <f>'FSL Output - Without BUMN'!S209</f>
        <v>3326.1755652713678</v>
      </c>
      <c r="T666" s="30">
        <f>'FSL Output - Without BUMN'!T209</f>
        <v>3624.643840777544</v>
      </c>
    </row>
    <row r="667" spans="2:20" x14ac:dyDescent="0.25">
      <c r="B667" s="21" t="s">
        <v>3687</v>
      </c>
      <c r="C667" s="28" t="s">
        <v>493</v>
      </c>
      <c r="E667" s="228">
        <f>INDEX($G$667:$T$667,1,Inputs!$E$49-2022)</f>
        <v>-428.63545410299997</v>
      </c>
      <c r="G667" s="229">
        <f t="shared" ref="G667:T667" si="94">ROUND(G666-G665,9)</f>
        <v>0</v>
      </c>
      <c r="H667" s="229">
        <f t="shared" si="94"/>
        <v>0</v>
      </c>
      <c r="I667" s="229">
        <f t="shared" si="94"/>
        <v>-7.1500873699999996</v>
      </c>
      <c r="J667" s="229">
        <f t="shared" si="94"/>
        <v>-420.15443471600003</v>
      </c>
      <c r="K667" s="229">
        <f t="shared" si="94"/>
        <v>-457.690453117</v>
      </c>
      <c r="L667" s="229">
        <f t="shared" si="94"/>
        <v>-461.13140811699998</v>
      </c>
      <c r="M667" s="229">
        <f t="shared" si="94"/>
        <v>-465.83476555200002</v>
      </c>
      <c r="N667" s="229">
        <f t="shared" si="94"/>
        <v>-465.78799085200001</v>
      </c>
      <c r="O667" s="229">
        <f t="shared" si="94"/>
        <v>-462.89129817100002</v>
      </c>
      <c r="P667" s="229">
        <f t="shared" si="94"/>
        <v>-457.84068834300001</v>
      </c>
      <c r="Q667" s="229">
        <f t="shared" si="94"/>
        <v>-451.84058626199999</v>
      </c>
      <c r="R667" s="229">
        <f t="shared" si="94"/>
        <v>-444.90801173199998</v>
      </c>
      <c r="S667" s="229">
        <f t="shared" si="94"/>
        <v>-437.042964751</v>
      </c>
      <c r="T667" s="229">
        <f t="shared" si="94"/>
        <v>-428.63545410299997</v>
      </c>
    </row>
    <row r="668" spans="2:20" ht="27.75" customHeight="1" x14ac:dyDescent="0.25">
      <c r="B668" s="63" t="s">
        <v>3688</v>
      </c>
      <c r="G668" s="254" t="str">
        <f>"Without-BS13 FY"&amp;Inputs!$E$49&amp;": model "&amp;TEXT(E666,"#,##0.000")&amp;" vs v29 "&amp;TEXT(E665,"#,##0.000")&amp;" (difference "&amp;TEXT(ROUND(E667,3),"+#,##0.000;-#,##0.000;0.000")&amp;")"&amp;IF(ABS(E667)&lt;=Inputs!$E$50," - matches v29.",IF(LEFT(E664,19)="Differs - requested"," - due to the requested change: "&amp;MID(E664,29,200),IF($E$21&gt;0," - differs because inputs / switches were changed."," - UNEXPLAINED: no input was changed.")))</f>
        <v>Without-BS13 FY2036: model 3,624.644 vs v29 4,053.279 (difference -428.635) - due to the requested change: LT loan repaid in 2027 (not 2025); new equity = residual funding requirement (not the v29 schedule) (and inputs changed)</v>
      </c>
      <c r="H668" s="254"/>
      <c r="I668" s="254"/>
      <c r="J668" s="254"/>
      <c r="K668" s="254"/>
      <c r="L668" s="254"/>
      <c r="M668" s="254"/>
      <c r="N668" s="254"/>
      <c r="O668" s="254"/>
      <c r="P668" s="254"/>
      <c r="Q668" s="254"/>
      <c r="R668" s="254"/>
      <c r="S668" s="254"/>
      <c r="T668" s="254"/>
    </row>
    <row r="669" spans="2:20" x14ac:dyDescent="0.25">
      <c r="B669" s="221" t="s">
        <v>4049</v>
      </c>
      <c r="C669" s="222" t="s">
        <v>493</v>
      </c>
      <c r="D669" s="223" t="s">
        <v>4050</v>
      </c>
      <c r="E669" s="224" t="str">
        <f>IF(MAX(MAX(G672:T672),-MIN(G672:T672))&lt;=Inputs!$E$50,"Matches v29",IF($E$21&gt;0,"Differs - inputs changed","UNEXPLAINED"))</f>
        <v>Matches v29</v>
      </c>
      <c r="F669" s="225">
        <f>MAX(MAX(G672:T672),-MIN(G672:T672))</f>
        <v>0</v>
      </c>
      <c r="G669" s="226">
        <f>MAX(MAX(G672:T672),-MIN(G672:T672))</f>
        <v>0</v>
      </c>
    </row>
    <row r="670" spans="2:20" x14ac:dyDescent="0.25">
      <c r="B670" s="23" t="s">
        <v>3683</v>
      </c>
      <c r="C670" s="28" t="s">
        <v>493</v>
      </c>
      <c r="D670" s="155" t="s">
        <v>3848</v>
      </c>
      <c r="E670" s="178">
        <f>INDEX($G$670:$T$670,1,Inputs!$E$49-2022)</f>
        <v>0</v>
      </c>
      <c r="G670" s="30">
        <f>'Source Data'!G932</f>
        <v>0</v>
      </c>
      <c r="H670" s="30">
        <f>'Source Data'!H932</f>
        <v>0</v>
      </c>
      <c r="I670" s="30">
        <f>'Source Data'!I932</f>
        <v>0</v>
      </c>
      <c r="J670" s="30">
        <f>'Source Data'!J932</f>
        <v>0</v>
      </c>
      <c r="K670" s="30">
        <f>'Source Data'!K932</f>
        <v>0</v>
      </c>
      <c r="L670" s="30">
        <f>'Source Data'!L932</f>
        <v>0</v>
      </c>
      <c r="M670" s="30">
        <f>'Source Data'!M932</f>
        <v>0</v>
      </c>
      <c r="N670" s="30">
        <f>'Source Data'!N932</f>
        <v>0</v>
      </c>
      <c r="O670" s="30">
        <f>'Source Data'!O932</f>
        <v>0</v>
      </c>
      <c r="P670" s="30">
        <f>'Source Data'!P932</f>
        <v>0</v>
      </c>
      <c r="Q670" s="30">
        <f>'Source Data'!Q932</f>
        <v>0</v>
      </c>
      <c r="R670" s="30">
        <f>'Source Data'!R932</f>
        <v>0</v>
      </c>
      <c r="S670" s="30">
        <f>'Source Data'!S932</f>
        <v>0</v>
      </c>
      <c r="T670" s="30">
        <f>'Source Data'!T932</f>
        <v>0</v>
      </c>
    </row>
    <row r="671" spans="2:20" x14ac:dyDescent="0.25">
      <c r="B671" s="23" t="s">
        <v>3685</v>
      </c>
      <c r="C671" s="28" t="s">
        <v>493</v>
      </c>
      <c r="D671" s="227" t="s">
        <v>4051</v>
      </c>
      <c r="E671" s="178">
        <f>INDEX($G$671:$T$671,1,Inputs!$E$49-2022)</f>
        <v>0</v>
      </c>
      <c r="G671" s="30">
        <f>'FSL Output - Without BUMN'!G213</f>
        <v>0</v>
      </c>
      <c r="H671" s="30">
        <f>'FSL Output - Without BUMN'!H213</f>
        <v>0</v>
      </c>
      <c r="I671" s="30">
        <f>'FSL Output - Without BUMN'!I213</f>
        <v>0</v>
      </c>
      <c r="J671" s="30">
        <f>'FSL Output - Without BUMN'!J213</f>
        <v>0</v>
      </c>
      <c r="K671" s="30">
        <f>'FSL Output - Without BUMN'!K213</f>
        <v>0</v>
      </c>
      <c r="L671" s="30">
        <f>'FSL Output - Without BUMN'!L213</f>
        <v>0</v>
      </c>
      <c r="M671" s="30">
        <f>'FSL Output - Without BUMN'!M213</f>
        <v>0</v>
      </c>
      <c r="N671" s="30">
        <f>'FSL Output - Without BUMN'!N213</f>
        <v>0</v>
      </c>
      <c r="O671" s="30">
        <f>'FSL Output - Without BUMN'!O213</f>
        <v>0</v>
      </c>
      <c r="P671" s="30">
        <f>'FSL Output - Without BUMN'!P213</f>
        <v>0</v>
      </c>
      <c r="Q671" s="30">
        <f>'FSL Output - Without BUMN'!Q213</f>
        <v>0</v>
      </c>
      <c r="R671" s="30">
        <f>'FSL Output - Without BUMN'!R213</f>
        <v>0</v>
      </c>
      <c r="S671" s="30">
        <f>'FSL Output - Without BUMN'!S213</f>
        <v>0</v>
      </c>
      <c r="T671" s="30">
        <f>'FSL Output - Without BUMN'!T213</f>
        <v>0</v>
      </c>
    </row>
    <row r="672" spans="2:20" x14ac:dyDescent="0.25">
      <c r="B672" s="21" t="s">
        <v>3687</v>
      </c>
      <c r="C672" s="28" t="s">
        <v>493</v>
      </c>
      <c r="E672" s="228">
        <f>INDEX($G$672:$T$672,1,Inputs!$E$49-2022)</f>
        <v>0</v>
      </c>
      <c r="G672" s="229">
        <f t="shared" ref="G672:T672" si="95">ROUND(G671-G670,9)</f>
        <v>0</v>
      </c>
      <c r="H672" s="229">
        <f t="shared" si="95"/>
        <v>0</v>
      </c>
      <c r="I672" s="229">
        <f t="shared" si="95"/>
        <v>0</v>
      </c>
      <c r="J672" s="229">
        <f t="shared" si="95"/>
        <v>0</v>
      </c>
      <c r="K672" s="229">
        <f t="shared" si="95"/>
        <v>0</v>
      </c>
      <c r="L672" s="229">
        <f t="shared" si="95"/>
        <v>0</v>
      </c>
      <c r="M672" s="229">
        <f t="shared" si="95"/>
        <v>0</v>
      </c>
      <c r="N672" s="229">
        <f t="shared" si="95"/>
        <v>0</v>
      </c>
      <c r="O672" s="229">
        <f t="shared" si="95"/>
        <v>0</v>
      </c>
      <c r="P672" s="229">
        <f t="shared" si="95"/>
        <v>0</v>
      </c>
      <c r="Q672" s="229">
        <f t="shared" si="95"/>
        <v>0</v>
      </c>
      <c r="R672" s="229">
        <f t="shared" si="95"/>
        <v>0</v>
      </c>
      <c r="S672" s="229">
        <f t="shared" si="95"/>
        <v>0</v>
      </c>
      <c r="T672" s="229">
        <f t="shared" si="95"/>
        <v>0</v>
      </c>
    </row>
    <row r="673" spans="2:20" ht="27.75" customHeight="1" x14ac:dyDescent="0.25">
      <c r="B673" s="63" t="s">
        <v>3850</v>
      </c>
      <c r="G673" s="254" t="str">
        <f>"Without-BS14 FY"&amp;Inputs!$E$49&amp;": model "&amp;TEXT(E671,"#,##0.000")&amp;" vs v29 "&amp;TEXT(E670,"#,##0.000")&amp;" (difference "&amp;TEXT(ROUND(E672,3),"+#,##0.000;-#,##0.000;0.000")&amp;")"&amp;IF(ABS(E672)&lt;=Inputs!$E$50," - matches v29.",IF(LEFT(E669,19)="Differs - requested"," - due to the requested change: "&amp;MID(E669,29,200),IF($E$21&gt;0," - differs because inputs / switches were changed."," - UNEXPLAINED: no input was changed.")))</f>
        <v>Without-BS14 FY2036: model 0.000 vs v29 0.000 (difference 0.000) - matches v29.</v>
      </c>
      <c r="H673" s="254"/>
      <c r="I673" s="254"/>
      <c r="J673" s="254"/>
      <c r="K673" s="254"/>
      <c r="L673" s="254"/>
      <c r="M673" s="254"/>
      <c r="N673" s="254"/>
      <c r="O673" s="254"/>
      <c r="P673" s="254"/>
      <c r="Q673" s="254"/>
      <c r="R673" s="254"/>
      <c r="S673" s="254"/>
      <c r="T673" s="254"/>
    </row>
    <row r="674" spans="2:20" x14ac:dyDescent="0.25">
      <c r="B674" s="221" t="s">
        <v>4052</v>
      </c>
      <c r="C674" s="222" t="s">
        <v>493</v>
      </c>
      <c r="D674" s="223" t="s">
        <v>4053</v>
      </c>
      <c r="E674" s="224" t="str">
        <f>IF(MAX(MAX(H677:T677),-MIN(H677:T677))&lt;=Inputs!$E$50,"Matches v29",IF($E$21&gt;0,"Differs - inputs changed","UNEXPLAINED"))</f>
        <v>Differs - inputs changed</v>
      </c>
      <c r="F674" s="225">
        <f>MAX(MAX(H677:T677),-MIN(H677:T677))</f>
        <v>15.42954295</v>
      </c>
      <c r="G674" s="226">
        <f>MAX(MAX(H677:T677),-MIN(H677:T677))</f>
        <v>15.42954295</v>
      </c>
    </row>
    <row r="675" spans="2:20" x14ac:dyDescent="0.25">
      <c r="B675" s="23" t="s">
        <v>3683</v>
      </c>
      <c r="C675" s="28" t="s">
        <v>493</v>
      </c>
      <c r="D675" s="155" t="s">
        <v>3853</v>
      </c>
      <c r="E675" s="178">
        <f>INDEX($G$675:$T$675,1,Inputs!$E$49-2022)</f>
        <v>513.16276082217996</v>
      </c>
      <c r="H675" s="30">
        <f>'Source Data'!H934</f>
        <v>65.862412993927705</v>
      </c>
      <c r="I675" s="30">
        <f>'Source Data'!I934</f>
        <v>149.95884859672299</v>
      </c>
      <c r="J675" s="30">
        <f>'Source Data'!J934</f>
        <v>174.204311078205</v>
      </c>
      <c r="K675" s="30">
        <f>'Source Data'!K934</f>
        <v>251.85539666695701</v>
      </c>
      <c r="L675" s="30">
        <f>'Source Data'!L934</f>
        <v>291.37172970830602</v>
      </c>
      <c r="M675" s="30">
        <f>'Source Data'!M934</f>
        <v>341.98182060603699</v>
      </c>
      <c r="N675" s="30">
        <f>'Source Data'!N934</f>
        <v>361.09089489943</v>
      </c>
      <c r="O675" s="30">
        <f>'Source Data'!O934</f>
        <v>401.77343971521901</v>
      </c>
      <c r="P675" s="30">
        <f>'Source Data'!P934</f>
        <v>426.08662782346801</v>
      </c>
      <c r="Q675" s="30">
        <f>'Source Data'!Q934</f>
        <v>470.86482512979802</v>
      </c>
      <c r="R675" s="30">
        <f>'Source Data'!R934</f>
        <v>495.51299970585001</v>
      </c>
      <c r="S675" s="30">
        <f>'Source Data'!S934</f>
        <v>492.52789620938898</v>
      </c>
      <c r="T675" s="30">
        <f>'Source Data'!T934</f>
        <v>513.16276082217996</v>
      </c>
    </row>
    <row r="676" spans="2:20" x14ac:dyDescent="0.25">
      <c r="B676" s="23" t="s">
        <v>3685</v>
      </c>
      <c r="C676" s="28" t="s">
        <v>493</v>
      </c>
      <c r="D676" s="227" t="s">
        <v>4054</v>
      </c>
      <c r="E676" s="178">
        <f>INDEX($G$676:$T$676,1,Inputs!$E$49-2022)</f>
        <v>528.56113197207742</v>
      </c>
      <c r="H676" s="30">
        <f>'FSL Output - Without BUMN'!H241</f>
        <v>65.862412993927734</v>
      </c>
      <c r="I676" s="30">
        <f>'FSL Output - Without BUMN'!I241</f>
        <v>149.9588485967227</v>
      </c>
      <c r="J676" s="30">
        <f>'FSL Output - Without BUMN'!J241</f>
        <v>174.2043110782048</v>
      </c>
      <c r="K676" s="30">
        <f>'FSL Output - Without BUMN'!K241</f>
        <v>251.85539666695701</v>
      </c>
      <c r="L676" s="30">
        <f>'FSL Output - Without BUMN'!L241</f>
        <v>289.87172970830568</v>
      </c>
      <c r="M676" s="30">
        <f>'FSL Output - Without BUMN'!M241</f>
        <v>343.801863556071</v>
      </c>
      <c r="N676" s="30">
        <f>'FSL Output - Without BUMN'!N241</f>
        <v>369.71568784946442</v>
      </c>
      <c r="O676" s="30">
        <f>'FSL Output - Without BUMN'!O241</f>
        <v>414.93473266525353</v>
      </c>
      <c r="P676" s="30">
        <f>'FSL Output - Without BUMN'!P241</f>
        <v>441.48499897336529</v>
      </c>
      <c r="Q676" s="30">
        <f>'FSL Output - Without BUMN'!Q241</f>
        <v>486.29436807983234</v>
      </c>
      <c r="R676" s="30">
        <f>'FSL Output - Without BUMN'!R241</f>
        <v>510.94254265588438</v>
      </c>
      <c r="S676" s="30">
        <f>'FSL Output - Without BUMN'!S241</f>
        <v>507.95743915942376</v>
      </c>
      <c r="T676" s="30">
        <f>'FSL Output - Without BUMN'!T241</f>
        <v>528.56113197207742</v>
      </c>
    </row>
    <row r="677" spans="2:20" x14ac:dyDescent="0.25">
      <c r="B677" s="21" t="s">
        <v>3687</v>
      </c>
      <c r="C677" s="28" t="s">
        <v>493</v>
      </c>
      <c r="E677" s="228">
        <f>INDEX($G$677:$T$677,1,Inputs!$E$49-2022)</f>
        <v>15.398371149999999</v>
      </c>
      <c r="H677" s="229">
        <f t="shared" ref="H677:T677" si="96">ROUND(H676-H675,9)</f>
        <v>0</v>
      </c>
      <c r="I677" s="229">
        <f t="shared" si="96"/>
        <v>0</v>
      </c>
      <c r="J677" s="229">
        <f t="shared" si="96"/>
        <v>0</v>
      </c>
      <c r="K677" s="229">
        <f t="shared" si="96"/>
        <v>0</v>
      </c>
      <c r="L677" s="229">
        <f t="shared" si="96"/>
        <v>-1.5</v>
      </c>
      <c r="M677" s="229">
        <f t="shared" si="96"/>
        <v>1.8200429499999999</v>
      </c>
      <c r="N677" s="229">
        <f t="shared" si="96"/>
        <v>8.6247929499999998</v>
      </c>
      <c r="O677" s="229">
        <f t="shared" si="96"/>
        <v>13.16129295</v>
      </c>
      <c r="P677" s="229">
        <f t="shared" si="96"/>
        <v>15.398371149999999</v>
      </c>
      <c r="Q677" s="229">
        <f t="shared" si="96"/>
        <v>15.42954295</v>
      </c>
      <c r="R677" s="229">
        <f t="shared" si="96"/>
        <v>15.42954295</v>
      </c>
      <c r="S677" s="229">
        <f t="shared" si="96"/>
        <v>15.42954295</v>
      </c>
      <c r="T677" s="229">
        <f t="shared" si="96"/>
        <v>15.398371149999999</v>
      </c>
    </row>
    <row r="678" spans="2:20" ht="27.75" customHeight="1" x14ac:dyDescent="0.25">
      <c r="B678" s="63" t="s">
        <v>3855</v>
      </c>
      <c r="G678" s="254" t="str">
        <f>"Without-FC01 FY"&amp;Inputs!$E$49&amp;": model "&amp;TEXT(E676,"#,##0.000")&amp;" vs v29 "&amp;TEXT(E675,"#,##0.000")&amp;" (difference "&amp;TEXT(ROUND(E677,3),"+#,##0.000;-#,##0.000;0.000")&amp;")"&amp;IF(ABS(E677)&lt;=Inputs!$E$50," - matches v29.",IF(LEFT(E674,19)="Differs - requested"," - due to the requested change: "&amp;MID(E674,29,200),IF($E$21&gt;0," - differs because inputs / switches were changed."," - UNEXPLAINED: no input was changed.")))</f>
        <v>Without-FC01 FY2036: model 528.561 vs v29 513.163 (difference +15.398) - differs because inputs / switches were changed.</v>
      </c>
      <c r="H678" s="254"/>
      <c r="I678" s="254"/>
      <c r="J678" s="254"/>
      <c r="K678" s="254"/>
      <c r="L678" s="254"/>
      <c r="M678" s="254"/>
      <c r="N678" s="254"/>
      <c r="O678" s="254"/>
      <c r="P678" s="254"/>
      <c r="Q678" s="254"/>
      <c r="R678" s="254"/>
      <c r="S678" s="254"/>
      <c r="T678" s="254"/>
    </row>
    <row r="679" spans="2:20" x14ac:dyDescent="0.25">
      <c r="B679" s="221" t="s">
        <v>4055</v>
      </c>
      <c r="C679" s="222" t="s">
        <v>493</v>
      </c>
      <c r="D679" s="223" t="s">
        <v>4056</v>
      </c>
      <c r="E679" s="224" t="str">
        <f>IF(MAX(MAX(H682:T682),-MIN(H682:T682))&lt;=Inputs!$E$50,"Matches v29",IF($E$21&gt;0,"Differs - inputs changed","UNEXPLAINED"))</f>
        <v>Differs - inputs changed</v>
      </c>
      <c r="F679" s="225">
        <f>MAX(MAX(H682:T682),-MIN(H682:T682))</f>
        <v>3.394499449</v>
      </c>
      <c r="G679" s="226">
        <f>MAX(MAX(H682:T682),-MIN(H682:T682))</f>
        <v>3.394499449</v>
      </c>
    </row>
    <row r="680" spans="2:20" x14ac:dyDescent="0.25">
      <c r="B680" s="23" t="s">
        <v>3683</v>
      </c>
      <c r="C680" s="28" t="s">
        <v>493</v>
      </c>
      <c r="D680" s="155" t="s">
        <v>3858</v>
      </c>
      <c r="E680" s="178">
        <f>INDEX($G$680:$T$680,1,Inputs!$E$49-2022)</f>
        <v>-112.89580738088</v>
      </c>
      <c r="H680" s="30">
        <f>'Source Data'!H935</f>
        <v>-14.4897308586641</v>
      </c>
      <c r="I680" s="30">
        <f>'Source Data'!I935</f>
        <v>-32.990946691278999</v>
      </c>
      <c r="J680" s="30">
        <f>'Source Data'!J935</f>
        <v>-38.324948437205101</v>
      </c>
      <c r="K680" s="30">
        <f>'Source Data'!K935</f>
        <v>-55.4081872667306</v>
      </c>
      <c r="L680" s="30">
        <f>'Source Data'!L935</f>
        <v>-64.101780535827302</v>
      </c>
      <c r="M680" s="30">
        <f>'Source Data'!M935</f>
        <v>-75.236000533328095</v>
      </c>
      <c r="N680" s="30">
        <f>'Source Data'!N935</f>
        <v>-79.439996877874606</v>
      </c>
      <c r="O680" s="30">
        <f>'Source Data'!O935</f>
        <v>-88.390156737348306</v>
      </c>
      <c r="P680" s="30">
        <f>'Source Data'!P935</f>
        <v>-93.739058121162898</v>
      </c>
      <c r="Q680" s="30">
        <f>'Source Data'!Q935</f>
        <v>-103.590261528556</v>
      </c>
      <c r="R680" s="30">
        <f>'Source Data'!R935</f>
        <v>-109.012859935287</v>
      </c>
      <c r="S680" s="30">
        <f>'Source Data'!S935</f>
        <v>-108.35613716606601</v>
      </c>
      <c r="T680" s="30">
        <f>'Source Data'!T935</f>
        <v>-112.89580738088</v>
      </c>
    </row>
    <row r="681" spans="2:20" x14ac:dyDescent="0.25">
      <c r="B681" s="23" t="s">
        <v>3685</v>
      </c>
      <c r="C681" s="28" t="s">
        <v>493</v>
      </c>
      <c r="D681" s="227" t="s">
        <v>4057</v>
      </c>
      <c r="E681" s="178">
        <f>INDEX($G$681:$T$681,1,Inputs!$E$49-2022)</f>
        <v>-116.28344903385704</v>
      </c>
      <c r="H681" s="30">
        <f>'FSL Output - Without BUMN'!H242</f>
        <v>-14.489730858664101</v>
      </c>
      <c r="I681" s="30">
        <f>'FSL Output - Without BUMN'!I242</f>
        <v>-32.990946691278992</v>
      </c>
      <c r="J681" s="30">
        <f>'FSL Output - Without BUMN'!J242</f>
        <v>-38.324948437205059</v>
      </c>
      <c r="K681" s="30">
        <f>'FSL Output - Without BUMN'!K242</f>
        <v>-55.408187266730543</v>
      </c>
      <c r="L681" s="30">
        <f>'FSL Output - Without BUMN'!L242</f>
        <v>-63.771780535827247</v>
      </c>
      <c r="M681" s="30">
        <f>'FSL Output - Without BUMN'!M242</f>
        <v>-75.636409982335621</v>
      </c>
      <c r="N681" s="30">
        <f>'FSL Output - Without BUMN'!N242</f>
        <v>-81.337451326882174</v>
      </c>
      <c r="O681" s="30">
        <f>'FSL Output - Without BUMN'!O242</f>
        <v>-91.285641186355775</v>
      </c>
      <c r="P681" s="30">
        <f>'FSL Output - Without BUMN'!P242</f>
        <v>-97.126699774140363</v>
      </c>
      <c r="Q681" s="30">
        <f>'FSL Output - Without BUMN'!Q242</f>
        <v>-106.98476097756311</v>
      </c>
      <c r="R681" s="30">
        <f>'FSL Output - Without BUMN'!R242</f>
        <v>-112.40735938429457</v>
      </c>
      <c r="S681" s="30">
        <f>'FSL Output - Without BUMN'!S242</f>
        <v>-111.75063661507323</v>
      </c>
      <c r="T681" s="30">
        <f>'FSL Output - Without BUMN'!T242</f>
        <v>-116.28344903385704</v>
      </c>
    </row>
    <row r="682" spans="2:20" x14ac:dyDescent="0.25">
      <c r="B682" s="21" t="s">
        <v>3687</v>
      </c>
      <c r="C682" s="28" t="s">
        <v>493</v>
      </c>
      <c r="E682" s="228">
        <f>INDEX($G$682:$T$682,1,Inputs!$E$49-2022)</f>
        <v>-3.3876416530000002</v>
      </c>
      <c r="H682" s="229">
        <f t="shared" ref="H682:T682" si="97">ROUND(H681-H680,9)</f>
        <v>0</v>
      </c>
      <c r="I682" s="229">
        <f t="shared" si="97"/>
        <v>0</v>
      </c>
      <c r="J682" s="229">
        <f t="shared" si="97"/>
        <v>0</v>
      </c>
      <c r="K682" s="229">
        <f t="shared" si="97"/>
        <v>0</v>
      </c>
      <c r="L682" s="229">
        <f t="shared" si="97"/>
        <v>0.33</v>
      </c>
      <c r="M682" s="229">
        <f t="shared" si="97"/>
        <v>-0.40040944899999997</v>
      </c>
      <c r="N682" s="229">
        <f t="shared" si="97"/>
        <v>-1.897454449</v>
      </c>
      <c r="O682" s="229">
        <f t="shared" si="97"/>
        <v>-2.895484449</v>
      </c>
      <c r="P682" s="229">
        <f t="shared" si="97"/>
        <v>-3.3876416530000002</v>
      </c>
      <c r="Q682" s="229">
        <f t="shared" si="97"/>
        <v>-3.394499449</v>
      </c>
      <c r="R682" s="229">
        <f t="shared" si="97"/>
        <v>-3.394499449</v>
      </c>
      <c r="S682" s="229">
        <f t="shared" si="97"/>
        <v>-3.394499449</v>
      </c>
      <c r="T682" s="229">
        <f t="shared" si="97"/>
        <v>-3.3876416530000002</v>
      </c>
    </row>
    <row r="683" spans="2:20" ht="27.75" customHeight="1" x14ac:dyDescent="0.25">
      <c r="B683" s="63" t="s">
        <v>3688</v>
      </c>
      <c r="G683" s="254" t="str">
        <f>"Without-FC02 FY"&amp;Inputs!$E$49&amp;": model "&amp;TEXT(E681,"#,##0.000")&amp;" vs v29 "&amp;TEXT(E680,"#,##0.000")&amp;" (difference "&amp;TEXT(ROUND(E682,3),"+#,##0.000;-#,##0.000;0.000")&amp;")"&amp;IF(ABS(E682)&lt;=Inputs!$E$50," - matches v29.",IF(LEFT(E679,19)="Differs - requested"," - due to the requested change: "&amp;MID(E679,29,200),IF($E$21&gt;0," - differs because inputs / switches were changed."," - UNEXPLAINED: no input was changed.")))</f>
        <v>Without-FC02 FY2036: model -116.283 vs v29 -112.896 (difference -3.388) - differs because inputs / switches were changed.</v>
      </c>
      <c r="H683" s="254"/>
      <c r="I683" s="254"/>
      <c r="J683" s="254"/>
      <c r="K683" s="254"/>
      <c r="L683" s="254"/>
      <c r="M683" s="254"/>
      <c r="N683" s="254"/>
      <c r="O683" s="254"/>
      <c r="P683" s="254"/>
      <c r="Q683" s="254"/>
      <c r="R683" s="254"/>
      <c r="S683" s="254"/>
      <c r="T683" s="254"/>
    </row>
    <row r="684" spans="2:20" x14ac:dyDescent="0.25">
      <c r="B684" s="221" t="s">
        <v>4058</v>
      </c>
      <c r="C684" s="222" t="s">
        <v>493</v>
      </c>
      <c r="D684" s="223" t="s">
        <v>4059</v>
      </c>
      <c r="E684" s="224" t="str">
        <f>IF(MAX(MAX(H687:T687),-MIN(H687:T687))&lt;=Inputs!$E$50,"Matches v29",IF($E$21&gt;0,"Differs - inputs changed","UNEXPLAINED"))</f>
        <v>Differs - inputs changed</v>
      </c>
      <c r="F684" s="225">
        <f>MAX(MAX(H687:T687),-MIN(H687:T687))</f>
        <v>11.408878850000001</v>
      </c>
      <c r="G684" s="226">
        <f>MAX(MAX(H687:T687),-MIN(H687:T687))</f>
        <v>11.408878850000001</v>
      </c>
    </row>
    <row r="685" spans="2:20" x14ac:dyDescent="0.25">
      <c r="B685" s="23" t="s">
        <v>3683</v>
      </c>
      <c r="C685" s="28" t="s">
        <v>493</v>
      </c>
      <c r="D685" s="155" t="s">
        <v>3862</v>
      </c>
      <c r="E685" s="178">
        <f>INDEX($G$685:$T$685,1,Inputs!$E$49-2022)</f>
        <v>142.73553211478</v>
      </c>
      <c r="H685" s="30">
        <f>'Source Data'!H936</f>
        <v>88.373062408935297</v>
      </c>
      <c r="I685" s="30">
        <f>'Source Data'!I936</f>
        <v>113.59968518200201</v>
      </c>
      <c r="J685" s="30">
        <f>'Source Data'!J936</f>
        <v>134.96780390311301</v>
      </c>
      <c r="K685" s="30">
        <f>'Source Data'!K936</f>
        <v>136.94134168720899</v>
      </c>
      <c r="L685" s="30">
        <f>'Source Data'!L936</f>
        <v>144.19843006333599</v>
      </c>
      <c r="M685" s="30">
        <f>'Source Data'!M936</f>
        <v>146.20716215698599</v>
      </c>
      <c r="N685" s="30">
        <f>'Source Data'!N936</f>
        <v>146.21606889250901</v>
      </c>
      <c r="O685" s="30">
        <f>'Source Data'!O936</f>
        <v>146.225153762742</v>
      </c>
      <c r="P685" s="30">
        <f>'Source Data'!P936</f>
        <v>148.23442033038</v>
      </c>
      <c r="Q685" s="30">
        <f>'Source Data'!Q936</f>
        <v>148.24387222937099</v>
      </c>
      <c r="R685" s="30">
        <f>'Source Data'!R936</f>
        <v>142.71566792824601</v>
      </c>
      <c r="S685" s="30">
        <f>'Source Data'!S936</f>
        <v>142.725501683956</v>
      </c>
      <c r="T685" s="30">
        <f>'Source Data'!T936</f>
        <v>142.73553211478</v>
      </c>
    </row>
    <row r="686" spans="2:20" x14ac:dyDescent="0.25">
      <c r="B686" s="23" t="s">
        <v>3685</v>
      </c>
      <c r="C686" s="28" t="s">
        <v>493</v>
      </c>
      <c r="D686" s="227" t="s">
        <v>4060</v>
      </c>
      <c r="E686" s="178">
        <f>INDEX($G$686:$T$686,1,Inputs!$E$49-2022)</f>
        <v>154.14441096488284</v>
      </c>
      <c r="H686" s="30">
        <f>'FSL Output - Without BUMN'!H243</f>
        <v>88.373062408935311</v>
      </c>
      <c r="I686" s="30">
        <f>'FSL Output - Without BUMN'!I243</f>
        <v>113.59968518200155</v>
      </c>
      <c r="J686" s="30">
        <f>'FSL Output - Without BUMN'!J243</f>
        <v>134.96780390311255</v>
      </c>
      <c r="K686" s="30">
        <f>'FSL Output - Without BUMN'!K243</f>
        <v>136.94134168720865</v>
      </c>
      <c r="L686" s="30">
        <f>'FSL Output - Without BUMN'!L243</f>
        <v>144.19843006333596</v>
      </c>
      <c r="M686" s="30">
        <f>'FSL Output - Without BUMN'!M243</f>
        <v>157.58486920695159</v>
      </c>
      <c r="N686" s="30">
        <f>'FSL Output - Without BUMN'!N243</f>
        <v>157.59377594247448</v>
      </c>
      <c r="O686" s="30">
        <f>'FSL Output - Without BUMN'!O243</f>
        <v>157.60286081270777</v>
      </c>
      <c r="P686" s="30">
        <f>'FSL Output - Without BUMN'!P243</f>
        <v>159.64329918048264</v>
      </c>
      <c r="Q686" s="30">
        <f>'FSL Output - Without BUMN'!Q243</f>
        <v>159.62157927933652</v>
      </c>
      <c r="R686" s="30">
        <f>'FSL Output - Without BUMN'!R243</f>
        <v>154.09337497821181</v>
      </c>
      <c r="S686" s="30">
        <f>'FSL Output - Without BUMN'!S243</f>
        <v>154.10320873392178</v>
      </c>
      <c r="T686" s="30">
        <f>'FSL Output - Without BUMN'!T243</f>
        <v>154.14441096488284</v>
      </c>
    </row>
    <row r="687" spans="2:20" x14ac:dyDescent="0.25">
      <c r="B687" s="21" t="s">
        <v>3687</v>
      </c>
      <c r="C687" s="28" t="s">
        <v>493</v>
      </c>
      <c r="E687" s="228">
        <f>INDEX($G$687:$T$687,1,Inputs!$E$49-2022)</f>
        <v>11.408878850000001</v>
      </c>
      <c r="H687" s="229">
        <f t="shared" ref="H687:T687" si="98">ROUND(H686-H685,9)</f>
        <v>0</v>
      </c>
      <c r="I687" s="229">
        <f t="shared" si="98"/>
        <v>0</v>
      </c>
      <c r="J687" s="229">
        <f t="shared" si="98"/>
        <v>0</v>
      </c>
      <c r="K687" s="229">
        <f t="shared" si="98"/>
        <v>0</v>
      </c>
      <c r="L687" s="229">
        <f t="shared" si="98"/>
        <v>0</v>
      </c>
      <c r="M687" s="229">
        <f t="shared" si="98"/>
        <v>11.37770705</v>
      </c>
      <c r="N687" s="229">
        <f t="shared" si="98"/>
        <v>11.37770705</v>
      </c>
      <c r="O687" s="229">
        <f t="shared" si="98"/>
        <v>11.37770705</v>
      </c>
      <c r="P687" s="229">
        <f t="shared" si="98"/>
        <v>11.408878850000001</v>
      </c>
      <c r="Q687" s="229">
        <f t="shared" si="98"/>
        <v>11.37770705</v>
      </c>
      <c r="R687" s="229">
        <f t="shared" si="98"/>
        <v>11.37770705</v>
      </c>
      <c r="S687" s="229">
        <f t="shared" si="98"/>
        <v>11.37770705</v>
      </c>
      <c r="T687" s="229">
        <f t="shared" si="98"/>
        <v>11.408878850000001</v>
      </c>
    </row>
    <row r="688" spans="2:20" ht="27.75" customHeight="1" x14ac:dyDescent="0.25">
      <c r="B688" s="63" t="s">
        <v>3688</v>
      </c>
      <c r="G688" s="254" t="str">
        <f>"Without-FC03 FY"&amp;Inputs!$E$49&amp;": model "&amp;TEXT(E686,"#,##0.000")&amp;" vs v29 "&amp;TEXT(E685,"#,##0.000")&amp;" (difference "&amp;TEXT(ROUND(E687,3),"+#,##0.000;-#,##0.000;0.000")&amp;")"&amp;IF(ABS(E687)&lt;=Inputs!$E$50," - matches v29.",IF(LEFT(E684,19)="Differs - requested"," - due to the requested change: "&amp;MID(E684,29,200),IF($E$21&gt;0," - differs because inputs / switches were changed."," - UNEXPLAINED: no input was changed.")))</f>
        <v>Without-FC03 FY2036: model 154.144 vs v29 142.736 (difference +11.409) - differs because inputs / switches were changed.</v>
      </c>
      <c r="H688" s="254"/>
      <c r="I688" s="254"/>
      <c r="J688" s="254"/>
      <c r="K688" s="254"/>
      <c r="L688" s="254"/>
      <c r="M688" s="254"/>
      <c r="N688" s="254"/>
      <c r="O688" s="254"/>
      <c r="P688" s="254"/>
      <c r="Q688" s="254"/>
      <c r="R688" s="254"/>
      <c r="S688" s="254"/>
      <c r="T688" s="254"/>
    </row>
    <row r="689" spans="2:20" x14ac:dyDescent="0.25">
      <c r="B689" s="221" t="s">
        <v>4061</v>
      </c>
      <c r="C689" s="222" t="s">
        <v>493</v>
      </c>
      <c r="D689" s="223" t="s">
        <v>4062</v>
      </c>
      <c r="E689" s="224" t="str">
        <f>IF(MAX(MAX(H692:T692),-MIN(H692:T692))&lt;=Inputs!$E$50,"Matches v29",IF($E$21&gt;0,"Differs - inputs changed","UNEXPLAINED"))</f>
        <v>Differs - inputs changed</v>
      </c>
      <c r="F689" s="225">
        <f>MAX(MAX(H692:T692),-MIN(H692:T692))</f>
        <v>97.59</v>
      </c>
      <c r="G689" s="226">
        <f>MAX(MAX(H692:T692),-MIN(H692:T692))</f>
        <v>97.59</v>
      </c>
    </row>
    <row r="690" spans="2:20" x14ac:dyDescent="0.25">
      <c r="B690" s="23" t="s">
        <v>3683</v>
      </c>
      <c r="C690" s="28" t="s">
        <v>493</v>
      </c>
      <c r="D690" s="155" t="s">
        <v>3866</v>
      </c>
      <c r="E690" s="178">
        <f>INDEX($G$690:$T$690,1,Inputs!$E$49-2022)</f>
        <v>0</v>
      </c>
      <c r="H690" s="30">
        <f>'Source Data'!H937</f>
        <v>-323.67349999999999</v>
      </c>
      <c r="I690" s="30">
        <f>'Source Data'!I937</f>
        <v>-14.638500000000001</v>
      </c>
      <c r="J690" s="30">
        <f>'Source Data'!J937</f>
        <v>-419.772029761905</v>
      </c>
      <c r="K690" s="30">
        <f>'Source Data'!K937</f>
        <v>-160.003625</v>
      </c>
      <c r="L690" s="30">
        <f>'Source Data'!L937</f>
        <v>0</v>
      </c>
      <c r="M690" s="30">
        <f>'Source Data'!M937</f>
        <v>0</v>
      </c>
      <c r="N690" s="30">
        <f>'Source Data'!N937</f>
        <v>0</v>
      </c>
      <c r="O690" s="30">
        <f>'Source Data'!O937</f>
        <v>0</v>
      </c>
      <c r="P690" s="30">
        <f>'Source Data'!P937</f>
        <v>0</v>
      </c>
      <c r="Q690" s="30">
        <f>'Source Data'!Q937</f>
        <v>0</v>
      </c>
      <c r="R690" s="30">
        <f>'Source Data'!R937</f>
        <v>0</v>
      </c>
      <c r="S690" s="30">
        <f>'Source Data'!S937</f>
        <v>0</v>
      </c>
      <c r="T690" s="30">
        <f>'Source Data'!T937</f>
        <v>0</v>
      </c>
    </row>
    <row r="691" spans="2:20" x14ac:dyDescent="0.25">
      <c r="B691" s="23" t="s">
        <v>3685</v>
      </c>
      <c r="C691" s="28" t="s">
        <v>493</v>
      </c>
      <c r="D691" s="227" t="s">
        <v>4063</v>
      </c>
      <c r="E691" s="178">
        <f>INDEX($G$691:$T$691,1,Inputs!$E$49-2022)</f>
        <v>0</v>
      </c>
      <c r="H691" s="30">
        <f>'FSL Output - Without BUMN'!H244</f>
        <v>-323.67349999999999</v>
      </c>
      <c r="I691" s="30">
        <f>'FSL Output - Without BUMN'!I244</f>
        <v>-14.638500000000001</v>
      </c>
      <c r="J691" s="30">
        <f>'FSL Output - Without BUMN'!J244</f>
        <v>-419.77202976190472</v>
      </c>
      <c r="K691" s="30">
        <f>'FSL Output - Without BUMN'!K244</f>
        <v>-225.06362499999994</v>
      </c>
      <c r="L691" s="30">
        <f>'FSL Output - Without BUMN'!L244</f>
        <v>-97.59</v>
      </c>
      <c r="M691" s="30">
        <f>'FSL Output - Without BUMN'!M244</f>
        <v>0</v>
      </c>
      <c r="N691" s="30">
        <f>'FSL Output - Without BUMN'!N244</f>
        <v>0</v>
      </c>
      <c r="O691" s="30">
        <f>'FSL Output - Without BUMN'!O244</f>
        <v>0</v>
      </c>
      <c r="P691" s="30">
        <f>'FSL Output - Without BUMN'!P244</f>
        <v>0</v>
      </c>
      <c r="Q691" s="30">
        <f>'FSL Output - Without BUMN'!Q244</f>
        <v>0</v>
      </c>
      <c r="R691" s="30">
        <f>'FSL Output - Without BUMN'!R244</f>
        <v>0</v>
      </c>
      <c r="S691" s="30">
        <f>'FSL Output - Without BUMN'!S244</f>
        <v>0</v>
      </c>
      <c r="T691" s="30">
        <f>'FSL Output - Without BUMN'!T244</f>
        <v>0</v>
      </c>
    </row>
    <row r="692" spans="2:20" x14ac:dyDescent="0.25">
      <c r="B692" s="21" t="s">
        <v>3687</v>
      </c>
      <c r="C692" s="28" t="s">
        <v>493</v>
      </c>
      <c r="E692" s="228">
        <f>INDEX($G$692:$T$692,1,Inputs!$E$49-2022)</f>
        <v>0</v>
      </c>
      <c r="H692" s="229">
        <f t="shared" ref="H692:T692" si="99">ROUND(H691-H690,9)</f>
        <v>0</v>
      </c>
      <c r="I692" s="229">
        <f t="shared" si="99"/>
        <v>0</v>
      </c>
      <c r="J692" s="229">
        <f t="shared" si="99"/>
        <v>0</v>
      </c>
      <c r="K692" s="229">
        <f t="shared" si="99"/>
        <v>-65.06</v>
      </c>
      <c r="L692" s="229">
        <f t="shared" si="99"/>
        <v>-97.59</v>
      </c>
      <c r="M692" s="229">
        <f t="shared" si="99"/>
        <v>0</v>
      </c>
      <c r="N692" s="229">
        <f t="shared" si="99"/>
        <v>0</v>
      </c>
      <c r="O692" s="229">
        <f t="shared" si="99"/>
        <v>0</v>
      </c>
      <c r="P692" s="229">
        <f t="shared" si="99"/>
        <v>0</v>
      </c>
      <c r="Q692" s="229">
        <f t="shared" si="99"/>
        <v>0</v>
      </c>
      <c r="R692" s="229">
        <f t="shared" si="99"/>
        <v>0</v>
      </c>
      <c r="S692" s="229">
        <f t="shared" si="99"/>
        <v>0</v>
      </c>
      <c r="T692" s="229">
        <f t="shared" si="99"/>
        <v>0</v>
      </c>
    </row>
    <row r="693" spans="2:20" ht="27.75" customHeight="1" x14ac:dyDescent="0.25">
      <c r="B693" s="63" t="s">
        <v>3688</v>
      </c>
      <c r="G693" s="254" t="str">
        <f>"Without-FC04 FY"&amp;Inputs!$E$49&amp;": model "&amp;TEXT(E691,"#,##0.000")&amp;" vs v29 "&amp;TEXT(E690,"#,##0.000")&amp;" (difference "&amp;TEXT(ROUND(E692,3),"+#,##0.000;-#,##0.000;0.000")&amp;")"&amp;IF(ABS(E692)&lt;=Inputs!$E$50," - matches v29.",IF(LEFT(E689,19)="Differs - requested"," - due to the requested change: "&amp;MID(E689,29,200),IF($E$21&gt;0," - differs because inputs / switches were changed."," - UNEXPLAINED: no input was changed.")))</f>
        <v>Without-FC04 FY2036: model 0.000 vs v29 0.000 (difference 0.000) - matches v29.</v>
      </c>
      <c r="H693" s="254"/>
      <c r="I693" s="254"/>
      <c r="J693" s="254"/>
      <c r="K693" s="254"/>
      <c r="L693" s="254"/>
      <c r="M693" s="254"/>
      <c r="N693" s="254"/>
      <c r="O693" s="254"/>
      <c r="P693" s="254"/>
      <c r="Q693" s="254"/>
      <c r="R693" s="254"/>
      <c r="S693" s="254"/>
      <c r="T693" s="254"/>
    </row>
    <row r="694" spans="2:20" x14ac:dyDescent="0.25">
      <c r="B694" s="221" t="s">
        <v>4064</v>
      </c>
      <c r="C694" s="222" t="s">
        <v>493</v>
      </c>
      <c r="D694" s="223" t="s">
        <v>4065</v>
      </c>
      <c r="E694" s="224" t="str">
        <f>IF(MAX(MAX(H697:T697),-MIN(H697:T697))&lt;=Inputs!$E$50,"Matches v29",IF($E$21&gt;0,"Differs - inputs changed","UNEXPLAINED"))</f>
        <v>Differs - inputs changed</v>
      </c>
      <c r="F694" s="225">
        <f>MAX(MAX(H697:T697),-MIN(H697:T697))</f>
        <v>2.5718013700000002</v>
      </c>
      <c r="G694" s="226">
        <f>MAX(MAX(H697:T697),-MIN(H697:T697))</f>
        <v>2.5718013700000002</v>
      </c>
    </row>
    <row r="695" spans="2:20" x14ac:dyDescent="0.25">
      <c r="B695" s="23" t="s">
        <v>3683</v>
      </c>
      <c r="C695" s="28" t="s">
        <v>493</v>
      </c>
      <c r="D695" s="155" t="s">
        <v>3870</v>
      </c>
      <c r="E695" s="178">
        <f>INDEX($G$695:$T$695,1,Inputs!$E$49-2022)</f>
        <v>-3.2820665224026899</v>
      </c>
      <c r="H695" s="30">
        <f>'Source Data'!H938</f>
        <v>2.8370388994712199</v>
      </c>
      <c r="I695" s="30">
        <f>'Source Data'!I938</f>
        <v>-15.803178598626999</v>
      </c>
      <c r="J695" s="30">
        <f>'Source Data'!J938</f>
        <v>-8.4563929971098908</v>
      </c>
      <c r="K695" s="30">
        <f>'Source Data'!K938</f>
        <v>-14.439184970429199</v>
      </c>
      <c r="L695" s="30">
        <f>'Source Data'!L938</f>
        <v>-8.0978661862768</v>
      </c>
      <c r="M695" s="30">
        <f>'Source Data'!M938</f>
        <v>-8.1575101805452697</v>
      </c>
      <c r="N695" s="30">
        <f>'Source Data'!N938</f>
        <v>-3.3805540252058099</v>
      </c>
      <c r="O695" s="30">
        <f>'Source Data'!O938</f>
        <v>-6.3550153323091401</v>
      </c>
      <c r="P695" s="30">
        <f>'Source Data'!P938</f>
        <v>-3.97891409704489</v>
      </c>
      <c r="Q695" s="30">
        <f>'Source Data'!Q938</f>
        <v>-7.1522983871453096</v>
      </c>
      <c r="R695" s="30">
        <f>'Source Data'!R938</f>
        <v>-2.26820295449305</v>
      </c>
      <c r="S695" s="30">
        <f>'Source Data'!S938</f>
        <v>-0.82226010824623996</v>
      </c>
      <c r="T695" s="30">
        <f>'Source Data'!T938</f>
        <v>-3.2820665224026899</v>
      </c>
    </row>
    <row r="696" spans="2:20" x14ac:dyDescent="0.25">
      <c r="B696" s="23" t="s">
        <v>3685</v>
      </c>
      <c r="C696" s="28" t="s">
        <v>493</v>
      </c>
      <c r="D696" s="227" t="s">
        <v>4066</v>
      </c>
      <c r="E696" s="178">
        <f>INDEX($G$696:$T$696,1,Inputs!$E$49-2022)</f>
        <v>-3.2700735401435708</v>
      </c>
      <c r="H696" s="30">
        <f>'FSL Output - Without BUMN'!H245</f>
        <v>2.8370388994712172</v>
      </c>
      <c r="I696" s="30">
        <f>'FSL Output - Without BUMN'!I245</f>
        <v>-15.803178598627007</v>
      </c>
      <c r="J696" s="30">
        <f>'FSL Output - Without BUMN'!J245</f>
        <v>-8.4563929971098872</v>
      </c>
      <c r="K696" s="30">
        <f>'FSL Output - Without BUMN'!K245</f>
        <v>-14.439184970429189</v>
      </c>
      <c r="L696" s="30">
        <f>'FSL Output - Without BUMN'!L245</f>
        <v>-8.0978661862768035</v>
      </c>
      <c r="M696" s="30">
        <f>'FSL Output - Without BUMN'!M245</f>
        <v>-10.729311550408283</v>
      </c>
      <c r="N696" s="30">
        <f>'FSL Output - Without BUMN'!N245</f>
        <v>-4.2893690936989941</v>
      </c>
      <c r="O696" s="30">
        <f>'FSL Output - Without BUMN'!O245</f>
        <v>-6.9608920446379159</v>
      </c>
      <c r="P696" s="30">
        <f>'FSL Output - Without BUMN'!P245</f>
        <v>-4.2698594709500952</v>
      </c>
      <c r="Q696" s="30">
        <f>'FSL Output - Without BUMN'!Q245</f>
        <v>-7.1642913694044239</v>
      </c>
      <c r="R696" s="30">
        <f>'FSL Output - Without BUMN'!R245</f>
        <v>-2.2682029544930629</v>
      </c>
      <c r="S696" s="30">
        <f>'FSL Output - Without BUMN'!S245</f>
        <v>-0.82226010824624041</v>
      </c>
      <c r="T696" s="30">
        <f>'FSL Output - Without BUMN'!T245</f>
        <v>-3.2700735401435708</v>
      </c>
    </row>
    <row r="697" spans="2:20" x14ac:dyDescent="0.25">
      <c r="B697" s="21" t="s">
        <v>3687</v>
      </c>
      <c r="C697" s="28" t="s">
        <v>493</v>
      </c>
      <c r="E697" s="228">
        <f>INDEX($G$697:$T$697,1,Inputs!$E$49-2022)</f>
        <v>1.1992981999999999E-2</v>
      </c>
      <c r="H697" s="229">
        <f t="shared" ref="H697:T697" si="100">ROUND(H696-H695,9)</f>
        <v>0</v>
      </c>
      <c r="I697" s="229">
        <f t="shared" si="100"/>
        <v>0</v>
      </c>
      <c r="J697" s="229">
        <f t="shared" si="100"/>
        <v>0</v>
      </c>
      <c r="K697" s="229">
        <f t="shared" si="100"/>
        <v>0</v>
      </c>
      <c r="L697" s="229">
        <f t="shared" si="100"/>
        <v>0</v>
      </c>
      <c r="M697" s="229">
        <f t="shared" si="100"/>
        <v>-2.5718013700000002</v>
      </c>
      <c r="N697" s="229">
        <f t="shared" si="100"/>
        <v>-0.908815068</v>
      </c>
      <c r="O697" s="229">
        <f t="shared" si="100"/>
        <v>-0.60587671200000004</v>
      </c>
      <c r="P697" s="229">
        <f t="shared" si="100"/>
        <v>-0.29094537399999998</v>
      </c>
      <c r="Q697" s="229">
        <f t="shared" si="100"/>
        <v>-1.1992981999999999E-2</v>
      </c>
      <c r="R697" s="229">
        <f t="shared" si="100"/>
        <v>0</v>
      </c>
      <c r="S697" s="229">
        <f t="shared" si="100"/>
        <v>0</v>
      </c>
      <c r="T697" s="229">
        <f t="shared" si="100"/>
        <v>1.1992981999999999E-2</v>
      </c>
    </row>
    <row r="698" spans="2:20" ht="27.75" customHeight="1" x14ac:dyDescent="0.25">
      <c r="B698" s="63" t="s">
        <v>3688</v>
      </c>
      <c r="G698" s="254" t="str">
        <f>"Without-FC05 FY"&amp;Inputs!$E$49&amp;": model "&amp;TEXT(E696,"#,##0.000")&amp;" vs v29 "&amp;TEXT(E695,"#,##0.000")&amp;" (difference "&amp;TEXT(ROUND(E697,3),"+#,##0.000;-#,##0.000;0.000")&amp;")"&amp;IF(ABS(E697)&lt;=Inputs!$E$50," - matches v29.",IF(LEFT(E694,19)="Differs - requested"," - due to the requested change: "&amp;MID(E694,29,200),IF($E$21&gt;0," - differs because inputs / switches were changed."," - UNEXPLAINED: no input was changed.")))</f>
        <v>Without-FC05 FY2036: model -3.270 vs v29 -3.282 (difference +0.012) - differs because inputs / switches were changed.</v>
      </c>
      <c r="H698" s="254"/>
      <c r="I698" s="254"/>
      <c r="J698" s="254"/>
      <c r="K698" s="254"/>
      <c r="L698" s="254"/>
      <c r="M698" s="254"/>
      <c r="N698" s="254"/>
      <c r="O698" s="254"/>
      <c r="P698" s="254"/>
      <c r="Q698" s="254"/>
      <c r="R698" s="254"/>
      <c r="S698" s="254"/>
      <c r="T698" s="254"/>
    </row>
    <row r="699" spans="2:20" x14ac:dyDescent="0.25">
      <c r="B699" s="221" t="s">
        <v>4067</v>
      </c>
      <c r="C699" s="222" t="s">
        <v>493</v>
      </c>
      <c r="D699" s="223" t="s">
        <v>4068</v>
      </c>
      <c r="E699" s="224" t="str">
        <f>IF(MAX(MAX(H702:T702),-MIN(H702:T702))&lt;=Inputs!$E$50,"Matches v29",IF($E$21&gt;0,"Differs - inputs changed","UNEXPLAINED"))</f>
        <v>Differs - inputs changed</v>
      </c>
      <c r="F699" s="225">
        <f>MAX(MAX(H702:T702),-MIN(H702:T702))</f>
        <v>98.76</v>
      </c>
      <c r="G699" s="226">
        <f>MAX(MAX(H702:T702),-MIN(H702:T702))</f>
        <v>98.76</v>
      </c>
    </row>
    <row r="700" spans="2:20" x14ac:dyDescent="0.25">
      <c r="B700" s="23" t="s">
        <v>3683</v>
      </c>
      <c r="C700" s="28" t="s">
        <v>493</v>
      </c>
      <c r="D700" s="155" t="s">
        <v>3874</v>
      </c>
      <c r="E700" s="178">
        <f>INDEX($G$700:$T$700,1,Inputs!$E$49-2022)</f>
        <v>539.72041903367801</v>
      </c>
      <c r="H700" s="30">
        <f>'Source Data'!H939</f>
        <v>-181.09071655632999</v>
      </c>
      <c r="I700" s="30">
        <f>'Source Data'!I939</f>
        <v>200.125908488818</v>
      </c>
      <c r="J700" s="30">
        <f>'Source Data'!J939</f>
        <v>-157.38125621490201</v>
      </c>
      <c r="K700" s="30">
        <f>'Source Data'!K939</f>
        <v>158.94574111700601</v>
      </c>
      <c r="L700" s="30">
        <f>'Source Data'!L939</f>
        <v>363.37051304953798</v>
      </c>
      <c r="M700" s="30">
        <f>'Source Data'!M939</f>
        <v>404.795472049149</v>
      </c>
      <c r="N700" s="30">
        <f>'Source Data'!N939</f>
        <v>424.48641288885801</v>
      </c>
      <c r="O700" s="30">
        <f>'Source Data'!O939</f>
        <v>453.25342140830401</v>
      </c>
      <c r="P700" s="30">
        <f>'Source Data'!P939</f>
        <v>476.60307593563999</v>
      </c>
      <c r="Q700" s="30">
        <f>'Source Data'!Q939</f>
        <v>508.36613744346801</v>
      </c>
      <c r="R700" s="30">
        <f>'Source Data'!R939</f>
        <v>526.94760474431598</v>
      </c>
      <c r="S700" s="30">
        <f>'Source Data'!S939</f>
        <v>526.07500061903397</v>
      </c>
      <c r="T700" s="30">
        <f>'Source Data'!T939</f>
        <v>539.72041903367801</v>
      </c>
    </row>
    <row r="701" spans="2:20" x14ac:dyDescent="0.25">
      <c r="B701" s="23" t="s">
        <v>3685</v>
      </c>
      <c r="C701" s="28" t="s">
        <v>493</v>
      </c>
      <c r="D701" s="227" t="s">
        <v>4069</v>
      </c>
      <c r="E701" s="178">
        <f>INDEX($G$701:$T$701,1,Inputs!$E$49-2022)</f>
        <v>563.15202036295966</v>
      </c>
      <c r="H701" s="30">
        <f>'FSL Output - Without BUMN'!H246</f>
        <v>-181.09071655632982</v>
      </c>
      <c r="I701" s="30">
        <f>'FSL Output - Without BUMN'!I246</f>
        <v>200.12590848881825</v>
      </c>
      <c r="J701" s="30">
        <f>'FSL Output - Without BUMN'!J246</f>
        <v>-157.38125621490235</v>
      </c>
      <c r="K701" s="30">
        <f>'FSL Output - Without BUMN'!K246</f>
        <v>93.885741117005949</v>
      </c>
      <c r="L701" s="30">
        <f>'FSL Output - Without BUMN'!L246</f>
        <v>264.61051304953759</v>
      </c>
      <c r="M701" s="30">
        <f>'FSL Output - Without BUMN'!M246</f>
        <v>415.02101123027865</v>
      </c>
      <c r="N701" s="30">
        <f>'FSL Output - Without BUMN'!N246</f>
        <v>441.68264337135776</v>
      </c>
      <c r="O701" s="30">
        <f>'FSL Output - Without BUMN'!O246</f>
        <v>474.29106024696762</v>
      </c>
      <c r="P701" s="30">
        <f>'FSL Output - Without BUMN'!P246</f>
        <v>499.73173890875745</v>
      </c>
      <c r="Q701" s="30">
        <f>'FSL Output - Without BUMN'!Q246</f>
        <v>531.76689501220142</v>
      </c>
      <c r="R701" s="30">
        <f>'FSL Output - Without BUMN'!R246</f>
        <v>550.36035529530852</v>
      </c>
      <c r="S701" s="30">
        <f>'FSL Output - Without BUMN'!S246</f>
        <v>549.48775117002606</v>
      </c>
      <c r="T701" s="30">
        <f>'FSL Output - Without BUMN'!T246</f>
        <v>563.15202036295966</v>
      </c>
    </row>
    <row r="702" spans="2:20" x14ac:dyDescent="0.25">
      <c r="B702" s="21" t="s">
        <v>3687</v>
      </c>
      <c r="C702" s="28" t="s">
        <v>493</v>
      </c>
      <c r="E702" s="228">
        <f>INDEX($G$702:$T$702,1,Inputs!$E$49-2022)</f>
        <v>23.431601328999999</v>
      </c>
      <c r="H702" s="229">
        <f t="shared" ref="H702:T702" si="101">ROUND(H701-H700,9)</f>
        <v>0</v>
      </c>
      <c r="I702" s="229">
        <f t="shared" si="101"/>
        <v>0</v>
      </c>
      <c r="J702" s="229">
        <f t="shared" si="101"/>
        <v>0</v>
      </c>
      <c r="K702" s="229">
        <f t="shared" si="101"/>
        <v>-65.06</v>
      </c>
      <c r="L702" s="229">
        <f t="shared" si="101"/>
        <v>-98.76</v>
      </c>
      <c r="M702" s="229">
        <f t="shared" si="101"/>
        <v>10.225539181</v>
      </c>
      <c r="N702" s="229">
        <f t="shared" si="101"/>
        <v>17.196230482000001</v>
      </c>
      <c r="O702" s="229">
        <f t="shared" si="101"/>
        <v>21.037638839</v>
      </c>
      <c r="P702" s="229">
        <f t="shared" si="101"/>
        <v>23.128662973000001</v>
      </c>
      <c r="Q702" s="229">
        <f t="shared" si="101"/>
        <v>23.400757569</v>
      </c>
      <c r="R702" s="229">
        <f t="shared" si="101"/>
        <v>23.412750550999998</v>
      </c>
      <c r="S702" s="229">
        <f t="shared" si="101"/>
        <v>23.412750550999998</v>
      </c>
      <c r="T702" s="229">
        <f t="shared" si="101"/>
        <v>23.431601328999999</v>
      </c>
    </row>
    <row r="703" spans="2:20" ht="27.75" customHeight="1" x14ac:dyDescent="0.25">
      <c r="B703" s="63" t="s">
        <v>3688</v>
      </c>
      <c r="G703" s="254" t="str">
        <f>"Without-FC06 FY"&amp;Inputs!$E$49&amp;": model "&amp;TEXT(E701,"#,##0.000")&amp;" vs v29 "&amp;TEXT(E700,"#,##0.000")&amp;" (difference "&amp;TEXT(ROUND(E702,3),"+#,##0.000;-#,##0.000;0.000")&amp;")"&amp;IF(ABS(E702)&lt;=Inputs!$E$50," - matches v29.",IF(LEFT(E699,19)="Differs - requested"," - due to the requested change: "&amp;MID(E699,29,200),IF($E$21&gt;0," - differs because inputs / switches were changed."," - UNEXPLAINED: no input was changed.")))</f>
        <v>Without-FC06 FY2036: model 563.152 vs v29 539.720 (difference +23.432) - differs because inputs / switches were changed.</v>
      </c>
      <c r="H703" s="254"/>
      <c r="I703" s="254"/>
      <c r="J703" s="254"/>
      <c r="K703" s="254"/>
      <c r="L703" s="254"/>
      <c r="M703" s="254"/>
      <c r="N703" s="254"/>
      <c r="O703" s="254"/>
      <c r="P703" s="254"/>
      <c r="Q703" s="254"/>
      <c r="R703" s="254"/>
      <c r="S703" s="254"/>
      <c r="T703" s="254"/>
    </row>
    <row r="704" spans="2:20" x14ac:dyDescent="0.25">
      <c r="B704" s="221" t="s">
        <v>4070</v>
      </c>
      <c r="C704" s="222" t="s">
        <v>493</v>
      </c>
      <c r="D704" s="223" t="s">
        <v>4071</v>
      </c>
      <c r="E704" s="224" t="str">
        <f>IF(MAX(MAX(H707:T707),-MIN(H707:T707))&lt;=Inputs!$E$50,"Matches v29",IF($E$21&gt;0,"Differs - inputs changed","UNEXPLAINED"))</f>
        <v>Differs - inputs changed</v>
      </c>
      <c r="F704" s="225">
        <f>MAX(MAX(H707:T707),-MIN(H707:T707))</f>
        <v>163.82</v>
      </c>
      <c r="G704" s="226">
        <f>MAX(MAX(H707:T707),-MIN(H707:T707))</f>
        <v>163.82</v>
      </c>
    </row>
    <row r="705" spans="2:20" x14ac:dyDescent="0.25">
      <c r="B705" s="23" t="s">
        <v>3683</v>
      </c>
      <c r="C705" s="28" t="s">
        <v>493</v>
      </c>
      <c r="D705" s="155" t="s">
        <v>3878</v>
      </c>
      <c r="E705" s="178">
        <f>INDEX($G$705:$T$705,1,Inputs!$E$49-2022)</f>
        <v>4244.21773400658</v>
      </c>
      <c r="H705" s="30">
        <f>'Source Data'!H940</f>
        <v>-181.09071655632999</v>
      </c>
      <c r="I705" s="30">
        <f>'Source Data'!I940</f>
        <v>19.035191932488399</v>
      </c>
      <c r="J705" s="30">
        <f>'Source Data'!J940</f>
        <v>-138.34606428241401</v>
      </c>
      <c r="K705" s="30">
        <f>'Source Data'!K940</f>
        <v>20.599676834592</v>
      </c>
      <c r="L705" s="30">
        <f>'Source Data'!L940</f>
        <v>383.97018988412998</v>
      </c>
      <c r="M705" s="30">
        <f>'Source Data'!M940</f>
        <v>788.76566193327903</v>
      </c>
      <c r="N705" s="30">
        <f>'Source Data'!N940</f>
        <v>1213.25207482214</v>
      </c>
      <c r="O705" s="30">
        <f>'Source Data'!O940</f>
        <v>1666.50549623044</v>
      </c>
      <c r="P705" s="30">
        <f>'Source Data'!P940</f>
        <v>2143.1085721660802</v>
      </c>
      <c r="Q705" s="30">
        <f>'Source Data'!Q940</f>
        <v>2651.4747096095498</v>
      </c>
      <c r="R705" s="30">
        <f>'Source Data'!R940</f>
        <v>3178.4223143538602</v>
      </c>
      <c r="S705" s="30">
        <f>'Source Data'!S940</f>
        <v>3704.4973149728999</v>
      </c>
      <c r="T705" s="30">
        <f>'Source Data'!T940</f>
        <v>4244.21773400658</v>
      </c>
    </row>
    <row r="706" spans="2:20" x14ac:dyDescent="0.25">
      <c r="B706" s="23" t="s">
        <v>3685</v>
      </c>
      <c r="C706" s="28" t="s">
        <v>493</v>
      </c>
      <c r="D706" s="227" t="s">
        <v>4072</v>
      </c>
      <c r="E706" s="178">
        <f>INDEX($G$706:$T$706,1,Inputs!$E$49-2022)</f>
        <v>4245.6436654819872</v>
      </c>
      <c r="H706" s="30">
        <f>'FSL Output - Without BUMN'!H247</f>
        <v>-181.09071655632982</v>
      </c>
      <c r="I706" s="30">
        <f>'FSL Output - Without BUMN'!I247</f>
        <v>19.035191932488431</v>
      </c>
      <c r="J706" s="30">
        <f>'FSL Output - Without BUMN'!J247</f>
        <v>-138.34606428241392</v>
      </c>
      <c r="K706" s="30">
        <f>'FSL Output - Without BUMN'!K247</f>
        <v>-44.460323165407971</v>
      </c>
      <c r="L706" s="30">
        <f>'FSL Output - Without BUMN'!L247</f>
        <v>220.15018988412962</v>
      </c>
      <c r="M706" s="30">
        <f>'FSL Output - Without BUMN'!M247</f>
        <v>635.17120111440829</v>
      </c>
      <c r="N706" s="30">
        <f>'FSL Output - Without BUMN'!N247</f>
        <v>1076.8538444857661</v>
      </c>
      <c r="O706" s="30">
        <f>'FSL Output - Without BUMN'!O247</f>
        <v>1551.1449047327337</v>
      </c>
      <c r="P706" s="30">
        <f>'FSL Output - Without BUMN'!P247</f>
        <v>2050.8766436414912</v>
      </c>
      <c r="Q706" s="30">
        <f>'FSL Output - Without BUMN'!Q247</f>
        <v>2582.6435386536928</v>
      </c>
      <c r="R706" s="30">
        <f>'FSL Output - Without BUMN'!R247</f>
        <v>3133.0038939490014</v>
      </c>
      <c r="S706" s="30">
        <f>'FSL Output - Without BUMN'!S247</f>
        <v>3682.4916451190275</v>
      </c>
      <c r="T706" s="30">
        <f>'FSL Output - Without BUMN'!T247</f>
        <v>4245.6436654819872</v>
      </c>
    </row>
    <row r="707" spans="2:20" x14ac:dyDescent="0.25">
      <c r="B707" s="21" t="s">
        <v>3687</v>
      </c>
      <c r="C707" s="28" t="s">
        <v>493</v>
      </c>
      <c r="E707" s="228">
        <f>INDEX($G$707:$T$707,1,Inputs!$E$49-2022)</f>
        <v>1.4259314750000001</v>
      </c>
      <c r="H707" s="229">
        <f t="shared" ref="H707:T707" si="102">ROUND(H706-H705,9)</f>
        <v>0</v>
      </c>
      <c r="I707" s="229">
        <f t="shared" si="102"/>
        <v>0</v>
      </c>
      <c r="J707" s="229">
        <f t="shared" si="102"/>
        <v>0</v>
      </c>
      <c r="K707" s="229">
        <f t="shared" si="102"/>
        <v>-65.06</v>
      </c>
      <c r="L707" s="229">
        <f t="shared" si="102"/>
        <v>-163.82</v>
      </c>
      <c r="M707" s="229">
        <f t="shared" si="102"/>
        <v>-153.59446081900001</v>
      </c>
      <c r="N707" s="229">
        <f t="shared" si="102"/>
        <v>-136.39823033600001</v>
      </c>
      <c r="O707" s="229">
        <f t="shared" si="102"/>
        <v>-115.36059149800001</v>
      </c>
      <c r="P707" s="229">
        <f t="shared" si="102"/>
        <v>-92.231928525000001</v>
      </c>
      <c r="Q707" s="229">
        <f t="shared" si="102"/>
        <v>-68.831170955999994</v>
      </c>
      <c r="R707" s="229">
        <f t="shared" si="102"/>
        <v>-45.418420404999999</v>
      </c>
      <c r="S707" s="229">
        <f t="shared" si="102"/>
        <v>-22.005669854000001</v>
      </c>
      <c r="T707" s="229">
        <f t="shared" si="102"/>
        <v>1.4259314750000001</v>
      </c>
    </row>
    <row r="708" spans="2:20" ht="27.75" customHeight="1" x14ac:dyDescent="0.25">
      <c r="B708" s="63" t="s">
        <v>3688</v>
      </c>
      <c r="G708" s="254" t="str">
        <f>"Without-FC07 FY"&amp;Inputs!$E$49&amp;": model "&amp;TEXT(E706,"#,##0.000")&amp;" vs v29 "&amp;TEXT(E705,"#,##0.000")&amp;" (difference "&amp;TEXT(ROUND(E707,3),"+#,##0.000;-#,##0.000;0.000")&amp;")"&amp;IF(ABS(E707)&lt;=Inputs!$E$50," - matches v29.",IF(LEFT(E704,19)="Differs - requested"," - due to the requested change: "&amp;MID(E704,29,200),IF($E$21&gt;0," - differs because inputs / switches were changed."," - UNEXPLAINED: no input was changed.")))</f>
        <v>Without-FC07 FY2036: model 4,245.644 vs v29 4,244.218 (difference +1.426) - differs because inputs / switches were changed.</v>
      </c>
      <c r="H708" s="254"/>
      <c r="I708" s="254"/>
      <c r="J708" s="254"/>
      <c r="K708" s="254"/>
      <c r="L708" s="254"/>
      <c r="M708" s="254"/>
      <c r="N708" s="254"/>
      <c r="O708" s="254"/>
      <c r="P708" s="254"/>
      <c r="Q708" s="254"/>
      <c r="R708" s="254"/>
      <c r="S708" s="254"/>
      <c r="T708" s="254"/>
    </row>
    <row r="709" spans="2:20" ht="24.75" customHeight="1" x14ac:dyDescent="0.25">
      <c r="B709" s="221" t="s">
        <v>4073</v>
      </c>
      <c r="C709" s="222" t="s">
        <v>493</v>
      </c>
      <c r="D709" s="231" t="s">
        <v>4074</v>
      </c>
      <c r="E709" s="224" t="str">
        <f>IF(MAX(MAX(G712:T712),-MIN(G712:T712))&lt;=Inputs!$E$50,"Matches v29",IF($E$21&gt;0,"Differs - inputs changed","UNEXPLAINED"))</f>
        <v>Differs - inputs changed</v>
      </c>
      <c r="F709" s="225">
        <f>MAX(MAX(G712:T712),-MIN(G712:T712))</f>
        <v>4.3894315070000003</v>
      </c>
      <c r="G709" s="226">
        <f>MAX(MAX(G712:T712),-MIN(G712:T712))</f>
        <v>4.3894315070000003</v>
      </c>
    </row>
    <row r="710" spans="2:20" x14ac:dyDescent="0.25">
      <c r="B710" s="23" t="s">
        <v>3683</v>
      </c>
      <c r="C710" s="28" t="s">
        <v>493</v>
      </c>
      <c r="D710" s="155" t="s">
        <v>3882</v>
      </c>
      <c r="E710" s="178">
        <f>INDEX($G$710:$T$710,1,Inputs!$E$49-2022)</f>
        <v>110.204230164942</v>
      </c>
      <c r="G710" s="30">
        <f>'Source Data'!G944</f>
        <v>30.8478247045777</v>
      </c>
      <c r="H710" s="30">
        <f>'Source Data'!H944</f>
        <v>28.010785805106501</v>
      </c>
      <c r="I710" s="30">
        <f>'Source Data'!I944</f>
        <v>43.8139644037335</v>
      </c>
      <c r="J710" s="30">
        <f>'Source Data'!J944</f>
        <v>52.270357400843402</v>
      </c>
      <c r="K710" s="30">
        <f>'Source Data'!K944</f>
        <v>66.709542371272605</v>
      </c>
      <c r="L710" s="30">
        <f>'Source Data'!L944</f>
        <v>74.807408557549394</v>
      </c>
      <c r="M710" s="30">
        <f>'Source Data'!M944</f>
        <v>82.964918738094596</v>
      </c>
      <c r="N710" s="30">
        <f>'Source Data'!N944</f>
        <v>86.345472763300506</v>
      </c>
      <c r="O710" s="30">
        <f>'Source Data'!O944</f>
        <v>92.7004880956096</v>
      </c>
      <c r="P710" s="30">
        <f>'Source Data'!P944</f>
        <v>96.679402192654507</v>
      </c>
      <c r="Q710" s="30">
        <f>'Source Data'!Q944</f>
        <v>103.8317005798</v>
      </c>
      <c r="R710" s="30">
        <f>'Source Data'!R944</f>
        <v>106.09990353429301</v>
      </c>
      <c r="S710" s="30">
        <f>'Source Data'!S944</f>
        <v>106.922163642539</v>
      </c>
      <c r="T710" s="30">
        <f>'Source Data'!T944</f>
        <v>110.204230164942</v>
      </c>
    </row>
    <row r="711" spans="2:20" x14ac:dyDescent="0.25">
      <c r="B711" s="23" t="s">
        <v>3685</v>
      </c>
      <c r="C711" s="28" t="s">
        <v>493</v>
      </c>
      <c r="D711" s="227" t="s">
        <v>4075</v>
      </c>
      <c r="E711" s="178">
        <f>INDEX($G$711:$T$711,1,Inputs!$E$49-2022)</f>
        <v>114.58166868953195</v>
      </c>
      <c r="G711" s="30">
        <f>'Working Capital'!G121</f>
        <v>30.847824704577697</v>
      </c>
      <c r="H711" s="30">
        <f>'Working Capital'!H121</f>
        <v>28.01078580510648</v>
      </c>
      <c r="I711" s="30">
        <f>'Working Capital'!I121</f>
        <v>43.813964403733486</v>
      </c>
      <c r="J711" s="30">
        <f>'Working Capital'!J121</f>
        <v>52.270357400843373</v>
      </c>
      <c r="K711" s="30">
        <f>'Working Capital'!K121</f>
        <v>66.709542371272562</v>
      </c>
      <c r="L711" s="30">
        <f>'Working Capital'!L121</f>
        <v>74.807408557549365</v>
      </c>
      <c r="M711" s="30">
        <f>'Working Capital'!M121</f>
        <v>85.536720107957649</v>
      </c>
      <c r="N711" s="30">
        <f>'Working Capital'!N121</f>
        <v>89.826089201656643</v>
      </c>
      <c r="O711" s="30">
        <f>'Working Capital'!O121</f>
        <v>96.786981246294559</v>
      </c>
      <c r="P711" s="30">
        <f>'Working Capital'!P121</f>
        <v>101.05684071724465</v>
      </c>
      <c r="Q711" s="30">
        <f>'Working Capital'!Q121</f>
        <v>108.22113208664908</v>
      </c>
      <c r="R711" s="30">
        <f>'Working Capital'!R121</f>
        <v>110.48933504114214</v>
      </c>
      <c r="S711" s="30">
        <f>'Working Capital'!S121</f>
        <v>111.31159514938838</v>
      </c>
      <c r="T711" s="30">
        <f>'Working Capital'!T121</f>
        <v>114.58166868953195</v>
      </c>
    </row>
    <row r="712" spans="2:20" x14ac:dyDescent="0.25">
      <c r="B712" s="21" t="s">
        <v>3687</v>
      </c>
      <c r="C712" s="28" t="s">
        <v>493</v>
      </c>
      <c r="E712" s="228">
        <f>INDEX($G$712:$T$712,1,Inputs!$E$49-2022)</f>
        <v>4.3774385249999996</v>
      </c>
      <c r="G712" s="229">
        <f t="shared" ref="G712:T712" si="103">ROUND(G711-G710,9)</f>
        <v>0</v>
      </c>
      <c r="H712" s="229">
        <f t="shared" si="103"/>
        <v>0</v>
      </c>
      <c r="I712" s="229">
        <f t="shared" si="103"/>
        <v>0</v>
      </c>
      <c r="J712" s="229">
        <f t="shared" si="103"/>
        <v>0</v>
      </c>
      <c r="K712" s="229">
        <f t="shared" si="103"/>
        <v>0</v>
      </c>
      <c r="L712" s="229">
        <f t="shared" si="103"/>
        <v>0</v>
      </c>
      <c r="M712" s="229">
        <f t="shared" si="103"/>
        <v>2.5718013700000002</v>
      </c>
      <c r="N712" s="229">
        <f t="shared" si="103"/>
        <v>3.4806164380000002</v>
      </c>
      <c r="O712" s="229">
        <f t="shared" si="103"/>
        <v>4.086493151</v>
      </c>
      <c r="P712" s="229">
        <f t="shared" si="103"/>
        <v>4.3774385249999996</v>
      </c>
      <c r="Q712" s="229">
        <f t="shared" si="103"/>
        <v>4.3894315070000003</v>
      </c>
      <c r="R712" s="229">
        <f t="shared" si="103"/>
        <v>4.3894315070000003</v>
      </c>
      <c r="S712" s="229">
        <f t="shared" si="103"/>
        <v>4.3894315070000003</v>
      </c>
      <c r="T712" s="229">
        <f t="shared" si="103"/>
        <v>4.3774385249999996</v>
      </c>
    </row>
    <row r="713" spans="2:20" ht="27.75" customHeight="1" x14ac:dyDescent="0.25">
      <c r="B713" s="63" t="s">
        <v>3688</v>
      </c>
      <c r="G713" s="254" t="str">
        <f>"Without-SC01 FY"&amp;Inputs!$E$49&amp;": model "&amp;TEXT(E711,"#,##0.000")&amp;" vs v29 "&amp;TEXT(E710,"#,##0.000")&amp;" (difference "&amp;TEXT(ROUND(E712,3),"+#,##0.000;-#,##0.000;0.000")&amp;")"&amp;IF(ABS(E712)&lt;=Inputs!$E$50," - matches v29.",IF(LEFT(E709,19)="Differs - requested"," - due to the requested change: "&amp;MID(E709,29,200),IF($E$21&gt;0," - differs because inputs / switches were changed."," - UNEXPLAINED: no input was changed.")))</f>
        <v>Without-SC01 FY2036: model 114.582 vs v29 110.204 (difference +4.377) - differs because inputs / switches were changed.</v>
      </c>
      <c r="H713" s="254"/>
      <c r="I713" s="254"/>
      <c r="J713" s="254"/>
      <c r="K713" s="254"/>
      <c r="L713" s="254"/>
      <c r="M713" s="254"/>
      <c r="N713" s="254"/>
      <c r="O713" s="254"/>
      <c r="P713" s="254"/>
      <c r="Q713" s="254"/>
      <c r="R713" s="254"/>
      <c r="S713" s="254"/>
      <c r="T713" s="254"/>
    </row>
    <row r="714" spans="2:20" ht="24.75" customHeight="1" x14ac:dyDescent="0.25">
      <c r="B714" s="221" t="s">
        <v>4076</v>
      </c>
      <c r="C714" s="222" t="s">
        <v>493</v>
      </c>
      <c r="D714" s="231" t="s">
        <v>4077</v>
      </c>
      <c r="E714" s="224" t="str">
        <f>IF(MAX(MAX(G717:T717),-MIN(G717:T717))&lt;=Inputs!$E$50,"Matches v29",IF($E$21&gt;0,"Differs - inputs changed","UNEXPLAINED"))</f>
        <v>Differs - inputs changed</v>
      </c>
      <c r="F714" s="225">
        <f>MAX(MAX(G717:T717),-MIN(G717:T717))</f>
        <v>97.59</v>
      </c>
      <c r="G714" s="226">
        <f>MAX(MAX(G717:T717),-MIN(G717:T717))</f>
        <v>97.59</v>
      </c>
    </row>
    <row r="715" spans="2:20" x14ac:dyDescent="0.25">
      <c r="B715" s="23" t="s">
        <v>3683</v>
      </c>
      <c r="C715" s="28" t="s">
        <v>493</v>
      </c>
      <c r="D715" s="155" t="s">
        <v>3886</v>
      </c>
      <c r="E715" s="178">
        <f>INDEX($G$715:$T$715,1,Inputs!$E$49-2022)</f>
        <v>0</v>
      </c>
      <c r="G715" s="30">
        <f>'Source Data'!G945</f>
        <v>198.43299999999999</v>
      </c>
      <c r="H715" s="30">
        <f>'Source Data'!H945</f>
        <v>125.2405</v>
      </c>
      <c r="I715" s="30">
        <f>'Source Data'!I945</f>
        <v>14.638500000000001</v>
      </c>
      <c r="J715" s="30">
        <f>'Source Data'!J945</f>
        <v>419.772029761905</v>
      </c>
      <c r="K715" s="30">
        <f>'Source Data'!K945</f>
        <v>160.003625</v>
      </c>
      <c r="L715" s="30">
        <f>'Source Data'!L945</f>
        <v>0</v>
      </c>
      <c r="M715" s="30">
        <f>'Source Data'!M945</f>
        <v>0</v>
      </c>
      <c r="N715" s="30">
        <f>'Source Data'!N945</f>
        <v>0</v>
      </c>
      <c r="O715" s="30">
        <f>'Source Data'!O945</f>
        <v>0</v>
      </c>
      <c r="P715" s="30">
        <f>'Source Data'!P945</f>
        <v>0</v>
      </c>
      <c r="Q715" s="30">
        <f>'Source Data'!Q945</f>
        <v>0</v>
      </c>
      <c r="R715" s="30">
        <f>'Source Data'!R945</f>
        <v>0</v>
      </c>
      <c r="S715" s="30">
        <f>'Source Data'!S945</f>
        <v>0</v>
      </c>
      <c r="T715" s="30">
        <f>'Source Data'!T945</f>
        <v>0</v>
      </c>
    </row>
    <row r="716" spans="2:20" x14ac:dyDescent="0.25">
      <c r="B716" s="23" t="s">
        <v>3685</v>
      </c>
      <c r="C716" s="28" t="s">
        <v>493</v>
      </c>
      <c r="D716" s="227" t="s">
        <v>4078</v>
      </c>
      <c r="E716" s="178">
        <f>INDEX($G$716:$T$716,1,Inputs!$E$49-2022)</f>
        <v>0</v>
      </c>
      <c r="G716" s="30">
        <f>'Capex &amp; Depreciation'!G80</f>
        <v>198.43299999999999</v>
      </c>
      <c r="H716" s="161">
        <f>'Capex &amp; Depreciation'!H80+'Capex &amp; Depreciation'!H210</f>
        <v>125.24050000000001</v>
      </c>
      <c r="I716" s="161">
        <f>'Capex &amp; Depreciation'!I80+'Capex &amp; Depreciation'!I210</f>
        <v>14.638500000000001</v>
      </c>
      <c r="J716" s="161">
        <f>'Capex &amp; Depreciation'!J80+'Capex &amp; Depreciation'!J210</f>
        <v>419.77202976190472</v>
      </c>
      <c r="K716" s="161">
        <f>'Capex &amp; Depreciation'!K80+'Capex &amp; Depreciation'!K210</f>
        <v>225.06362499999994</v>
      </c>
      <c r="L716" s="161">
        <f>'Capex &amp; Depreciation'!L80+'Capex &amp; Depreciation'!L210</f>
        <v>97.59</v>
      </c>
      <c r="M716" s="161">
        <f>'Capex &amp; Depreciation'!M80+'Capex &amp; Depreciation'!M210</f>
        <v>0</v>
      </c>
      <c r="N716" s="161">
        <f>'Capex &amp; Depreciation'!N80+'Capex &amp; Depreciation'!N210</f>
        <v>0</v>
      </c>
      <c r="O716" s="161">
        <f>'Capex &amp; Depreciation'!O80+'Capex &amp; Depreciation'!O210</f>
        <v>0</v>
      </c>
      <c r="P716" s="161">
        <f>'Capex &amp; Depreciation'!P80+'Capex &amp; Depreciation'!P210</f>
        <v>0</v>
      </c>
      <c r="Q716" s="161">
        <f>'Capex &amp; Depreciation'!Q80+'Capex &amp; Depreciation'!Q210</f>
        <v>0</v>
      </c>
      <c r="R716" s="161">
        <f>'Capex &amp; Depreciation'!R80+'Capex &amp; Depreciation'!R210</f>
        <v>0</v>
      </c>
      <c r="S716" s="161">
        <f>'Capex &amp; Depreciation'!S80+'Capex &amp; Depreciation'!S210</f>
        <v>0</v>
      </c>
      <c r="T716" s="161">
        <f>'Capex &amp; Depreciation'!T80+'Capex &amp; Depreciation'!T210</f>
        <v>0</v>
      </c>
    </row>
    <row r="717" spans="2:20" x14ac:dyDescent="0.25">
      <c r="B717" s="21" t="s">
        <v>3687</v>
      </c>
      <c r="C717" s="28" t="s">
        <v>493</v>
      </c>
      <c r="E717" s="228">
        <f>INDEX($G$717:$T$717,1,Inputs!$E$49-2022)</f>
        <v>0</v>
      </c>
      <c r="G717" s="229">
        <f t="shared" ref="G717:T717" si="104">ROUND(G716-G715,9)</f>
        <v>0</v>
      </c>
      <c r="H717" s="229">
        <f t="shared" si="104"/>
        <v>0</v>
      </c>
      <c r="I717" s="229">
        <f t="shared" si="104"/>
        <v>0</v>
      </c>
      <c r="J717" s="229">
        <f t="shared" si="104"/>
        <v>0</v>
      </c>
      <c r="K717" s="229">
        <f t="shared" si="104"/>
        <v>65.06</v>
      </c>
      <c r="L717" s="229">
        <f t="shared" si="104"/>
        <v>97.59</v>
      </c>
      <c r="M717" s="229">
        <f t="shared" si="104"/>
        <v>0</v>
      </c>
      <c r="N717" s="229">
        <f t="shared" si="104"/>
        <v>0</v>
      </c>
      <c r="O717" s="229">
        <f t="shared" si="104"/>
        <v>0</v>
      </c>
      <c r="P717" s="229">
        <f t="shared" si="104"/>
        <v>0</v>
      </c>
      <c r="Q717" s="229">
        <f t="shared" si="104"/>
        <v>0</v>
      </c>
      <c r="R717" s="229">
        <f t="shared" si="104"/>
        <v>0</v>
      </c>
      <c r="S717" s="229">
        <f t="shared" si="104"/>
        <v>0</v>
      </c>
      <c r="T717" s="229">
        <f t="shared" si="104"/>
        <v>0</v>
      </c>
    </row>
    <row r="718" spans="2:20" ht="27.75" customHeight="1" x14ac:dyDescent="0.25">
      <c r="B718" s="63" t="s">
        <v>3688</v>
      </c>
      <c r="G718" s="254" t="str">
        <f>"Without-SC02 FY"&amp;Inputs!$E$49&amp;": model "&amp;TEXT(E716,"#,##0.000")&amp;" vs v29 "&amp;TEXT(E715,"#,##0.000")&amp;" (difference "&amp;TEXT(ROUND(E717,3),"+#,##0.000;-#,##0.000;0.000")&amp;")"&amp;IF(ABS(E717)&lt;=Inputs!$E$50," - matches v29.",IF(LEFT(E714,19)="Differs - requested"," - due to the requested change: "&amp;MID(E714,29,200),IF($E$21&gt;0," - differs because inputs / switches were changed."," - UNEXPLAINED: no input was changed.")))</f>
        <v>Without-SC02 FY2036: model 0.000 vs v29 0.000 (difference 0.000) - matches v29.</v>
      </c>
      <c r="H718" s="254"/>
      <c r="I718" s="254"/>
      <c r="J718" s="254"/>
      <c r="K718" s="254"/>
      <c r="L718" s="254"/>
      <c r="M718" s="254"/>
      <c r="N718" s="254"/>
      <c r="O718" s="254"/>
      <c r="P718" s="254"/>
      <c r="Q718" s="254"/>
      <c r="R718" s="254"/>
      <c r="S718" s="254"/>
      <c r="T718" s="254"/>
    </row>
    <row r="719" spans="2:20" ht="47.25" customHeight="1" x14ac:dyDescent="0.25">
      <c r="B719" s="221" t="s">
        <v>4079</v>
      </c>
      <c r="C719" s="222" t="s">
        <v>493</v>
      </c>
      <c r="D719" s="231" t="s">
        <v>4080</v>
      </c>
      <c r="E719" s="232" t="str">
        <f>IF(MAX(MAX(H722:T722),-MIN(H722:T722))&lt;=Inputs!$E$50,"Matches v29",IF(OR($E$22=1,$E$23=1),"Differs - requested change: "&amp;IF($E$22=1,"LT loan repaid in 2027 (not 2025); ","")&amp;IF($E$23=1,"new equity = residual funding requirement (not the v29 schedule)","")&amp;IF($E$21&gt;0," (and inputs changed)",""),IF($E$21&gt;0,"Differs - inputs changed","UNEXPLAINED")))</f>
        <v>Differs - requested change: LT loan repaid in 2027 (not 2025); new equity = residual funding requirement (not the v29 schedule) (and inputs changed)</v>
      </c>
      <c r="F719" s="225">
        <f>MAX(MAX(H722:T722),-MIN(H722:T722))</f>
        <v>419.77202976199999</v>
      </c>
      <c r="G719" s="226">
        <f>IF(OR($E$22=1,$E$23=1),0,MAX(MAX(H722:T722),-MIN(H722:T722)))</f>
        <v>0</v>
      </c>
    </row>
    <row r="720" spans="2:20" x14ac:dyDescent="0.25">
      <c r="B720" s="23" t="s">
        <v>3683</v>
      </c>
      <c r="C720" s="28" t="s">
        <v>493</v>
      </c>
      <c r="D720" s="155" t="s">
        <v>3890</v>
      </c>
      <c r="E720" s="178">
        <f>INDEX($G$720:$T$720,1,Inputs!$E$49-2022)</f>
        <v>0</v>
      </c>
      <c r="H720" s="30">
        <f>'Source Data'!H946</f>
        <v>0</v>
      </c>
      <c r="I720" s="30">
        <f>'Source Data'!I946</f>
        <v>0</v>
      </c>
      <c r="J720" s="30">
        <f>'Source Data'!J946</f>
        <v>419.772029761905</v>
      </c>
      <c r="K720" s="30">
        <f>'Source Data'!K946</f>
        <v>160.003625</v>
      </c>
      <c r="L720" s="30">
        <f>'Source Data'!L946</f>
        <v>0</v>
      </c>
      <c r="M720" s="30">
        <f>'Source Data'!M946</f>
        <v>0</v>
      </c>
      <c r="N720" s="30">
        <f>'Source Data'!N946</f>
        <v>0</v>
      </c>
      <c r="O720" s="30">
        <f>'Source Data'!O946</f>
        <v>0</v>
      </c>
      <c r="P720" s="30">
        <f>'Source Data'!P946</f>
        <v>0</v>
      </c>
      <c r="Q720" s="30">
        <f>'Source Data'!Q946</f>
        <v>0</v>
      </c>
      <c r="R720" s="30">
        <f>'Source Data'!R946</f>
        <v>0</v>
      </c>
      <c r="S720" s="30">
        <f>'Source Data'!S946</f>
        <v>0</v>
      </c>
      <c r="T720" s="30">
        <f>'Source Data'!T946</f>
        <v>0</v>
      </c>
    </row>
    <row r="721" spans="2:20" x14ac:dyDescent="0.25">
      <c r="B721" s="23" t="s">
        <v>3685</v>
      </c>
      <c r="C721" s="28" t="s">
        <v>493</v>
      </c>
      <c r="D721" s="227" t="s">
        <v>4081</v>
      </c>
      <c r="E721" s="178">
        <f>INDEX($G$721:$T$721,1,Inputs!$E$49-2022)</f>
        <v>0</v>
      </c>
      <c r="H721" s="30">
        <f>Financing!H90</f>
        <v>0</v>
      </c>
      <c r="I721" s="30">
        <f>Financing!I90</f>
        <v>0</v>
      </c>
      <c r="J721" s="30">
        <f>Financing!J90</f>
        <v>0</v>
      </c>
      <c r="K721" s="30">
        <f>Financing!K90</f>
        <v>76.665204077581919</v>
      </c>
      <c r="L721" s="30">
        <f>Financing!L90</f>
        <v>0</v>
      </c>
      <c r="M721" s="30">
        <f>Financing!M90</f>
        <v>0</v>
      </c>
      <c r="N721" s="30">
        <f>Financing!N90</f>
        <v>0</v>
      </c>
      <c r="O721" s="30">
        <f>Financing!O90</f>
        <v>0</v>
      </c>
      <c r="P721" s="30">
        <f>Financing!P90</f>
        <v>0</v>
      </c>
      <c r="Q721" s="30">
        <f>Financing!Q90</f>
        <v>0</v>
      </c>
      <c r="R721" s="30">
        <f>Financing!R90</f>
        <v>0</v>
      </c>
      <c r="S721" s="30">
        <f>Financing!S90</f>
        <v>0</v>
      </c>
      <c r="T721" s="30">
        <f>Financing!T90</f>
        <v>0</v>
      </c>
    </row>
    <row r="722" spans="2:20" x14ac:dyDescent="0.25">
      <c r="B722" s="21" t="s">
        <v>3687</v>
      </c>
      <c r="C722" s="28" t="s">
        <v>493</v>
      </c>
      <c r="E722" s="228">
        <f>INDEX($G$722:$T$722,1,Inputs!$E$49-2022)</f>
        <v>0</v>
      </c>
      <c r="H722" s="229">
        <f t="shared" ref="H722:T722" si="105">ROUND(H721-H720,9)</f>
        <v>0</v>
      </c>
      <c r="I722" s="229">
        <f t="shared" si="105"/>
        <v>0</v>
      </c>
      <c r="J722" s="229">
        <f t="shared" si="105"/>
        <v>-419.77202976199999</v>
      </c>
      <c r="K722" s="229">
        <f t="shared" si="105"/>
        <v>-83.338420921999997</v>
      </c>
      <c r="L722" s="229">
        <f t="shared" si="105"/>
        <v>0</v>
      </c>
      <c r="M722" s="229">
        <f t="shared" si="105"/>
        <v>0</v>
      </c>
      <c r="N722" s="229">
        <f t="shared" si="105"/>
        <v>0</v>
      </c>
      <c r="O722" s="229">
        <f t="shared" si="105"/>
        <v>0</v>
      </c>
      <c r="P722" s="229">
        <f t="shared" si="105"/>
        <v>0</v>
      </c>
      <c r="Q722" s="229">
        <f t="shared" si="105"/>
        <v>0</v>
      </c>
      <c r="R722" s="229">
        <f t="shared" si="105"/>
        <v>0</v>
      </c>
      <c r="S722" s="229">
        <f t="shared" si="105"/>
        <v>0</v>
      </c>
      <c r="T722" s="229">
        <f t="shared" si="105"/>
        <v>0</v>
      </c>
    </row>
    <row r="723" spans="2:20" ht="27.75" customHeight="1" x14ac:dyDescent="0.25">
      <c r="B723" s="63" t="s">
        <v>3688</v>
      </c>
      <c r="G723" s="254" t="str">
        <f>"Without-SC03 FY"&amp;Inputs!$E$49&amp;": model "&amp;TEXT(E721,"#,##0.000")&amp;" vs v29 "&amp;TEXT(E720,"#,##0.000")&amp;" (difference "&amp;TEXT(ROUND(E722,3),"+#,##0.000;-#,##0.000;0.000")&amp;")"&amp;IF(ABS(E722)&lt;=Inputs!$E$50," - matches v29.",IF(LEFT(E719,19)="Differs - requested"," - due to the requested change: "&amp;MID(E719,29,200),IF($E$21&gt;0," - differs because inputs / switches were changed."," - UNEXPLAINED: no input was changed.")))</f>
        <v>Without-SC03 FY2036: model 0.000 vs v29 0.000 (difference 0.000) - matches v29.</v>
      </c>
      <c r="H723" s="254"/>
      <c r="I723" s="254"/>
      <c r="J723" s="254"/>
      <c r="K723" s="254"/>
      <c r="L723" s="254"/>
      <c r="M723" s="254"/>
      <c r="N723" s="254"/>
      <c r="O723" s="254"/>
      <c r="P723" s="254"/>
      <c r="Q723" s="254"/>
      <c r="R723" s="254"/>
      <c r="S723" s="254"/>
      <c r="T723" s="254"/>
    </row>
    <row r="724" spans="2:20" ht="24.75" customHeight="1" x14ac:dyDescent="0.25">
      <c r="B724" s="221" t="s">
        <v>4082</v>
      </c>
      <c r="C724" s="222" t="s">
        <v>493</v>
      </c>
      <c r="D724" s="231" t="s">
        <v>4083</v>
      </c>
      <c r="E724" s="232" t="str">
        <f>IF(MAX(MAX(H727:T727),-MIN(H727:T727))&lt;=Inputs!$E$50,"Matches v29",IF(OR($E$22=1),"Differs - requested change: "&amp;IF($E$22=1,"LT loan repaid in 2027 (not 2025); ","")&amp;IF($E$21&gt;0," (and inputs changed)",""),IF($E$21&gt;0,"Differs - inputs changed","UNEXPLAINED")))</f>
        <v>Differs - requested change: LT loan repaid in 2027 (not 2025);  (and inputs changed)</v>
      </c>
      <c r="F724" s="225">
        <f>MAX(MAX(H727:T727),-MIN(H727:T727))</f>
        <v>195.18</v>
      </c>
      <c r="G724" s="226">
        <f>IF(OR($E$22=1),0,MAX(MAX(H727:T727),-MIN(H727:T727)))</f>
        <v>0</v>
      </c>
    </row>
    <row r="725" spans="2:20" x14ac:dyDescent="0.25">
      <c r="B725" s="23" t="s">
        <v>3683</v>
      </c>
      <c r="C725" s="28" t="s">
        <v>493</v>
      </c>
      <c r="D725" s="155" t="s">
        <v>3894</v>
      </c>
      <c r="E725" s="178">
        <f>INDEX($G$725:$T$725,1,Inputs!$E$49-2022)</f>
        <v>0</v>
      </c>
      <c r="H725" s="30">
        <f>'Source Data'!H947</f>
        <v>-29.338465248760102</v>
      </c>
      <c r="I725" s="30">
        <f>'Source Data'!I947</f>
        <v>-195.18</v>
      </c>
      <c r="J725" s="30">
        <f>'Source Data'!J947</f>
        <v>0</v>
      </c>
      <c r="K725" s="30">
        <f>'Source Data'!K947</f>
        <v>0</v>
      </c>
      <c r="L725" s="30">
        <f>'Source Data'!L947</f>
        <v>0</v>
      </c>
      <c r="M725" s="30">
        <f>'Source Data'!M947</f>
        <v>0</v>
      </c>
      <c r="N725" s="30">
        <f>'Source Data'!N947</f>
        <v>0</v>
      </c>
      <c r="O725" s="30">
        <f>'Source Data'!O947</f>
        <v>0</v>
      </c>
      <c r="P725" s="30">
        <f>'Source Data'!P947</f>
        <v>0</v>
      </c>
      <c r="Q725" s="30">
        <f>'Source Data'!Q947</f>
        <v>0</v>
      </c>
      <c r="R725" s="30">
        <f>'Source Data'!R947</f>
        <v>0</v>
      </c>
      <c r="S725" s="30">
        <f>'Source Data'!S947</f>
        <v>0</v>
      </c>
      <c r="T725" s="30">
        <f>'Source Data'!T947</f>
        <v>0</v>
      </c>
    </row>
    <row r="726" spans="2:20" x14ac:dyDescent="0.25">
      <c r="B726" s="23" t="s">
        <v>3685</v>
      </c>
      <c r="C726" s="28" t="s">
        <v>493</v>
      </c>
      <c r="D726" s="227" t="s">
        <v>3895</v>
      </c>
      <c r="E726" s="178">
        <f>INDEX($G$726:$T$726,1,Inputs!$E$49-2022)</f>
        <v>0</v>
      </c>
      <c r="H726" s="161">
        <f>-Financing!H19</f>
        <v>-29.338465248760002</v>
      </c>
      <c r="I726" s="161">
        <f>-Financing!I19</f>
        <v>0</v>
      </c>
      <c r="J726" s="161">
        <f>-Financing!J19</f>
        <v>0</v>
      </c>
      <c r="K726" s="161">
        <f>-Financing!K19</f>
        <v>-195.18</v>
      </c>
      <c r="L726" s="161">
        <f>-Financing!L19</f>
        <v>0</v>
      </c>
      <c r="M726" s="161">
        <f>-Financing!M19</f>
        <v>0</v>
      </c>
      <c r="N726" s="161">
        <f>-Financing!N19</f>
        <v>0</v>
      </c>
      <c r="O726" s="161">
        <f>-Financing!O19</f>
        <v>0</v>
      </c>
      <c r="P726" s="161">
        <f>-Financing!P19</f>
        <v>0</v>
      </c>
      <c r="Q726" s="161">
        <f>-Financing!Q19</f>
        <v>0</v>
      </c>
      <c r="R726" s="161">
        <f>-Financing!R19</f>
        <v>0</v>
      </c>
      <c r="S726" s="161">
        <f>-Financing!S19</f>
        <v>0</v>
      </c>
      <c r="T726" s="161">
        <f>-Financing!T19</f>
        <v>0</v>
      </c>
    </row>
    <row r="727" spans="2:20" x14ac:dyDescent="0.25">
      <c r="B727" s="21" t="s">
        <v>3687</v>
      </c>
      <c r="C727" s="28" t="s">
        <v>493</v>
      </c>
      <c r="E727" s="228">
        <f>INDEX($G$727:$T$727,1,Inputs!$E$49-2022)</f>
        <v>0</v>
      </c>
      <c r="H727" s="229">
        <f t="shared" ref="H727:T727" si="106">ROUND(H726-H725,9)</f>
        <v>0</v>
      </c>
      <c r="I727" s="229">
        <f t="shared" si="106"/>
        <v>195.18</v>
      </c>
      <c r="J727" s="229">
        <f t="shared" si="106"/>
        <v>0</v>
      </c>
      <c r="K727" s="229">
        <f t="shared" si="106"/>
        <v>-195.18</v>
      </c>
      <c r="L727" s="229">
        <f t="shared" si="106"/>
        <v>0</v>
      </c>
      <c r="M727" s="229">
        <f t="shared" si="106"/>
        <v>0</v>
      </c>
      <c r="N727" s="229">
        <f t="shared" si="106"/>
        <v>0</v>
      </c>
      <c r="O727" s="229">
        <f t="shared" si="106"/>
        <v>0</v>
      </c>
      <c r="P727" s="229">
        <f t="shared" si="106"/>
        <v>0</v>
      </c>
      <c r="Q727" s="229">
        <f t="shared" si="106"/>
        <v>0</v>
      </c>
      <c r="R727" s="229">
        <f t="shared" si="106"/>
        <v>0</v>
      </c>
      <c r="S727" s="229">
        <f t="shared" si="106"/>
        <v>0</v>
      </c>
      <c r="T727" s="229">
        <f t="shared" si="106"/>
        <v>0</v>
      </c>
    </row>
    <row r="728" spans="2:20" ht="27.75" customHeight="1" x14ac:dyDescent="0.25">
      <c r="B728" s="63" t="s">
        <v>3688</v>
      </c>
      <c r="G728" s="254" t="str">
        <f>"Without-SC04 FY"&amp;Inputs!$E$49&amp;": model "&amp;TEXT(E726,"#,##0.000")&amp;" vs v29 "&amp;TEXT(E725,"#,##0.000")&amp;" (difference "&amp;TEXT(ROUND(E727,3),"+#,##0.000;-#,##0.000;0.000")&amp;")"&amp;IF(ABS(E727)&lt;=Inputs!$E$50," - matches v29.",IF(LEFT(E724,19)="Differs - requested"," - due to the requested change: "&amp;MID(E724,29,200),IF($E$21&gt;0," - differs because inputs / switches were changed."," - UNEXPLAINED: no input was changed.")))</f>
        <v>Without-SC04 FY2036: model 0.000 vs v29 0.000 (difference 0.000) - matches v29.</v>
      </c>
      <c r="H728" s="254"/>
      <c r="I728" s="254"/>
      <c r="J728" s="254"/>
      <c r="K728" s="254"/>
      <c r="L728" s="254"/>
      <c r="M728" s="254"/>
      <c r="N728" s="254"/>
      <c r="O728" s="254"/>
      <c r="P728" s="254"/>
      <c r="Q728" s="254"/>
      <c r="R728" s="254"/>
      <c r="S728" s="254"/>
      <c r="T728" s="254"/>
    </row>
    <row r="729" spans="2:20" ht="24.75" customHeight="1" x14ac:dyDescent="0.25">
      <c r="B729" s="221" t="s">
        <v>4084</v>
      </c>
      <c r="C729" s="222" t="s">
        <v>493</v>
      </c>
      <c r="D729" s="231" t="s">
        <v>4085</v>
      </c>
      <c r="E729" s="224" t="str">
        <f>IF(MAX(MAX(H732:T732),-MIN(H732:T732))&lt;=Inputs!$E$50,"Matches v29",IF($E$21&gt;0,"Differs - inputs changed","UNEXPLAINED"))</f>
        <v>Matches v29</v>
      </c>
      <c r="F729" s="225">
        <f>MAX(MAX(H732:T732),-MIN(H732:T732))</f>
        <v>0</v>
      </c>
      <c r="G729" s="226">
        <f>MAX(MAX(H732:T732),-MIN(H732:T732))</f>
        <v>0</v>
      </c>
    </row>
    <row r="730" spans="2:20" x14ac:dyDescent="0.25">
      <c r="B730" s="23" t="s">
        <v>3683</v>
      </c>
      <c r="C730" s="28" t="s">
        <v>493</v>
      </c>
      <c r="D730" s="155" t="s">
        <v>3898</v>
      </c>
      <c r="E730" s="178">
        <f>INDEX($G$730:$T$730,1,Inputs!$E$49-2022)</f>
        <v>94.037118565923606</v>
      </c>
      <c r="H730" s="30">
        <f>'Source Data'!H948</f>
        <v>55.200615812661297</v>
      </c>
      <c r="I730" s="30">
        <f>'Source Data'!I948</f>
        <v>57.464611864635401</v>
      </c>
      <c r="J730" s="30">
        <f>'Source Data'!J948</f>
        <v>58.977353517222703</v>
      </c>
      <c r="K730" s="30">
        <f>'Source Data'!K948</f>
        <v>61.6931229215812</v>
      </c>
      <c r="L730" s="30">
        <f>'Source Data'!L948</f>
        <v>64.108158447600303</v>
      </c>
      <c r="M730" s="30">
        <f>'Source Data'!M948</f>
        <v>70.015885047066604</v>
      </c>
      <c r="N730" s="30">
        <f>'Source Data'!N948</f>
        <v>72.649186076772693</v>
      </c>
      <c r="O730" s="30">
        <f>'Source Data'!O948</f>
        <v>75.331317633091302</v>
      </c>
      <c r="P730" s="30">
        <f>'Source Data'!P948</f>
        <v>82.041651317562696</v>
      </c>
      <c r="Q730" s="30">
        <f>'Source Data'!Q948</f>
        <v>84.963578917707807</v>
      </c>
      <c r="R730" s="30">
        <f>'Source Data'!R948</f>
        <v>87.937229909393906</v>
      </c>
      <c r="S730" s="30">
        <f>'Source Data'!S948</f>
        <v>90.961995826036997</v>
      </c>
      <c r="T730" s="30">
        <f>'Source Data'!T948</f>
        <v>94.037118565923606</v>
      </c>
    </row>
    <row r="731" spans="2:20" x14ac:dyDescent="0.25">
      <c r="B731" s="23" t="s">
        <v>3685</v>
      </c>
      <c r="C731" s="28" t="s">
        <v>493</v>
      </c>
      <c r="D731" s="227" t="s">
        <v>4086</v>
      </c>
      <c r="E731" s="178">
        <f>INDEX($G$731:$T$731,1,Inputs!$E$49-2022)</f>
        <v>94.037118565923649</v>
      </c>
      <c r="H731" s="30">
        <f>'FSL Output - Without BUMN'!H182</f>
        <v>55.200615812661312</v>
      </c>
      <c r="I731" s="30">
        <f>'FSL Output - Without BUMN'!I182</f>
        <v>57.464611864635387</v>
      </c>
      <c r="J731" s="30">
        <f>'FSL Output - Without BUMN'!J182</f>
        <v>58.977353517222681</v>
      </c>
      <c r="K731" s="30">
        <f>'FSL Output - Without BUMN'!K182</f>
        <v>61.693122921581207</v>
      </c>
      <c r="L731" s="30">
        <f>'FSL Output - Without BUMN'!L182</f>
        <v>64.108158447600289</v>
      </c>
      <c r="M731" s="30">
        <f>'FSL Output - Without BUMN'!M182</f>
        <v>70.015885047066519</v>
      </c>
      <c r="N731" s="30">
        <f>'FSL Output - Without BUMN'!N182</f>
        <v>72.649186076772637</v>
      </c>
      <c r="O731" s="30">
        <f>'FSL Output - Without BUMN'!O182</f>
        <v>75.331317633091317</v>
      </c>
      <c r="P731" s="30">
        <f>'FSL Output - Without BUMN'!P182</f>
        <v>82.041651317562724</v>
      </c>
      <c r="Q731" s="30">
        <f>'FSL Output - Without BUMN'!Q182</f>
        <v>84.963578917707764</v>
      </c>
      <c r="R731" s="30">
        <f>'FSL Output - Without BUMN'!R182</f>
        <v>87.937229909393992</v>
      </c>
      <c r="S731" s="30">
        <f>'FSL Output - Without BUMN'!S182</f>
        <v>90.961995826037011</v>
      </c>
      <c r="T731" s="30">
        <f>'FSL Output - Without BUMN'!T182</f>
        <v>94.037118565923649</v>
      </c>
    </row>
    <row r="732" spans="2:20" x14ac:dyDescent="0.25">
      <c r="B732" s="21" t="s">
        <v>3687</v>
      </c>
      <c r="C732" s="28" t="s">
        <v>493</v>
      </c>
      <c r="E732" s="228">
        <f>INDEX($G$732:$T$732,1,Inputs!$E$49-2022)</f>
        <v>0</v>
      </c>
      <c r="H732" s="229">
        <f t="shared" ref="H732:T732" si="107">ROUND(H731-H730,9)</f>
        <v>0</v>
      </c>
      <c r="I732" s="229">
        <f t="shared" si="107"/>
        <v>0</v>
      </c>
      <c r="J732" s="229">
        <f t="shared" si="107"/>
        <v>0</v>
      </c>
      <c r="K732" s="229">
        <f t="shared" si="107"/>
        <v>0</v>
      </c>
      <c r="L732" s="229">
        <f t="shared" si="107"/>
        <v>0</v>
      </c>
      <c r="M732" s="229">
        <f t="shared" si="107"/>
        <v>0</v>
      </c>
      <c r="N732" s="229">
        <f t="shared" si="107"/>
        <v>0</v>
      </c>
      <c r="O732" s="229">
        <f t="shared" si="107"/>
        <v>0</v>
      </c>
      <c r="P732" s="229">
        <f t="shared" si="107"/>
        <v>0</v>
      </c>
      <c r="Q732" s="229">
        <f t="shared" si="107"/>
        <v>0</v>
      </c>
      <c r="R732" s="229">
        <f t="shared" si="107"/>
        <v>0</v>
      </c>
      <c r="S732" s="229">
        <f t="shared" si="107"/>
        <v>0</v>
      </c>
      <c r="T732" s="229">
        <f t="shared" si="107"/>
        <v>0</v>
      </c>
    </row>
    <row r="733" spans="2:20" ht="27.75" customHeight="1" x14ac:dyDescent="0.25">
      <c r="B733" s="63" t="s">
        <v>3900</v>
      </c>
      <c r="G733" s="254" t="str">
        <f>"Without-SC05 FY"&amp;Inputs!$E$49&amp;": model "&amp;TEXT(E731,"#,##0.000")&amp;" vs v29 "&amp;TEXT(E730,"#,##0.000")&amp;" (difference "&amp;TEXT(ROUND(E732,3),"+#,##0.000;-#,##0.000;0.000")&amp;")"&amp;IF(ABS(E732)&lt;=Inputs!$E$50," - matches v29.",IF(LEFT(E729,19)="Differs - requested"," - due to the requested change: "&amp;MID(E729,29,200),IF($E$21&gt;0," - differs because inputs / switches were changed."," - UNEXPLAINED: no input was changed.")))</f>
        <v>Without-SC05 FY2036: model 94.037 vs v29 94.037 (difference 0.000) - matches v29.</v>
      </c>
      <c r="H733" s="254"/>
      <c r="I733" s="254"/>
      <c r="J733" s="254"/>
      <c r="K733" s="254"/>
      <c r="L733" s="254"/>
      <c r="M733" s="254"/>
      <c r="N733" s="254"/>
      <c r="O733" s="254"/>
      <c r="P733" s="254"/>
      <c r="Q733" s="254"/>
      <c r="R733" s="254"/>
      <c r="S733" s="254"/>
      <c r="T733" s="254"/>
    </row>
    <row r="734" spans="2:20" ht="24.75" customHeight="1" x14ac:dyDescent="0.25">
      <c r="B734" s="221" t="s">
        <v>4087</v>
      </c>
      <c r="C734" s="222" t="s">
        <v>493</v>
      </c>
      <c r="D734" s="231" t="s">
        <v>4088</v>
      </c>
      <c r="E734" s="232" t="str">
        <f>IF(MAX(MAX(H737:T737),-MIN(H737:T737))&lt;=Inputs!$E$50,"Matches v29",IF(OR($E$22=1),"Differs - requested change: "&amp;IF($E$22=1,"LT loan repaid in 2027 (not 2025); ","")&amp;IF($E$21&gt;0," (and inputs changed)",""),IF($E$21&gt;0,"Differs - inputs changed","UNEXPLAINED")))</f>
        <v>Differs - requested change: LT loan repaid in 2027 (not 2025);  (and inputs changed)</v>
      </c>
      <c r="F734" s="225">
        <f>MAX(MAX(H737:T737),-MIN(H737:T737))</f>
        <v>12.340568859999999</v>
      </c>
      <c r="G734" s="226">
        <f>IF(OR($E$22=1),0,MAX(MAX(H737:T737),-MIN(H737:T737)))</f>
        <v>0</v>
      </c>
    </row>
    <row r="735" spans="2:20" x14ac:dyDescent="0.25">
      <c r="B735" s="23" t="s">
        <v>3683</v>
      </c>
      <c r="C735" s="28" t="s">
        <v>493</v>
      </c>
      <c r="D735" s="155" t="s">
        <v>3903</v>
      </c>
      <c r="E735" s="178">
        <f>INDEX($G$735:$T$735,1,Inputs!$E$49-2022)</f>
        <v>367.35396194322698</v>
      </c>
      <c r="H735" s="30">
        <f>'Source Data'!H949</f>
        <v>21.1090084294074</v>
      </c>
      <c r="I735" s="30">
        <f>'Source Data'!I949</f>
        <v>80.561041927420504</v>
      </c>
      <c r="J735" s="30">
        <f>'Source Data'!J949</f>
        <v>111.172785826623</v>
      </c>
      <c r="K735" s="30">
        <f>'Source Data'!K949</f>
        <v>173.07324094633401</v>
      </c>
      <c r="L735" s="30">
        <f>'Source Data'!L949</f>
        <v>203.23448483540599</v>
      </c>
      <c r="M735" s="30">
        <f>'Source Data'!M949</f>
        <v>241.98048424794101</v>
      </c>
      <c r="N735" s="30">
        <f>'Source Data'!N949</f>
        <v>256.19491372402399</v>
      </c>
      <c r="O735" s="30">
        <f>'Source Data'!O949</f>
        <v>287.01732180628898</v>
      </c>
      <c r="P735" s="30">
        <f>'Source Data'!P949</f>
        <v>303.63299174115798</v>
      </c>
      <c r="Q735" s="30">
        <f>'Source Data'!Q949</f>
        <v>337.53731098004499</v>
      </c>
      <c r="R735" s="30">
        <f>'Source Data'!R949</f>
        <v>355.72210930227499</v>
      </c>
      <c r="S735" s="30">
        <f>'Source Data'!S949</f>
        <v>352.33506050421101</v>
      </c>
      <c r="T735" s="30">
        <f>'Source Data'!T949</f>
        <v>367.35396194322698</v>
      </c>
    </row>
    <row r="736" spans="2:20" x14ac:dyDescent="0.25">
      <c r="B736" s="23" t="s">
        <v>3685</v>
      </c>
      <c r="C736" s="28" t="s">
        <v>493</v>
      </c>
      <c r="D736" s="227" t="s">
        <v>4089</v>
      </c>
      <c r="E736" s="178">
        <f>INDEX($G$736:$T$736,1,Inputs!$E$49-2022)</f>
        <v>379.36469144014711</v>
      </c>
      <c r="H736" s="30">
        <f>'FSL Output - Without BUMN'!H28</f>
        <v>21.109008429407449</v>
      </c>
      <c r="I736" s="30">
        <f>'FSL Output - Without BUMN'!I28</f>
        <v>80.561041927420476</v>
      </c>
      <c r="J736" s="30">
        <f>'FSL Output - Without BUMN'!J28</f>
        <v>98.832216967032863</v>
      </c>
      <c r="K736" s="30">
        <f>'FSL Output - Without BUMN'!K28</f>
        <v>166.95367118308516</v>
      </c>
      <c r="L736" s="30">
        <f>'FSL Output - Without BUMN'!L28</f>
        <v>198.31883483540565</v>
      </c>
      <c r="M736" s="30">
        <f>'FSL Output - Without BUMN'!M28</f>
        <v>235.26140219797477</v>
      </c>
      <c r="N736" s="30">
        <f>'FSL Output - Without BUMN'!N28</f>
        <v>256.26173472505093</v>
      </c>
      <c r="O736" s="30">
        <f>'FSL Output - Without BUMN'!O28</f>
        <v>291.15545420731576</v>
      </c>
      <c r="P736" s="30">
        <f>'FSL Output - Without BUMN'!P28</f>
        <v>310.84814863807799</v>
      </c>
      <c r="Q736" s="30">
        <f>'FSL Output - Without BUMN'!Q28</f>
        <v>346.1088853810715</v>
      </c>
      <c r="R736" s="30">
        <f>'FSL Output - Without BUMN'!R28</f>
        <v>365.62578720330191</v>
      </c>
      <c r="S736" s="30">
        <f>'FSL Output - Without BUMN'!S28</f>
        <v>363.57084190523761</v>
      </c>
      <c r="T736" s="30">
        <f>'FSL Output - Without BUMN'!T28</f>
        <v>379.36469144014711</v>
      </c>
    </row>
    <row r="737" spans="2:20" x14ac:dyDescent="0.25">
      <c r="B737" s="21" t="s">
        <v>3687</v>
      </c>
      <c r="C737" s="28" t="s">
        <v>493</v>
      </c>
      <c r="E737" s="228">
        <f>INDEX($G$737:$T$737,1,Inputs!$E$49-2022)</f>
        <v>12.010729497</v>
      </c>
      <c r="H737" s="229">
        <f t="shared" ref="H737:T737" si="108">ROUND(H736-H735,9)</f>
        <v>0</v>
      </c>
      <c r="I737" s="229">
        <f t="shared" si="108"/>
        <v>0</v>
      </c>
      <c r="J737" s="229">
        <f t="shared" si="108"/>
        <v>-12.340568859999999</v>
      </c>
      <c r="K737" s="229">
        <f t="shared" si="108"/>
        <v>-6.1195697630000003</v>
      </c>
      <c r="L737" s="229">
        <f t="shared" si="108"/>
        <v>-4.9156500000000003</v>
      </c>
      <c r="M737" s="229">
        <f t="shared" si="108"/>
        <v>-6.7190820499999999</v>
      </c>
      <c r="N737" s="229">
        <f t="shared" si="108"/>
        <v>6.6821001000000005E-2</v>
      </c>
      <c r="O737" s="229">
        <f t="shared" si="108"/>
        <v>4.138132401</v>
      </c>
      <c r="P737" s="229">
        <f t="shared" si="108"/>
        <v>7.215156897</v>
      </c>
      <c r="Q737" s="229">
        <f t="shared" si="108"/>
        <v>8.5715744009999995</v>
      </c>
      <c r="R737" s="229">
        <f t="shared" si="108"/>
        <v>9.903677901</v>
      </c>
      <c r="S737" s="229">
        <f t="shared" si="108"/>
        <v>11.235781401000001</v>
      </c>
      <c r="T737" s="229">
        <f t="shared" si="108"/>
        <v>12.010729497</v>
      </c>
    </row>
    <row r="738" spans="2:20" ht="27.75" customHeight="1" x14ac:dyDescent="0.25">
      <c r="B738" s="63" t="s">
        <v>3905</v>
      </c>
      <c r="G738" s="254" t="str">
        <f>"Without-SC06 FY"&amp;Inputs!$E$49&amp;": model "&amp;TEXT(E736,"#,##0.000")&amp;" vs v29 "&amp;TEXT(E735,"#,##0.000")&amp;" (difference "&amp;TEXT(ROUND(E737,3),"+#,##0.000;-#,##0.000;0.000")&amp;")"&amp;IF(ABS(E737)&lt;=Inputs!$E$50," - matches v29.",IF(LEFT(E734,19)="Differs - requested"," - due to the requested change: "&amp;MID(E734,29,200),IF($E$21&gt;0," - differs because inputs / switches were changed."," - UNEXPLAINED: no input was changed.")))</f>
        <v>Without-SC06 FY2036: model 379.365 vs v29 367.354 (difference +12.011) - due to the requested change: LT loan repaid in 2027 (not 2025);  (and inputs changed)</v>
      </c>
      <c r="H738" s="254"/>
      <c r="I738" s="254"/>
      <c r="J738" s="254"/>
      <c r="K738" s="254"/>
      <c r="L738" s="254"/>
      <c r="M738" s="254"/>
      <c r="N738" s="254"/>
      <c r="O738" s="254"/>
      <c r="P738" s="254"/>
      <c r="Q738" s="254"/>
      <c r="R738" s="254"/>
      <c r="S738" s="254"/>
      <c r="T738" s="254"/>
    </row>
    <row r="739" spans="2:20" ht="24.75" customHeight="1" x14ac:dyDescent="0.25">
      <c r="B739" s="221" t="s">
        <v>4090</v>
      </c>
      <c r="C739" s="222" t="s">
        <v>493</v>
      </c>
      <c r="D739" s="231" t="s">
        <v>4091</v>
      </c>
      <c r="E739" s="232" t="str">
        <f>IF(MAX(MAX(H742:T742),-MIN(H742:T742))&lt;=Inputs!$E$50,"Matches v29",IF(OR($E$22=1),"Differs - requested change: "&amp;IF($E$22=1,"LT loan repaid in 2027 (not 2025); ","")&amp;IF($E$21&gt;0," (and inputs changed)",""),IF($E$21&gt;0,"Differs - inputs changed","UNEXPLAINED")))</f>
        <v>Differs - requested change: LT loan repaid in 2027 (not 2025);  (and inputs changed)</v>
      </c>
      <c r="F739" s="225">
        <f>MAX(MAX(H742:T742),-MIN(H742:T742))</f>
        <v>3.702170658</v>
      </c>
      <c r="G739" s="226">
        <f>IF(OR($E$22=1),0,MAX(MAX(H742:T742),-MIN(H742:T742)))</f>
        <v>0</v>
      </c>
    </row>
    <row r="740" spans="2:20" x14ac:dyDescent="0.25">
      <c r="B740" s="23" t="s">
        <v>3683</v>
      </c>
      <c r="C740" s="28" t="s">
        <v>493</v>
      </c>
      <c r="D740" s="155" t="s">
        <v>3908</v>
      </c>
      <c r="E740" s="178">
        <f>INDEX($G$740:$T$740,1,Inputs!$E$49-2022)</f>
        <v>110.206188582968</v>
      </c>
      <c r="H740" s="30">
        <f>'Source Data'!H950</f>
        <v>6.3327025288222201</v>
      </c>
      <c r="I740" s="30">
        <f>'Source Data'!I950</f>
        <v>24.1683125782262</v>
      </c>
      <c r="J740" s="30">
        <f>'Source Data'!J950</f>
        <v>33.351835747986797</v>
      </c>
      <c r="K740" s="30">
        <f>'Source Data'!K950</f>
        <v>51.921972283900097</v>
      </c>
      <c r="L740" s="30">
        <f>'Source Data'!L950</f>
        <v>60.9703454506217</v>
      </c>
      <c r="M740" s="30">
        <f>'Source Data'!M950</f>
        <v>72.5941452743822</v>
      </c>
      <c r="N740" s="30">
        <f>'Source Data'!N950</f>
        <v>76.858474117207294</v>
      </c>
      <c r="O740" s="30">
        <f>'Source Data'!O950</f>
        <v>86.105196541886698</v>
      </c>
      <c r="P740" s="30">
        <f>'Source Data'!P950</f>
        <v>91.0898975223474</v>
      </c>
      <c r="Q740" s="30">
        <f>'Source Data'!Q950</f>
        <v>101.261193294013</v>
      </c>
      <c r="R740" s="30">
        <f>'Source Data'!R950</f>
        <v>106.71663279068299</v>
      </c>
      <c r="S740" s="30">
        <f>'Source Data'!S950</f>
        <v>105.700518151263</v>
      </c>
      <c r="T740" s="30">
        <f>'Source Data'!T950</f>
        <v>110.206188582968</v>
      </c>
    </row>
    <row r="741" spans="2:20" x14ac:dyDescent="0.25">
      <c r="B741" s="23" t="s">
        <v>3685</v>
      </c>
      <c r="C741" s="28" t="s">
        <v>493</v>
      </c>
      <c r="D741" s="227" t="s">
        <v>4092</v>
      </c>
      <c r="E741" s="178">
        <f>INDEX($G$741:$T$741,1,Inputs!$E$49-2022)</f>
        <v>113.80940743204413</v>
      </c>
      <c r="H741" s="30">
        <f>Financing!H95</f>
        <v>6.3327025288222343</v>
      </c>
      <c r="I741" s="30">
        <f>Financing!I95</f>
        <v>24.168312578226143</v>
      </c>
      <c r="J741" s="30">
        <f>Financing!J95</f>
        <v>29.649665090109856</v>
      </c>
      <c r="K741" s="30">
        <f>Financing!K95</f>
        <v>50.086101354925546</v>
      </c>
      <c r="L741" s="30">
        <f>Financing!L95</f>
        <v>59.495650450621696</v>
      </c>
      <c r="M741" s="30">
        <f>Financing!M95</f>
        <v>70.578420659392435</v>
      </c>
      <c r="N741" s="30">
        <f>Financing!N95</f>
        <v>76.878520417515276</v>
      </c>
      <c r="O741" s="30">
        <f>Financing!O95</f>
        <v>87.346636262194721</v>
      </c>
      <c r="P741" s="30">
        <f>Financing!P95</f>
        <v>93.254444591423393</v>
      </c>
      <c r="Q741" s="30">
        <f>Financing!Q95</f>
        <v>103.83266561432144</v>
      </c>
      <c r="R741" s="30">
        <f>Financing!R95</f>
        <v>109.68773616099057</v>
      </c>
      <c r="S741" s="30">
        <f>Financing!S95</f>
        <v>109.07125257157128</v>
      </c>
      <c r="T741" s="30">
        <f>Financing!T95</f>
        <v>113.80940743204413</v>
      </c>
    </row>
    <row r="742" spans="2:20" x14ac:dyDescent="0.25">
      <c r="B742" s="21" t="s">
        <v>3687</v>
      </c>
      <c r="C742" s="28" t="s">
        <v>493</v>
      </c>
      <c r="E742" s="228">
        <f>INDEX($G$742:$T$742,1,Inputs!$E$49-2022)</f>
        <v>3.6032188490000001</v>
      </c>
      <c r="H742" s="229">
        <f t="shared" ref="H742:T742" si="109">ROUND(H741-H740,9)</f>
        <v>0</v>
      </c>
      <c r="I742" s="229">
        <f t="shared" si="109"/>
        <v>0</v>
      </c>
      <c r="J742" s="229">
        <f t="shared" si="109"/>
        <v>-3.702170658</v>
      </c>
      <c r="K742" s="229">
        <f t="shared" si="109"/>
        <v>-1.8358709289999999</v>
      </c>
      <c r="L742" s="229">
        <f t="shared" si="109"/>
        <v>-1.4746950000000001</v>
      </c>
      <c r="M742" s="229">
        <f t="shared" si="109"/>
        <v>-2.0157246149999999</v>
      </c>
      <c r="N742" s="229">
        <f t="shared" si="109"/>
        <v>2.00463E-2</v>
      </c>
      <c r="O742" s="229">
        <f t="shared" si="109"/>
        <v>1.24143972</v>
      </c>
      <c r="P742" s="229">
        <f t="shared" si="109"/>
        <v>2.1645470690000002</v>
      </c>
      <c r="Q742" s="229">
        <f t="shared" si="109"/>
        <v>2.5714723199999998</v>
      </c>
      <c r="R742" s="229">
        <f t="shared" si="109"/>
        <v>2.9711033699999998</v>
      </c>
      <c r="S742" s="229">
        <f t="shared" si="109"/>
        <v>3.3707344199999998</v>
      </c>
      <c r="T742" s="229">
        <f t="shared" si="109"/>
        <v>3.6032188490000001</v>
      </c>
    </row>
    <row r="743" spans="2:20" ht="27.75" customHeight="1" x14ac:dyDescent="0.25">
      <c r="B743" s="63" t="s">
        <v>3688</v>
      </c>
      <c r="G743" s="254" t="str">
        <f>"Without-SC07 FY"&amp;Inputs!$E$49&amp;": model "&amp;TEXT(E741,"#,##0.000")&amp;" vs v29 "&amp;TEXT(E740,"#,##0.000")&amp;" (difference "&amp;TEXT(ROUND(E742,3),"+#,##0.000;-#,##0.000;0.000")&amp;")"&amp;IF(ABS(E742)&lt;=Inputs!$E$50," - matches v29.",IF(LEFT(E739,19)="Differs - requested"," - due to the requested change: "&amp;MID(E739,29,200),IF($E$21&gt;0," - differs because inputs / switches were changed."," - UNEXPLAINED: no input was changed.")))</f>
        <v>Without-SC07 FY2036: model 113.809 vs v29 110.206 (difference +3.603) - due to the requested change: LT loan repaid in 2027 (not 2025);  (and inputs changed)</v>
      </c>
      <c r="H743" s="254"/>
      <c r="I743" s="254"/>
      <c r="J743" s="254"/>
      <c r="K743" s="254"/>
      <c r="L743" s="254"/>
      <c r="M743" s="254"/>
      <c r="N743" s="254"/>
      <c r="O743" s="254"/>
      <c r="P743" s="254"/>
      <c r="Q743" s="254"/>
      <c r="R743" s="254"/>
      <c r="S743" s="254"/>
      <c r="T743" s="254"/>
    </row>
    <row r="744" spans="2:20" ht="24.75" customHeight="1" x14ac:dyDescent="0.25">
      <c r="B744" s="221" t="s">
        <v>4093</v>
      </c>
      <c r="C744" s="222" t="s">
        <v>493</v>
      </c>
      <c r="D744" s="231" t="s">
        <v>4094</v>
      </c>
      <c r="E744" s="232" t="str">
        <f>IF(MAX(MAX(H747:T747),-MIN(H747:T747))&lt;=Inputs!$E$50,"Matches v29",IF(OR($E$22=1),"Differs - requested change: "&amp;IF($E$22=1,"LT loan repaid in 2027 (not 2025); ","")&amp;IF($E$21&gt;0," (and inputs changed)",""),IF($E$21&gt;0,"Differs - inputs changed","UNEXPLAINED")))</f>
        <v>Differs - requested change: LT loan repaid in 2027 (not 2025);  (and inputs changed)</v>
      </c>
      <c r="F744" s="225">
        <f>MAX(MAX(H747:T747),-MIN(H747:T747))</f>
        <v>30.094870672999999</v>
      </c>
      <c r="G744" s="226">
        <f>IF(OR($E$22=1),0,MAX(MAX(H747:T747),-MIN(H747:T747)))</f>
        <v>0</v>
      </c>
    </row>
    <row r="745" spans="2:20" x14ac:dyDescent="0.25">
      <c r="B745" s="23" t="s">
        <v>3683</v>
      </c>
      <c r="C745" s="28" t="s">
        <v>493</v>
      </c>
      <c r="D745" s="155" t="s">
        <v>3912</v>
      </c>
      <c r="E745" s="178">
        <f>INDEX($G$745:$T$745,1,Inputs!$E$49-2022)</f>
        <v>3657.3463676132101</v>
      </c>
      <c r="H745" s="30">
        <f>'Source Data'!H951</f>
        <v>272.46723631264899</v>
      </c>
      <c r="I745" s="30">
        <f>'Source Data'!I951</f>
        <v>373.14089239269202</v>
      </c>
      <c r="J745" s="30">
        <f>'Source Data'!J951</f>
        <v>504.95575195034201</v>
      </c>
      <c r="K745" s="30">
        <f>'Source Data'!K951</f>
        <v>699.62158591923003</v>
      </c>
      <c r="L745" s="30">
        <f>'Source Data'!L951</f>
        <v>925.293926211295</v>
      </c>
      <c r="M745" s="30">
        <f>'Source Data'!M951</f>
        <v>1191.77997022571</v>
      </c>
      <c r="N745" s="30">
        <f>'Source Data'!N951</f>
        <v>1473.4020990766001</v>
      </c>
      <c r="O745" s="30">
        <f>'Source Data'!O951</f>
        <v>1786.7853820544699</v>
      </c>
      <c r="P745" s="30">
        <f>'Source Data'!P951</f>
        <v>2119.1329517567801</v>
      </c>
      <c r="Q745" s="30">
        <f>'Source Data'!Q951</f>
        <v>2486.4075153580202</v>
      </c>
      <c r="R745" s="30">
        <f>'Source Data'!R951</f>
        <v>2872.9076551285898</v>
      </c>
      <c r="S745" s="30">
        <f>'Source Data'!S951</f>
        <v>3257.0794141719098</v>
      </c>
      <c r="T745" s="30">
        <f>'Source Data'!T951</f>
        <v>3657.3463676132101</v>
      </c>
    </row>
    <row r="746" spans="2:20" x14ac:dyDescent="0.25">
      <c r="B746" s="23" t="s">
        <v>3685</v>
      </c>
      <c r="C746" s="28" t="s">
        <v>493</v>
      </c>
      <c r="D746" s="227" t="s">
        <v>4095</v>
      </c>
      <c r="E746" s="178">
        <f>INDEX($G$746:$T$746,1,Inputs!$E$49-2022)</f>
        <v>3680.3933704393789</v>
      </c>
      <c r="H746" s="30">
        <f>Financing!H98</f>
        <v>272.46723631264888</v>
      </c>
      <c r="I746" s="30">
        <f>Financing!I98</f>
        <v>373.14089239269174</v>
      </c>
      <c r="J746" s="30">
        <f>Financing!J98</f>
        <v>492.61518309075257</v>
      </c>
      <c r="K746" s="30">
        <f>Financing!K98</f>
        <v>681.1614472963912</v>
      </c>
      <c r="L746" s="30">
        <f>Financing!L98</f>
        <v>901.91813758845694</v>
      </c>
      <c r="M746" s="30">
        <f>Financing!M98</f>
        <v>1161.6850995529048</v>
      </c>
      <c r="N746" s="30">
        <f>Financing!N98</f>
        <v>1443.3740494048261</v>
      </c>
      <c r="O746" s="30">
        <f>Financing!O98</f>
        <v>1760.8954647837238</v>
      </c>
      <c r="P746" s="30">
        <f>Financing!P98</f>
        <v>2100.4581913829488</v>
      </c>
      <c r="Q746" s="30">
        <f>Financing!Q98</f>
        <v>2476.3043293852179</v>
      </c>
      <c r="R746" s="30">
        <f>Financing!R98</f>
        <v>2872.7081470568078</v>
      </c>
      <c r="S746" s="30">
        <f>Financing!S98</f>
        <v>3268.1156875011584</v>
      </c>
      <c r="T746" s="30">
        <f>Financing!T98</f>
        <v>3680.3933704393789</v>
      </c>
    </row>
    <row r="747" spans="2:20" x14ac:dyDescent="0.25">
      <c r="B747" s="21" t="s">
        <v>3687</v>
      </c>
      <c r="C747" s="28" t="s">
        <v>493</v>
      </c>
      <c r="E747" s="228">
        <f>INDEX($G$747:$T$747,1,Inputs!$E$49-2022)</f>
        <v>23.047002826</v>
      </c>
      <c r="H747" s="229">
        <f t="shared" ref="H747:T747" si="110">ROUND(H746-H745,9)</f>
        <v>0</v>
      </c>
      <c r="I747" s="229">
        <f t="shared" si="110"/>
        <v>0</v>
      </c>
      <c r="J747" s="229">
        <f t="shared" si="110"/>
        <v>-12.340568859999999</v>
      </c>
      <c r="K747" s="229">
        <f t="shared" si="110"/>
        <v>-18.460138622999999</v>
      </c>
      <c r="L747" s="229">
        <f t="shared" si="110"/>
        <v>-23.375788622999998</v>
      </c>
      <c r="M747" s="229">
        <f t="shared" si="110"/>
        <v>-30.094870672999999</v>
      </c>
      <c r="N747" s="229">
        <f t="shared" si="110"/>
        <v>-30.028049672000002</v>
      </c>
      <c r="O747" s="229">
        <f t="shared" si="110"/>
        <v>-25.889917271000002</v>
      </c>
      <c r="P747" s="229">
        <f t="shared" si="110"/>
        <v>-18.674760374000002</v>
      </c>
      <c r="Q747" s="229">
        <f t="shared" si="110"/>
        <v>-10.103185973</v>
      </c>
      <c r="R747" s="229">
        <f t="shared" si="110"/>
        <v>-0.19950807200000001</v>
      </c>
      <c r="S747" s="229">
        <f t="shared" si="110"/>
        <v>11.036273329</v>
      </c>
      <c r="T747" s="229">
        <f t="shared" si="110"/>
        <v>23.047002826</v>
      </c>
    </row>
    <row r="748" spans="2:20" ht="27.75" customHeight="1" x14ac:dyDescent="0.25">
      <c r="B748" s="63" t="s">
        <v>3688</v>
      </c>
      <c r="G748" s="254" t="str">
        <f>"Without-SC08 FY"&amp;Inputs!$E$49&amp;": model "&amp;TEXT(E746,"#,##0.000")&amp;" vs v29 "&amp;TEXT(E745,"#,##0.000")&amp;" (difference "&amp;TEXT(ROUND(E747,3),"+#,##0.000;-#,##0.000;0.000")&amp;")"&amp;IF(ABS(E747)&lt;=Inputs!$E$50," - matches v29.",IF(LEFT(E744,19)="Differs - requested"," - due to the requested change: "&amp;MID(E744,29,200),IF($E$21&gt;0," - differs because inputs / switches were changed."," - UNEXPLAINED: no input was changed.")))</f>
        <v>Without-SC08 FY2036: model 3,680.393 vs v29 3,657.346 (difference +23.047) - due to the requested change: LT loan repaid in 2027 (not 2025);  (and inputs changed)</v>
      </c>
      <c r="H748" s="254"/>
      <c r="I748" s="254"/>
      <c r="J748" s="254"/>
      <c r="K748" s="254"/>
      <c r="L748" s="254"/>
      <c r="M748" s="254"/>
      <c r="N748" s="254"/>
      <c r="O748" s="254"/>
      <c r="P748" s="254"/>
      <c r="Q748" s="254"/>
      <c r="R748" s="254"/>
      <c r="S748" s="254"/>
      <c r="T748" s="254"/>
    </row>
    <row r="749" spans="2:20" ht="47.25" customHeight="1" x14ac:dyDescent="0.25">
      <c r="B749" s="221" t="s">
        <v>4096</v>
      </c>
      <c r="C749" s="222" t="s">
        <v>493</v>
      </c>
      <c r="D749" s="231" t="s">
        <v>4097</v>
      </c>
      <c r="E749" s="232" t="str">
        <f>IF(MAX(MAX(H752:T752),-MIN(H752:T752))&lt;=Inputs!$E$50,"Matches v29",IF(OR($E$22=1,$E$23=1),"Differs - requested change: "&amp;IF($E$22=1,"LT loan repaid in 2027 (not 2025); ","")&amp;IF($E$23=1,"new equity = residual funding requirement (not the v29 schedule)","")&amp;IF($E$21&gt;0," (and inputs changed)",""),IF($E$21&gt;0,"Differs - inputs changed","UNEXPLAINED")))</f>
        <v>Differs - requested change: LT loan repaid in 2027 (not 2025); new equity = residual funding requirement (not the v29 schedule) (and inputs changed)</v>
      </c>
      <c r="F749" s="225">
        <f>MAX(MAX(H752:T752),-MIN(H752:T752))</f>
        <v>543.93110311700002</v>
      </c>
      <c r="G749" s="226">
        <f>IF(OR($E$22=1,$E$23=1),0,MAX(MAX(H752:T752),-MIN(H752:T752)))</f>
        <v>0</v>
      </c>
    </row>
    <row r="750" spans="2:20" x14ac:dyDescent="0.25">
      <c r="B750" s="23" t="s">
        <v>3683</v>
      </c>
      <c r="C750" s="28" t="s">
        <v>493</v>
      </c>
      <c r="D750" s="155" t="s">
        <v>3916</v>
      </c>
      <c r="E750" s="178">
        <f>INDEX($G$750:$T$750,1,Inputs!$E$49-2022)</f>
        <v>4010.6559530376398</v>
      </c>
      <c r="H750" s="30">
        <f>'Source Data'!H952</f>
        <v>34.699265073765297</v>
      </c>
      <c r="I750" s="30">
        <f>'Source Data'!I952</f>
        <v>17.018225208360501</v>
      </c>
      <c r="J750" s="30">
        <f>'Source Data'!J952</f>
        <v>258.32627046365297</v>
      </c>
      <c r="K750" s="30">
        <f>'Source Data'!K952</f>
        <v>542.14242540133296</v>
      </c>
      <c r="L750" s="30">
        <f>'Source Data'!L952</f>
        <v>851.99335728655797</v>
      </c>
      <c r="M750" s="30">
        <f>'Source Data'!M952</f>
        <v>1195.5587078267899</v>
      </c>
      <c r="N750" s="30">
        <f>'Source Data'!N952</f>
        <v>1547.4222062706101</v>
      </c>
      <c r="O750" s="30">
        <f>'Source Data'!O952</f>
        <v>1923.8171535617</v>
      </c>
      <c r="P750" s="30">
        <f>'Source Data'!P952</f>
        <v>2314.3150329554601</v>
      </c>
      <c r="Q750" s="30">
        <f>'Source Data'!Q952</f>
        <v>2731.5912728765802</v>
      </c>
      <c r="R750" s="30">
        <f>'Source Data'!R952</f>
        <v>3157.2776843268798</v>
      </c>
      <c r="S750" s="30">
        <f>'Source Data'!S952</f>
        <v>3576.6360521552301</v>
      </c>
      <c r="T750" s="30">
        <f>'Source Data'!T952</f>
        <v>4010.6559530376398</v>
      </c>
    </row>
    <row r="751" spans="2:20" x14ac:dyDescent="0.25">
      <c r="B751" s="23" t="s">
        <v>3685</v>
      </c>
      <c r="C751" s="28" t="s">
        <v>493</v>
      </c>
      <c r="D751" s="227" t="s">
        <v>4098</v>
      </c>
      <c r="E751" s="178">
        <f>INDEX($G$751:$T$751,1,Inputs!$E$49-2022)</f>
        <v>3509.6802792590038</v>
      </c>
      <c r="H751" s="30">
        <f>Financing!H99</f>
        <v>34.699265073765446</v>
      </c>
      <c r="I751" s="30">
        <f>Financing!I99</f>
        <v>212.19822520836064</v>
      </c>
      <c r="J751" s="30">
        <f>Financing!J99</f>
        <v>14.243584472293236</v>
      </c>
      <c r="K751" s="30">
        <f>Financing!K99</f>
        <v>0</v>
      </c>
      <c r="L751" s="30">
        <f>Financing!L99</f>
        <v>308.06225416912497</v>
      </c>
      <c r="M751" s="30">
        <f>Financing!M99</f>
        <v>655.1891233394947</v>
      </c>
      <c r="N751" s="30">
        <f>Financing!N99</f>
        <v>1013.0980593807991</v>
      </c>
      <c r="O751" s="30">
        <f>Financing!O99</f>
        <v>1388.1179231102515</v>
      </c>
      <c r="P751" s="30">
        <f>Financing!P99</f>
        <v>1779.4424531568141</v>
      </c>
      <c r="Q751" s="30">
        <f>Financing!Q99</f>
        <v>2198.2264344775922</v>
      </c>
      <c r="R751" s="30">
        <f>Financing!R99</f>
        <v>2626.3577585585795</v>
      </c>
      <c r="S751" s="30">
        <f>Financing!S99</f>
        <v>3055.5995114676152</v>
      </c>
      <c r="T751" s="30">
        <f>Financing!T99</f>
        <v>3509.6802792590038</v>
      </c>
    </row>
    <row r="752" spans="2:20" x14ac:dyDescent="0.25">
      <c r="B752" s="21" t="s">
        <v>3687</v>
      </c>
      <c r="C752" s="28" t="s">
        <v>493</v>
      </c>
      <c r="E752" s="228">
        <f>INDEX($G$752:$T$752,1,Inputs!$E$49-2022)</f>
        <v>-500.97567377899998</v>
      </c>
      <c r="H752" s="229">
        <f t="shared" ref="H752:T752" si="111">ROUND(H751-H750,9)</f>
        <v>0</v>
      </c>
      <c r="I752" s="229">
        <f t="shared" si="111"/>
        <v>195.18</v>
      </c>
      <c r="J752" s="229">
        <f t="shared" si="111"/>
        <v>-244.08268599100001</v>
      </c>
      <c r="K752" s="229">
        <f t="shared" si="111"/>
        <v>-542.14242540099997</v>
      </c>
      <c r="L752" s="229">
        <f t="shared" si="111"/>
        <v>-543.93110311700002</v>
      </c>
      <c r="M752" s="229">
        <f t="shared" si="111"/>
        <v>-540.369584487</v>
      </c>
      <c r="N752" s="229">
        <f t="shared" si="111"/>
        <v>-534.32414688999995</v>
      </c>
      <c r="O752" s="229">
        <f t="shared" si="111"/>
        <v>-535.69923045099995</v>
      </c>
      <c r="P752" s="229">
        <f t="shared" si="111"/>
        <v>-534.87257979900005</v>
      </c>
      <c r="Q752" s="229">
        <f t="shared" si="111"/>
        <v>-533.36483839899995</v>
      </c>
      <c r="R752" s="229">
        <f t="shared" si="111"/>
        <v>-530.91992576799998</v>
      </c>
      <c r="S752" s="229">
        <f t="shared" si="111"/>
        <v>-521.03654068799995</v>
      </c>
      <c r="T752" s="229">
        <f t="shared" si="111"/>
        <v>-500.97567377899998</v>
      </c>
    </row>
    <row r="753" spans="2:20" ht="27.75" customHeight="1" x14ac:dyDescent="0.25">
      <c r="B753" s="63" t="s">
        <v>3688</v>
      </c>
      <c r="G753" s="254" t="str">
        <f>"Without-SC09 FY"&amp;Inputs!$E$49&amp;": model "&amp;TEXT(E751,"#,##0.000")&amp;" vs v29 "&amp;TEXT(E750,"#,##0.000")&amp;" (difference "&amp;TEXT(ROUND(E752,3),"+#,##0.000;-#,##0.000;0.000")&amp;")"&amp;IF(ABS(E752)&lt;=Inputs!$E$50," - matches v29.",IF(LEFT(E749,19)="Differs - requested"," - due to the requested change: "&amp;MID(E749,29,200),IF($E$21&gt;0," - differs because inputs / switches were changed."," - UNEXPLAINED: no input was changed.")))</f>
        <v>Without-SC09 FY2036: model 3,509.680 vs v29 4,010.656 (difference -500.976) - due to the requested change: LT loan repaid in 2027 (not 2025); new equity = residual funding requirement (not the v29 schedule) (and inputs changed)</v>
      </c>
      <c r="H753" s="254"/>
      <c r="I753" s="254"/>
      <c r="J753" s="254"/>
      <c r="K753" s="254"/>
      <c r="L753" s="254"/>
      <c r="M753" s="254"/>
      <c r="N753" s="254"/>
      <c r="O753" s="254"/>
      <c r="P753" s="254"/>
      <c r="Q753" s="254"/>
      <c r="R753" s="254"/>
      <c r="S753" s="254"/>
      <c r="T753" s="254"/>
    </row>
    <row r="754" spans="2:20" ht="47.25" customHeight="1" x14ac:dyDescent="0.25">
      <c r="B754" s="221" t="s">
        <v>4099</v>
      </c>
      <c r="C754" s="222" t="s">
        <v>493</v>
      </c>
      <c r="D754" s="231" t="s">
        <v>4100</v>
      </c>
      <c r="E754" s="232" t="str">
        <f>IF(MAX(MAX(H757:T757),-MIN(H757:T757))&lt;=Inputs!$E$50,"Matches v29",IF(OR($E$22=1,$E$23=1),"Differs - requested change: "&amp;IF($E$22=1,"LT loan repaid in 2027 (not 2025); ","")&amp;IF($E$23=1,"new equity = residual funding requirement (not the v29 schedule)","")&amp;IF($E$21&gt;0," (and inputs changed)",""),IF($E$21&gt;0,"Differs - inputs changed","UNEXPLAINED")))</f>
        <v>Differs - requested change: LT loan repaid in 2027 (not 2025); new equity = residual funding requirement (not the v29 schedule) (and inputs changed)</v>
      </c>
      <c r="F754" s="225">
        <f>MAX(MAX(H757:T757),-MIN(H757:T757))</f>
        <v>51.921972283999999</v>
      </c>
      <c r="G754" s="226">
        <f>IF(OR($E$22=1,$E$23=1),0,MAX(MAX(H757:T757),-MIN(H757:T757)))</f>
        <v>0</v>
      </c>
    </row>
    <row r="755" spans="2:20" x14ac:dyDescent="0.25">
      <c r="B755" s="23" t="s">
        <v>3683</v>
      </c>
      <c r="C755" s="28" t="s">
        <v>493</v>
      </c>
      <c r="D755" s="155" t="s">
        <v>3920</v>
      </c>
      <c r="E755" s="178">
        <f>INDEX($G$755:$T$755,1,Inputs!$E$49-2022)</f>
        <v>-110.206188582968</v>
      </c>
      <c r="H755" s="30">
        <f>'Source Data'!H953</f>
        <v>-6.3327025288222201</v>
      </c>
      <c r="I755" s="30">
        <f>'Source Data'!I953</f>
        <v>-17.018225208360501</v>
      </c>
      <c r="J755" s="30">
        <f>'Source Data'!J953</f>
        <v>-33.351835747986797</v>
      </c>
      <c r="K755" s="30">
        <f>'Source Data'!K953</f>
        <v>-51.921972283900097</v>
      </c>
      <c r="L755" s="30">
        <f>'Source Data'!L953</f>
        <v>-60.9703454506217</v>
      </c>
      <c r="M755" s="30">
        <f>'Source Data'!M953</f>
        <v>-72.5941452743822</v>
      </c>
      <c r="N755" s="30">
        <f>'Source Data'!N953</f>
        <v>-76.858474117207294</v>
      </c>
      <c r="O755" s="30">
        <f>'Source Data'!O953</f>
        <v>-86.105196541886698</v>
      </c>
      <c r="P755" s="30">
        <f>'Source Data'!P953</f>
        <v>-91.0898975223474</v>
      </c>
      <c r="Q755" s="30">
        <f>'Source Data'!Q953</f>
        <v>-101.261193294013</v>
      </c>
      <c r="R755" s="30">
        <f>'Source Data'!R953</f>
        <v>-106.71663279068299</v>
      </c>
      <c r="S755" s="30">
        <f>'Source Data'!S953</f>
        <v>-105.700518151263</v>
      </c>
      <c r="T755" s="30">
        <f>'Source Data'!T953</f>
        <v>-110.206188582968</v>
      </c>
    </row>
    <row r="756" spans="2:20" x14ac:dyDescent="0.25">
      <c r="B756" s="23" t="s">
        <v>3685</v>
      </c>
      <c r="C756" s="28" t="s">
        <v>493</v>
      </c>
      <c r="D756" s="227" t="s">
        <v>4101</v>
      </c>
      <c r="E756" s="178">
        <f>INDEX($G$756:$T$756,1,Inputs!$E$49-2022)</f>
        <v>-113.80940743204413</v>
      </c>
      <c r="H756" s="161">
        <f>-Financing!H100</f>
        <v>-6.3327025288222343</v>
      </c>
      <c r="I756" s="161">
        <f>-Financing!I100</f>
        <v>-24.168312578226143</v>
      </c>
      <c r="J756" s="161">
        <f>-Financing!J100</f>
        <v>-14.243584472293236</v>
      </c>
      <c r="K756" s="161">
        <f>-Financing!K100</f>
        <v>0</v>
      </c>
      <c r="L756" s="161">
        <f>-Financing!L100</f>
        <v>-59.495650450621696</v>
      </c>
      <c r="M756" s="161">
        <f>-Financing!M100</f>
        <v>-70.578420659392435</v>
      </c>
      <c r="N756" s="161">
        <f>-Financing!N100</f>
        <v>-76.878520417515276</v>
      </c>
      <c r="O756" s="161">
        <f>-Financing!O100</f>
        <v>-87.346636262194721</v>
      </c>
      <c r="P756" s="161">
        <f>-Financing!P100</f>
        <v>-93.254444591423393</v>
      </c>
      <c r="Q756" s="161">
        <f>-Financing!Q100</f>
        <v>-103.83266561432144</v>
      </c>
      <c r="R756" s="161">
        <f>-Financing!R100</f>
        <v>-109.68773616099057</v>
      </c>
      <c r="S756" s="161">
        <f>-Financing!S100</f>
        <v>-109.07125257157128</v>
      </c>
      <c r="T756" s="161">
        <f>-Financing!T100</f>
        <v>-113.80940743204413</v>
      </c>
    </row>
    <row r="757" spans="2:20" x14ac:dyDescent="0.25">
      <c r="B757" s="21" t="s">
        <v>3687</v>
      </c>
      <c r="C757" s="28" t="s">
        <v>493</v>
      </c>
      <c r="E757" s="228">
        <f>INDEX($G$757:$T$757,1,Inputs!$E$49-2022)</f>
        <v>-3.6032188490000001</v>
      </c>
      <c r="H757" s="229">
        <f t="shared" ref="H757:T757" si="112">ROUND(H756-H755,9)</f>
        <v>0</v>
      </c>
      <c r="I757" s="229">
        <f t="shared" si="112"/>
        <v>-7.1500873699999996</v>
      </c>
      <c r="J757" s="229">
        <f t="shared" si="112"/>
        <v>19.108251276000001</v>
      </c>
      <c r="K757" s="229">
        <f t="shared" si="112"/>
        <v>51.921972283999999</v>
      </c>
      <c r="L757" s="229">
        <f t="shared" si="112"/>
        <v>1.4746950000000001</v>
      </c>
      <c r="M757" s="229">
        <f t="shared" si="112"/>
        <v>2.0157246149999999</v>
      </c>
      <c r="N757" s="229">
        <f t="shared" si="112"/>
        <v>-2.00463E-2</v>
      </c>
      <c r="O757" s="229">
        <f t="shared" si="112"/>
        <v>-1.24143972</v>
      </c>
      <c r="P757" s="229">
        <f t="shared" si="112"/>
        <v>-2.1645470690000002</v>
      </c>
      <c r="Q757" s="229">
        <f t="shared" si="112"/>
        <v>-2.5714723199999998</v>
      </c>
      <c r="R757" s="229">
        <f t="shared" si="112"/>
        <v>-2.9711033699999998</v>
      </c>
      <c r="S757" s="229">
        <f t="shared" si="112"/>
        <v>-3.3707344199999998</v>
      </c>
      <c r="T757" s="229">
        <f t="shared" si="112"/>
        <v>-3.6032188490000001</v>
      </c>
    </row>
    <row r="758" spans="2:20" ht="27.75" customHeight="1" x14ac:dyDescent="0.25">
      <c r="B758" s="63" t="s">
        <v>3688</v>
      </c>
      <c r="G758" s="254" t="str">
        <f>"Without-SC10 FY"&amp;Inputs!$E$49&amp;": model "&amp;TEXT(E756,"#,##0.000")&amp;" vs v29 "&amp;TEXT(E755,"#,##0.000")&amp;" (difference "&amp;TEXT(ROUND(E757,3),"+#,##0.000;-#,##0.000;0.000")&amp;")"&amp;IF(ABS(E757)&lt;=Inputs!$E$50," - matches v29.",IF(LEFT(E754,19)="Differs - requested"," - due to the requested change: "&amp;MID(E754,29,200),IF($E$21&gt;0," - differs because inputs / switches were changed."," - UNEXPLAINED: no input was changed.")))</f>
        <v>Without-SC10 FY2036: model -113.809 vs v29 -110.206 (difference -3.603) - due to the requested change: LT loan repaid in 2027 (not 2025); new equity = residual funding requirement (not the v29 schedule) (and inputs changed)</v>
      </c>
      <c r="H758" s="254"/>
      <c r="I758" s="254"/>
      <c r="J758" s="254"/>
      <c r="K758" s="254"/>
      <c r="L758" s="254"/>
      <c r="M758" s="254"/>
      <c r="N758" s="254"/>
      <c r="O758" s="254"/>
      <c r="P758" s="254"/>
      <c r="Q758" s="254"/>
      <c r="R758" s="254"/>
      <c r="S758" s="254"/>
      <c r="T758" s="254"/>
    </row>
    <row r="759" spans="2:20" ht="47.25" customHeight="1" x14ac:dyDescent="0.25">
      <c r="B759" s="221" t="s">
        <v>4102</v>
      </c>
      <c r="C759" s="222" t="s">
        <v>493</v>
      </c>
      <c r="D759" s="231" t="s">
        <v>4103</v>
      </c>
      <c r="E759" s="232" t="str">
        <f>IF(MAX(MAX(H762:T762),-MIN(H762:T762))&lt;=Inputs!$E$50,"Matches v29",IF(OR($E$22=1,$E$23=1),"Differs - requested change: "&amp;IF($E$22=1,"LT loan repaid in 2027 (not 2025); ","")&amp;IF($E$23=1,"new equity = residual funding requirement (not the v29 schedule)","")&amp;IF($E$21&gt;0," (and inputs changed)",""),IF($E$21&gt;0,"Differs - inputs changed","UNEXPLAINED")))</f>
        <v>Differs - requested change: LT loan repaid in 2027 (not 2025); new equity = residual funding requirement (not the v29 schedule) (and inputs changed)</v>
      </c>
      <c r="F759" s="225">
        <f>MAX(MAX(H762:T762),-MIN(H762:T762))</f>
        <v>74.474996580999999</v>
      </c>
      <c r="G759" s="226">
        <f>IF(OR($E$22=1,$E$23=1),0,MAX(MAX(H762:T762),-MIN(H762:T762)))</f>
        <v>0</v>
      </c>
    </row>
    <row r="760" spans="2:20" x14ac:dyDescent="0.25">
      <c r="B760" s="23" t="s">
        <v>3683</v>
      </c>
      <c r="C760" s="28" t="s">
        <v>493</v>
      </c>
      <c r="D760" s="155" t="s">
        <v>3924</v>
      </c>
      <c r="E760" s="178">
        <f>INDEX($G$760:$T$760,1,Inputs!$E$49-2022)</f>
        <v>2795.77304011877</v>
      </c>
      <c r="H760" s="30">
        <f>'Source Data'!H954</f>
        <v>324.68853378382698</v>
      </c>
      <c r="I760" s="30">
        <f>'Source Data'!I954</f>
        <v>408.34396465550901</v>
      </c>
      <c r="J760" s="30">
        <f>'Source Data'!J954</f>
        <v>506.80698846517299</v>
      </c>
      <c r="K760" s="30">
        <f>'Source Data'!K954</f>
        <v>649.55085015016004</v>
      </c>
      <c r="L760" s="30">
        <f>'Source Data'!L954</f>
        <v>814.25284499160398</v>
      </c>
      <c r="M760" s="30">
        <f>'Source Data'!M954</f>
        <v>1008.14474373164</v>
      </c>
      <c r="N760" s="30">
        <f>'Source Data'!N954</f>
        <v>1212.90839846532</v>
      </c>
      <c r="O760" s="30">
        <f>'Source Data'!O954</f>
        <v>1440.18648490131</v>
      </c>
      <c r="P760" s="30">
        <f>'Source Data'!P954</f>
        <v>1681.4441570812601</v>
      </c>
      <c r="Q760" s="30">
        <f>'Source Data'!Q954</f>
        <v>1947.45752738849</v>
      </c>
      <c r="R760" s="30">
        <f>'Source Data'!R954</f>
        <v>2227.24103436837</v>
      </c>
      <c r="S760" s="30">
        <f>'Source Data'!S954</f>
        <v>2505.71227526043</v>
      </c>
      <c r="T760" s="30">
        <f>'Source Data'!T954</f>
        <v>2795.77304011877</v>
      </c>
    </row>
    <row r="761" spans="2:20" x14ac:dyDescent="0.25">
      <c r="B761" s="23" t="s">
        <v>3685</v>
      </c>
      <c r="C761" s="28" t="s">
        <v>493</v>
      </c>
      <c r="D761" s="227" t="s">
        <v>4104</v>
      </c>
      <c r="E761" s="178">
        <f>INDEX($G$761:$T$761,1,Inputs!$E$49-2022)</f>
        <v>2870.2480366999621</v>
      </c>
      <c r="H761" s="30">
        <f>Financing!H105</f>
        <v>324.6885337838267</v>
      </c>
      <c r="I761" s="30">
        <f>Financing!I105</f>
        <v>401.1938772856434</v>
      </c>
      <c r="J761" s="30">
        <f>Financing!J105</f>
        <v>506.4245835114109</v>
      </c>
      <c r="K761" s="30">
        <f>Financing!K105</f>
        <v>694.97084771704954</v>
      </c>
      <c r="L761" s="30">
        <f>Financing!L105</f>
        <v>856.23188755849355</v>
      </c>
      <c r="M761" s="30">
        <f>Financing!M105</f>
        <v>1045.4204288635492</v>
      </c>
      <c r="N761" s="30">
        <f>Financing!N105</f>
        <v>1250.2308582979551</v>
      </c>
      <c r="O761" s="30">
        <f>Financing!O105</f>
        <v>1480.405637414658</v>
      </c>
      <c r="P761" s="30">
        <f>Financing!P105</f>
        <v>1726.7139194224596</v>
      </c>
      <c r="Q761" s="30">
        <f>Financing!Q105</f>
        <v>1998.7273918104072</v>
      </c>
      <c r="R761" s="30">
        <f>Financing!R105</f>
        <v>2285.4434733210064</v>
      </c>
      <c r="S761" s="30">
        <f>Financing!S105</f>
        <v>2571.7797611937858</v>
      </c>
      <c r="T761" s="30">
        <f>Financing!T105</f>
        <v>2870.2480366999621</v>
      </c>
    </row>
    <row r="762" spans="2:20" x14ac:dyDescent="0.25">
      <c r="B762" s="21" t="s">
        <v>3687</v>
      </c>
      <c r="C762" s="28" t="s">
        <v>493</v>
      </c>
      <c r="E762" s="228">
        <f>INDEX($G$762:$T$762,1,Inputs!$E$49-2022)</f>
        <v>74.474996580999999</v>
      </c>
      <c r="H762" s="229">
        <f t="shared" ref="H762:T762" si="113">ROUND(H761-H760,9)</f>
        <v>0</v>
      </c>
      <c r="I762" s="229">
        <f t="shared" si="113"/>
        <v>-7.1500873699999996</v>
      </c>
      <c r="J762" s="229">
        <f t="shared" si="113"/>
        <v>-0.38240495400000002</v>
      </c>
      <c r="K762" s="229">
        <f t="shared" si="113"/>
        <v>45.419997567000003</v>
      </c>
      <c r="L762" s="229">
        <f t="shared" si="113"/>
        <v>41.979042567</v>
      </c>
      <c r="M762" s="229">
        <f t="shared" si="113"/>
        <v>37.275685132</v>
      </c>
      <c r="N762" s="229">
        <f t="shared" si="113"/>
        <v>37.322459833000003</v>
      </c>
      <c r="O762" s="229">
        <f t="shared" si="113"/>
        <v>40.219152512999997</v>
      </c>
      <c r="P762" s="229">
        <f t="shared" si="113"/>
        <v>45.269762341000003</v>
      </c>
      <c r="Q762" s="229">
        <f t="shared" si="113"/>
        <v>51.269864421999998</v>
      </c>
      <c r="R762" s="229">
        <f t="shared" si="113"/>
        <v>58.202438952999998</v>
      </c>
      <c r="S762" s="229">
        <f t="shared" si="113"/>
        <v>66.067485933</v>
      </c>
      <c r="T762" s="229">
        <f t="shared" si="113"/>
        <v>74.474996580999999</v>
      </c>
    </row>
    <row r="763" spans="2:20" ht="27.75" customHeight="1" x14ac:dyDescent="0.25">
      <c r="B763" s="63" t="s">
        <v>3688</v>
      </c>
      <c r="G763" s="254" t="str">
        <f>"Without-SC11 FY"&amp;Inputs!$E$49&amp;": model "&amp;TEXT(E761,"#,##0.000")&amp;" vs v29 "&amp;TEXT(E760,"#,##0.000")&amp;" (difference "&amp;TEXT(ROUND(E762,3),"+#,##0.000;-#,##0.000;0.000")&amp;")"&amp;IF(ABS(E762)&lt;=Inputs!$E$50," - matches v29.",IF(LEFT(E759,19)="Differs - requested"," - due to the requested change: "&amp;MID(E759,29,200),IF($E$21&gt;0," - differs because inputs / switches were changed."," - UNEXPLAINED: no input was changed.")))</f>
        <v>Without-SC11 FY2036: model 2,870.248 vs v29 2,795.773 (difference +74.475) - due to the requested change: LT loan repaid in 2027 (not 2025); new equity = residual funding requirement (not the v29 schedule) (and inputs changed)</v>
      </c>
      <c r="H763" s="254"/>
      <c r="I763" s="254"/>
      <c r="J763" s="254"/>
      <c r="K763" s="254"/>
      <c r="L763" s="254"/>
      <c r="M763" s="254"/>
      <c r="N763" s="254"/>
      <c r="O763" s="254"/>
      <c r="P763" s="254"/>
      <c r="Q763" s="254"/>
      <c r="R763" s="254"/>
      <c r="S763" s="254"/>
      <c r="T763" s="254"/>
    </row>
    <row r="764" spans="2:20" x14ac:dyDescent="0.25">
      <c r="B764" s="221" t="s">
        <v>4105</v>
      </c>
      <c r="D764" s="218">
        <f>'Source Data'!$E$941</f>
        <v>1.5669212373866499</v>
      </c>
      <c r="E764" s="218">
        <f>'FSL Output - Without BUMN'!$E$252</f>
        <v>1.2795930027961735</v>
      </c>
      <c r="F764" s="233">
        <f>IF(ISNUMBER(E764),E764-D764,"n/a")</f>
        <v>-0.28732823459047641</v>
      </c>
      <c r="G764" s="135" t="str">
        <f>IF(ISNUMBER(F764),IF(ABS(F764)&lt;0.000001,"Reproduced","Differs"),"n/a - no IRR solution for these cash flows")</f>
        <v>Differs</v>
      </c>
    </row>
    <row r="765" spans="2:20" x14ac:dyDescent="0.25">
      <c r="B765" s="221" t="s">
        <v>4106</v>
      </c>
      <c r="D765" s="182">
        <f>'Source Data'!$E$942</f>
        <v>3.7752819772348798</v>
      </c>
      <c r="E765" s="182">
        <f>'FSL Output - Without BUMN'!$E$253</f>
        <v>4.0729056763505422</v>
      </c>
      <c r="F765" s="233">
        <f>IF(ISNUMBER(E765),E765-D765,"n/a")</f>
        <v>0.29762369911566244</v>
      </c>
      <c r="G765" s="135" t="str">
        <f>IF(ISNUMBER(F765),IF(ABS(F765)&lt;0.000001,"Reproduced","Differs"),"n/a - no IRR solution for these cash flows")</f>
        <v>Differs</v>
      </c>
    </row>
    <row r="767" spans="2:20" x14ac:dyDescent="0.25">
      <c r="B767" s="154" t="s">
        <v>4107</v>
      </c>
    </row>
    <row r="768" spans="2:20" x14ac:dyDescent="0.25">
      <c r="B768" s="70" t="s">
        <v>3939</v>
      </c>
      <c r="E768" s="135" t="str">
        <f>E484</f>
        <v>Differs - inputs changed</v>
      </c>
      <c r="F768" s="178">
        <f>F484</f>
        <v>48.195</v>
      </c>
      <c r="G768" s="234">
        <f>G484</f>
        <v>48.195</v>
      </c>
      <c r="H768" s="22" t="s">
        <v>3929</v>
      </c>
    </row>
    <row r="769" spans="2:8" x14ac:dyDescent="0.25">
      <c r="B769" s="70" t="s">
        <v>3942</v>
      </c>
      <c r="E769" s="135" t="str">
        <f>E489</f>
        <v>Differs - inputs changed</v>
      </c>
      <c r="F769" s="178">
        <f>F489</f>
        <v>18.88775</v>
      </c>
      <c r="G769" s="234">
        <f>G489</f>
        <v>18.88775</v>
      </c>
      <c r="H769" s="22" t="s">
        <v>3929</v>
      </c>
    </row>
    <row r="770" spans="2:8" x14ac:dyDescent="0.25">
      <c r="B770" s="70" t="s">
        <v>3945</v>
      </c>
      <c r="E770" s="135" t="str">
        <f>E494</f>
        <v>Differs - inputs changed</v>
      </c>
      <c r="F770" s="178">
        <f>F494</f>
        <v>29.30725</v>
      </c>
      <c r="G770" s="234">
        <f>G494</f>
        <v>29.30725</v>
      </c>
      <c r="H770" s="22" t="s">
        <v>3929</v>
      </c>
    </row>
    <row r="771" spans="2:8" x14ac:dyDescent="0.25">
      <c r="B771" s="70" t="s">
        <v>3948</v>
      </c>
      <c r="E771" s="135" t="str">
        <f>E499</f>
        <v>Differs - inputs changed</v>
      </c>
      <c r="F771" s="178">
        <f>F499</f>
        <v>2.5</v>
      </c>
      <c r="G771" s="234">
        <f>G499</f>
        <v>2.5</v>
      </c>
      <c r="H771" s="22" t="s">
        <v>3929</v>
      </c>
    </row>
    <row r="772" spans="2:8" x14ac:dyDescent="0.25">
      <c r="B772" s="70" t="s">
        <v>3951</v>
      </c>
      <c r="E772" s="135" t="str">
        <f>E504</f>
        <v>Differs - inputs changed</v>
      </c>
      <c r="F772" s="178">
        <f>F504</f>
        <v>26.80725</v>
      </c>
      <c r="G772" s="234">
        <f>G504</f>
        <v>26.80725</v>
      </c>
      <c r="H772" s="22" t="s">
        <v>3929</v>
      </c>
    </row>
    <row r="773" spans="2:8" x14ac:dyDescent="0.25">
      <c r="B773" s="70" t="s">
        <v>3954</v>
      </c>
      <c r="E773" s="135" t="str">
        <f>E509</f>
        <v>Differs - inputs changed</v>
      </c>
      <c r="F773" s="178">
        <f>F509</f>
        <v>11.408878850000001</v>
      </c>
      <c r="G773" s="234">
        <f>G509</f>
        <v>11.408878850000001</v>
      </c>
      <c r="H773" s="22" t="s">
        <v>3929</v>
      </c>
    </row>
    <row r="774" spans="2:8" x14ac:dyDescent="0.25">
      <c r="B774" s="70" t="s">
        <v>3957</v>
      </c>
      <c r="E774" s="135" t="str">
        <f>E514</f>
        <v>Differs - inputs changed</v>
      </c>
      <c r="F774" s="178">
        <f>F514</f>
        <v>15.42954295</v>
      </c>
      <c r="G774" s="234">
        <f>G514</f>
        <v>15.42954295</v>
      </c>
      <c r="H774" s="22" t="s">
        <v>3929</v>
      </c>
    </row>
    <row r="775" spans="2:8" ht="24.75" customHeight="1" x14ac:dyDescent="0.25">
      <c r="B775" s="70" t="s">
        <v>3960</v>
      </c>
      <c r="E775" s="212" t="str">
        <f>E519</f>
        <v>Differs - requested change: LT loan repaid in 2027 (not 2025);  (and inputs changed)</v>
      </c>
      <c r="F775" s="178">
        <f>F519</f>
        <v>15.273450177999999</v>
      </c>
      <c r="G775" s="234">
        <f>G519</f>
        <v>0</v>
      </c>
      <c r="H775" s="22" t="s">
        <v>3929</v>
      </c>
    </row>
    <row r="776" spans="2:8" ht="24.75" customHeight="1" x14ac:dyDescent="0.25">
      <c r="B776" s="70" t="s">
        <v>3963</v>
      </c>
      <c r="E776" s="212" t="str">
        <f>E524</f>
        <v>Differs - requested change: LT loan repaid in 2027 (not 2025);  (and inputs changed)</v>
      </c>
      <c r="F776" s="178">
        <f>F524</f>
        <v>15.398371149999999</v>
      </c>
      <c r="G776" s="234">
        <f>G524</f>
        <v>0</v>
      </c>
      <c r="H776" s="22" t="s">
        <v>3929</v>
      </c>
    </row>
    <row r="777" spans="2:8" ht="24.75" customHeight="1" x14ac:dyDescent="0.25">
      <c r="B777" s="70" t="s">
        <v>3966</v>
      </c>
      <c r="E777" s="212" t="str">
        <f>E529</f>
        <v>Differs - requested change: LT loan repaid in 2027 (not 2025);  (and inputs changed)</v>
      </c>
      <c r="F777" s="178">
        <f>F529</f>
        <v>3.3876416530000002</v>
      </c>
      <c r="G777" s="234">
        <f>G529</f>
        <v>0</v>
      </c>
      <c r="H777" s="22" t="s">
        <v>3929</v>
      </c>
    </row>
    <row r="778" spans="2:8" ht="24.75" customHeight="1" x14ac:dyDescent="0.25">
      <c r="B778" s="70" t="s">
        <v>3969</v>
      </c>
      <c r="E778" s="212" t="str">
        <f>E534</f>
        <v>Differs - requested change: LT loan repaid in 2027 (not 2025);  (and inputs changed)</v>
      </c>
      <c r="F778" s="178">
        <f>F534</f>
        <v>12.340568859999999</v>
      </c>
      <c r="G778" s="234">
        <f>G534</f>
        <v>0</v>
      </c>
      <c r="H778" s="22" t="s">
        <v>3929</v>
      </c>
    </row>
    <row r="779" spans="2:8" ht="24.75" customHeight="1" x14ac:dyDescent="0.25">
      <c r="B779" s="70" t="s">
        <v>3972</v>
      </c>
      <c r="E779" s="212" t="str">
        <f>E539</f>
        <v>Differs - requested change: LT loan repaid in 2027 (not 2025);  (and inputs changed)</v>
      </c>
      <c r="F779" s="178">
        <f>F539</f>
        <v>12.340568859999999</v>
      </c>
      <c r="G779" s="234">
        <f>G539</f>
        <v>0</v>
      </c>
      <c r="H779" s="22" t="s">
        <v>3929</v>
      </c>
    </row>
    <row r="780" spans="2:8" x14ac:dyDescent="0.25">
      <c r="B780" s="70" t="s">
        <v>3975</v>
      </c>
      <c r="E780" s="135" t="str">
        <f>E544</f>
        <v>Differs - inputs changed</v>
      </c>
      <c r="F780" s="178">
        <f>F544</f>
        <v>11.408878850000001</v>
      </c>
      <c r="G780" s="234">
        <f>G544</f>
        <v>11.408878850000001</v>
      </c>
      <c r="H780" s="22" t="s">
        <v>3929</v>
      </c>
    </row>
    <row r="781" spans="2:8" x14ac:dyDescent="0.25">
      <c r="B781" s="70" t="s">
        <v>3978</v>
      </c>
      <c r="E781" s="135" t="str">
        <f>E549</f>
        <v>Differs - inputs changed</v>
      </c>
      <c r="F781" s="178">
        <f>F549</f>
        <v>2.5718013700000002</v>
      </c>
      <c r="G781" s="234">
        <f>G549</f>
        <v>2.5718013700000002</v>
      </c>
      <c r="H781" s="22" t="s">
        <v>3929</v>
      </c>
    </row>
    <row r="782" spans="2:8" ht="24.75" customHeight="1" x14ac:dyDescent="0.25">
      <c r="B782" s="70" t="s">
        <v>3981</v>
      </c>
      <c r="E782" s="212" t="str">
        <f>E554</f>
        <v>Differs - requested change: LT loan repaid in 2027 (not 2025);  (and inputs changed)</v>
      </c>
      <c r="F782" s="178">
        <f>F554</f>
        <v>23.431601328999999</v>
      </c>
      <c r="G782" s="234">
        <f>G554</f>
        <v>0</v>
      </c>
      <c r="H782" s="22" t="s">
        <v>3929</v>
      </c>
    </row>
    <row r="783" spans="2:8" x14ac:dyDescent="0.25">
      <c r="B783" s="70" t="s">
        <v>3984</v>
      </c>
      <c r="E783" s="135" t="str">
        <f>E559</f>
        <v>Matches v29</v>
      </c>
      <c r="F783" s="178">
        <f>F559</f>
        <v>0</v>
      </c>
      <c r="G783" s="234">
        <f>G559</f>
        <v>0</v>
      </c>
      <c r="H783" s="22" t="s">
        <v>3929</v>
      </c>
    </row>
    <row r="784" spans="2:8" x14ac:dyDescent="0.25">
      <c r="B784" s="70" t="s">
        <v>3986</v>
      </c>
      <c r="E784" s="135" t="str">
        <f>E564</f>
        <v>Differs - inputs changed</v>
      </c>
      <c r="F784" s="178">
        <f>F564</f>
        <v>97.59</v>
      </c>
      <c r="G784" s="234">
        <f>G564</f>
        <v>97.59</v>
      </c>
      <c r="H784" s="22" t="s">
        <v>3929</v>
      </c>
    </row>
    <row r="785" spans="2:8" x14ac:dyDescent="0.25">
      <c r="B785" s="70" t="s">
        <v>3989</v>
      </c>
      <c r="E785" s="135" t="str">
        <f>E569</f>
        <v>Differs - inputs changed</v>
      </c>
      <c r="F785" s="178">
        <f>F569</f>
        <v>97.59</v>
      </c>
      <c r="G785" s="234">
        <f>G569</f>
        <v>97.59</v>
      </c>
      <c r="H785" s="22" t="s">
        <v>3929</v>
      </c>
    </row>
    <row r="786" spans="2:8" ht="47.25" customHeight="1" x14ac:dyDescent="0.25">
      <c r="B786" s="70" t="s">
        <v>3992</v>
      </c>
      <c r="E786" s="212" t="str">
        <f>E574</f>
        <v>Differs - requested change: LT loan repaid in 2027 (not 2025); new equity = residual funding requirement (not the v29 schedule) (and inputs changed)</v>
      </c>
      <c r="F786" s="178">
        <f>F574</f>
        <v>419.77202976199999</v>
      </c>
      <c r="G786" s="234">
        <f>G574</f>
        <v>0</v>
      </c>
      <c r="H786" s="22" t="s">
        <v>3929</v>
      </c>
    </row>
    <row r="787" spans="2:8" ht="24.75" customHeight="1" x14ac:dyDescent="0.25">
      <c r="B787" s="70" t="s">
        <v>3995</v>
      </c>
      <c r="E787" s="212" t="str">
        <f>E579</f>
        <v>Differs - requested change: LT loan repaid in 2027 (not 2025);  (and inputs changed)</v>
      </c>
      <c r="F787" s="178">
        <f>F579</f>
        <v>195.18</v>
      </c>
      <c r="G787" s="234">
        <f>G579</f>
        <v>0</v>
      </c>
      <c r="H787" s="22" t="s">
        <v>3929</v>
      </c>
    </row>
    <row r="788" spans="2:8" ht="47.25" customHeight="1" x14ac:dyDescent="0.25">
      <c r="B788" s="70" t="s">
        <v>3998</v>
      </c>
      <c r="E788" s="212" t="str">
        <f>E584</f>
        <v>Differs - requested change: LT loan repaid in 2027 (not 2025); new equity = residual funding requirement (not the v29 schedule) (and inputs changed)</v>
      </c>
      <c r="F788" s="178">
        <f>F584</f>
        <v>51.921972283999999</v>
      </c>
      <c r="G788" s="234">
        <f>G584</f>
        <v>0</v>
      </c>
      <c r="H788" s="22" t="s">
        <v>3929</v>
      </c>
    </row>
    <row r="789" spans="2:8" ht="47.25" customHeight="1" x14ac:dyDescent="0.25">
      <c r="B789" s="70" t="s">
        <v>4001</v>
      </c>
      <c r="E789" s="212" t="str">
        <f>E589</f>
        <v>Differs - requested change: LT loan repaid in 2027 (not 2025); new equity = residual funding requirement (not the v29 schedule) (and inputs changed)</v>
      </c>
      <c r="F789" s="178">
        <f>F589</f>
        <v>400.66377848600001</v>
      </c>
      <c r="G789" s="234">
        <f>G589</f>
        <v>0</v>
      </c>
      <c r="H789" s="22" t="s">
        <v>3929</v>
      </c>
    </row>
    <row r="790" spans="2:8" ht="47.25" customHeight="1" x14ac:dyDescent="0.25">
      <c r="B790" s="70" t="s">
        <v>4004</v>
      </c>
      <c r="E790" s="212" t="str">
        <f>E594</f>
        <v>Differs - requested change: LT loan repaid in 2027 (not 2025); new equity = residual funding requirement (not the v29 schedule) (and inputs changed)</v>
      </c>
      <c r="F790" s="178">
        <f>F594</f>
        <v>413.00434734599997</v>
      </c>
      <c r="G790" s="234">
        <f>G594</f>
        <v>0</v>
      </c>
      <c r="H790" s="22" t="s">
        <v>3929</v>
      </c>
    </row>
    <row r="791" spans="2:8" ht="47.25" customHeight="1" x14ac:dyDescent="0.25">
      <c r="B791" s="70" t="s">
        <v>4007</v>
      </c>
      <c r="E791" s="212" t="str">
        <f>E599</f>
        <v>Differs - requested change: LT loan repaid in 2027 (not 2025); new equity = residual funding requirement (not the v29 schedule) (and inputs changed)</v>
      </c>
      <c r="F791" s="178">
        <f>F599</f>
        <v>542.45640811700002</v>
      </c>
      <c r="G791" s="234">
        <f>G599</f>
        <v>0</v>
      </c>
      <c r="H791" s="22" t="s">
        <v>3929</v>
      </c>
    </row>
    <row r="792" spans="2:8" ht="47.25" customHeight="1" x14ac:dyDescent="0.25">
      <c r="B792" s="70" t="s">
        <v>4010</v>
      </c>
      <c r="E792" s="212" t="str">
        <f>E604</f>
        <v>Differs - requested change: LT loan repaid in 2027 (not 2025); new equity = residual funding requirement (not the v29 schedule) (and inputs changed)</v>
      </c>
      <c r="F792" s="178">
        <f>F604</f>
        <v>542.45640811700002</v>
      </c>
      <c r="G792" s="234">
        <f>G604</f>
        <v>0</v>
      </c>
      <c r="H792" s="22" t="s">
        <v>3929</v>
      </c>
    </row>
    <row r="793" spans="2:8" x14ac:dyDescent="0.25">
      <c r="B793" s="70" t="s">
        <v>4013</v>
      </c>
      <c r="E793" s="135" t="str">
        <f>E609</f>
        <v>Matches v29</v>
      </c>
      <c r="F793" s="178">
        <f>F609</f>
        <v>0</v>
      </c>
      <c r="G793" s="234">
        <f>G609</f>
        <v>0</v>
      </c>
      <c r="H793" s="22" t="s">
        <v>3929</v>
      </c>
    </row>
    <row r="794" spans="2:8" x14ac:dyDescent="0.25">
      <c r="B794" s="70" t="s">
        <v>4016</v>
      </c>
      <c r="E794" s="135" t="str">
        <f>E614</f>
        <v>Differs - inputs changed</v>
      </c>
      <c r="F794" s="178">
        <f>F614</f>
        <v>5.9418493149999998</v>
      </c>
      <c r="G794" s="234">
        <f>G614</f>
        <v>5.9418493149999998</v>
      </c>
      <c r="H794" s="22" t="s">
        <v>3929</v>
      </c>
    </row>
    <row r="795" spans="2:8" x14ac:dyDescent="0.25">
      <c r="B795" s="70" t="s">
        <v>4019</v>
      </c>
      <c r="E795" s="135" t="str">
        <f>E619</f>
        <v>Differs - inputs changed</v>
      </c>
      <c r="F795" s="178">
        <f>F619</f>
        <v>162.65</v>
      </c>
      <c r="G795" s="234">
        <f>G619</f>
        <v>162.65</v>
      </c>
      <c r="H795" s="22" t="s">
        <v>3929</v>
      </c>
    </row>
    <row r="796" spans="2:8" x14ac:dyDescent="0.25">
      <c r="B796" s="70" t="s">
        <v>4022</v>
      </c>
      <c r="E796" s="135" t="str">
        <f>E624</f>
        <v>Matches v29</v>
      </c>
      <c r="F796" s="178">
        <f>F624</f>
        <v>0</v>
      </c>
      <c r="G796" s="234">
        <f>G624</f>
        <v>0</v>
      </c>
      <c r="H796" s="22" t="s">
        <v>3929</v>
      </c>
    </row>
    <row r="797" spans="2:8" ht="47.25" customHeight="1" x14ac:dyDescent="0.25">
      <c r="B797" s="70" t="s">
        <v>4025</v>
      </c>
      <c r="E797" s="212" t="str">
        <f>E629</f>
        <v>Differs - requested change: LT loan repaid in 2027 (not 2025); new equity = residual funding requirement (not the v29 schedule) (and inputs changed)</v>
      </c>
      <c r="F797" s="178">
        <f>F629</f>
        <v>435.49054694300003</v>
      </c>
      <c r="G797" s="234">
        <f>G629</f>
        <v>0</v>
      </c>
      <c r="H797" s="22" t="s">
        <v>3929</v>
      </c>
    </row>
    <row r="798" spans="2:8" x14ac:dyDescent="0.25">
      <c r="B798" s="70" t="s">
        <v>4028</v>
      </c>
      <c r="E798" s="135" t="str">
        <f>E634</f>
        <v>Differs - inputs changed</v>
      </c>
      <c r="F798" s="178">
        <f>F634</f>
        <v>1.552417808</v>
      </c>
      <c r="G798" s="234">
        <f>G634</f>
        <v>1.552417808</v>
      </c>
      <c r="H798" s="22" t="s">
        <v>3929</v>
      </c>
    </row>
    <row r="799" spans="2:8" ht="24.75" customHeight="1" x14ac:dyDescent="0.25">
      <c r="B799" s="70" t="s">
        <v>4031</v>
      </c>
      <c r="E799" s="212" t="str">
        <f>E639</f>
        <v>Differs - requested change: LT loan repaid in 2027 (not 2025);  (and inputs changed)</v>
      </c>
      <c r="F799" s="178">
        <f>F639</f>
        <v>195.18</v>
      </c>
      <c r="G799" s="234">
        <f>G639</f>
        <v>0</v>
      </c>
      <c r="H799" s="22" t="s">
        <v>3929</v>
      </c>
    </row>
    <row r="800" spans="2:8" x14ac:dyDescent="0.25">
      <c r="B800" s="70" t="s">
        <v>4034</v>
      </c>
      <c r="E800" s="135" t="str">
        <f>E644</f>
        <v>Matches v29</v>
      </c>
      <c r="F800" s="178">
        <f>F644</f>
        <v>0</v>
      </c>
      <c r="G800" s="234">
        <f>G644</f>
        <v>0</v>
      </c>
      <c r="H800" s="22" t="s">
        <v>3929</v>
      </c>
    </row>
    <row r="801" spans="2:8" ht="24.75" customHeight="1" x14ac:dyDescent="0.25">
      <c r="B801" s="70" t="s">
        <v>4037</v>
      </c>
      <c r="E801" s="212" t="str">
        <f>E649</f>
        <v>Differs - requested change: LT loan repaid in 2027 (not 2025);  (and inputs changed)</v>
      </c>
      <c r="F801" s="178">
        <f>F649</f>
        <v>195.18</v>
      </c>
      <c r="G801" s="234">
        <f>G649</f>
        <v>0</v>
      </c>
      <c r="H801" s="22" t="s">
        <v>3929</v>
      </c>
    </row>
    <row r="802" spans="2:8" ht="47.25" customHeight="1" x14ac:dyDescent="0.25">
      <c r="B802" s="70" t="s">
        <v>4040</v>
      </c>
      <c r="E802" s="212" t="str">
        <f>E654</f>
        <v>Differs - requested change: LT loan repaid in 2027 (not 2025); new equity = residual funding requirement (not the v29 schedule) (and inputs changed)</v>
      </c>
      <c r="F802" s="178">
        <f>F654</f>
        <v>503.110450684</v>
      </c>
      <c r="G802" s="234">
        <f>G654</f>
        <v>0</v>
      </c>
      <c r="H802" s="22" t="s">
        <v>3929</v>
      </c>
    </row>
    <row r="803" spans="2:8" ht="47.25" customHeight="1" x14ac:dyDescent="0.25">
      <c r="B803" s="70" t="s">
        <v>4043</v>
      </c>
      <c r="E803" s="212" t="str">
        <f>E659</f>
        <v>Differs - requested change: LT loan repaid in 2027 (not 2025); new equity = residual funding requirement (not the v29 schedule) (and inputs changed)</v>
      </c>
      <c r="F803" s="178">
        <f>F659</f>
        <v>74.474996580999999</v>
      </c>
      <c r="G803" s="234">
        <f>G659</f>
        <v>0</v>
      </c>
      <c r="H803" s="22" t="s">
        <v>3929</v>
      </c>
    </row>
    <row r="804" spans="2:8" ht="47.25" customHeight="1" x14ac:dyDescent="0.25">
      <c r="B804" s="70" t="s">
        <v>4046</v>
      </c>
      <c r="E804" s="212" t="str">
        <f>E664</f>
        <v>Differs - requested change: LT loan repaid in 2027 (not 2025); new equity = residual funding requirement (not the v29 schedule) (and inputs changed)</v>
      </c>
      <c r="F804" s="178">
        <f>F664</f>
        <v>465.83476555200002</v>
      </c>
      <c r="G804" s="234">
        <f>G664</f>
        <v>0</v>
      </c>
      <c r="H804" s="22" t="s">
        <v>3929</v>
      </c>
    </row>
    <row r="805" spans="2:8" x14ac:dyDescent="0.25">
      <c r="B805" s="70" t="s">
        <v>4049</v>
      </c>
      <c r="E805" s="135" t="str">
        <f>E669</f>
        <v>Matches v29</v>
      </c>
      <c r="F805" s="178">
        <f>F669</f>
        <v>0</v>
      </c>
      <c r="G805" s="234">
        <f>G669</f>
        <v>0</v>
      </c>
      <c r="H805" s="22" t="s">
        <v>3929</v>
      </c>
    </row>
    <row r="806" spans="2:8" x14ac:dyDescent="0.25">
      <c r="B806" s="70" t="s">
        <v>4052</v>
      </c>
      <c r="E806" s="135" t="str">
        <f>E674</f>
        <v>Differs - inputs changed</v>
      </c>
      <c r="F806" s="178">
        <f>F674</f>
        <v>15.42954295</v>
      </c>
      <c r="G806" s="234">
        <f>G674</f>
        <v>15.42954295</v>
      </c>
      <c r="H806" s="22" t="s">
        <v>3929</v>
      </c>
    </row>
    <row r="807" spans="2:8" x14ac:dyDescent="0.25">
      <c r="B807" s="70" t="s">
        <v>4055</v>
      </c>
      <c r="E807" s="135" t="str">
        <f>E679</f>
        <v>Differs - inputs changed</v>
      </c>
      <c r="F807" s="178">
        <f>F679</f>
        <v>3.394499449</v>
      </c>
      <c r="G807" s="234">
        <f>G679</f>
        <v>3.394499449</v>
      </c>
      <c r="H807" s="22" t="s">
        <v>3929</v>
      </c>
    </row>
    <row r="808" spans="2:8" x14ac:dyDescent="0.25">
      <c r="B808" s="70" t="s">
        <v>4058</v>
      </c>
      <c r="E808" s="135" t="str">
        <f>E684</f>
        <v>Differs - inputs changed</v>
      </c>
      <c r="F808" s="178">
        <f>F684</f>
        <v>11.408878850000001</v>
      </c>
      <c r="G808" s="234">
        <f>G684</f>
        <v>11.408878850000001</v>
      </c>
      <c r="H808" s="22" t="s">
        <v>3929</v>
      </c>
    </row>
    <row r="809" spans="2:8" x14ac:dyDescent="0.25">
      <c r="B809" s="70" t="s">
        <v>4061</v>
      </c>
      <c r="E809" s="135" t="str">
        <f>E689</f>
        <v>Differs - inputs changed</v>
      </c>
      <c r="F809" s="178">
        <f>F689</f>
        <v>97.59</v>
      </c>
      <c r="G809" s="234">
        <f>G689</f>
        <v>97.59</v>
      </c>
      <c r="H809" s="22" t="s">
        <v>3929</v>
      </c>
    </row>
    <row r="810" spans="2:8" x14ac:dyDescent="0.25">
      <c r="B810" s="70" t="s">
        <v>4064</v>
      </c>
      <c r="E810" s="135" t="str">
        <f>E694</f>
        <v>Differs - inputs changed</v>
      </c>
      <c r="F810" s="178">
        <f>F694</f>
        <v>2.5718013700000002</v>
      </c>
      <c r="G810" s="234">
        <f>G694</f>
        <v>2.5718013700000002</v>
      </c>
      <c r="H810" s="22" t="s">
        <v>3929</v>
      </c>
    </row>
    <row r="811" spans="2:8" x14ac:dyDescent="0.25">
      <c r="B811" s="70" t="s">
        <v>4067</v>
      </c>
      <c r="E811" s="135" t="str">
        <f>E699</f>
        <v>Differs - inputs changed</v>
      </c>
      <c r="F811" s="178">
        <f>F699</f>
        <v>98.76</v>
      </c>
      <c r="G811" s="234">
        <f>G699</f>
        <v>98.76</v>
      </c>
      <c r="H811" s="22" t="s">
        <v>3929</v>
      </c>
    </row>
    <row r="812" spans="2:8" x14ac:dyDescent="0.25">
      <c r="B812" s="70" t="s">
        <v>4070</v>
      </c>
      <c r="E812" s="135" t="str">
        <f>E704</f>
        <v>Differs - inputs changed</v>
      </c>
      <c r="F812" s="178">
        <f>F704</f>
        <v>163.82</v>
      </c>
      <c r="G812" s="234">
        <f>G704</f>
        <v>163.82</v>
      </c>
      <c r="H812" s="22" t="s">
        <v>3929</v>
      </c>
    </row>
    <row r="813" spans="2:8" x14ac:dyDescent="0.25">
      <c r="B813" s="70" t="s">
        <v>4073</v>
      </c>
      <c r="E813" s="135" t="str">
        <f>E709</f>
        <v>Differs - inputs changed</v>
      </c>
      <c r="F813" s="178">
        <f>F709</f>
        <v>4.3894315070000003</v>
      </c>
      <c r="G813" s="234">
        <f>G709</f>
        <v>4.3894315070000003</v>
      </c>
      <c r="H813" s="22" t="s">
        <v>3929</v>
      </c>
    </row>
    <row r="814" spans="2:8" x14ac:dyDescent="0.25">
      <c r="B814" s="70" t="s">
        <v>4076</v>
      </c>
      <c r="E814" s="135" t="str">
        <f>E714</f>
        <v>Differs - inputs changed</v>
      </c>
      <c r="F814" s="178">
        <f>F714</f>
        <v>97.59</v>
      </c>
      <c r="G814" s="234">
        <f>G714</f>
        <v>97.59</v>
      </c>
      <c r="H814" s="22" t="s">
        <v>3929</v>
      </c>
    </row>
    <row r="815" spans="2:8" ht="47.25" customHeight="1" x14ac:dyDescent="0.25">
      <c r="B815" s="70" t="s">
        <v>4079</v>
      </c>
      <c r="E815" s="212" t="str">
        <f>E719</f>
        <v>Differs - requested change: LT loan repaid in 2027 (not 2025); new equity = residual funding requirement (not the v29 schedule) (and inputs changed)</v>
      </c>
      <c r="F815" s="178">
        <f>F719</f>
        <v>419.77202976199999</v>
      </c>
      <c r="G815" s="234">
        <f>G719</f>
        <v>0</v>
      </c>
      <c r="H815" s="22" t="s">
        <v>3929</v>
      </c>
    </row>
    <row r="816" spans="2:8" ht="24.75" customHeight="1" x14ac:dyDescent="0.25">
      <c r="B816" s="70" t="s">
        <v>4082</v>
      </c>
      <c r="E816" s="212" t="str">
        <f>E724</f>
        <v>Differs - requested change: LT loan repaid in 2027 (not 2025);  (and inputs changed)</v>
      </c>
      <c r="F816" s="178">
        <f>F724</f>
        <v>195.18</v>
      </c>
      <c r="G816" s="234">
        <f>G724</f>
        <v>0</v>
      </c>
      <c r="H816" s="22" t="s">
        <v>3929</v>
      </c>
    </row>
    <row r="817" spans="2:20" x14ac:dyDescent="0.25">
      <c r="B817" s="70" t="s">
        <v>4084</v>
      </c>
      <c r="E817" s="135" t="str">
        <f>E729</f>
        <v>Matches v29</v>
      </c>
      <c r="F817" s="178">
        <f>F729</f>
        <v>0</v>
      </c>
      <c r="G817" s="234">
        <f>G729</f>
        <v>0</v>
      </c>
      <c r="H817" s="22" t="s">
        <v>3929</v>
      </c>
    </row>
    <row r="818" spans="2:20" ht="24.75" customHeight="1" x14ac:dyDescent="0.25">
      <c r="B818" s="70" t="s">
        <v>4087</v>
      </c>
      <c r="E818" s="212" t="str">
        <f>E734</f>
        <v>Differs - requested change: LT loan repaid in 2027 (not 2025);  (and inputs changed)</v>
      </c>
      <c r="F818" s="178">
        <f>F734</f>
        <v>12.340568859999999</v>
      </c>
      <c r="G818" s="234">
        <f>G734</f>
        <v>0</v>
      </c>
      <c r="H818" s="22" t="s">
        <v>3929</v>
      </c>
    </row>
    <row r="819" spans="2:20" ht="24.75" customHeight="1" x14ac:dyDescent="0.25">
      <c r="B819" s="70" t="s">
        <v>4090</v>
      </c>
      <c r="E819" s="212" t="str">
        <f>E739</f>
        <v>Differs - requested change: LT loan repaid in 2027 (not 2025);  (and inputs changed)</v>
      </c>
      <c r="F819" s="178">
        <f>F739</f>
        <v>3.702170658</v>
      </c>
      <c r="G819" s="234">
        <f>G739</f>
        <v>0</v>
      </c>
      <c r="H819" s="22" t="s">
        <v>3929</v>
      </c>
    </row>
    <row r="820" spans="2:20" ht="24.75" customHeight="1" x14ac:dyDescent="0.25">
      <c r="B820" s="70" t="s">
        <v>4093</v>
      </c>
      <c r="E820" s="212" t="str">
        <f>E744</f>
        <v>Differs - requested change: LT loan repaid in 2027 (not 2025);  (and inputs changed)</v>
      </c>
      <c r="F820" s="178">
        <f>F744</f>
        <v>30.094870672999999</v>
      </c>
      <c r="G820" s="234">
        <f>G744</f>
        <v>0</v>
      </c>
      <c r="H820" s="22" t="s">
        <v>3929</v>
      </c>
    </row>
    <row r="821" spans="2:20" ht="47.25" customHeight="1" x14ac:dyDescent="0.25">
      <c r="B821" s="70" t="s">
        <v>4096</v>
      </c>
      <c r="E821" s="212" t="str">
        <f>E749</f>
        <v>Differs - requested change: LT loan repaid in 2027 (not 2025); new equity = residual funding requirement (not the v29 schedule) (and inputs changed)</v>
      </c>
      <c r="F821" s="178">
        <f>F749</f>
        <v>543.93110311700002</v>
      </c>
      <c r="G821" s="234">
        <f>G749</f>
        <v>0</v>
      </c>
      <c r="H821" s="22" t="s">
        <v>3929</v>
      </c>
    </row>
    <row r="822" spans="2:20" ht="47.25" customHeight="1" x14ac:dyDescent="0.25">
      <c r="B822" s="70" t="s">
        <v>4099</v>
      </c>
      <c r="E822" s="212" t="str">
        <f>E754</f>
        <v>Differs - requested change: LT loan repaid in 2027 (not 2025); new equity = residual funding requirement (not the v29 schedule) (and inputs changed)</v>
      </c>
      <c r="F822" s="178">
        <f>F754</f>
        <v>51.921972283999999</v>
      </c>
      <c r="G822" s="234">
        <f>G754</f>
        <v>0</v>
      </c>
      <c r="H822" s="22" t="s">
        <v>3929</v>
      </c>
    </row>
    <row r="823" spans="2:20" ht="47.25" customHeight="1" x14ac:dyDescent="0.25">
      <c r="B823" s="70" t="s">
        <v>4102</v>
      </c>
      <c r="E823" s="212" t="str">
        <f>E759</f>
        <v>Differs - requested change: LT loan repaid in 2027 (not 2025); new equity = residual funding requirement (not the v29 schedule) (and inputs changed)</v>
      </c>
      <c r="F823" s="178">
        <f>F759</f>
        <v>74.474996580999999</v>
      </c>
      <c r="G823" s="234">
        <f>G759</f>
        <v>0</v>
      </c>
      <c r="H823" s="22" t="s">
        <v>3929</v>
      </c>
    </row>
    <row r="824" spans="2:20" x14ac:dyDescent="0.25">
      <c r="B824" s="23" t="s">
        <v>4108</v>
      </c>
      <c r="C824" s="28" t="s">
        <v>3931</v>
      </c>
      <c r="E824" s="45">
        <f>COUNTIF(E768:E823,"Matches v29")</f>
        <v>6</v>
      </c>
    </row>
    <row r="825" spans="2:20" x14ac:dyDescent="0.25">
      <c r="B825" s="23" t="s">
        <v>4109</v>
      </c>
      <c r="C825" s="28" t="s">
        <v>3931</v>
      </c>
      <c r="E825" s="45">
        <f>COUNTIF(E768:E823,"Differs - requested*")</f>
        <v>27</v>
      </c>
    </row>
    <row r="826" spans="2:20" x14ac:dyDescent="0.25">
      <c r="B826" s="23" t="s">
        <v>4110</v>
      </c>
      <c r="C826" s="28" t="s">
        <v>3931</v>
      </c>
      <c r="E826" s="45">
        <f>COUNTIF(E768:E823,"Differs - inputs*")</f>
        <v>23</v>
      </c>
    </row>
    <row r="827" spans="2:20" x14ac:dyDescent="0.25">
      <c r="B827" s="21" t="s">
        <v>4111</v>
      </c>
      <c r="C827" s="28" t="s">
        <v>3931</v>
      </c>
      <c r="E827" s="73">
        <f>COUNTIF(E768:E823,"UNEXPLAINED")</f>
        <v>0</v>
      </c>
    </row>
    <row r="828" spans="2:20" x14ac:dyDescent="0.25">
      <c r="B828" s="23" t="s">
        <v>4112</v>
      </c>
      <c r="C828" s="28" t="s">
        <v>3931</v>
      </c>
      <c r="E828" s="45">
        <f>COUNTA(E768:E823)</f>
        <v>56</v>
      </c>
    </row>
    <row r="829" spans="2:20" x14ac:dyDescent="0.25">
      <c r="B829" s="23" t="s">
        <v>4113</v>
      </c>
      <c r="C829" s="28" t="s">
        <v>493</v>
      </c>
      <c r="E829" s="161">
        <f>MAX(F768:F823)</f>
        <v>543.93110311700002</v>
      </c>
    </row>
    <row r="830" spans="2:20" ht="26.25" customHeight="1" x14ac:dyDescent="0.25">
      <c r="B830" s="133" t="s">
        <v>4114</v>
      </c>
      <c r="C830" s="28" t="s">
        <v>493</v>
      </c>
      <c r="E830" s="229">
        <f>MAX(G768:G823)</f>
        <v>163.82</v>
      </c>
    </row>
    <row r="832" spans="2:20" x14ac:dyDescent="0.25">
      <c r="B832" s="58" t="s">
        <v>4115</v>
      </c>
      <c r="C832" s="19"/>
      <c r="D832" s="19"/>
      <c r="E832" s="19"/>
      <c r="F832" s="19"/>
      <c r="G832" s="19"/>
      <c r="H832" s="19"/>
      <c r="I832" s="19"/>
      <c r="J832" s="19"/>
      <c r="K832" s="19"/>
      <c r="L832" s="19"/>
      <c r="M832" s="19"/>
      <c r="N832" s="19"/>
      <c r="O832" s="19"/>
      <c r="P832" s="19"/>
      <c r="Q832" s="19"/>
      <c r="R832" s="19"/>
      <c r="S832" s="19"/>
      <c r="T832" s="19"/>
    </row>
    <row r="833" spans="2:21" x14ac:dyDescent="0.25">
      <c r="B833" s="145" t="s">
        <v>4116</v>
      </c>
    </row>
    <row r="834" spans="2:21" x14ac:dyDescent="0.25">
      <c r="G834" s="77" t="s">
        <v>1878</v>
      </c>
      <c r="H834" s="77" t="s">
        <v>1879</v>
      </c>
      <c r="I834" s="77" t="s">
        <v>1879</v>
      </c>
      <c r="J834" s="77" t="s">
        <v>1879</v>
      </c>
      <c r="K834" s="77" t="s">
        <v>1879</v>
      </c>
      <c r="L834" s="77" t="s">
        <v>1879</v>
      </c>
      <c r="M834" s="77" t="s">
        <v>1879</v>
      </c>
      <c r="N834" s="77" t="s">
        <v>1879</v>
      </c>
      <c r="O834" s="77" t="s">
        <v>1879</v>
      </c>
      <c r="P834" s="77" t="s">
        <v>1879</v>
      </c>
      <c r="Q834" s="77" t="s">
        <v>1879</v>
      </c>
      <c r="R834" s="77" t="s">
        <v>1879</v>
      </c>
      <c r="S834" s="77" t="s">
        <v>1879</v>
      </c>
      <c r="T834" s="77" t="s">
        <v>1879</v>
      </c>
    </row>
    <row r="835" spans="2:21" x14ac:dyDescent="0.25">
      <c r="B835" s="150" t="s">
        <v>4117</v>
      </c>
      <c r="C835" s="150" t="s">
        <v>466</v>
      </c>
      <c r="D835" s="59" t="s">
        <v>1881</v>
      </c>
      <c r="E835" s="59" t="s">
        <v>468</v>
      </c>
      <c r="F835" s="60"/>
      <c r="G835" s="151">
        <v>2023</v>
      </c>
      <c r="H835" s="152">
        <v>2024</v>
      </c>
      <c r="I835" s="152">
        <v>2025</v>
      </c>
      <c r="J835" s="152">
        <v>2026</v>
      </c>
      <c r="K835" s="152">
        <v>2027</v>
      </c>
      <c r="L835" s="152">
        <v>2028</v>
      </c>
      <c r="M835" s="152">
        <v>2029</v>
      </c>
      <c r="N835" s="152">
        <v>2030</v>
      </c>
      <c r="O835" s="152">
        <v>2031</v>
      </c>
      <c r="P835" s="152">
        <v>2032</v>
      </c>
      <c r="Q835" s="152">
        <v>2033</v>
      </c>
      <c r="R835" s="152">
        <v>2034</v>
      </c>
      <c r="S835" s="152">
        <v>2035</v>
      </c>
      <c r="T835" s="152">
        <v>2036</v>
      </c>
      <c r="U835" s="59" t="s">
        <v>1882</v>
      </c>
    </row>
    <row r="836" spans="2:21" x14ac:dyDescent="0.25">
      <c r="B836" s="221" t="s">
        <v>4118</v>
      </c>
      <c r="C836" s="235"/>
      <c r="D836" s="235"/>
      <c r="E836" s="224" t="str">
        <f>IF(F836&lt;=Inputs!$E$50,"Matches v29",IF($E$21&gt;0,"Differs - inputs changed","UNEXPLAINED"))</f>
        <v>Matches v29</v>
      </c>
      <c r="F836" s="225">
        <f>MAX(MAX(H839:T839),-MIN(H839:T839),MAX(H842:T842),-MIN(H842:T842),MAX(H845:T845),-MIN(H845:T845),MAX(H848:T848),-MIN(H848:T848),MAX(H851:T851),-MIN(H851:T851),MAX(H854:T854),-MIN(H854:T854),MAX(H857:T857),-MIN(H857:T857),MAX(H860:T860),-MIN(H860:T860))</f>
        <v>0</v>
      </c>
      <c r="G836" s="226">
        <f>MAX(MAX(H839:T839),-MIN(H839:T839),MAX(H842:T842),-MIN(H842:T842),MAX(H845:T845),-MIN(H845:T845),MAX(H848:T848),-MIN(H848:T848),MAX(H851:T851),-MIN(H851:T851),MAX(H854:T854),-MIN(H854:T854),MAX(H857:T857),-MIN(H857:T857),MAX(H860:T860),-MIN(H860:T860))</f>
        <v>0</v>
      </c>
    </row>
    <row r="837" spans="2:21" x14ac:dyDescent="0.25">
      <c r="B837" s="23" t="s">
        <v>4119</v>
      </c>
      <c r="C837" s="28" t="s">
        <v>493</v>
      </c>
      <c r="H837" s="30">
        <f>'Source Data'!H980</f>
        <v>156.43850421456</v>
      </c>
      <c r="I837" s="30">
        <f>'Source Data'!I980</f>
        <v>161.131659340997</v>
      </c>
      <c r="J837" s="30">
        <f>'Source Data'!J980</f>
        <v>165.965609121227</v>
      </c>
      <c r="K837" s="30">
        <f>'Source Data'!K980</f>
        <v>170.94457739486401</v>
      </c>
      <c r="L837" s="30">
        <f>'Source Data'!L980</f>
        <v>176.07291471670899</v>
      </c>
      <c r="M837" s="30">
        <f>'Source Data'!M980</f>
        <v>186.79575522295701</v>
      </c>
      <c r="N837" s="30">
        <f>'Source Data'!N980</f>
        <v>192.399627879646</v>
      </c>
      <c r="O837" s="30">
        <f>'Source Data'!O980</f>
        <v>198.171616716035</v>
      </c>
      <c r="P837" s="30">
        <f>'Source Data'!P980</f>
        <v>210.240268174042</v>
      </c>
      <c r="Q837" s="30">
        <f>'Source Data'!Q980</f>
        <v>216.54747621926299</v>
      </c>
      <c r="R837" s="30">
        <f>'Source Data'!R980</f>
        <v>223.04390050584101</v>
      </c>
      <c r="S837" s="30">
        <f>'Source Data'!S980</f>
        <v>229.73521752101601</v>
      </c>
      <c r="T837" s="30">
        <f>'Source Data'!T980</f>
        <v>236.62727404664699</v>
      </c>
    </row>
    <row r="838" spans="2:21" x14ac:dyDescent="0.25">
      <c r="B838" s="23" t="s">
        <v>4120</v>
      </c>
      <c r="C838" s="28" t="s">
        <v>493</v>
      </c>
      <c r="H838" s="30">
        <f>'Revenue Calculation'!H41</f>
        <v>156.43850421456</v>
      </c>
      <c r="I838" s="30">
        <f>'Revenue Calculation'!I41</f>
        <v>161.1316593409968</v>
      </c>
      <c r="J838" s="30">
        <f>'Revenue Calculation'!J41</f>
        <v>165.96560912122669</v>
      </c>
      <c r="K838" s="30">
        <f>'Revenue Calculation'!K41</f>
        <v>170.9445773948635</v>
      </c>
      <c r="L838" s="30">
        <f>'Revenue Calculation'!L41</f>
        <v>176.07291471670942</v>
      </c>
      <c r="M838" s="30">
        <f>'Revenue Calculation'!M41</f>
        <v>186.79575522295704</v>
      </c>
      <c r="N838" s="30">
        <f>'Revenue Calculation'!N41</f>
        <v>192.39962787964575</v>
      </c>
      <c r="O838" s="30">
        <f>'Revenue Calculation'!O41</f>
        <v>198.17161671603512</v>
      </c>
      <c r="P838" s="30">
        <f>'Revenue Calculation'!P41</f>
        <v>210.24026817404169</v>
      </c>
      <c r="Q838" s="30">
        <f>'Revenue Calculation'!Q41</f>
        <v>216.54747621926293</v>
      </c>
      <c r="R838" s="30">
        <f>'Revenue Calculation'!R41</f>
        <v>223.04390050584081</v>
      </c>
      <c r="S838" s="30">
        <f>'Revenue Calculation'!S41</f>
        <v>229.73521752101604</v>
      </c>
      <c r="T838" s="30">
        <f>'Revenue Calculation'!T41</f>
        <v>236.62727404664653</v>
      </c>
    </row>
    <row r="839" spans="2:21" x14ac:dyDescent="0.25">
      <c r="B839" s="23" t="s">
        <v>4121</v>
      </c>
      <c r="C839" s="28" t="s">
        <v>493</v>
      </c>
      <c r="H839" s="161">
        <f t="shared" ref="H839:T839" si="114">ROUND(H838-H837,9)</f>
        <v>0</v>
      </c>
      <c r="I839" s="161">
        <f t="shared" si="114"/>
        <v>0</v>
      </c>
      <c r="J839" s="161">
        <f t="shared" si="114"/>
        <v>0</v>
      </c>
      <c r="K839" s="161">
        <f t="shared" si="114"/>
        <v>0</v>
      </c>
      <c r="L839" s="161">
        <f t="shared" si="114"/>
        <v>0</v>
      </c>
      <c r="M839" s="161">
        <f t="shared" si="114"/>
        <v>0</v>
      </c>
      <c r="N839" s="161">
        <f t="shared" si="114"/>
        <v>0</v>
      </c>
      <c r="O839" s="161">
        <f t="shared" si="114"/>
        <v>0</v>
      </c>
      <c r="P839" s="161">
        <f t="shared" si="114"/>
        <v>0</v>
      </c>
      <c r="Q839" s="161">
        <f t="shared" si="114"/>
        <v>0</v>
      </c>
      <c r="R839" s="161">
        <f t="shared" si="114"/>
        <v>0</v>
      </c>
      <c r="S839" s="161">
        <f t="shared" si="114"/>
        <v>0</v>
      </c>
      <c r="T839" s="161">
        <f t="shared" si="114"/>
        <v>0</v>
      </c>
    </row>
    <row r="840" spans="2:21" x14ac:dyDescent="0.25">
      <c r="B840" s="23" t="s">
        <v>4122</v>
      </c>
      <c r="C840" s="28" t="s">
        <v>493</v>
      </c>
      <c r="H840" s="30">
        <f>'Source Data'!H981</f>
        <v>-29.933805281840399</v>
      </c>
      <c r="I840" s="30">
        <f>'Source Data'!I981</f>
        <v>-31.3122421064392</v>
      </c>
      <c r="J840" s="30">
        <f>'Source Data'!J981</f>
        <v>-32.782572849455804</v>
      </c>
      <c r="K840" s="30">
        <f>'Source Data'!K981</f>
        <v>-34.306045674162597</v>
      </c>
      <c r="L840" s="30">
        <f>'Source Data'!L981</f>
        <v>-35.908036070326702</v>
      </c>
      <c r="M840" s="30">
        <f>'Source Data'!M981</f>
        <v>-37.614152958924699</v>
      </c>
      <c r="N840" s="30">
        <f>'Source Data'!N981</f>
        <v>-39.386345581558302</v>
      </c>
      <c r="O840" s="30">
        <f>'Source Data'!O981</f>
        <v>-41.250731961836799</v>
      </c>
      <c r="P840" s="30">
        <f>'Source Data'!P981</f>
        <v>-43.233707510867099</v>
      </c>
      <c r="Q840" s="30">
        <f>'Source Data'!Q981</f>
        <v>-45.298054570196101</v>
      </c>
      <c r="R840" s="30">
        <f>'Source Data'!R981</f>
        <v>-47.4707736888776</v>
      </c>
      <c r="S840" s="30">
        <f>'Source Data'!S981</f>
        <v>-49.757892912414498</v>
      </c>
      <c r="T840" s="30">
        <f>'Source Data'!T981</f>
        <v>-52.165789713765697</v>
      </c>
    </row>
    <row r="841" spans="2:21" x14ac:dyDescent="0.25">
      <c r="B841" s="23" t="s">
        <v>4123</v>
      </c>
      <c r="C841" s="28" t="s">
        <v>493</v>
      </c>
      <c r="H841" s="161">
        <f>-('Cost Calculation'!H33)</f>
        <v>-29.933805281840399</v>
      </c>
      <c r="I841" s="161">
        <f>-('Cost Calculation'!I33)</f>
        <v>-31.312242106439154</v>
      </c>
      <c r="J841" s="161">
        <f>-('Cost Calculation'!J33)</f>
        <v>-32.782572849455804</v>
      </c>
      <c r="K841" s="161">
        <f>-('Cost Calculation'!K33)</f>
        <v>-34.306045674162604</v>
      </c>
      <c r="L841" s="161">
        <f>-('Cost Calculation'!L33)</f>
        <v>-35.908036070326666</v>
      </c>
      <c r="M841" s="161">
        <f>-('Cost Calculation'!M33)</f>
        <v>-37.61415295892467</v>
      </c>
      <c r="N841" s="161">
        <f>-('Cost Calculation'!N33)</f>
        <v>-39.386345581558281</v>
      </c>
      <c r="O841" s="161">
        <f>-('Cost Calculation'!O33)</f>
        <v>-41.250731961836813</v>
      </c>
      <c r="P841" s="161">
        <f>-('Cost Calculation'!P33)</f>
        <v>-43.23370751086707</v>
      </c>
      <c r="Q841" s="161">
        <f>-('Cost Calculation'!Q33)</f>
        <v>-45.298054570196072</v>
      </c>
      <c r="R841" s="161">
        <f>-('Cost Calculation'!R33)</f>
        <v>-47.4707736888776</v>
      </c>
      <c r="S841" s="161">
        <f>-('Cost Calculation'!S33)</f>
        <v>-49.75789291241454</v>
      </c>
      <c r="T841" s="161">
        <f>-('Cost Calculation'!T33)</f>
        <v>-52.165789713765669</v>
      </c>
    </row>
    <row r="842" spans="2:21" x14ac:dyDescent="0.25">
      <c r="B842" s="23" t="s">
        <v>4124</v>
      </c>
      <c r="C842" s="28" t="s">
        <v>493</v>
      </c>
      <c r="H842" s="161">
        <f t="shared" ref="H842:T842" si="115">ROUND(H841-H840,9)</f>
        <v>0</v>
      </c>
      <c r="I842" s="161">
        <f t="shared" si="115"/>
        <v>0</v>
      </c>
      <c r="J842" s="161">
        <f t="shared" si="115"/>
        <v>0</v>
      </c>
      <c r="K842" s="161">
        <f t="shared" si="115"/>
        <v>0</v>
      </c>
      <c r="L842" s="161">
        <f t="shared" si="115"/>
        <v>0</v>
      </c>
      <c r="M842" s="161">
        <f t="shared" si="115"/>
        <v>0</v>
      </c>
      <c r="N842" s="161">
        <f t="shared" si="115"/>
        <v>0</v>
      </c>
      <c r="O842" s="161">
        <f t="shared" si="115"/>
        <v>0</v>
      </c>
      <c r="P842" s="161">
        <f t="shared" si="115"/>
        <v>0</v>
      </c>
      <c r="Q842" s="161">
        <f t="shared" si="115"/>
        <v>0</v>
      </c>
      <c r="R842" s="161">
        <f t="shared" si="115"/>
        <v>0</v>
      </c>
      <c r="S842" s="161">
        <f t="shared" si="115"/>
        <v>0</v>
      </c>
      <c r="T842" s="161">
        <f t="shared" si="115"/>
        <v>0</v>
      </c>
    </row>
    <row r="843" spans="2:21" x14ac:dyDescent="0.25">
      <c r="B843" s="23" t="s">
        <v>4125</v>
      </c>
      <c r="C843" s="28" t="s">
        <v>493</v>
      </c>
      <c r="H843" s="30">
        <f>'Source Data'!H982</f>
        <v>-13.993896484164599</v>
      </c>
      <c r="I843" s="30">
        <f>'Source Data'!I982</f>
        <v>-14.4005816151404</v>
      </c>
      <c r="J843" s="30">
        <f>'Source Data'!J982</f>
        <v>-14.819204664774601</v>
      </c>
      <c r="K843" s="30">
        <f>'Source Data'!K982</f>
        <v>-15.2501185179214</v>
      </c>
      <c r="L843" s="30">
        <f>'Source Data'!L982</f>
        <v>-15.693686540926601</v>
      </c>
      <c r="M843" s="30">
        <f>'Source Data'!M982</f>
        <v>-16.150282893971301</v>
      </c>
      <c r="N843" s="30">
        <f>'Source Data'!N982</f>
        <v>-16.620292852743798</v>
      </c>
      <c r="O843" s="30">
        <f>'Source Data'!O982</f>
        <v>-17.1041131397185</v>
      </c>
      <c r="P843" s="30">
        <f>'Source Data'!P982</f>
        <v>-17.602152265330201</v>
      </c>
      <c r="Q843" s="30">
        <f>'Source Data'!Q982</f>
        <v>-18.114830879338701</v>
      </c>
      <c r="R843" s="30">
        <f>'Source Data'!R982</f>
        <v>-18.642582132688499</v>
      </c>
      <c r="S843" s="30">
        <f>'Source Data'!S982</f>
        <v>-19.185852050178099</v>
      </c>
      <c r="T843" s="30">
        <f>'Source Data'!T982</f>
        <v>-19.7450999142626</v>
      </c>
    </row>
    <row r="844" spans="2:21" x14ac:dyDescent="0.25">
      <c r="B844" s="23" t="s">
        <v>4126</v>
      </c>
      <c r="C844" s="28" t="s">
        <v>493</v>
      </c>
      <c r="H844" s="161">
        <f>-('Cost Calculation'!H34)</f>
        <v>-13.993896484164592</v>
      </c>
      <c r="I844" s="161">
        <f>-('Cost Calculation'!I34)</f>
        <v>-14.400581615140439</v>
      </c>
      <c r="J844" s="161">
        <f>-('Cost Calculation'!J34)</f>
        <v>-14.819204664774587</v>
      </c>
      <c r="K844" s="161">
        <f>-('Cost Calculation'!K34)</f>
        <v>-15.250118517921356</v>
      </c>
      <c r="L844" s="161">
        <f>-('Cost Calculation'!L34)</f>
        <v>-15.693686540926597</v>
      </c>
      <c r="M844" s="161">
        <f>-('Cost Calculation'!M34)</f>
        <v>-16.150282893971351</v>
      </c>
      <c r="N844" s="161">
        <f>-('Cost Calculation'!N34)</f>
        <v>-16.620292852743781</v>
      </c>
      <c r="O844" s="161">
        <f>-('Cost Calculation'!O34)</f>
        <v>-17.104113139718446</v>
      </c>
      <c r="P844" s="161">
        <f>-('Cost Calculation'!P34)</f>
        <v>-17.602152265330204</v>
      </c>
      <c r="Q844" s="161">
        <f>-('Cost Calculation'!Q34)</f>
        <v>-18.114830879338726</v>
      </c>
      <c r="R844" s="161">
        <f>-('Cost Calculation'!R34)</f>
        <v>-18.642582132688467</v>
      </c>
      <c r="S844" s="161">
        <f>-('Cost Calculation'!S34)</f>
        <v>-19.185852050178095</v>
      </c>
      <c r="T844" s="161">
        <f>-('Cost Calculation'!T34)</f>
        <v>-19.7450999142626</v>
      </c>
    </row>
    <row r="845" spans="2:21" x14ac:dyDescent="0.25">
      <c r="B845" s="23" t="s">
        <v>4127</v>
      </c>
      <c r="C845" s="28" t="s">
        <v>493</v>
      </c>
      <c r="H845" s="161">
        <f t="shared" ref="H845:T845" si="116">ROUND(H844-H843,9)</f>
        <v>0</v>
      </c>
      <c r="I845" s="161">
        <f t="shared" si="116"/>
        <v>0</v>
      </c>
      <c r="J845" s="161">
        <f t="shared" si="116"/>
        <v>0</v>
      </c>
      <c r="K845" s="161">
        <f t="shared" si="116"/>
        <v>0</v>
      </c>
      <c r="L845" s="161">
        <f t="shared" si="116"/>
        <v>0</v>
      </c>
      <c r="M845" s="161">
        <f t="shared" si="116"/>
        <v>0</v>
      </c>
      <c r="N845" s="161">
        <f t="shared" si="116"/>
        <v>0</v>
      </c>
      <c r="O845" s="161">
        <f t="shared" si="116"/>
        <v>0</v>
      </c>
      <c r="P845" s="161">
        <f t="shared" si="116"/>
        <v>0</v>
      </c>
      <c r="Q845" s="161">
        <f t="shared" si="116"/>
        <v>0</v>
      </c>
      <c r="R845" s="161">
        <f t="shared" si="116"/>
        <v>0</v>
      </c>
      <c r="S845" s="161">
        <f t="shared" si="116"/>
        <v>0</v>
      </c>
      <c r="T845" s="161">
        <f t="shared" si="116"/>
        <v>0</v>
      </c>
    </row>
    <row r="846" spans="2:21" x14ac:dyDescent="0.25">
      <c r="B846" s="23" t="s">
        <v>4128</v>
      </c>
      <c r="C846" s="28" t="s">
        <v>493</v>
      </c>
      <c r="H846" s="30">
        <f>'Source Data'!H983</f>
        <v>-41.740782175912301</v>
      </c>
      <c r="I846" s="30">
        <f>'Source Data'!I983</f>
        <v>-41.746256305782097</v>
      </c>
      <c r="J846" s="30">
        <f>'Source Data'!J983</f>
        <v>-42.751839918249303</v>
      </c>
      <c r="K846" s="30">
        <f>'Source Data'!K983</f>
        <v>-42.757535202965798</v>
      </c>
      <c r="L846" s="30">
        <f>'Source Data'!L983</f>
        <v>-42.763344393376698</v>
      </c>
      <c r="M846" s="30">
        <f>'Source Data'!M983</f>
        <v>-43.769269767595802</v>
      </c>
      <c r="N846" s="30">
        <f>'Source Data'!N983</f>
        <v>-43.775313649299299</v>
      </c>
      <c r="O846" s="30">
        <f>'Source Data'!O983</f>
        <v>-43.781478408636801</v>
      </c>
      <c r="P846" s="30">
        <f>'Source Data'!P983</f>
        <v>-44.787766463161098</v>
      </c>
      <c r="Q846" s="30">
        <f>'Source Data'!Q983</f>
        <v>-44.794180278775897</v>
      </c>
      <c r="R846" s="30">
        <f>'Source Data'!R983</f>
        <v>-44.8007223707029</v>
      </c>
      <c r="S846" s="30">
        <f>'Source Data'!S983</f>
        <v>-44.807395304468599</v>
      </c>
      <c r="T846" s="30">
        <f>'Source Data'!T983</f>
        <v>-44.8142016969095</v>
      </c>
    </row>
    <row r="847" spans="2:21" x14ac:dyDescent="0.25">
      <c r="B847" s="23" t="s">
        <v>4129</v>
      </c>
      <c r="C847" s="28" t="s">
        <v>493</v>
      </c>
      <c r="H847" s="161">
        <f>-('Capex &amp; Depreciation'!H231)</f>
        <v>-41.740782175912301</v>
      </c>
      <c r="I847" s="161">
        <f>-('Capex &amp; Depreciation'!I231)</f>
        <v>-41.746256305782097</v>
      </c>
      <c r="J847" s="161">
        <f>-('Capex &amp; Depreciation'!J231)</f>
        <v>-42.751839918249296</v>
      </c>
      <c r="K847" s="161">
        <f>-('Capex &amp; Depreciation'!K231)</f>
        <v>-42.757535202965833</v>
      </c>
      <c r="L847" s="161">
        <f>-('Capex &amp; Depreciation'!L231)</f>
        <v>-42.763344393376705</v>
      </c>
      <c r="M847" s="161">
        <f>-('Capex &amp; Depreciation'!M231)</f>
        <v>-43.769269767595794</v>
      </c>
      <c r="N847" s="161">
        <f>-('Capex &amp; Depreciation'!N231)</f>
        <v>-43.775313649299264</v>
      </c>
      <c r="O847" s="161">
        <f>-('Capex &amp; Depreciation'!O231)</f>
        <v>-43.781478408636801</v>
      </c>
      <c r="P847" s="161">
        <f>-('Capex &amp; Depreciation'!P231)</f>
        <v>-44.787766463161091</v>
      </c>
      <c r="Q847" s="161">
        <f>-('Capex &amp; Depreciation'!Q231)</f>
        <v>-44.794180278775869</v>
      </c>
      <c r="R847" s="161">
        <f>-('Capex &amp; Depreciation'!R231)</f>
        <v>-44.800722370702942</v>
      </c>
      <c r="S847" s="161">
        <f>-('Capex &amp; Depreciation'!S231)</f>
        <v>-44.80739530446855</v>
      </c>
      <c r="T847" s="161">
        <f>-('Capex &amp; Depreciation'!T231)</f>
        <v>-44.814201696909478</v>
      </c>
    </row>
    <row r="848" spans="2:21" x14ac:dyDescent="0.25">
      <c r="B848" s="23" t="s">
        <v>4130</v>
      </c>
      <c r="C848" s="28" t="s">
        <v>493</v>
      </c>
      <c r="H848" s="161">
        <f t="shared" ref="H848:T848" si="117">ROUND(H847-H846,9)</f>
        <v>0</v>
      </c>
      <c r="I848" s="161">
        <f t="shared" si="117"/>
        <v>0</v>
      </c>
      <c r="J848" s="161">
        <f t="shared" si="117"/>
        <v>0</v>
      </c>
      <c r="K848" s="161">
        <f t="shared" si="117"/>
        <v>0</v>
      </c>
      <c r="L848" s="161">
        <f t="shared" si="117"/>
        <v>0</v>
      </c>
      <c r="M848" s="161">
        <f t="shared" si="117"/>
        <v>0</v>
      </c>
      <c r="N848" s="161">
        <f t="shared" si="117"/>
        <v>0</v>
      </c>
      <c r="O848" s="161">
        <f t="shared" si="117"/>
        <v>0</v>
      </c>
      <c r="P848" s="161">
        <f t="shared" si="117"/>
        <v>0</v>
      </c>
      <c r="Q848" s="161">
        <f t="shared" si="117"/>
        <v>0</v>
      </c>
      <c r="R848" s="161">
        <f t="shared" si="117"/>
        <v>0</v>
      </c>
      <c r="S848" s="161">
        <f t="shared" si="117"/>
        <v>0</v>
      </c>
      <c r="T848" s="161">
        <f t="shared" si="117"/>
        <v>0</v>
      </c>
    </row>
    <row r="849" spans="2:20" x14ac:dyDescent="0.25">
      <c r="B849" s="23" t="s">
        <v>4131</v>
      </c>
      <c r="C849" s="28" t="s">
        <v>493</v>
      </c>
      <c r="H849" s="30">
        <f>'Source Data'!H984</f>
        <v>0</v>
      </c>
      <c r="I849" s="30">
        <f>'Source Data'!I984</f>
        <v>0</v>
      </c>
      <c r="J849" s="30">
        <f>'Source Data'!J984</f>
        <v>0</v>
      </c>
      <c r="K849" s="30">
        <f>'Source Data'!K984</f>
        <v>0</v>
      </c>
      <c r="L849" s="30">
        <f>'Source Data'!L984</f>
        <v>0</v>
      </c>
      <c r="M849" s="30">
        <f>'Source Data'!M984</f>
        <v>0</v>
      </c>
      <c r="N849" s="30">
        <f>'Source Data'!N984</f>
        <v>0</v>
      </c>
      <c r="O849" s="30">
        <f>'Source Data'!O984</f>
        <v>0</v>
      </c>
      <c r="P849" s="30">
        <f>'Source Data'!P984</f>
        <v>0</v>
      </c>
      <c r="Q849" s="30">
        <f>'Source Data'!Q984</f>
        <v>0</v>
      </c>
      <c r="R849" s="30">
        <f>'Source Data'!R984</f>
        <v>0</v>
      </c>
      <c r="S849" s="30">
        <f>'Source Data'!S984</f>
        <v>0</v>
      </c>
      <c r="T849" s="30">
        <f>'Source Data'!T984</f>
        <v>0</v>
      </c>
    </row>
    <row r="850" spans="2:20" x14ac:dyDescent="0.25">
      <c r="B850" s="23" t="s">
        <v>4132</v>
      </c>
      <c r="C850" s="28" t="s">
        <v>493</v>
      </c>
      <c r="H850" s="161">
        <f>0</f>
        <v>0</v>
      </c>
      <c r="I850" s="161">
        <f>0</f>
        <v>0</v>
      </c>
      <c r="J850" s="161">
        <f>0</f>
        <v>0</v>
      </c>
      <c r="K850" s="161">
        <f>0</f>
        <v>0</v>
      </c>
      <c r="L850" s="161">
        <f>0</f>
        <v>0</v>
      </c>
      <c r="M850" s="161">
        <f>0</f>
        <v>0</v>
      </c>
      <c r="N850" s="161">
        <f>0</f>
        <v>0</v>
      </c>
      <c r="O850" s="161">
        <f>0</f>
        <v>0</v>
      </c>
      <c r="P850" s="161">
        <f>0</f>
        <v>0</v>
      </c>
      <c r="Q850" s="161">
        <f>0</f>
        <v>0</v>
      </c>
      <c r="R850" s="161">
        <f>0</f>
        <v>0</v>
      </c>
      <c r="S850" s="161">
        <f>0</f>
        <v>0</v>
      </c>
      <c r="T850" s="161">
        <f>0</f>
        <v>0</v>
      </c>
    </row>
    <row r="851" spans="2:20" x14ac:dyDescent="0.25">
      <c r="B851" s="23" t="s">
        <v>4133</v>
      </c>
      <c r="C851" s="28" t="s">
        <v>493</v>
      </c>
      <c r="H851" s="161">
        <f t="shared" ref="H851:T851" si="118">ROUND(H850-H849,9)</f>
        <v>0</v>
      </c>
      <c r="I851" s="161">
        <f t="shared" si="118"/>
        <v>0</v>
      </c>
      <c r="J851" s="161">
        <f t="shared" si="118"/>
        <v>0</v>
      </c>
      <c r="K851" s="161">
        <f t="shared" si="118"/>
        <v>0</v>
      </c>
      <c r="L851" s="161">
        <f t="shared" si="118"/>
        <v>0</v>
      </c>
      <c r="M851" s="161">
        <f t="shared" si="118"/>
        <v>0</v>
      </c>
      <c r="N851" s="161">
        <f t="shared" si="118"/>
        <v>0</v>
      </c>
      <c r="O851" s="161">
        <f t="shared" si="118"/>
        <v>0</v>
      </c>
      <c r="P851" s="161">
        <f t="shared" si="118"/>
        <v>0</v>
      </c>
      <c r="Q851" s="161">
        <f t="shared" si="118"/>
        <v>0</v>
      </c>
      <c r="R851" s="161">
        <f t="shared" si="118"/>
        <v>0</v>
      </c>
      <c r="S851" s="161">
        <f t="shared" si="118"/>
        <v>0</v>
      </c>
      <c r="T851" s="161">
        <f t="shared" si="118"/>
        <v>0</v>
      </c>
    </row>
    <row r="852" spans="2:20" x14ac:dyDescent="0.25">
      <c r="B852" s="23" t="s">
        <v>4134</v>
      </c>
      <c r="C852" s="28" t="s">
        <v>493</v>
      </c>
      <c r="H852" s="30">
        <f>'Source Data'!H985</f>
        <v>70.770020272642697</v>
      </c>
      <c r="I852" s="30">
        <f>'Source Data'!I985</f>
        <v>73.672579313635097</v>
      </c>
      <c r="J852" s="30">
        <f>'Source Data'!J985</f>
        <v>75.611991688746997</v>
      </c>
      <c r="K852" s="30">
        <f>'Source Data'!K985</f>
        <v>78.630877999813706</v>
      </c>
      <c r="L852" s="30">
        <f>'Source Data'!L985</f>
        <v>81.707847712079499</v>
      </c>
      <c r="M852" s="30">
        <f>'Source Data'!M985</f>
        <v>89.262049602465197</v>
      </c>
      <c r="N852" s="30">
        <f>'Source Data'!N985</f>
        <v>92.617675796044495</v>
      </c>
      <c r="O852" s="30">
        <f>'Source Data'!O985</f>
        <v>96.035293205843104</v>
      </c>
      <c r="P852" s="30">
        <f>'Source Data'!P985</f>
        <v>104.616641934683</v>
      </c>
      <c r="Q852" s="30">
        <f>'Source Data'!Q985</f>
        <v>108.340410490952</v>
      </c>
      <c r="R852" s="30">
        <f>'Source Data'!R985</f>
        <v>112.12982231357201</v>
      </c>
      <c r="S852" s="30">
        <f>'Source Data'!S985</f>
        <v>115.98407725395499</v>
      </c>
      <c r="T852" s="30">
        <f>'Source Data'!T985</f>
        <v>119.902182721709</v>
      </c>
    </row>
    <row r="853" spans="2:20" x14ac:dyDescent="0.25">
      <c r="B853" s="23" t="s">
        <v>4135</v>
      </c>
      <c r="C853" s="28" t="s">
        <v>493</v>
      </c>
      <c r="H853" s="30">
        <f>'FSL Output - With BUMN'!H88</f>
        <v>70.770020272642711</v>
      </c>
      <c r="I853" s="30">
        <f>'FSL Output - With BUMN'!I88</f>
        <v>73.672579313635111</v>
      </c>
      <c r="J853" s="30">
        <f>'FSL Output - With BUMN'!J88</f>
        <v>75.611991688747025</v>
      </c>
      <c r="K853" s="30">
        <f>'FSL Output - With BUMN'!K88</f>
        <v>78.630877999813691</v>
      </c>
      <c r="L853" s="30">
        <f>'FSL Output - With BUMN'!L88</f>
        <v>81.707847712079456</v>
      </c>
      <c r="M853" s="30">
        <f>'FSL Output - With BUMN'!M88</f>
        <v>89.262049602465197</v>
      </c>
      <c r="N853" s="30">
        <f>'FSL Output - With BUMN'!N88</f>
        <v>92.617675796044423</v>
      </c>
      <c r="O853" s="30">
        <f>'FSL Output - With BUMN'!O88</f>
        <v>96.035293205843075</v>
      </c>
      <c r="P853" s="30">
        <f>'FSL Output - With BUMN'!P88</f>
        <v>104.61664193468332</v>
      </c>
      <c r="Q853" s="30">
        <f>'FSL Output - With BUMN'!Q88</f>
        <v>108.34041049095224</v>
      </c>
      <c r="R853" s="30">
        <f>'FSL Output - With BUMN'!R88</f>
        <v>112.12982231357182</v>
      </c>
      <c r="S853" s="30">
        <f>'FSL Output - With BUMN'!S88</f>
        <v>115.98407725395487</v>
      </c>
      <c r="T853" s="30">
        <f>'FSL Output - With BUMN'!T88</f>
        <v>119.9021827217088</v>
      </c>
    </row>
    <row r="854" spans="2:20" x14ac:dyDescent="0.25">
      <c r="B854" s="23" t="s">
        <v>4136</v>
      </c>
      <c r="C854" s="28" t="s">
        <v>493</v>
      </c>
      <c r="H854" s="161">
        <f t="shared" ref="H854:T854" si="119">ROUND(H853-H852,9)</f>
        <v>0</v>
      </c>
      <c r="I854" s="161">
        <f t="shared" si="119"/>
        <v>0</v>
      </c>
      <c r="J854" s="161">
        <f t="shared" si="119"/>
        <v>0</v>
      </c>
      <c r="K854" s="161">
        <f t="shared" si="119"/>
        <v>0</v>
      </c>
      <c r="L854" s="161">
        <f t="shared" si="119"/>
        <v>0</v>
      </c>
      <c r="M854" s="161">
        <f t="shared" si="119"/>
        <v>0</v>
      </c>
      <c r="N854" s="161">
        <f t="shared" si="119"/>
        <v>0</v>
      </c>
      <c r="O854" s="161">
        <f t="shared" si="119"/>
        <v>0</v>
      </c>
      <c r="P854" s="161">
        <f t="shared" si="119"/>
        <v>0</v>
      </c>
      <c r="Q854" s="161">
        <f t="shared" si="119"/>
        <v>0</v>
      </c>
      <c r="R854" s="161">
        <f t="shared" si="119"/>
        <v>0</v>
      </c>
      <c r="S854" s="161">
        <f t="shared" si="119"/>
        <v>0</v>
      </c>
      <c r="T854" s="161">
        <f t="shared" si="119"/>
        <v>0</v>
      </c>
    </row>
    <row r="855" spans="2:20" x14ac:dyDescent="0.25">
      <c r="B855" s="23" t="s">
        <v>4137</v>
      </c>
      <c r="C855" s="28" t="s">
        <v>493</v>
      </c>
      <c r="H855" s="30">
        <f>'Source Data'!H986</f>
        <v>-15.569404459981399</v>
      </c>
      <c r="I855" s="30">
        <f>'Source Data'!I986</f>
        <v>-16.2079674489997</v>
      </c>
      <c r="J855" s="30">
        <f>'Source Data'!J986</f>
        <v>-16.634638171524301</v>
      </c>
      <c r="K855" s="30">
        <f>'Source Data'!K986</f>
        <v>-17.298793159959001</v>
      </c>
      <c r="L855" s="30">
        <f>'Source Data'!L986</f>
        <v>-17.975726496657501</v>
      </c>
      <c r="M855" s="30">
        <f>'Source Data'!M986</f>
        <v>-19.637650912542298</v>
      </c>
      <c r="N855" s="30">
        <f>'Source Data'!N986</f>
        <v>-20.375888675129801</v>
      </c>
      <c r="O855" s="30">
        <f>'Source Data'!O986</f>
        <v>-21.127764505285501</v>
      </c>
      <c r="P855" s="30">
        <f>'Source Data'!P986</f>
        <v>-23.0156612256303</v>
      </c>
      <c r="Q855" s="30">
        <f>'Source Data'!Q986</f>
        <v>-23.834890308009498</v>
      </c>
      <c r="R855" s="30">
        <f>'Source Data'!R986</f>
        <v>-24.6685609089858</v>
      </c>
      <c r="S855" s="30">
        <f>'Source Data'!S986</f>
        <v>-25.516496995870099</v>
      </c>
      <c r="T855" s="30">
        <f>'Source Data'!T986</f>
        <v>-26.3784801987759</v>
      </c>
    </row>
    <row r="856" spans="2:20" x14ac:dyDescent="0.25">
      <c r="B856" s="23" t="s">
        <v>4138</v>
      </c>
      <c r="C856" s="28" t="s">
        <v>493</v>
      </c>
      <c r="H856" s="161">
        <f>-'FSL Output - With BUMN'!H89</f>
        <v>-15.569404459981396</v>
      </c>
      <c r="I856" s="161">
        <f>-'FSL Output - With BUMN'!I89</f>
        <v>-16.207967448999725</v>
      </c>
      <c r="J856" s="161">
        <f>-'FSL Output - With BUMN'!J89</f>
        <v>-16.634638171524347</v>
      </c>
      <c r="K856" s="161">
        <f>-'FSL Output - With BUMN'!K89</f>
        <v>-17.298793159959011</v>
      </c>
      <c r="L856" s="161">
        <f>-'FSL Output - With BUMN'!L89</f>
        <v>-17.975726496657479</v>
      </c>
      <c r="M856" s="161">
        <f>-'FSL Output - With BUMN'!M89</f>
        <v>-19.637650912542345</v>
      </c>
      <c r="N856" s="161">
        <f>-'FSL Output - With BUMN'!N89</f>
        <v>-20.375888675129772</v>
      </c>
      <c r="O856" s="161">
        <f>-'FSL Output - With BUMN'!O89</f>
        <v>-21.127764505285477</v>
      </c>
      <c r="P856" s="161">
        <f>-'FSL Output - With BUMN'!P89</f>
        <v>-23.015661225630328</v>
      </c>
      <c r="Q856" s="161">
        <f>-'FSL Output - With BUMN'!Q89</f>
        <v>-23.834890308009491</v>
      </c>
      <c r="R856" s="161">
        <f>-'FSL Output - With BUMN'!R89</f>
        <v>-24.6685609089858</v>
      </c>
      <c r="S856" s="161">
        <f>-'FSL Output - With BUMN'!S89</f>
        <v>-25.516496995870071</v>
      </c>
      <c r="T856" s="161">
        <f>-'FSL Output - With BUMN'!T89</f>
        <v>-26.378480198775936</v>
      </c>
    </row>
    <row r="857" spans="2:20" x14ac:dyDescent="0.25">
      <c r="B857" s="23" t="s">
        <v>4139</v>
      </c>
      <c r="C857" s="28" t="s">
        <v>493</v>
      </c>
      <c r="H857" s="161">
        <f t="shared" ref="H857:T857" si="120">ROUND(H856-H855,9)</f>
        <v>0</v>
      </c>
      <c r="I857" s="161">
        <f t="shared" si="120"/>
        <v>0</v>
      </c>
      <c r="J857" s="161">
        <f t="shared" si="120"/>
        <v>0</v>
      </c>
      <c r="K857" s="161">
        <f t="shared" si="120"/>
        <v>0</v>
      </c>
      <c r="L857" s="161">
        <f t="shared" si="120"/>
        <v>0</v>
      </c>
      <c r="M857" s="161">
        <f t="shared" si="120"/>
        <v>0</v>
      </c>
      <c r="N857" s="161">
        <f t="shared" si="120"/>
        <v>0</v>
      </c>
      <c r="O857" s="161">
        <f t="shared" si="120"/>
        <v>0</v>
      </c>
      <c r="P857" s="161">
        <f t="shared" si="120"/>
        <v>0</v>
      </c>
      <c r="Q857" s="161">
        <f t="shared" si="120"/>
        <v>0</v>
      </c>
      <c r="R857" s="161">
        <f t="shared" si="120"/>
        <v>0</v>
      </c>
      <c r="S857" s="161">
        <f t="shared" si="120"/>
        <v>0</v>
      </c>
      <c r="T857" s="161">
        <f t="shared" si="120"/>
        <v>0</v>
      </c>
    </row>
    <row r="858" spans="2:20" x14ac:dyDescent="0.25">
      <c r="B858" s="23" t="s">
        <v>4140</v>
      </c>
      <c r="C858" s="28" t="s">
        <v>493</v>
      </c>
      <c r="H858" s="30">
        <f>'Source Data'!H987</f>
        <v>55.200615812661297</v>
      </c>
      <c r="I858" s="30">
        <f>'Source Data'!I987</f>
        <v>57.464611864635401</v>
      </c>
      <c r="J858" s="30">
        <f>'Source Data'!J987</f>
        <v>58.977353517222703</v>
      </c>
      <c r="K858" s="30">
        <f>'Source Data'!K987</f>
        <v>61.332084839854701</v>
      </c>
      <c r="L858" s="30">
        <f>'Source Data'!L987</f>
        <v>63.732121215421998</v>
      </c>
      <c r="M858" s="30">
        <f>'Source Data'!M987</f>
        <v>69.624398689922899</v>
      </c>
      <c r="N858" s="30">
        <f>'Source Data'!N987</f>
        <v>72.241787120914694</v>
      </c>
      <c r="O858" s="30">
        <f>'Source Data'!O987</f>
        <v>74.907528700557606</v>
      </c>
      <c r="P858" s="30">
        <f>'Source Data'!P987</f>
        <v>81.600980709053005</v>
      </c>
      <c r="Q858" s="30">
        <f>'Source Data'!Q987</f>
        <v>84.505520182942803</v>
      </c>
      <c r="R858" s="30">
        <f>'Source Data'!R987</f>
        <v>87.461261404585997</v>
      </c>
      <c r="S858" s="30">
        <f>'Source Data'!S987</f>
        <v>90.467580258084794</v>
      </c>
      <c r="T858" s="30">
        <f>'Source Data'!T987</f>
        <v>93.523702522932794</v>
      </c>
    </row>
    <row r="859" spans="2:20" x14ac:dyDescent="0.25">
      <c r="B859" s="23" t="s">
        <v>4141</v>
      </c>
      <c r="C859" s="28" t="s">
        <v>493</v>
      </c>
      <c r="H859" s="30">
        <f>'FSL Output - With BUMN'!H91</f>
        <v>55.200615812661312</v>
      </c>
      <c r="I859" s="30">
        <f>'FSL Output - With BUMN'!I91</f>
        <v>57.464611864635387</v>
      </c>
      <c r="J859" s="30">
        <f>'FSL Output - With BUMN'!J91</f>
        <v>58.977353517222681</v>
      </c>
      <c r="K859" s="30">
        <f>'FSL Output - With BUMN'!K91</f>
        <v>61.33208483985468</v>
      </c>
      <c r="L859" s="30">
        <f>'FSL Output - With BUMN'!L91</f>
        <v>63.732121215421977</v>
      </c>
      <c r="M859" s="30">
        <f>'FSL Output - With BUMN'!M91</f>
        <v>69.624398689922856</v>
      </c>
      <c r="N859" s="30">
        <f>'FSL Output - With BUMN'!N91</f>
        <v>72.241787120914651</v>
      </c>
      <c r="O859" s="30">
        <f>'FSL Output - With BUMN'!O91</f>
        <v>74.907528700557606</v>
      </c>
      <c r="P859" s="30">
        <f>'FSL Output - With BUMN'!P91</f>
        <v>81.60098070905299</v>
      </c>
      <c r="Q859" s="30">
        <f>'FSL Output - With BUMN'!Q91</f>
        <v>84.505520182942746</v>
      </c>
      <c r="R859" s="30">
        <f>'FSL Output - With BUMN'!R91</f>
        <v>87.461261404586025</v>
      </c>
      <c r="S859" s="30">
        <f>'FSL Output - With BUMN'!S91</f>
        <v>90.467580258084794</v>
      </c>
      <c r="T859" s="30">
        <f>'FSL Output - With BUMN'!T91</f>
        <v>93.523702522932865</v>
      </c>
    </row>
    <row r="860" spans="2:20" x14ac:dyDescent="0.25">
      <c r="B860" s="23" t="s">
        <v>4142</v>
      </c>
      <c r="C860" s="28" t="s">
        <v>493</v>
      </c>
      <c r="H860" s="161">
        <f t="shared" ref="H860:T860" si="121">ROUND(H859-H858,9)</f>
        <v>0</v>
      </c>
      <c r="I860" s="161">
        <f t="shared" si="121"/>
        <v>0</v>
      </c>
      <c r="J860" s="161">
        <f t="shared" si="121"/>
        <v>0</v>
      </c>
      <c r="K860" s="161">
        <f t="shared" si="121"/>
        <v>0</v>
      </c>
      <c r="L860" s="161">
        <f t="shared" si="121"/>
        <v>0</v>
      </c>
      <c r="M860" s="161">
        <f t="shared" si="121"/>
        <v>0</v>
      </c>
      <c r="N860" s="161">
        <f t="shared" si="121"/>
        <v>0</v>
      </c>
      <c r="O860" s="161">
        <f t="shared" si="121"/>
        <v>0</v>
      </c>
      <c r="P860" s="161">
        <f t="shared" si="121"/>
        <v>0</v>
      </c>
      <c r="Q860" s="161">
        <f t="shared" si="121"/>
        <v>0</v>
      </c>
      <c r="R860" s="161">
        <f t="shared" si="121"/>
        <v>0</v>
      </c>
      <c r="S860" s="161">
        <f t="shared" si="121"/>
        <v>0</v>
      </c>
      <c r="T860" s="161">
        <f t="shared" si="121"/>
        <v>0</v>
      </c>
    </row>
    <row r="862" spans="2:20" x14ac:dyDescent="0.25">
      <c r="B862" s="221" t="s">
        <v>4143</v>
      </c>
      <c r="C862" s="235"/>
      <c r="D862" s="235"/>
      <c r="E862" s="224" t="str">
        <f>IF(F862&lt;=Inputs!$E$50,"Matches v29",IF($E$21&gt;0,"Differs - inputs changed","UNEXPLAINED"))</f>
        <v>Matches v29</v>
      </c>
      <c r="F862" s="225">
        <f>MAX(MAX(H865:T865),-MIN(H865:T865),MAX(H868:T868),-MIN(H868:T868),MAX(H871:T871),-MIN(H871:T871),MAX(H874:T874),-MIN(H874:T874),MAX(H877:T877),-MIN(H877:T877),MAX(H880:T880),-MIN(H880:T880),MAX(H883:T883),-MIN(H883:T883),MAX(H886:T886),-MIN(H886:T886))</f>
        <v>0</v>
      </c>
      <c r="G862" s="226">
        <f>MAX(MAX(H865:T865),-MIN(H865:T865),MAX(H868:T868),-MIN(H868:T868),MAX(H871:T871),-MIN(H871:T871),MAX(H874:T874),-MIN(H874:T874),MAX(H877:T877),-MIN(H877:T877),MAX(H880:T880),-MIN(H880:T880),MAX(H883:T883),-MIN(H883:T883),MAX(H886:T886),-MIN(H886:T886))</f>
        <v>0</v>
      </c>
    </row>
    <row r="863" spans="2:20" x14ac:dyDescent="0.25">
      <c r="B863" s="23" t="s">
        <v>4144</v>
      </c>
      <c r="C863" s="28" t="s">
        <v>493</v>
      </c>
      <c r="H863" s="30">
        <f>'Source Data'!H989</f>
        <v>0</v>
      </c>
      <c r="I863" s="30">
        <f>'Source Data'!I989</f>
        <v>0</v>
      </c>
      <c r="J863" s="30">
        <f>'Source Data'!J989</f>
        <v>0</v>
      </c>
      <c r="K863" s="30">
        <f>'Source Data'!K989</f>
        <v>13.26</v>
      </c>
      <c r="L863" s="30">
        <f>'Source Data'!L989</f>
        <v>13.26</v>
      </c>
      <c r="M863" s="30">
        <f>'Source Data'!M989</f>
        <v>13.26</v>
      </c>
      <c r="N863" s="30">
        <f>'Source Data'!N989</f>
        <v>13.26</v>
      </c>
      <c r="O863" s="30">
        <f>'Source Data'!O989</f>
        <v>13.26</v>
      </c>
      <c r="P863" s="30">
        <f>'Source Data'!P989</f>
        <v>13.26</v>
      </c>
      <c r="Q863" s="30">
        <f>'Source Data'!Q989</f>
        <v>13.26</v>
      </c>
      <c r="R863" s="30">
        <f>'Source Data'!R989</f>
        <v>13.26</v>
      </c>
      <c r="S863" s="30">
        <f>'Source Data'!S989</f>
        <v>13.26</v>
      </c>
      <c r="T863" s="30">
        <f>'Source Data'!T989</f>
        <v>13.26</v>
      </c>
    </row>
    <row r="864" spans="2:20" x14ac:dyDescent="0.25">
      <c r="B864" s="23" t="s">
        <v>4120</v>
      </c>
      <c r="C864" s="28" t="s">
        <v>493</v>
      </c>
      <c r="H864" s="30">
        <f>'Revenue Calculation'!H115</f>
        <v>0</v>
      </c>
      <c r="I864" s="30">
        <f>'Revenue Calculation'!I115</f>
        <v>0</v>
      </c>
      <c r="J864" s="30">
        <f>'Revenue Calculation'!J115</f>
        <v>0</v>
      </c>
      <c r="K864" s="30">
        <f>'Revenue Calculation'!K115</f>
        <v>13.26</v>
      </c>
      <c r="L864" s="30">
        <f>'Revenue Calculation'!L115</f>
        <v>13.26</v>
      </c>
      <c r="M864" s="30">
        <f>'Revenue Calculation'!M115</f>
        <v>13.26</v>
      </c>
      <c r="N864" s="30">
        <f>'Revenue Calculation'!N115</f>
        <v>13.26</v>
      </c>
      <c r="O864" s="30">
        <f>'Revenue Calculation'!O115</f>
        <v>13.26</v>
      </c>
      <c r="P864" s="30">
        <f>'Revenue Calculation'!P115</f>
        <v>13.26</v>
      </c>
      <c r="Q864" s="30">
        <f>'Revenue Calculation'!Q115</f>
        <v>13.26</v>
      </c>
      <c r="R864" s="30">
        <f>'Revenue Calculation'!R115</f>
        <v>13.26</v>
      </c>
      <c r="S864" s="30">
        <f>'Revenue Calculation'!S115</f>
        <v>13.26</v>
      </c>
      <c r="T864" s="30">
        <f>'Revenue Calculation'!T115</f>
        <v>13.26</v>
      </c>
    </row>
    <row r="865" spans="2:20" x14ac:dyDescent="0.25">
      <c r="B865" s="23" t="s">
        <v>4121</v>
      </c>
      <c r="C865" s="28" t="s">
        <v>493</v>
      </c>
      <c r="H865" s="161">
        <f t="shared" ref="H865:T865" si="122">ROUND(H864-H863,9)</f>
        <v>0</v>
      </c>
      <c r="I865" s="161">
        <f t="shared" si="122"/>
        <v>0</v>
      </c>
      <c r="J865" s="161">
        <f t="shared" si="122"/>
        <v>0</v>
      </c>
      <c r="K865" s="161">
        <f t="shared" si="122"/>
        <v>0</v>
      </c>
      <c r="L865" s="161">
        <f t="shared" si="122"/>
        <v>0</v>
      </c>
      <c r="M865" s="161">
        <f t="shared" si="122"/>
        <v>0</v>
      </c>
      <c r="N865" s="161">
        <f t="shared" si="122"/>
        <v>0</v>
      </c>
      <c r="O865" s="161">
        <f t="shared" si="122"/>
        <v>0</v>
      </c>
      <c r="P865" s="161">
        <f t="shared" si="122"/>
        <v>0</v>
      </c>
      <c r="Q865" s="161">
        <f t="shared" si="122"/>
        <v>0</v>
      </c>
      <c r="R865" s="161">
        <f t="shared" si="122"/>
        <v>0</v>
      </c>
      <c r="S865" s="161">
        <f t="shared" si="122"/>
        <v>0</v>
      </c>
      <c r="T865" s="161">
        <f t="shared" si="122"/>
        <v>0</v>
      </c>
    </row>
    <row r="866" spans="2:20" x14ac:dyDescent="0.25">
      <c r="B866" s="23" t="s">
        <v>4145</v>
      </c>
      <c r="C866" s="28" t="s">
        <v>493</v>
      </c>
      <c r="H866" s="30">
        <f>'Source Data'!H990</f>
        <v>0</v>
      </c>
      <c r="I866" s="30">
        <f>'Source Data'!I990</f>
        <v>0</v>
      </c>
      <c r="J866" s="30">
        <f>'Source Data'!J990</f>
        <v>0</v>
      </c>
      <c r="K866" s="30">
        <f>'Source Data'!K990</f>
        <v>0</v>
      </c>
      <c r="L866" s="30">
        <f>'Source Data'!L990</f>
        <v>0</v>
      </c>
      <c r="M866" s="30">
        <f>'Source Data'!M990</f>
        <v>0</v>
      </c>
      <c r="N866" s="30">
        <f>'Source Data'!N990</f>
        <v>0</v>
      </c>
      <c r="O866" s="30">
        <f>'Source Data'!O990</f>
        <v>0</v>
      </c>
      <c r="P866" s="30">
        <f>'Source Data'!P990</f>
        <v>0</v>
      </c>
      <c r="Q866" s="30">
        <f>'Source Data'!Q990</f>
        <v>0</v>
      </c>
      <c r="R866" s="30">
        <f>'Source Data'!R990</f>
        <v>0</v>
      </c>
      <c r="S866" s="30">
        <f>'Source Data'!S990</f>
        <v>0</v>
      </c>
      <c r="T866" s="30">
        <f>'Source Data'!T990</f>
        <v>0</v>
      </c>
    </row>
    <row r="867" spans="2:20" x14ac:dyDescent="0.25">
      <c r="B867" s="23" t="s">
        <v>4123</v>
      </c>
      <c r="C867" s="28" t="s">
        <v>493</v>
      </c>
      <c r="H867" s="161">
        <f>-('Cost Calculation'!H147)</f>
        <v>0</v>
      </c>
      <c r="I867" s="161">
        <f>-('Cost Calculation'!I147)</f>
        <v>0</v>
      </c>
      <c r="J867" s="161">
        <f>-('Cost Calculation'!J147)</f>
        <v>0</v>
      </c>
      <c r="K867" s="161">
        <f>-('Cost Calculation'!K147)</f>
        <v>0</v>
      </c>
      <c r="L867" s="161">
        <f>-('Cost Calculation'!L147)</f>
        <v>0</v>
      </c>
      <c r="M867" s="161">
        <f>-('Cost Calculation'!M147)</f>
        <v>0</v>
      </c>
      <c r="N867" s="161">
        <f>-('Cost Calculation'!N147)</f>
        <v>0</v>
      </c>
      <c r="O867" s="161">
        <f>-('Cost Calculation'!O147)</f>
        <v>0</v>
      </c>
      <c r="P867" s="161">
        <f>-('Cost Calculation'!P147)</f>
        <v>0</v>
      </c>
      <c r="Q867" s="161">
        <f>-('Cost Calculation'!Q147)</f>
        <v>0</v>
      </c>
      <c r="R867" s="161">
        <f>-('Cost Calculation'!R147)</f>
        <v>0</v>
      </c>
      <c r="S867" s="161">
        <f>-('Cost Calculation'!S147)</f>
        <v>0</v>
      </c>
      <c r="T867" s="161">
        <f>-('Cost Calculation'!T147)</f>
        <v>0</v>
      </c>
    </row>
    <row r="868" spans="2:20" x14ac:dyDescent="0.25">
      <c r="B868" s="23" t="s">
        <v>4124</v>
      </c>
      <c r="C868" s="28" t="s">
        <v>493</v>
      </c>
      <c r="H868" s="161">
        <f t="shared" ref="H868:T868" si="123">ROUND(H867-H866,9)</f>
        <v>0</v>
      </c>
      <c r="I868" s="161">
        <f t="shared" si="123"/>
        <v>0</v>
      </c>
      <c r="J868" s="161">
        <f t="shared" si="123"/>
        <v>0</v>
      </c>
      <c r="K868" s="161">
        <f t="shared" si="123"/>
        <v>0</v>
      </c>
      <c r="L868" s="161">
        <f t="shared" si="123"/>
        <v>0</v>
      </c>
      <c r="M868" s="161">
        <f t="shared" si="123"/>
        <v>0</v>
      </c>
      <c r="N868" s="161">
        <f t="shared" si="123"/>
        <v>0</v>
      </c>
      <c r="O868" s="161">
        <f t="shared" si="123"/>
        <v>0</v>
      </c>
      <c r="P868" s="161">
        <f t="shared" si="123"/>
        <v>0</v>
      </c>
      <c r="Q868" s="161">
        <f t="shared" si="123"/>
        <v>0</v>
      </c>
      <c r="R868" s="161">
        <f t="shared" si="123"/>
        <v>0</v>
      </c>
      <c r="S868" s="161">
        <f t="shared" si="123"/>
        <v>0</v>
      </c>
      <c r="T868" s="161">
        <f t="shared" si="123"/>
        <v>0</v>
      </c>
    </row>
    <row r="869" spans="2:20" x14ac:dyDescent="0.25">
      <c r="B869" s="23" t="s">
        <v>4146</v>
      </c>
      <c r="C869" s="28" t="s">
        <v>493</v>
      </c>
      <c r="H869" s="30">
        <f>'Source Data'!H991</f>
        <v>0</v>
      </c>
      <c r="I869" s="30">
        <f>'Source Data'!I991</f>
        <v>0</v>
      </c>
      <c r="J869" s="30">
        <f>'Source Data'!J991</f>
        <v>0</v>
      </c>
      <c r="K869" s="30">
        <f>'Source Data'!K991</f>
        <v>-6.1199999999999997E-2</v>
      </c>
      <c r="L869" s="30">
        <f>'Source Data'!L991</f>
        <v>-6.1199999999999997E-2</v>
      </c>
      <c r="M869" s="30">
        <f>'Source Data'!M991</f>
        <v>-6.1199999999999997E-2</v>
      </c>
      <c r="N869" s="30">
        <f>'Source Data'!N991</f>
        <v>-6.1199999999999997E-2</v>
      </c>
      <c r="O869" s="30">
        <f>'Source Data'!O991</f>
        <v>-6.1199999999999997E-2</v>
      </c>
      <c r="P869" s="30">
        <f>'Source Data'!P991</f>
        <v>-6.1199999999999997E-2</v>
      </c>
      <c r="Q869" s="30">
        <f>'Source Data'!Q991</f>
        <v>-6.1199999999999997E-2</v>
      </c>
      <c r="R869" s="30">
        <f>'Source Data'!R991</f>
        <v>-6.1199999999999997E-2</v>
      </c>
      <c r="S869" s="30">
        <f>'Source Data'!S991</f>
        <v>-6.1199999999999997E-2</v>
      </c>
      <c r="T869" s="30">
        <f>'Source Data'!T991</f>
        <v>-6.1199999999999997E-2</v>
      </c>
    </row>
    <row r="870" spans="2:20" x14ac:dyDescent="0.25">
      <c r="B870" s="23" t="s">
        <v>4126</v>
      </c>
      <c r="C870" s="28" t="s">
        <v>493</v>
      </c>
      <c r="H870" s="161">
        <f>-('Cost Calculation'!H148)</f>
        <v>0</v>
      </c>
      <c r="I870" s="161">
        <f>-('Cost Calculation'!I148)</f>
        <v>0</v>
      </c>
      <c r="J870" s="161">
        <f>-('Cost Calculation'!J148)</f>
        <v>0</v>
      </c>
      <c r="K870" s="161">
        <f>-('Cost Calculation'!K148)</f>
        <v>-6.1199999999999997E-2</v>
      </c>
      <c r="L870" s="161">
        <f>-('Cost Calculation'!L148)</f>
        <v>-6.1199999999999997E-2</v>
      </c>
      <c r="M870" s="161">
        <f>-('Cost Calculation'!M148)</f>
        <v>-6.1199999999999997E-2</v>
      </c>
      <c r="N870" s="161">
        <f>-('Cost Calculation'!N148)</f>
        <v>-6.1199999999999997E-2</v>
      </c>
      <c r="O870" s="161">
        <f>-('Cost Calculation'!O148)</f>
        <v>-6.1199999999999997E-2</v>
      </c>
      <c r="P870" s="161">
        <f>-('Cost Calculation'!P148)</f>
        <v>-6.1199999999999997E-2</v>
      </c>
      <c r="Q870" s="161">
        <f>-('Cost Calculation'!Q148)</f>
        <v>-6.1199999999999997E-2</v>
      </c>
      <c r="R870" s="161">
        <f>-('Cost Calculation'!R148)</f>
        <v>-6.1199999999999997E-2</v>
      </c>
      <c r="S870" s="161">
        <f>-('Cost Calculation'!S148)</f>
        <v>-6.1199999999999997E-2</v>
      </c>
      <c r="T870" s="161">
        <f>-('Cost Calculation'!T148)</f>
        <v>-6.1199999999999997E-2</v>
      </c>
    </row>
    <row r="871" spans="2:20" x14ac:dyDescent="0.25">
      <c r="B871" s="23" t="s">
        <v>4127</v>
      </c>
      <c r="C871" s="28" t="s">
        <v>493</v>
      </c>
      <c r="H871" s="161">
        <f t="shared" ref="H871:T871" si="124">ROUND(H870-H869,9)</f>
        <v>0</v>
      </c>
      <c r="I871" s="161">
        <f t="shared" si="124"/>
        <v>0</v>
      </c>
      <c r="J871" s="161">
        <f t="shared" si="124"/>
        <v>0</v>
      </c>
      <c r="K871" s="161">
        <f t="shared" si="124"/>
        <v>0</v>
      </c>
      <c r="L871" s="161">
        <f t="shared" si="124"/>
        <v>0</v>
      </c>
      <c r="M871" s="161">
        <f t="shared" si="124"/>
        <v>0</v>
      </c>
      <c r="N871" s="161">
        <f t="shared" si="124"/>
        <v>0</v>
      </c>
      <c r="O871" s="161">
        <f t="shared" si="124"/>
        <v>0</v>
      </c>
      <c r="P871" s="161">
        <f t="shared" si="124"/>
        <v>0</v>
      </c>
      <c r="Q871" s="161">
        <f t="shared" si="124"/>
        <v>0</v>
      </c>
      <c r="R871" s="161">
        <f t="shared" si="124"/>
        <v>0</v>
      </c>
      <c r="S871" s="161">
        <f t="shared" si="124"/>
        <v>0</v>
      </c>
      <c r="T871" s="161">
        <f t="shared" si="124"/>
        <v>0</v>
      </c>
    </row>
    <row r="872" spans="2:20" x14ac:dyDescent="0.25">
      <c r="B872" s="23" t="s">
        <v>4147</v>
      </c>
      <c r="C872" s="28" t="s">
        <v>493</v>
      </c>
      <c r="H872" s="30">
        <f>'Source Data'!H992</f>
        <v>0</v>
      </c>
      <c r="I872" s="30">
        <f>'Source Data'!I992</f>
        <v>0</v>
      </c>
      <c r="J872" s="30">
        <f>'Source Data'!J992</f>
        <v>0</v>
      </c>
      <c r="K872" s="30">
        <f>'Source Data'!K992</f>
        <v>-4.1917718749999997</v>
      </c>
      <c r="L872" s="30">
        <f>'Source Data'!L992</f>
        <v>-4.1917718749999997</v>
      </c>
      <c r="M872" s="30">
        <f>'Source Data'!M992</f>
        <v>-4.1917718749999997</v>
      </c>
      <c r="N872" s="30">
        <f>'Source Data'!N992</f>
        <v>-4.1917718749999997</v>
      </c>
      <c r="O872" s="30">
        <f>'Source Data'!O992</f>
        <v>-4.1917718749999997</v>
      </c>
      <c r="P872" s="30">
        <f>'Source Data'!P992</f>
        <v>-4.1917718749999997</v>
      </c>
      <c r="Q872" s="30">
        <f>'Source Data'!Q992</f>
        <v>-4.1917718749999997</v>
      </c>
      <c r="R872" s="30">
        <f>'Source Data'!R992</f>
        <v>-4.1917718749999997</v>
      </c>
      <c r="S872" s="30">
        <f>'Source Data'!S992</f>
        <v>-4.1917718749999997</v>
      </c>
      <c r="T872" s="30">
        <f>'Source Data'!T992</f>
        <v>-4.1917718749999997</v>
      </c>
    </row>
    <row r="873" spans="2:20" x14ac:dyDescent="0.25">
      <c r="B873" s="23" t="s">
        <v>4129</v>
      </c>
      <c r="C873" s="28" t="s">
        <v>493</v>
      </c>
      <c r="H873" s="161">
        <f>-('Capex &amp; Depreciation'!H238)</f>
        <v>0</v>
      </c>
      <c r="I873" s="161">
        <f>-('Capex &amp; Depreciation'!I238)</f>
        <v>0</v>
      </c>
      <c r="J873" s="161">
        <f>-('Capex &amp; Depreciation'!J238)</f>
        <v>0</v>
      </c>
      <c r="K873" s="161">
        <f>-('Capex &amp; Depreciation'!K238)</f>
        <v>-4.191771874999997</v>
      </c>
      <c r="L873" s="161">
        <f>-('Capex &amp; Depreciation'!L238)</f>
        <v>-4.191771874999997</v>
      </c>
      <c r="M873" s="161">
        <f>-('Capex &amp; Depreciation'!M238)</f>
        <v>-4.191771874999997</v>
      </c>
      <c r="N873" s="161">
        <f>-('Capex &amp; Depreciation'!N238)</f>
        <v>-4.191771874999997</v>
      </c>
      <c r="O873" s="161">
        <f>-('Capex &amp; Depreciation'!O238)</f>
        <v>-4.191771874999997</v>
      </c>
      <c r="P873" s="161">
        <f>-('Capex &amp; Depreciation'!P238)</f>
        <v>-4.191771874999997</v>
      </c>
      <c r="Q873" s="161">
        <f>-('Capex &amp; Depreciation'!Q238)</f>
        <v>-4.191771874999997</v>
      </c>
      <c r="R873" s="161">
        <f>-('Capex &amp; Depreciation'!R238)</f>
        <v>-4.191771874999997</v>
      </c>
      <c r="S873" s="161">
        <f>-('Capex &amp; Depreciation'!S238)</f>
        <v>-4.191771874999997</v>
      </c>
      <c r="T873" s="161">
        <f>-('Capex &amp; Depreciation'!T238)</f>
        <v>-4.191771874999997</v>
      </c>
    </row>
    <row r="874" spans="2:20" x14ac:dyDescent="0.25">
      <c r="B874" s="23" t="s">
        <v>4130</v>
      </c>
      <c r="C874" s="28" t="s">
        <v>493</v>
      </c>
      <c r="H874" s="161">
        <f t="shared" ref="H874:T874" si="125">ROUND(H873-H872,9)</f>
        <v>0</v>
      </c>
      <c r="I874" s="161">
        <f t="shared" si="125"/>
        <v>0</v>
      </c>
      <c r="J874" s="161">
        <f t="shared" si="125"/>
        <v>0</v>
      </c>
      <c r="K874" s="161">
        <f t="shared" si="125"/>
        <v>0</v>
      </c>
      <c r="L874" s="161">
        <f t="shared" si="125"/>
        <v>0</v>
      </c>
      <c r="M874" s="161">
        <f t="shared" si="125"/>
        <v>0</v>
      </c>
      <c r="N874" s="161">
        <f t="shared" si="125"/>
        <v>0</v>
      </c>
      <c r="O874" s="161">
        <f t="shared" si="125"/>
        <v>0</v>
      </c>
      <c r="P874" s="161">
        <f t="shared" si="125"/>
        <v>0</v>
      </c>
      <c r="Q874" s="161">
        <f t="shared" si="125"/>
        <v>0</v>
      </c>
      <c r="R874" s="161">
        <f t="shared" si="125"/>
        <v>0</v>
      </c>
      <c r="S874" s="161">
        <f t="shared" si="125"/>
        <v>0</v>
      </c>
      <c r="T874" s="161">
        <f t="shared" si="125"/>
        <v>0</v>
      </c>
    </row>
    <row r="875" spans="2:20" x14ac:dyDescent="0.25">
      <c r="B875" s="23" t="s">
        <v>4148</v>
      </c>
      <c r="C875" s="28" t="s">
        <v>493</v>
      </c>
      <c r="H875" s="30">
        <f>'Source Data'!H993</f>
        <v>0</v>
      </c>
      <c r="I875" s="30">
        <f>'Source Data'!I993</f>
        <v>0</v>
      </c>
      <c r="J875" s="30">
        <f>'Source Data'!J993</f>
        <v>0</v>
      </c>
      <c r="K875" s="30">
        <f>'Source Data'!K993</f>
        <v>0</v>
      </c>
      <c r="L875" s="30">
        <f>'Source Data'!L993</f>
        <v>0</v>
      </c>
      <c r="M875" s="30">
        <f>'Source Data'!M993</f>
        <v>0</v>
      </c>
      <c r="N875" s="30">
        <f>'Source Data'!N993</f>
        <v>0</v>
      </c>
      <c r="O875" s="30">
        <f>'Source Data'!O993</f>
        <v>0</v>
      </c>
      <c r="P875" s="30">
        <f>'Source Data'!P993</f>
        <v>0</v>
      </c>
      <c r="Q875" s="30">
        <f>'Source Data'!Q993</f>
        <v>0</v>
      </c>
      <c r="R875" s="30">
        <f>'Source Data'!R993</f>
        <v>0</v>
      </c>
      <c r="S875" s="30">
        <f>'Source Data'!S993</f>
        <v>0</v>
      </c>
      <c r="T875" s="30">
        <f>'Source Data'!T993</f>
        <v>0</v>
      </c>
    </row>
    <row r="876" spans="2:20" x14ac:dyDescent="0.25">
      <c r="B876" s="23" t="s">
        <v>4132</v>
      </c>
      <c r="C876" s="28" t="s">
        <v>493</v>
      </c>
      <c r="H876" s="161">
        <f>0</f>
        <v>0</v>
      </c>
      <c r="I876" s="161">
        <f>0</f>
        <v>0</v>
      </c>
      <c r="J876" s="161">
        <f>0</f>
        <v>0</v>
      </c>
      <c r="K876" s="161">
        <f>0</f>
        <v>0</v>
      </c>
      <c r="L876" s="161">
        <f>0</f>
        <v>0</v>
      </c>
      <c r="M876" s="161">
        <f>0</f>
        <v>0</v>
      </c>
      <c r="N876" s="161">
        <f>0</f>
        <v>0</v>
      </c>
      <c r="O876" s="161">
        <f>0</f>
        <v>0</v>
      </c>
      <c r="P876" s="161">
        <f>0</f>
        <v>0</v>
      </c>
      <c r="Q876" s="161">
        <f>0</f>
        <v>0</v>
      </c>
      <c r="R876" s="161">
        <f>0</f>
        <v>0</v>
      </c>
      <c r="S876" s="161">
        <f>0</f>
        <v>0</v>
      </c>
      <c r="T876" s="161">
        <f>0</f>
        <v>0</v>
      </c>
    </row>
    <row r="877" spans="2:20" x14ac:dyDescent="0.25">
      <c r="B877" s="23" t="s">
        <v>4133</v>
      </c>
      <c r="C877" s="28" t="s">
        <v>493</v>
      </c>
      <c r="H877" s="161">
        <f t="shared" ref="H877:T877" si="126">ROUND(H876-H875,9)</f>
        <v>0</v>
      </c>
      <c r="I877" s="161">
        <f t="shared" si="126"/>
        <v>0</v>
      </c>
      <c r="J877" s="161">
        <f t="shared" si="126"/>
        <v>0</v>
      </c>
      <c r="K877" s="161">
        <f t="shared" si="126"/>
        <v>0</v>
      </c>
      <c r="L877" s="161">
        <f t="shared" si="126"/>
        <v>0</v>
      </c>
      <c r="M877" s="161">
        <f t="shared" si="126"/>
        <v>0</v>
      </c>
      <c r="N877" s="161">
        <f t="shared" si="126"/>
        <v>0</v>
      </c>
      <c r="O877" s="161">
        <f t="shared" si="126"/>
        <v>0</v>
      </c>
      <c r="P877" s="161">
        <f t="shared" si="126"/>
        <v>0</v>
      </c>
      <c r="Q877" s="161">
        <f t="shared" si="126"/>
        <v>0</v>
      </c>
      <c r="R877" s="161">
        <f t="shared" si="126"/>
        <v>0</v>
      </c>
      <c r="S877" s="161">
        <f t="shared" si="126"/>
        <v>0</v>
      </c>
      <c r="T877" s="161">
        <f t="shared" si="126"/>
        <v>0</v>
      </c>
    </row>
    <row r="878" spans="2:20" x14ac:dyDescent="0.25">
      <c r="B878" s="23" t="s">
        <v>4149</v>
      </c>
      <c r="C878" s="28" t="s">
        <v>493</v>
      </c>
      <c r="H878" s="30">
        <f>'Source Data'!H994</f>
        <v>0</v>
      </c>
      <c r="I878" s="30">
        <f>'Source Data'!I994</f>
        <v>0</v>
      </c>
      <c r="J878" s="30">
        <f>'Source Data'!J994</f>
        <v>0</v>
      </c>
      <c r="K878" s="30">
        <f>'Source Data'!K994</f>
        <v>9.0070281249999997</v>
      </c>
      <c r="L878" s="30">
        <f>'Source Data'!L994</f>
        <v>9.0070281249999997</v>
      </c>
      <c r="M878" s="30">
        <f>'Source Data'!M994</f>
        <v>9.0070281249999997</v>
      </c>
      <c r="N878" s="30">
        <f>'Source Data'!N994</f>
        <v>9.0070281249999997</v>
      </c>
      <c r="O878" s="30">
        <f>'Source Data'!O994</f>
        <v>9.0070281249999997</v>
      </c>
      <c r="P878" s="30">
        <f>'Source Data'!P994</f>
        <v>9.0070281249999997</v>
      </c>
      <c r="Q878" s="30">
        <f>'Source Data'!Q994</f>
        <v>9.0070281249999997</v>
      </c>
      <c r="R878" s="30">
        <f>'Source Data'!R994</f>
        <v>9.0070281249999997</v>
      </c>
      <c r="S878" s="30">
        <f>'Source Data'!S994</f>
        <v>9.0070281249999997</v>
      </c>
      <c r="T878" s="30">
        <f>'Source Data'!T994</f>
        <v>9.0070281249999997</v>
      </c>
    </row>
    <row r="879" spans="2:20" x14ac:dyDescent="0.25">
      <c r="B879" s="23" t="s">
        <v>4135</v>
      </c>
      <c r="C879" s="28" t="s">
        <v>493</v>
      </c>
      <c r="H879" s="30">
        <f>'FSL Output - With BUMN'!H93</f>
        <v>0</v>
      </c>
      <c r="I879" s="30">
        <f>'FSL Output - With BUMN'!I93</f>
        <v>0</v>
      </c>
      <c r="J879" s="30">
        <f>'FSL Output - With BUMN'!J93</f>
        <v>0</v>
      </c>
      <c r="K879" s="30">
        <f>'FSL Output - With BUMN'!K93</f>
        <v>9.0070281250000033</v>
      </c>
      <c r="L879" s="30">
        <f>'FSL Output - With BUMN'!L93</f>
        <v>9.0070281250000033</v>
      </c>
      <c r="M879" s="30">
        <f>'FSL Output - With BUMN'!M93</f>
        <v>9.0070281250000033</v>
      </c>
      <c r="N879" s="30">
        <f>'FSL Output - With BUMN'!N93</f>
        <v>9.0070281250000033</v>
      </c>
      <c r="O879" s="30">
        <f>'FSL Output - With BUMN'!O93</f>
        <v>9.0070281250000033</v>
      </c>
      <c r="P879" s="30">
        <f>'FSL Output - With BUMN'!P93</f>
        <v>9.0070281250000033</v>
      </c>
      <c r="Q879" s="30">
        <f>'FSL Output - With BUMN'!Q93</f>
        <v>9.0070281250000033</v>
      </c>
      <c r="R879" s="30">
        <f>'FSL Output - With BUMN'!R93</f>
        <v>9.0070281250000033</v>
      </c>
      <c r="S879" s="30">
        <f>'FSL Output - With BUMN'!S93</f>
        <v>9.0070281250000033</v>
      </c>
      <c r="T879" s="30">
        <f>'FSL Output - With BUMN'!T93</f>
        <v>9.0070281250000033</v>
      </c>
    </row>
    <row r="880" spans="2:20" x14ac:dyDescent="0.25">
      <c r="B880" s="23" t="s">
        <v>4136</v>
      </c>
      <c r="C880" s="28" t="s">
        <v>493</v>
      </c>
      <c r="H880" s="161">
        <f t="shared" ref="H880:T880" si="127">ROUND(H879-H878,9)</f>
        <v>0</v>
      </c>
      <c r="I880" s="161">
        <f t="shared" si="127"/>
        <v>0</v>
      </c>
      <c r="J880" s="161">
        <f t="shared" si="127"/>
        <v>0</v>
      </c>
      <c r="K880" s="161">
        <f t="shared" si="127"/>
        <v>0</v>
      </c>
      <c r="L880" s="161">
        <f t="shared" si="127"/>
        <v>0</v>
      </c>
      <c r="M880" s="161">
        <f t="shared" si="127"/>
        <v>0</v>
      </c>
      <c r="N880" s="161">
        <f t="shared" si="127"/>
        <v>0</v>
      </c>
      <c r="O880" s="161">
        <f t="shared" si="127"/>
        <v>0</v>
      </c>
      <c r="P880" s="161">
        <f t="shared" si="127"/>
        <v>0</v>
      </c>
      <c r="Q880" s="161">
        <f t="shared" si="127"/>
        <v>0</v>
      </c>
      <c r="R880" s="161">
        <f t="shared" si="127"/>
        <v>0</v>
      </c>
      <c r="S880" s="161">
        <f t="shared" si="127"/>
        <v>0</v>
      </c>
      <c r="T880" s="161">
        <f t="shared" si="127"/>
        <v>0</v>
      </c>
    </row>
    <row r="881" spans="2:20" x14ac:dyDescent="0.25">
      <c r="B881" s="23" t="s">
        <v>4150</v>
      </c>
      <c r="C881" s="28" t="s">
        <v>493</v>
      </c>
      <c r="H881" s="30">
        <f>'Source Data'!H995</f>
        <v>0</v>
      </c>
      <c r="I881" s="30">
        <f>'Source Data'!I995</f>
        <v>0</v>
      </c>
      <c r="J881" s="30">
        <f>'Source Data'!J995</f>
        <v>0</v>
      </c>
      <c r="K881" s="30">
        <f>'Source Data'!K995</f>
        <v>-1.9815461875</v>
      </c>
      <c r="L881" s="30">
        <f>'Source Data'!L995</f>
        <v>-1.9815461875</v>
      </c>
      <c r="M881" s="30">
        <f>'Source Data'!M995</f>
        <v>-1.9815461875</v>
      </c>
      <c r="N881" s="30">
        <f>'Source Data'!N995</f>
        <v>-1.9815461875</v>
      </c>
      <c r="O881" s="30">
        <f>'Source Data'!O995</f>
        <v>-1.9815461875</v>
      </c>
      <c r="P881" s="30">
        <f>'Source Data'!P995</f>
        <v>-1.9815461875</v>
      </c>
      <c r="Q881" s="30">
        <f>'Source Data'!Q995</f>
        <v>-1.9815461875</v>
      </c>
      <c r="R881" s="30">
        <f>'Source Data'!R995</f>
        <v>-1.9815461875</v>
      </c>
      <c r="S881" s="30">
        <f>'Source Data'!S995</f>
        <v>-1.9815461875</v>
      </c>
      <c r="T881" s="30">
        <f>'Source Data'!T995</f>
        <v>-1.9815461875</v>
      </c>
    </row>
    <row r="882" spans="2:20" x14ac:dyDescent="0.25">
      <c r="B882" s="23" t="s">
        <v>4138</v>
      </c>
      <c r="C882" s="28" t="s">
        <v>493</v>
      </c>
      <c r="H882" s="161">
        <f>-'FSL Output - With BUMN'!H94</f>
        <v>0</v>
      </c>
      <c r="I882" s="161">
        <f>-'FSL Output - With BUMN'!I94</f>
        <v>0</v>
      </c>
      <c r="J882" s="161">
        <f>-'FSL Output - With BUMN'!J94</f>
        <v>0</v>
      </c>
      <c r="K882" s="161">
        <f>-'FSL Output - With BUMN'!K94</f>
        <v>-1.9815461875000007</v>
      </c>
      <c r="L882" s="161">
        <f>-'FSL Output - With BUMN'!L94</f>
        <v>-1.9815461875000007</v>
      </c>
      <c r="M882" s="161">
        <f>-'FSL Output - With BUMN'!M94</f>
        <v>-1.9815461875000007</v>
      </c>
      <c r="N882" s="161">
        <f>-'FSL Output - With BUMN'!N94</f>
        <v>-1.9815461875000007</v>
      </c>
      <c r="O882" s="161">
        <f>-'FSL Output - With BUMN'!O94</f>
        <v>-1.9815461875000007</v>
      </c>
      <c r="P882" s="161">
        <f>-'FSL Output - With BUMN'!P94</f>
        <v>-1.9815461875000007</v>
      </c>
      <c r="Q882" s="161">
        <f>-'FSL Output - With BUMN'!Q94</f>
        <v>-1.9815461875000007</v>
      </c>
      <c r="R882" s="161">
        <f>-'FSL Output - With BUMN'!R94</f>
        <v>-1.9815461875000007</v>
      </c>
      <c r="S882" s="161">
        <f>-'FSL Output - With BUMN'!S94</f>
        <v>-1.9815461875000007</v>
      </c>
      <c r="T882" s="161">
        <f>-'FSL Output - With BUMN'!T94</f>
        <v>-1.9815461875000007</v>
      </c>
    </row>
    <row r="883" spans="2:20" x14ac:dyDescent="0.25">
      <c r="B883" s="23" t="s">
        <v>4139</v>
      </c>
      <c r="C883" s="28" t="s">
        <v>493</v>
      </c>
      <c r="H883" s="161">
        <f t="shared" ref="H883:T883" si="128">ROUND(H882-H881,9)</f>
        <v>0</v>
      </c>
      <c r="I883" s="161">
        <f t="shared" si="128"/>
        <v>0</v>
      </c>
      <c r="J883" s="161">
        <f t="shared" si="128"/>
        <v>0</v>
      </c>
      <c r="K883" s="161">
        <f t="shared" si="128"/>
        <v>0</v>
      </c>
      <c r="L883" s="161">
        <f t="shared" si="128"/>
        <v>0</v>
      </c>
      <c r="M883" s="161">
        <f t="shared" si="128"/>
        <v>0</v>
      </c>
      <c r="N883" s="161">
        <f t="shared" si="128"/>
        <v>0</v>
      </c>
      <c r="O883" s="161">
        <f t="shared" si="128"/>
        <v>0</v>
      </c>
      <c r="P883" s="161">
        <f t="shared" si="128"/>
        <v>0</v>
      </c>
      <c r="Q883" s="161">
        <f t="shared" si="128"/>
        <v>0</v>
      </c>
      <c r="R883" s="161">
        <f t="shared" si="128"/>
        <v>0</v>
      </c>
      <c r="S883" s="161">
        <f t="shared" si="128"/>
        <v>0</v>
      </c>
      <c r="T883" s="161">
        <f t="shared" si="128"/>
        <v>0</v>
      </c>
    </row>
    <row r="884" spans="2:20" x14ac:dyDescent="0.25">
      <c r="B884" s="23" t="s">
        <v>4151</v>
      </c>
      <c r="C884" s="28" t="s">
        <v>493</v>
      </c>
      <c r="H884" s="30">
        <f>'Source Data'!H996</f>
        <v>0</v>
      </c>
      <c r="I884" s="30">
        <f>'Source Data'!I996</f>
        <v>0</v>
      </c>
      <c r="J884" s="30">
        <f>'Source Data'!J996</f>
        <v>0</v>
      </c>
      <c r="K884" s="30">
        <f>'Source Data'!K996</f>
        <v>7.0254819375000004</v>
      </c>
      <c r="L884" s="30">
        <f>'Source Data'!L996</f>
        <v>7.0254819375000004</v>
      </c>
      <c r="M884" s="30">
        <f>'Source Data'!M996</f>
        <v>7.0254819375000004</v>
      </c>
      <c r="N884" s="30">
        <f>'Source Data'!N996</f>
        <v>7.0254819375000004</v>
      </c>
      <c r="O884" s="30">
        <f>'Source Data'!O996</f>
        <v>7.0254819375000004</v>
      </c>
      <c r="P884" s="30">
        <f>'Source Data'!P996</f>
        <v>7.0254819375000004</v>
      </c>
      <c r="Q884" s="30">
        <f>'Source Data'!Q996</f>
        <v>7.0254819375000004</v>
      </c>
      <c r="R884" s="30">
        <f>'Source Data'!R996</f>
        <v>7.0254819375000004</v>
      </c>
      <c r="S884" s="30">
        <f>'Source Data'!S996</f>
        <v>7.0254819375000004</v>
      </c>
      <c r="T884" s="30">
        <f>'Source Data'!T996</f>
        <v>7.0254819375000004</v>
      </c>
    </row>
    <row r="885" spans="2:20" x14ac:dyDescent="0.25">
      <c r="B885" s="23" t="s">
        <v>4141</v>
      </c>
      <c r="C885" s="28" t="s">
        <v>493</v>
      </c>
      <c r="H885" s="30">
        <f>'FSL Output - With BUMN'!H96</f>
        <v>0</v>
      </c>
      <c r="I885" s="30">
        <f>'FSL Output - With BUMN'!I96</f>
        <v>0</v>
      </c>
      <c r="J885" s="30">
        <f>'FSL Output - With BUMN'!J96</f>
        <v>0</v>
      </c>
      <c r="K885" s="30">
        <f>'FSL Output - With BUMN'!K96</f>
        <v>7.0254819375000022</v>
      </c>
      <c r="L885" s="30">
        <f>'FSL Output - With BUMN'!L96</f>
        <v>7.0254819375000022</v>
      </c>
      <c r="M885" s="30">
        <f>'FSL Output - With BUMN'!M96</f>
        <v>7.0254819375000022</v>
      </c>
      <c r="N885" s="30">
        <f>'FSL Output - With BUMN'!N96</f>
        <v>7.0254819375000022</v>
      </c>
      <c r="O885" s="30">
        <f>'FSL Output - With BUMN'!O96</f>
        <v>7.0254819375000022</v>
      </c>
      <c r="P885" s="30">
        <f>'FSL Output - With BUMN'!P96</f>
        <v>7.0254819375000022</v>
      </c>
      <c r="Q885" s="30">
        <f>'FSL Output - With BUMN'!Q96</f>
        <v>7.0254819375000022</v>
      </c>
      <c r="R885" s="30">
        <f>'FSL Output - With BUMN'!R96</f>
        <v>7.0254819375000022</v>
      </c>
      <c r="S885" s="30">
        <f>'FSL Output - With BUMN'!S96</f>
        <v>7.0254819375000022</v>
      </c>
      <c r="T885" s="30">
        <f>'FSL Output - With BUMN'!T96</f>
        <v>7.0254819375000022</v>
      </c>
    </row>
    <row r="886" spans="2:20" x14ac:dyDescent="0.25">
      <c r="B886" s="23" t="s">
        <v>4142</v>
      </c>
      <c r="C886" s="28" t="s">
        <v>493</v>
      </c>
      <c r="H886" s="161">
        <f t="shared" ref="H886:T886" si="129">ROUND(H885-H884,9)</f>
        <v>0</v>
      </c>
      <c r="I886" s="161">
        <f t="shared" si="129"/>
        <v>0</v>
      </c>
      <c r="J886" s="161">
        <f t="shared" si="129"/>
        <v>0</v>
      </c>
      <c r="K886" s="161">
        <f t="shared" si="129"/>
        <v>0</v>
      </c>
      <c r="L886" s="161">
        <f t="shared" si="129"/>
        <v>0</v>
      </c>
      <c r="M886" s="161">
        <f t="shared" si="129"/>
        <v>0</v>
      </c>
      <c r="N886" s="161">
        <f t="shared" si="129"/>
        <v>0</v>
      </c>
      <c r="O886" s="161">
        <f t="shared" si="129"/>
        <v>0</v>
      </c>
      <c r="P886" s="161">
        <f t="shared" si="129"/>
        <v>0</v>
      </c>
      <c r="Q886" s="161">
        <f t="shared" si="129"/>
        <v>0</v>
      </c>
      <c r="R886" s="161">
        <f t="shared" si="129"/>
        <v>0</v>
      </c>
      <c r="S886" s="161">
        <f t="shared" si="129"/>
        <v>0</v>
      </c>
      <c r="T886" s="161">
        <f t="shared" si="129"/>
        <v>0</v>
      </c>
    </row>
    <row r="888" spans="2:20" x14ac:dyDescent="0.25">
      <c r="B888" s="221" t="s">
        <v>4152</v>
      </c>
      <c r="C888" s="235"/>
      <c r="D888" s="235"/>
      <c r="E888" s="224" t="str">
        <f>IF(F888&lt;=Inputs!$E$50,"Matches v29",IF($E$21&gt;0,"Differs - inputs changed","UNEXPLAINED"))</f>
        <v>Matches v29</v>
      </c>
      <c r="F888" s="225">
        <f>MAX(MAX(H891:T891),-MIN(H891:T891),MAX(H894:T894),-MIN(H894:T894),MAX(H897:T897),-MIN(H897:T897),MAX(H900:T900),-MIN(H900:T900),MAX(H903:T903),-MIN(H903:T903),MAX(H906:T906),-MIN(H906:T906),MAX(H909:T909),-MIN(H909:T909),MAX(H912:T912),-MIN(H912:T912))</f>
        <v>0</v>
      </c>
      <c r="G888" s="226">
        <f>MAX(MAX(H891:T891),-MIN(H891:T891),MAX(H894:T894),-MIN(H894:T894),MAX(H897:T897),-MIN(H897:T897),MAX(H900:T900),-MIN(H900:T900),MAX(H903:T903),-MIN(H903:T903),MAX(H906:T906),-MIN(H906:T906),MAX(H909:T909),-MIN(H909:T909),MAX(H912:T912),-MIN(H912:T912))</f>
        <v>0</v>
      </c>
    </row>
    <row r="889" spans="2:20" x14ac:dyDescent="0.25">
      <c r="B889" s="23" t="s">
        <v>4153</v>
      </c>
      <c r="C889" s="28" t="s">
        <v>493</v>
      </c>
      <c r="H889" s="30">
        <f>'Source Data'!H998</f>
        <v>0</v>
      </c>
      <c r="I889" s="30">
        <f>'Source Data'!I998</f>
        <v>0</v>
      </c>
      <c r="J889" s="30">
        <f>'Source Data'!J998</f>
        <v>48.1</v>
      </c>
      <c r="K889" s="30">
        <f>'Source Data'!K998</f>
        <v>48.1</v>
      </c>
      <c r="L889" s="30">
        <f>'Source Data'!L998</f>
        <v>48.1</v>
      </c>
      <c r="M889" s="30">
        <f>'Source Data'!M998</f>
        <v>51.4176</v>
      </c>
      <c r="N889" s="30">
        <f>'Source Data'!N998</f>
        <v>51.4176</v>
      </c>
      <c r="O889" s="30">
        <f>'Source Data'!O998</f>
        <v>51.4176</v>
      </c>
      <c r="P889" s="30">
        <f>'Source Data'!P998</f>
        <v>51.4176</v>
      </c>
      <c r="Q889" s="30">
        <f>'Source Data'!Q998</f>
        <v>54.968199519999999</v>
      </c>
      <c r="R889" s="30">
        <f>'Source Data'!R998</f>
        <v>54.968199519999999</v>
      </c>
      <c r="S889" s="30">
        <f>'Source Data'!S998</f>
        <v>54.968199519999999</v>
      </c>
      <c r="T889" s="30">
        <f>'Source Data'!T998</f>
        <v>54.968199519999999</v>
      </c>
    </row>
    <row r="890" spans="2:20" x14ac:dyDescent="0.25">
      <c r="B890" s="23" t="s">
        <v>4120</v>
      </c>
      <c r="C890" s="28" t="s">
        <v>493</v>
      </c>
      <c r="H890" s="30">
        <f>'Revenue Calculation'!H122</f>
        <v>0</v>
      </c>
      <c r="I890" s="30">
        <f>'Revenue Calculation'!I122</f>
        <v>0</v>
      </c>
      <c r="J890" s="30">
        <f>'Revenue Calculation'!J122</f>
        <v>48.1</v>
      </c>
      <c r="K890" s="30">
        <f>'Revenue Calculation'!K122</f>
        <v>48.1</v>
      </c>
      <c r="L890" s="30">
        <f>'Revenue Calculation'!L122</f>
        <v>48.1</v>
      </c>
      <c r="M890" s="30">
        <f>'Revenue Calculation'!M122</f>
        <v>51.4176</v>
      </c>
      <c r="N890" s="30">
        <f>'Revenue Calculation'!N122</f>
        <v>51.4176</v>
      </c>
      <c r="O890" s="30">
        <f>'Revenue Calculation'!O122</f>
        <v>51.4176</v>
      </c>
      <c r="P890" s="30">
        <f>'Revenue Calculation'!P122</f>
        <v>51.4176</v>
      </c>
      <c r="Q890" s="30">
        <f>'Revenue Calculation'!Q122</f>
        <v>54.968199519999999</v>
      </c>
      <c r="R890" s="30">
        <f>'Revenue Calculation'!R122</f>
        <v>54.968199519999999</v>
      </c>
      <c r="S890" s="30">
        <f>'Revenue Calculation'!S122</f>
        <v>54.968199519999999</v>
      </c>
      <c r="T890" s="30">
        <f>'Revenue Calculation'!T122</f>
        <v>54.968199519999999</v>
      </c>
    </row>
    <row r="891" spans="2:20" x14ac:dyDescent="0.25">
      <c r="B891" s="23" t="s">
        <v>4121</v>
      </c>
      <c r="C891" s="28" t="s">
        <v>493</v>
      </c>
      <c r="H891" s="161">
        <f t="shared" ref="H891:T891" si="130">ROUND(H890-H889,9)</f>
        <v>0</v>
      </c>
      <c r="I891" s="161">
        <f t="shared" si="130"/>
        <v>0</v>
      </c>
      <c r="J891" s="161">
        <f t="shared" si="130"/>
        <v>0</v>
      </c>
      <c r="K891" s="161">
        <f t="shared" si="130"/>
        <v>0</v>
      </c>
      <c r="L891" s="161">
        <f t="shared" si="130"/>
        <v>0</v>
      </c>
      <c r="M891" s="161">
        <f t="shared" si="130"/>
        <v>0</v>
      </c>
      <c r="N891" s="161">
        <f t="shared" si="130"/>
        <v>0</v>
      </c>
      <c r="O891" s="161">
        <f t="shared" si="130"/>
        <v>0</v>
      </c>
      <c r="P891" s="161">
        <f t="shared" si="130"/>
        <v>0</v>
      </c>
      <c r="Q891" s="161">
        <f t="shared" si="130"/>
        <v>0</v>
      </c>
      <c r="R891" s="161">
        <f t="shared" si="130"/>
        <v>0</v>
      </c>
      <c r="S891" s="161">
        <f t="shared" si="130"/>
        <v>0</v>
      </c>
      <c r="T891" s="161">
        <f t="shared" si="130"/>
        <v>0</v>
      </c>
    </row>
    <row r="892" spans="2:20" x14ac:dyDescent="0.25">
      <c r="B892" s="23" t="s">
        <v>4154</v>
      </c>
      <c r="C892" s="28" t="s">
        <v>493</v>
      </c>
      <c r="H892" s="30">
        <f>'Source Data'!H999</f>
        <v>0</v>
      </c>
      <c r="I892" s="30">
        <f>'Source Data'!I999</f>
        <v>0</v>
      </c>
      <c r="J892" s="30">
        <f>'Source Data'!J999</f>
        <v>0</v>
      </c>
      <c r="K892" s="30">
        <f>'Source Data'!K999</f>
        <v>0</v>
      </c>
      <c r="L892" s="30">
        <f>'Source Data'!L999</f>
        <v>0</v>
      </c>
      <c r="M892" s="30">
        <f>'Source Data'!M999</f>
        <v>0</v>
      </c>
      <c r="N892" s="30">
        <f>'Source Data'!N999</f>
        <v>0</v>
      </c>
      <c r="O892" s="30">
        <f>'Source Data'!O999</f>
        <v>0</v>
      </c>
      <c r="P892" s="30">
        <f>'Source Data'!P999</f>
        <v>0</v>
      </c>
      <c r="Q892" s="30">
        <f>'Source Data'!Q999</f>
        <v>0</v>
      </c>
      <c r="R892" s="30">
        <f>'Source Data'!R999</f>
        <v>0</v>
      </c>
      <c r="S892" s="30">
        <f>'Source Data'!S999</f>
        <v>0</v>
      </c>
      <c r="T892" s="30">
        <f>'Source Data'!T999</f>
        <v>0</v>
      </c>
    </row>
    <row r="893" spans="2:20" x14ac:dyDescent="0.25">
      <c r="B893" s="23" t="s">
        <v>4123</v>
      </c>
      <c r="C893" s="28" t="s">
        <v>493</v>
      </c>
      <c r="H893" s="161">
        <f>-('Cost Calculation'!H151)</f>
        <v>0</v>
      </c>
      <c r="I893" s="161">
        <f>-('Cost Calculation'!I151)</f>
        <v>0</v>
      </c>
      <c r="J893" s="161">
        <f>-('Cost Calculation'!J151)</f>
        <v>0</v>
      </c>
      <c r="K893" s="161">
        <f>-('Cost Calculation'!K151)</f>
        <v>0</v>
      </c>
      <c r="L893" s="161">
        <f>-('Cost Calculation'!L151)</f>
        <v>0</v>
      </c>
      <c r="M893" s="161">
        <f>-('Cost Calculation'!M151)</f>
        <v>0</v>
      </c>
      <c r="N893" s="161">
        <f>-('Cost Calculation'!N151)</f>
        <v>0</v>
      </c>
      <c r="O893" s="161">
        <f>-('Cost Calculation'!O151)</f>
        <v>0</v>
      </c>
      <c r="P893" s="161">
        <f>-('Cost Calculation'!P151)</f>
        <v>0</v>
      </c>
      <c r="Q893" s="161">
        <f>-('Cost Calculation'!Q151)</f>
        <v>0</v>
      </c>
      <c r="R893" s="161">
        <f>-('Cost Calculation'!R151)</f>
        <v>0</v>
      </c>
      <c r="S893" s="161">
        <f>-('Cost Calculation'!S151)</f>
        <v>0</v>
      </c>
      <c r="T893" s="161">
        <f>-('Cost Calculation'!T151)</f>
        <v>0</v>
      </c>
    </row>
    <row r="894" spans="2:20" x14ac:dyDescent="0.25">
      <c r="B894" s="23" t="s">
        <v>4124</v>
      </c>
      <c r="C894" s="28" t="s">
        <v>493</v>
      </c>
      <c r="H894" s="161">
        <f t="shared" ref="H894:T894" si="131">ROUND(H893-H892,9)</f>
        <v>0</v>
      </c>
      <c r="I894" s="161">
        <f t="shared" si="131"/>
        <v>0</v>
      </c>
      <c r="J894" s="161">
        <f t="shared" si="131"/>
        <v>0</v>
      </c>
      <c r="K894" s="161">
        <f t="shared" si="131"/>
        <v>0</v>
      </c>
      <c r="L894" s="161">
        <f t="shared" si="131"/>
        <v>0</v>
      </c>
      <c r="M894" s="161">
        <f t="shared" si="131"/>
        <v>0</v>
      </c>
      <c r="N894" s="161">
        <f t="shared" si="131"/>
        <v>0</v>
      </c>
      <c r="O894" s="161">
        <f t="shared" si="131"/>
        <v>0</v>
      </c>
      <c r="P894" s="161">
        <f t="shared" si="131"/>
        <v>0</v>
      </c>
      <c r="Q894" s="161">
        <f t="shared" si="131"/>
        <v>0</v>
      </c>
      <c r="R894" s="161">
        <f t="shared" si="131"/>
        <v>0</v>
      </c>
      <c r="S894" s="161">
        <f t="shared" si="131"/>
        <v>0</v>
      </c>
      <c r="T894" s="161">
        <f t="shared" si="131"/>
        <v>0</v>
      </c>
    </row>
    <row r="895" spans="2:20" x14ac:dyDescent="0.25">
      <c r="B895" s="23" t="s">
        <v>4155</v>
      </c>
      <c r="C895" s="28" t="s">
        <v>493</v>
      </c>
      <c r="H895" s="30">
        <f>'Source Data'!H1000</f>
        <v>0</v>
      </c>
      <c r="I895" s="30">
        <f>'Source Data'!I1000</f>
        <v>0</v>
      </c>
      <c r="J895" s="30">
        <f>'Source Data'!J1000</f>
        <v>-22.349182568122799</v>
      </c>
      <c r="K895" s="30">
        <f>'Source Data'!K1000</f>
        <v>-22.8608565715802</v>
      </c>
      <c r="L895" s="30">
        <f>'Source Data'!L1000</f>
        <v>-23.385322425124201</v>
      </c>
      <c r="M895" s="30">
        <f>'Source Data'!M1000</f>
        <v>-24.368177184432501</v>
      </c>
      <c r="N895" s="30">
        <f>'Source Data'!N1000</f>
        <v>-25.366275592338301</v>
      </c>
      <c r="O895" s="30">
        <f>'Source Data'!O1000</f>
        <v>-25.721335378404898</v>
      </c>
      <c r="P895" s="30">
        <f>'Source Data'!P1000</f>
        <v>-26.309760465381402</v>
      </c>
      <c r="Q895" s="30">
        <f>'Source Data'!Q1000</f>
        <v>-27.413675940716399</v>
      </c>
      <c r="R895" s="30">
        <f>'Source Data'!R1000</f>
        <v>-28.042184391550698</v>
      </c>
      <c r="S895" s="30">
        <f>'Source Data'!S1000</f>
        <v>-29.124593172696301</v>
      </c>
      <c r="T895" s="30">
        <f>'Source Data'!T1000</f>
        <v>-29.3905510067177</v>
      </c>
    </row>
    <row r="896" spans="2:20" x14ac:dyDescent="0.25">
      <c r="B896" s="23" t="s">
        <v>4126</v>
      </c>
      <c r="C896" s="28" t="s">
        <v>493</v>
      </c>
      <c r="H896" s="161">
        <f>-('Cost Calculation'!H152)</f>
        <v>0</v>
      </c>
      <c r="I896" s="161">
        <f>-('Cost Calculation'!I152)</f>
        <v>0</v>
      </c>
      <c r="J896" s="161">
        <f>-('Cost Calculation'!J152)</f>
        <v>-22.349182568122753</v>
      </c>
      <c r="K896" s="161">
        <f>-('Cost Calculation'!K152)</f>
        <v>-22.860856571580246</v>
      </c>
      <c r="L896" s="161">
        <f>-('Cost Calculation'!L152)</f>
        <v>-23.385322425124158</v>
      </c>
      <c r="M896" s="161">
        <f>-('Cost Calculation'!M152)</f>
        <v>-24.368177184432536</v>
      </c>
      <c r="N896" s="161">
        <f>-('Cost Calculation'!N152)</f>
        <v>-25.366275592338283</v>
      </c>
      <c r="O896" s="161">
        <f>-('Cost Calculation'!O152)</f>
        <v>-25.721335378404895</v>
      </c>
      <c r="P896" s="161">
        <f>-('Cost Calculation'!P152)</f>
        <v>-26.309760465381427</v>
      </c>
      <c r="Q896" s="161">
        <f>-('Cost Calculation'!Q152)</f>
        <v>-27.41367594071637</v>
      </c>
      <c r="R896" s="161">
        <f>-('Cost Calculation'!R152)</f>
        <v>-28.042184391550673</v>
      </c>
      <c r="S896" s="161">
        <f>-('Cost Calculation'!S152)</f>
        <v>-29.124593172696311</v>
      </c>
      <c r="T896" s="161">
        <f>-('Cost Calculation'!T152)</f>
        <v>-29.390551006717725</v>
      </c>
    </row>
    <row r="897" spans="2:20" x14ac:dyDescent="0.25">
      <c r="B897" s="23" t="s">
        <v>4127</v>
      </c>
      <c r="C897" s="28" t="s">
        <v>493</v>
      </c>
      <c r="H897" s="161">
        <f t="shared" ref="H897:T897" si="132">ROUND(H896-H895,9)</f>
        <v>0</v>
      </c>
      <c r="I897" s="161">
        <f t="shared" si="132"/>
        <v>0</v>
      </c>
      <c r="J897" s="161">
        <f t="shared" si="132"/>
        <v>0</v>
      </c>
      <c r="K897" s="161">
        <f t="shared" si="132"/>
        <v>0</v>
      </c>
      <c r="L897" s="161">
        <f t="shared" si="132"/>
        <v>0</v>
      </c>
      <c r="M897" s="161">
        <f t="shared" si="132"/>
        <v>0</v>
      </c>
      <c r="N897" s="161">
        <f t="shared" si="132"/>
        <v>0</v>
      </c>
      <c r="O897" s="161">
        <f t="shared" si="132"/>
        <v>0</v>
      </c>
      <c r="P897" s="161">
        <f t="shared" si="132"/>
        <v>0</v>
      </c>
      <c r="Q897" s="161">
        <f t="shared" si="132"/>
        <v>0</v>
      </c>
      <c r="R897" s="161">
        <f t="shared" si="132"/>
        <v>0</v>
      </c>
      <c r="S897" s="161">
        <f t="shared" si="132"/>
        <v>0</v>
      </c>
      <c r="T897" s="161">
        <f t="shared" si="132"/>
        <v>0</v>
      </c>
    </row>
    <row r="898" spans="2:20" x14ac:dyDescent="0.25">
      <c r="B898" s="23" t="s">
        <v>4156</v>
      </c>
      <c r="C898" s="28" t="s">
        <v>493</v>
      </c>
      <c r="H898" s="30">
        <f>'Source Data'!H1001</f>
        <v>0</v>
      </c>
      <c r="I898" s="30">
        <f>'Source Data'!I1001</f>
        <v>0</v>
      </c>
      <c r="J898" s="30">
        <f>'Source Data'!J1001</f>
        <v>-8.8605523809523792</v>
      </c>
      <c r="K898" s="30">
        <f>'Source Data'!K1001</f>
        <v>-8.8605523809523792</v>
      </c>
      <c r="L898" s="30">
        <f>'Source Data'!L1001</f>
        <v>-8.8605523809523792</v>
      </c>
      <c r="M898" s="30">
        <f>'Source Data'!M1001</f>
        <v>-8.8605523809523792</v>
      </c>
      <c r="N898" s="30">
        <f>'Source Data'!N1001</f>
        <v>-8.8605523809523792</v>
      </c>
      <c r="O898" s="30">
        <f>'Source Data'!O1001</f>
        <v>-8.8605523809523792</v>
      </c>
      <c r="P898" s="30">
        <f>'Source Data'!P1001</f>
        <v>-8.8605523809523792</v>
      </c>
      <c r="Q898" s="30">
        <f>'Source Data'!Q1001</f>
        <v>-8.8605523809523792</v>
      </c>
      <c r="R898" s="30">
        <f>'Source Data'!R1001</f>
        <v>-3.3227071428571402</v>
      </c>
      <c r="S898" s="30">
        <f>'Source Data'!S1001</f>
        <v>-3.3227071428571402</v>
      </c>
      <c r="T898" s="30">
        <f>'Source Data'!T1001</f>
        <v>-3.3227071428571402</v>
      </c>
    </row>
    <row r="899" spans="2:20" x14ac:dyDescent="0.25">
      <c r="B899" s="23" t="s">
        <v>4129</v>
      </c>
      <c r="C899" s="28" t="s">
        <v>493</v>
      </c>
      <c r="H899" s="161">
        <f>-('Capex &amp; Depreciation'!H239)</f>
        <v>0</v>
      </c>
      <c r="I899" s="161">
        <f>-('Capex &amp; Depreciation'!I239)</f>
        <v>0</v>
      </c>
      <c r="J899" s="161">
        <f>-('Capex &amp; Depreciation'!J239)</f>
        <v>-8.8605523809523792</v>
      </c>
      <c r="K899" s="161">
        <f>-('Capex &amp; Depreciation'!K239)</f>
        <v>-8.8605523809523792</v>
      </c>
      <c r="L899" s="161">
        <f>-('Capex &amp; Depreciation'!L239)</f>
        <v>-8.8605523809523792</v>
      </c>
      <c r="M899" s="161">
        <f>-('Capex &amp; Depreciation'!M239)</f>
        <v>-8.8605523809523792</v>
      </c>
      <c r="N899" s="161">
        <f>-('Capex &amp; Depreciation'!N239)</f>
        <v>-8.8605523809523792</v>
      </c>
      <c r="O899" s="161">
        <f>-('Capex &amp; Depreciation'!O239)</f>
        <v>-8.8605523809523792</v>
      </c>
      <c r="P899" s="161">
        <f>-('Capex &amp; Depreciation'!P239)</f>
        <v>-8.8605523809523792</v>
      </c>
      <c r="Q899" s="161">
        <f>-('Capex &amp; Depreciation'!Q239)</f>
        <v>-8.8605523809523792</v>
      </c>
      <c r="R899" s="161">
        <f>-('Capex &amp; Depreciation'!R239)</f>
        <v>-3.322707142857142</v>
      </c>
      <c r="S899" s="161">
        <f>-('Capex &amp; Depreciation'!S239)</f>
        <v>-3.322707142857142</v>
      </c>
      <c r="T899" s="161">
        <f>-('Capex &amp; Depreciation'!T239)</f>
        <v>-3.322707142857142</v>
      </c>
    </row>
    <row r="900" spans="2:20" x14ac:dyDescent="0.25">
      <c r="B900" s="23" t="s">
        <v>4130</v>
      </c>
      <c r="C900" s="28" t="s">
        <v>493</v>
      </c>
      <c r="H900" s="161">
        <f t="shared" ref="H900:T900" si="133">ROUND(H899-H898,9)</f>
        <v>0</v>
      </c>
      <c r="I900" s="161">
        <f t="shared" si="133"/>
        <v>0</v>
      </c>
      <c r="J900" s="161">
        <f t="shared" si="133"/>
        <v>0</v>
      </c>
      <c r="K900" s="161">
        <f t="shared" si="133"/>
        <v>0</v>
      </c>
      <c r="L900" s="161">
        <f t="shared" si="133"/>
        <v>0</v>
      </c>
      <c r="M900" s="161">
        <f t="shared" si="133"/>
        <v>0</v>
      </c>
      <c r="N900" s="161">
        <f t="shared" si="133"/>
        <v>0</v>
      </c>
      <c r="O900" s="161">
        <f t="shared" si="133"/>
        <v>0</v>
      </c>
      <c r="P900" s="161">
        <f t="shared" si="133"/>
        <v>0</v>
      </c>
      <c r="Q900" s="161">
        <f t="shared" si="133"/>
        <v>0</v>
      </c>
      <c r="R900" s="161">
        <f t="shared" si="133"/>
        <v>0</v>
      </c>
      <c r="S900" s="161">
        <f t="shared" si="133"/>
        <v>0</v>
      </c>
      <c r="T900" s="161">
        <f t="shared" si="133"/>
        <v>0</v>
      </c>
    </row>
    <row r="901" spans="2:20" x14ac:dyDescent="0.25">
      <c r="B901" s="23" t="s">
        <v>4157</v>
      </c>
      <c r="C901" s="28" t="s">
        <v>493</v>
      </c>
      <c r="H901" s="30">
        <f>'Source Data'!H1002</f>
        <v>0</v>
      </c>
      <c r="I901" s="30">
        <f>'Source Data'!I1002</f>
        <v>0</v>
      </c>
      <c r="J901" s="30">
        <f>'Source Data'!J1002</f>
        <v>0</v>
      </c>
      <c r="K901" s="30">
        <f>'Source Data'!K1002</f>
        <v>0</v>
      </c>
      <c r="L901" s="30">
        <f>'Source Data'!L1002</f>
        <v>0</v>
      </c>
      <c r="M901" s="30">
        <f>'Source Data'!M1002</f>
        <v>0</v>
      </c>
      <c r="N901" s="30">
        <f>'Source Data'!N1002</f>
        <v>0</v>
      </c>
      <c r="O901" s="30">
        <f>'Source Data'!O1002</f>
        <v>0</v>
      </c>
      <c r="P901" s="30">
        <f>'Source Data'!P1002</f>
        <v>0</v>
      </c>
      <c r="Q901" s="30">
        <f>'Source Data'!Q1002</f>
        <v>0</v>
      </c>
      <c r="R901" s="30">
        <f>'Source Data'!R1002</f>
        <v>0</v>
      </c>
      <c r="S901" s="30">
        <f>'Source Data'!S1002</f>
        <v>0</v>
      </c>
      <c r="T901" s="30">
        <f>'Source Data'!T1002</f>
        <v>0</v>
      </c>
    </row>
    <row r="902" spans="2:20" x14ac:dyDescent="0.25">
      <c r="B902" s="23" t="s">
        <v>4132</v>
      </c>
      <c r="C902" s="28" t="s">
        <v>493</v>
      </c>
      <c r="H902" s="161">
        <f>0</f>
        <v>0</v>
      </c>
      <c r="I902" s="161">
        <f>0</f>
        <v>0</v>
      </c>
      <c r="J902" s="161">
        <f>0</f>
        <v>0</v>
      </c>
      <c r="K902" s="161">
        <f>0</f>
        <v>0</v>
      </c>
      <c r="L902" s="161">
        <f>0</f>
        <v>0</v>
      </c>
      <c r="M902" s="161">
        <f>0</f>
        <v>0</v>
      </c>
      <c r="N902" s="161">
        <f>0</f>
        <v>0</v>
      </c>
      <c r="O902" s="161">
        <f>0</f>
        <v>0</v>
      </c>
      <c r="P902" s="161">
        <f>0</f>
        <v>0</v>
      </c>
      <c r="Q902" s="161">
        <f>0</f>
        <v>0</v>
      </c>
      <c r="R902" s="161">
        <f>0</f>
        <v>0</v>
      </c>
      <c r="S902" s="161">
        <f>0</f>
        <v>0</v>
      </c>
      <c r="T902" s="161">
        <f>0</f>
        <v>0</v>
      </c>
    </row>
    <row r="903" spans="2:20" x14ac:dyDescent="0.25">
      <c r="B903" s="23" t="s">
        <v>4133</v>
      </c>
      <c r="C903" s="28" t="s">
        <v>493</v>
      </c>
      <c r="H903" s="161">
        <f t="shared" ref="H903:T903" si="134">ROUND(H902-H901,9)</f>
        <v>0</v>
      </c>
      <c r="I903" s="161">
        <f t="shared" si="134"/>
        <v>0</v>
      </c>
      <c r="J903" s="161">
        <f t="shared" si="134"/>
        <v>0</v>
      </c>
      <c r="K903" s="161">
        <f t="shared" si="134"/>
        <v>0</v>
      </c>
      <c r="L903" s="161">
        <f t="shared" si="134"/>
        <v>0</v>
      </c>
      <c r="M903" s="161">
        <f t="shared" si="134"/>
        <v>0</v>
      </c>
      <c r="N903" s="161">
        <f t="shared" si="134"/>
        <v>0</v>
      </c>
      <c r="O903" s="161">
        <f t="shared" si="134"/>
        <v>0</v>
      </c>
      <c r="P903" s="161">
        <f t="shared" si="134"/>
        <v>0</v>
      </c>
      <c r="Q903" s="161">
        <f t="shared" si="134"/>
        <v>0</v>
      </c>
      <c r="R903" s="161">
        <f t="shared" si="134"/>
        <v>0</v>
      </c>
      <c r="S903" s="161">
        <f t="shared" si="134"/>
        <v>0</v>
      </c>
      <c r="T903" s="161">
        <f t="shared" si="134"/>
        <v>0</v>
      </c>
    </row>
    <row r="904" spans="2:20" x14ac:dyDescent="0.25">
      <c r="B904" s="23" t="s">
        <v>4158</v>
      </c>
      <c r="C904" s="28" t="s">
        <v>493</v>
      </c>
      <c r="H904" s="30">
        <f>'Source Data'!H1003</f>
        <v>0</v>
      </c>
      <c r="I904" s="30">
        <f>'Source Data'!I1003</f>
        <v>0</v>
      </c>
      <c r="J904" s="30">
        <f>'Source Data'!J1003</f>
        <v>16.890265050924899</v>
      </c>
      <c r="K904" s="30">
        <f>'Source Data'!K1003</f>
        <v>16.378591047467399</v>
      </c>
      <c r="L904" s="30">
        <f>'Source Data'!L1003</f>
        <v>15.854125193923499</v>
      </c>
      <c r="M904" s="30">
        <f>'Source Data'!M1003</f>
        <v>18.188870434615101</v>
      </c>
      <c r="N904" s="30">
        <f>'Source Data'!N1003</f>
        <v>17.1907720267093</v>
      </c>
      <c r="O904" s="30">
        <f>'Source Data'!O1003</f>
        <v>16.8357122406427</v>
      </c>
      <c r="P904" s="30">
        <f>'Source Data'!P1003</f>
        <v>16.2472871536662</v>
      </c>
      <c r="Q904" s="30">
        <f>'Source Data'!Q1003</f>
        <v>18.693971198331202</v>
      </c>
      <c r="R904" s="30">
        <f>'Source Data'!R1003</f>
        <v>23.603307985592199</v>
      </c>
      <c r="S904" s="30">
        <f>'Source Data'!S1003</f>
        <v>22.520899204446501</v>
      </c>
      <c r="T904" s="30">
        <f>'Source Data'!T1003</f>
        <v>22.254941370425101</v>
      </c>
    </row>
    <row r="905" spans="2:20" x14ac:dyDescent="0.25">
      <c r="B905" s="23" t="s">
        <v>4135</v>
      </c>
      <c r="C905" s="28" t="s">
        <v>493</v>
      </c>
      <c r="H905" s="30">
        <f>'FSL Output - With BUMN'!H98</f>
        <v>0</v>
      </c>
      <c r="I905" s="30">
        <f>'FSL Output - With BUMN'!I98</f>
        <v>0</v>
      </c>
      <c r="J905" s="30">
        <f>'FSL Output - With BUMN'!J98</f>
        <v>16.890265050924867</v>
      </c>
      <c r="K905" s="30">
        <f>'FSL Output - With BUMN'!K98</f>
        <v>16.378591047467374</v>
      </c>
      <c r="L905" s="30">
        <f>'FSL Output - With BUMN'!L98</f>
        <v>15.854125193923464</v>
      </c>
      <c r="M905" s="30">
        <f>'FSL Output - With BUMN'!M98</f>
        <v>18.188870434615083</v>
      </c>
      <c r="N905" s="30">
        <f>'FSL Output - With BUMN'!N98</f>
        <v>17.19077202670934</v>
      </c>
      <c r="O905" s="30">
        <f>'FSL Output - With BUMN'!O98</f>
        <v>16.835712240642728</v>
      </c>
      <c r="P905" s="30">
        <f>'FSL Output - With BUMN'!P98</f>
        <v>16.247287153666193</v>
      </c>
      <c r="Q905" s="30">
        <f>'FSL Output - With BUMN'!Q98</f>
        <v>18.693971198331248</v>
      </c>
      <c r="R905" s="30">
        <f>'FSL Output - With BUMN'!R98</f>
        <v>23.603307985592185</v>
      </c>
      <c r="S905" s="30">
        <f>'FSL Output - With BUMN'!S98</f>
        <v>22.520899204446547</v>
      </c>
      <c r="T905" s="30">
        <f>'FSL Output - With BUMN'!T98</f>
        <v>22.254941370425133</v>
      </c>
    </row>
    <row r="906" spans="2:20" x14ac:dyDescent="0.25">
      <c r="B906" s="23" t="s">
        <v>4136</v>
      </c>
      <c r="C906" s="28" t="s">
        <v>493</v>
      </c>
      <c r="H906" s="161">
        <f t="shared" ref="H906:T906" si="135">ROUND(H905-H904,9)</f>
        <v>0</v>
      </c>
      <c r="I906" s="161">
        <f t="shared" si="135"/>
        <v>0</v>
      </c>
      <c r="J906" s="161">
        <f t="shared" si="135"/>
        <v>0</v>
      </c>
      <c r="K906" s="161">
        <f t="shared" si="135"/>
        <v>0</v>
      </c>
      <c r="L906" s="161">
        <f t="shared" si="135"/>
        <v>0</v>
      </c>
      <c r="M906" s="161">
        <f t="shared" si="135"/>
        <v>0</v>
      </c>
      <c r="N906" s="161">
        <f t="shared" si="135"/>
        <v>0</v>
      </c>
      <c r="O906" s="161">
        <f t="shared" si="135"/>
        <v>0</v>
      </c>
      <c r="P906" s="161">
        <f t="shared" si="135"/>
        <v>0</v>
      </c>
      <c r="Q906" s="161">
        <f t="shared" si="135"/>
        <v>0</v>
      </c>
      <c r="R906" s="161">
        <f t="shared" si="135"/>
        <v>0</v>
      </c>
      <c r="S906" s="161">
        <f t="shared" si="135"/>
        <v>0</v>
      </c>
      <c r="T906" s="161">
        <f t="shared" si="135"/>
        <v>0</v>
      </c>
    </row>
    <row r="907" spans="2:20" x14ac:dyDescent="0.25">
      <c r="B907" s="23" t="s">
        <v>4159</v>
      </c>
      <c r="C907" s="28" t="s">
        <v>493</v>
      </c>
      <c r="H907" s="30">
        <f>'Source Data'!H1004</f>
        <v>0</v>
      </c>
      <c r="I907" s="30">
        <f>'Source Data'!I1004</f>
        <v>0</v>
      </c>
      <c r="J907" s="30">
        <f>'Source Data'!J1004</f>
        <v>-3.71585831120347</v>
      </c>
      <c r="K907" s="30">
        <f>'Source Data'!K1004</f>
        <v>-3.6032900304428201</v>
      </c>
      <c r="L907" s="30">
        <f>'Source Data'!L1004</f>
        <v>-3.4879075426631601</v>
      </c>
      <c r="M907" s="30">
        <f>'Source Data'!M1004</f>
        <v>-4.0015514956153204</v>
      </c>
      <c r="N907" s="30">
        <f>'Source Data'!N1004</f>
        <v>-3.7819698458760498</v>
      </c>
      <c r="O907" s="30">
        <f>'Source Data'!O1004</f>
        <v>-3.7038566929413999</v>
      </c>
      <c r="P907" s="30">
        <f>'Source Data'!P1004</f>
        <v>-3.57440317380656</v>
      </c>
      <c r="Q907" s="30">
        <f>'Source Data'!Q1004</f>
        <v>-4.1126736636328802</v>
      </c>
      <c r="R907" s="30">
        <f>'Source Data'!R1004</f>
        <v>-5.1927277568302799</v>
      </c>
      <c r="S907" s="30">
        <f>'Source Data'!S1004</f>
        <v>-4.9545978249782401</v>
      </c>
      <c r="T907" s="30">
        <f>'Source Data'!T1004</f>
        <v>-4.8960871014935297</v>
      </c>
    </row>
    <row r="908" spans="2:20" x14ac:dyDescent="0.25">
      <c r="B908" s="23" t="s">
        <v>4138</v>
      </c>
      <c r="C908" s="28" t="s">
        <v>493</v>
      </c>
      <c r="H908" s="161">
        <f>-'FSL Output - With BUMN'!H99</f>
        <v>0</v>
      </c>
      <c r="I908" s="161">
        <f>-'FSL Output - With BUMN'!I99</f>
        <v>0</v>
      </c>
      <c r="J908" s="161">
        <f>-'FSL Output - With BUMN'!J99</f>
        <v>-3.7158583112034709</v>
      </c>
      <c r="K908" s="161">
        <f>-'FSL Output - With BUMN'!K99</f>
        <v>-3.6032900304428224</v>
      </c>
      <c r="L908" s="161">
        <f>-'FSL Output - With BUMN'!L99</f>
        <v>-3.4879075426631618</v>
      </c>
      <c r="M908" s="161">
        <f>-'FSL Output - With BUMN'!M99</f>
        <v>-4.0015514956153186</v>
      </c>
      <c r="N908" s="161">
        <f>-'FSL Output - With BUMN'!N99</f>
        <v>-3.7819698458760547</v>
      </c>
      <c r="O908" s="161">
        <f>-'FSL Output - With BUMN'!O99</f>
        <v>-3.7038566929414003</v>
      </c>
      <c r="P908" s="161">
        <f>-'FSL Output - With BUMN'!P99</f>
        <v>-3.5744031738065623</v>
      </c>
      <c r="Q908" s="161">
        <f>-'FSL Output - With BUMN'!Q99</f>
        <v>-4.1126736636328749</v>
      </c>
      <c r="R908" s="161">
        <f>-'FSL Output - With BUMN'!R99</f>
        <v>-5.1927277568302808</v>
      </c>
      <c r="S908" s="161">
        <f>-'FSL Output - With BUMN'!S99</f>
        <v>-4.9545978249782401</v>
      </c>
      <c r="T908" s="161">
        <f>-'FSL Output - With BUMN'!T99</f>
        <v>-4.8960871014935297</v>
      </c>
    </row>
    <row r="909" spans="2:20" x14ac:dyDescent="0.25">
      <c r="B909" s="23" t="s">
        <v>4139</v>
      </c>
      <c r="C909" s="28" t="s">
        <v>493</v>
      </c>
      <c r="H909" s="161">
        <f t="shared" ref="H909:T909" si="136">ROUND(H908-H907,9)</f>
        <v>0</v>
      </c>
      <c r="I909" s="161">
        <f t="shared" si="136"/>
        <v>0</v>
      </c>
      <c r="J909" s="161">
        <f t="shared" si="136"/>
        <v>0</v>
      </c>
      <c r="K909" s="161">
        <f t="shared" si="136"/>
        <v>0</v>
      </c>
      <c r="L909" s="161">
        <f t="shared" si="136"/>
        <v>0</v>
      </c>
      <c r="M909" s="161">
        <f t="shared" si="136"/>
        <v>0</v>
      </c>
      <c r="N909" s="161">
        <f t="shared" si="136"/>
        <v>0</v>
      </c>
      <c r="O909" s="161">
        <f t="shared" si="136"/>
        <v>0</v>
      </c>
      <c r="P909" s="161">
        <f t="shared" si="136"/>
        <v>0</v>
      </c>
      <c r="Q909" s="161">
        <f t="shared" si="136"/>
        <v>0</v>
      </c>
      <c r="R909" s="161">
        <f t="shared" si="136"/>
        <v>0</v>
      </c>
      <c r="S909" s="161">
        <f t="shared" si="136"/>
        <v>0</v>
      </c>
      <c r="T909" s="161">
        <f t="shared" si="136"/>
        <v>0</v>
      </c>
    </row>
    <row r="910" spans="2:20" x14ac:dyDescent="0.25">
      <c r="B910" s="23" t="s">
        <v>4160</v>
      </c>
      <c r="C910" s="28" t="s">
        <v>493</v>
      </c>
      <c r="H910" s="30">
        <f>'Source Data'!H1005</f>
        <v>0</v>
      </c>
      <c r="I910" s="30">
        <f>'Source Data'!I1005</f>
        <v>0</v>
      </c>
      <c r="J910" s="30">
        <f>'Source Data'!J1005</f>
        <v>13.1744067397214</v>
      </c>
      <c r="K910" s="30">
        <f>'Source Data'!K1005</f>
        <v>12.775301017024599</v>
      </c>
      <c r="L910" s="30">
        <f>'Source Data'!L1005</f>
        <v>12.3662176512603</v>
      </c>
      <c r="M910" s="30">
        <f>'Source Data'!M1005</f>
        <v>14.1873189389998</v>
      </c>
      <c r="N910" s="30">
        <f>'Source Data'!N1005</f>
        <v>13.4088021808333</v>
      </c>
      <c r="O910" s="30">
        <f>'Source Data'!O1005</f>
        <v>13.131855547701299</v>
      </c>
      <c r="P910" s="30">
        <f>'Source Data'!P1005</f>
        <v>12.6728839798596</v>
      </c>
      <c r="Q910" s="30">
        <f>'Source Data'!Q1005</f>
        <v>14.5812975346984</v>
      </c>
      <c r="R910" s="30">
        <f>'Source Data'!R1005</f>
        <v>18.410580228761901</v>
      </c>
      <c r="S910" s="30">
        <f>'Source Data'!S1005</f>
        <v>17.5663013794683</v>
      </c>
      <c r="T910" s="30">
        <f>'Source Data'!T1005</f>
        <v>17.358854268931601</v>
      </c>
    </row>
    <row r="911" spans="2:20" x14ac:dyDescent="0.25">
      <c r="B911" s="23" t="s">
        <v>4141</v>
      </c>
      <c r="C911" s="28" t="s">
        <v>493</v>
      </c>
      <c r="H911" s="30">
        <f>'FSL Output - With BUMN'!H101</f>
        <v>0</v>
      </c>
      <c r="I911" s="30">
        <f>'FSL Output - With BUMN'!I101</f>
        <v>0</v>
      </c>
      <c r="J911" s="30">
        <f>'FSL Output - With BUMN'!J101</f>
        <v>13.174406739721396</v>
      </c>
      <c r="K911" s="30">
        <f>'FSL Output - With BUMN'!K101</f>
        <v>12.775301017024551</v>
      </c>
      <c r="L911" s="30">
        <f>'FSL Output - With BUMN'!L101</f>
        <v>12.366217651260301</v>
      </c>
      <c r="M911" s="30">
        <f>'FSL Output - With BUMN'!M101</f>
        <v>14.187318938999764</v>
      </c>
      <c r="N911" s="30">
        <f>'FSL Output - With BUMN'!N101</f>
        <v>13.408802180833284</v>
      </c>
      <c r="O911" s="30">
        <f>'FSL Output - With BUMN'!O101</f>
        <v>13.131855547701328</v>
      </c>
      <c r="P911" s="30">
        <f>'FSL Output - With BUMN'!P101</f>
        <v>12.67288397985963</v>
      </c>
      <c r="Q911" s="30">
        <f>'FSL Output - With BUMN'!Q101</f>
        <v>14.581297534698372</v>
      </c>
      <c r="R911" s="30">
        <f>'FSL Output - With BUMN'!R101</f>
        <v>18.410580228761905</v>
      </c>
      <c r="S911" s="30">
        <f>'FSL Output - With BUMN'!S101</f>
        <v>17.566301379468307</v>
      </c>
      <c r="T911" s="30">
        <f>'FSL Output - With BUMN'!T101</f>
        <v>17.358854268931601</v>
      </c>
    </row>
    <row r="912" spans="2:20" x14ac:dyDescent="0.25">
      <c r="B912" s="23" t="s">
        <v>4142</v>
      </c>
      <c r="C912" s="28" t="s">
        <v>493</v>
      </c>
      <c r="H912" s="161">
        <f t="shared" ref="H912:T912" si="137">ROUND(H911-H910,9)</f>
        <v>0</v>
      </c>
      <c r="I912" s="161">
        <f t="shared" si="137"/>
        <v>0</v>
      </c>
      <c r="J912" s="161">
        <f t="shared" si="137"/>
        <v>0</v>
      </c>
      <c r="K912" s="161">
        <f t="shared" si="137"/>
        <v>0</v>
      </c>
      <c r="L912" s="161">
        <f t="shared" si="137"/>
        <v>0</v>
      </c>
      <c r="M912" s="161">
        <f t="shared" si="137"/>
        <v>0</v>
      </c>
      <c r="N912" s="161">
        <f t="shared" si="137"/>
        <v>0</v>
      </c>
      <c r="O912" s="161">
        <f t="shared" si="137"/>
        <v>0</v>
      </c>
      <c r="P912" s="161">
        <f t="shared" si="137"/>
        <v>0</v>
      </c>
      <c r="Q912" s="161">
        <f t="shared" si="137"/>
        <v>0</v>
      </c>
      <c r="R912" s="161">
        <f t="shared" si="137"/>
        <v>0</v>
      </c>
      <c r="S912" s="161">
        <f t="shared" si="137"/>
        <v>0</v>
      </c>
      <c r="T912" s="161">
        <f t="shared" si="137"/>
        <v>0</v>
      </c>
    </row>
    <row r="914" spans="2:20" x14ac:dyDescent="0.25">
      <c r="B914" s="221" t="s">
        <v>4161</v>
      </c>
      <c r="C914" s="235"/>
      <c r="D914" s="235"/>
      <c r="E914" s="224" t="str">
        <f>IF(F914&lt;=Inputs!$E$50,"Matches v29",IF($E$21&gt;0,"Differs - inputs changed","UNEXPLAINED"))</f>
        <v>Matches v29</v>
      </c>
      <c r="F914" s="225">
        <f>MAX(MAX(H917:T917),-MIN(H917:T917),MAX(H920:T920),-MIN(H920:T920),MAX(H923:T923),-MIN(H923:T923),MAX(H926:T926),-MIN(H926:T926),MAX(H929:T929),-MIN(H929:T929),MAX(H932:T932),-MIN(H932:T932),MAX(H935:T935),-MIN(H935:T935),MAX(H938:T938),-MIN(H938:T938))</f>
        <v>0</v>
      </c>
      <c r="G914" s="226">
        <f>MAX(MAX(H917:T917),-MIN(H917:T917),MAX(H920:T920),-MIN(H920:T920),MAX(H923:T923),-MIN(H923:T923),MAX(H926:T926),-MIN(H926:T926),MAX(H929:T929),-MIN(H929:T929),MAX(H932:T932),-MIN(H932:T932),MAX(H935:T935),-MIN(H935:T935),MAX(H938:T938),-MIN(H938:T938))</f>
        <v>0</v>
      </c>
    </row>
    <row r="915" spans="2:20" x14ac:dyDescent="0.25">
      <c r="B915" s="23" t="s">
        <v>4162</v>
      </c>
      <c r="C915" s="28" t="s">
        <v>493</v>
      </c>
      <c r="H915" s="30">
        <f>'Source Data'!H1007</f>
        <v>0</v>
      </c>
      <c r="I915" s="30">
        <f>'Source Data'!I1007</f>
        <v>0</v>
      </c>
      <c r="J915" s="30">
        <f>'Source Data'!J1007</f>
        <v>0</v>
      </c>
      <c r="K915" s="30">
        <f>'Source Data'!K1007</f>
        <v>0.74123666943353095</v>
      </c>
      <c r="L915" s="30">
        <f>'Source Data'!L1007</f>
        <v>0.76527376951653603</v>
      </c>
      <c r="M915" s="30">
        <f>'Source Data'!M1007</f>
        <v>0.790031982602032</v>
      </c>
      <c r="N915" s="30">
        <f>'Source Data'!N1007</f>
        <v>0.81553294208009397</v>
      </c>
      <c r="O915" s="30">
        <f>'Source Data'!O1007</f>
        <v>0.84179893034249598</v>
      </c>
      <c r="P915" s="30">
        <f>'Source Data'!P1007</f>
        <v>0.86885289825277101</v>
      </c>
      <c r="Q915" s="30">
        <f>'Source Data'!Q1007</f>
        <v>0.89671848520035502</v>
      </c>
      <c r="R915" s="30">
        <f>'Source Data'!R1007</f>
        <v>0.925420039756365</v>
      </c>
      <c r="S915" s="30">
        <f>'Source Data'!S1007</f>
        <v>0.95498264094905605</v>
      </c>
      <c r="T915" s="30">
        <f>'Source Data'!T1007</f>
        <v>0.98543212017752801</v>
      </c>
    </row>
    <row r="916" spans="2:20" x14ac:dyDescent="0.25">
      <c r="B916" s="23" t="s">
        <v>4120</v>
      </c>
      <c r="C916" s="28" t="s">
        <v>493</v>
      </c>
      <c r="H916" s="30">
        <f>'Revenue Calculation'!H137</f>
        <v>0</v>
      </c>
      <c r="I916" s="30">
        <f>'Revenue Calculation'!I137</f>
        <v>0</v>
      </c>
      <c r="J916" s="30">
        <f>'Revenue Calculation'!J137</f>
        <v>0</v>
      </c>
      <c r="K916" s="30">
        <f>'Revenue Calculation'!K137</f>
        <v>0.7412366694335305</v>
      </c>
      <c r="L916" s="30">
        <f>'Revenue Calculation'!L137</f>
        <v>0.76527376951653636</v>
      </c>
      <c r="M916" s="30">
        <f>'Revenue Calculation'!M137</f>
        <v>0.79003198260203256</v>
      </c>
      <c r="N916" s="30">
        <f>'Revenue Calculation'!N137</f>
        <v>0.81553294208009364</v>
      </c>
      <c r="O916" s="30">
        <f>'Revenue Calculation'!O137</f>
        <v>0.84179893034249653</v>
      </c>
      <c r="P916" s="30">
        <f>'Revenue Calculation'!P137</f>
        <v>0.86885289825277123</v>
      </c>
      <c r="Q916" s="30">
        <f>'Revenue Calculation'!Q137</f>
        <v>0.89671848520035446</v>
      </c>
      <c r="R916" s="30">
        <f>'Revenue Calculation'!R137</f>
        <v>0.92542003975636511</v>
      </c>
      <c r="S916" s="30">
        <f>'Revenue Calculation'!S137</f>
        <v>0.95498264094905594</v>
      </c>
      <c r="T916" s="30">
        <f>'Revenue Calculation'!T137</f>
        <v>0.98543212017752757</v>
      </c>
    </row>
    <row r="917" spans="2:20" x14ac:dyDescent="0.25">
      <c r="B917" s="23" t="s">
        <v>4121</v>
      </c>
      <c r="C917" s="28" t="s">
        <v>493</v>
      </c>
      <c r="H917" s="161">
        <f t="shared" ref="H917:T917" si="138">ROUND(H916-H915,9)</f>
        <v>0</v>
      </c>
      <c r="I917" s="161">
        <f t="shared" si="138"/>
        <v>0</v>
      </c>
      <c r="J917" s="161">
        <f t="shared" si="138"/>
        <v>0</v>
      </c>
      <c r="K917" s="161">
        <f t="shared" si="138"/>
        <v>0</v>
      </c>
      <c r="L917" s="161">
        <f t="shared" si="138"/>
        <v>0</v>
      </c>
      <c r="M917" s="161">
        <f t="shared" si="138"/>
        <v>0</v>
      </c>
      <c r="N917" s="161">
        <f t="shared" si="138"/>
        <v>0</v>
      </c>
      <c r="O917" s="161">
        <f t="shared" si="138"/>
        <v>0</v>
      </c>
      <c r="P917" s="161">
        <f t="shared" si="138"/>
        <v>0</v>
      </c>
      <c r="Q917" s="161">
        <f t="shared" si="138"/>
        <v>0</v>
      </c>
      <c r="R917" s="161">
        <f t="shared" si="138"/>
        <v>0</v>
      </c>
      <c r="S917" s="161">
        <f t="shared" si="138"/>
        <v>0</v>
      </c>
      <c r="T917" s="161">
        <f t="shared" si="138"/>
        <v>0</v>
      </c>
    </row>
    <row r="918" spans="2:20" x14ac:dyDescent="0.25">
      <c r="B918" s="23" t="s">
        <v>4163</v>
      </c>
      <c r="C918" s="28" t="s">
        <v>493</v>
      </c>
      <c r="H918" s="30">
        <f>'Source Data'!H1008</f>
        <v>0</v>
      </c>
      <c r="I918" s="30">
        <f>'Source Data'!I1008</f>
        <v>0</v>
      </c>
      <c r="J918" s="30">
        <f>'Source Data'!J1008</f>
        <v>0</v>
      </c>
      <c r="K918" s="30">
        <f>'Source Data'!K1008</f>
        <v>0</v>
      </c>
      <c r="L918" s="30">
        <f>'Source Data'!L1008</f>
        <v>0</v>
      </c>
      <c r="M918" s="30">
        <f>'Source Data'!M1008</f>
        <v>0</v>
      </c>
      <c r="N918" s="30">
        <f>'Source Data'!N1008</f>
        <v>0</v>
      </c>
      <c r="O918" s="30">
        <f>'Source Data'!O1008</f>
        <v>0</v>
      </c>
      <c r="P918" s="30">
        <f>'Source Data'!P1008</f>
        <v>0</v>
      </c>
      <c r="Q918" s="30">
        <f>'Source Data'!Q1008</f>
        <v>0</v>
      </c>
      <c r="R918" s="30">
        <f>'Source Data'!R1008</f>
        <v>0</v>
      </c>
      <c r="S918" s="30">
        <f>'Source Data'!S1008</f>
        <v>0</v>
      </c>
      <c r="T918" s="30">
        <f>'Source Data'!T1008</f>
        <v>0</v>
      </c>
    </row>
    <row r="919" spans="2:20" x14ac:dyDescent="0.25">
      <c r="B919" s="23" t="s">
        <v>4123</v>
      </c>
      <c r="C919" s="28" t="s">
        <v>493</v>
      </c>
      <c r="H919" s="161">
        <f>-('Cost Calculation'!H163)</f>
        <v>0</v>
      </c>
      <c r="I919" s="161">
        <f>-('Cost Calculation'!I163)</f>
        <v>0</v>
      </c>
      <c r="J919" s="161">
        <f>-('Cost Calculation'!J163)</f>
        <v>0</v>
      </c>
      <c r="K919" s="161">
        <f>-('Cost Calculation'!K163)</f>
        <v>0</v>
      </c>
      <c r="L919" s="161">
        <f>-('Cost Calculation'!L163)</f>
        <v>0</v>
      </c>
      <c r="M919" s="161">
        <f>-('Cost Calculation'!M163)</f>
        <v>0</v>
      </c>
      <c r="N919" s="161">
        <f>-('Cost Calculation'!N163)</f>
        <v>0</v>
      </c>
      <c r="O919" s="161">
        <f>-('Cost Calculation'!O163)</f>
        <v>0</v>
      </c>
      <c r="P919" s="161">
        <f>-('Cost Calculation'!P163)</f>
        <v>0</v>
      </c>
      <c r="Q919" s="161">
        <f>-('Cost Calculation'!Q163)</f>
        <v>0</v>
      </c>
      <c r="R919" s="161">
        <f>-('Cost Calculation'!R163)</f>
        <v>0</v>
      </c>
      <c r="S919" s="161">
        <f>-('Cost Calculation'!S163)</f>
        <v>0</v>
      </c>
      <c r="T919" s="161">
        <f>-('Cost Calculation'!T163)</f>
        <v>0</v>
      </c>
    </row>
    <row r="920" spans="2:20" x14ac:dyDescent="0.25">
      <c r="B920" s="23" t="s">
        <v>4124</v>
      </c>
      <c r="C920" s="28" t="s">
        <v>493</v>
      </c>
      <c r="H920" s="161">
        <f t="shared" ref="H920:T920" si="139">ROUND(H919-H918,9)</f>
        <v>0</v>
      </c>
      <c r="I920" s="161">
        <f t="shared" si="139"/>
        <v>0</v>
      </c>
      <c r="J920" s="161">
        <f t="shared" si="139"/>
        <v>0</v>
      </c>
      <c r="K920" s="161">
        <f t="shared" si="139"/>
        <v>0</v>
      </c>
      <c r="L920" s="161">
        <f t="shared" si="139"/>
        <v>0</v>
      </c>
      <c r="M920" s="161">
        <f t="shared" si="139"/>
        <v>0</v>
      </c>
      <c r="N920" s="161">
        <f t="shared" si="139"/>
        <v>0</v>
      </c>
      <c r="O920" s="161">
        <f t="shared" si="139"/>
        <v>0</v>
      </c>
      <c r="P920" s="161">
        <f t="shared" si="139"/>
        <v>0</v>
      </c>
      <c r="Q920" s="161">
        <f t="shared" si="139"/>
        <v>0</v>
      </c>
      <c r="R920" s="161">
        <f t="shared" si="139"/>
        <v>0</v>
      </c>
      <c r="S920" s="161">
        <f t="shared" si="139"/>
        <v>0</v>
      </c>
      <c r="T920" s="161">
        <f t="shared" si="139"/>
        <v>0</v>
      </c>
    </row>
    <row r="921" spans="2:20" x14ac:dyDescent="0.25">
      <c r="B921" s="23" t="s">
        <v>4164</v>
      </c>
      <c r="C921" s="28" t="s">
        <v>493</v>
      </c>
      <c r="H921" s="30">
        <f>'Source Data'!H1009</f>
        <v>0</v>
      </c>
      <c r="I921" s="30">
        <f>'Source Data'!I1009</f>
        <v>0</v>
      </c>
      <c r="J921" s="30">
        <f>'Source Data'!J1009</f>
        <v>0</v>
      </c>
      <c r="K921" s="30">
        <f>'Source Data'!K1009</f>
        <v>-0.148247333886706</v>
      </c>
      <c r="L921" s="30">
        <f>'Source Data'!L1009</f>
        <v>-0.153054753903307</v>
      </c>
      <c r="M921" s="30">
        <f>'Source Data'!M1009</f>
        <v>-0.15800639652040699</v>
      </c>
      <c r="N921" s="30">
        <f>'Source Data'!N1009</f>
        <v>-0.16310658841601899</v>
      </c>
      <c r="O921" s="30">
        <f>'Source Data'!O1009</f>
        <v>-0.168359786068499</v>
      </c>
      <c r="P921" s="30">
        <f>'Source Data'!P1009</f>
        <v>-0.17377057965055401</v>
      </c>
      <c r="Q921" s="30">
        <f>'Source Data'!Q1009</f>
        <v>-0.179343697040071</v>
      </c>
      <c r="R921" s="30">
        <f>'Source Data'!R1009</f>
        <v>-0.185084007951273</v>
      </c>
      <c r="S921" s="30">
        <f>'Source Data'!S1009</f>
        <v>-0.190996528189811</v>
      </c>
      <c r="T921" s="30">
        <f>'Source Data'!T1009</f>
        <v>-0.197086424035506</v>
      </c>
    </row>
    <row r="922" spans="2:20" x14ac:dyDescent="0.25">
      <c r="B922" s="23" t="s">
        <v>4126</v>
      </c>
      <c r="C922" s="28" t="s">
        <v>493</v>
      </c>
      <c r="H922" s="161">
        <f>-('Cost Calculation'!H164)</f>
        <v>0</v>
      </c>
      <c r="I922" s="161">
        <f>-('Cost Calculation'!I164)</f>
        <v>0</v>
      </c>
      <c r="J922" s="161">
        <f>-('Cost Calculation'!J164)</f>
        <v>0</v>
      </c>
      <c r="K922" s="161">
        <f>-('Cost Calculation'!K164)</f>
        <v>-0.14824733388670611</v>
      </c>
      <c r="L922" s="161">
        <f>-('Cost Calculation'!L164)</f>
        <v>-0.15305475390330728</v>
      </c>
      <c r="M922" s="161">
        <f>-('Cost Calculation'!M164)</f>
        <v>-0.15800639652040652</v>
      </c>
      <c r="N922" s="161">
        <f>-('Cost Calculation'!N164)</f>
        <v>-0.16310658841601874</v>
      </c>
      <c r="O922" s="161">
        <f>-('Cost Calculation'!O164)</f>
        <v>-0.16835978606849933</v>
      </c>
      <c r="P922" s="161">
        <f>-('Cost Calculation'!P164)</f>
        <v>-0.17377057965055426</v>
      </c>
      <c r="Q922" s="161">
        <f>-('Cost Calculation'!Q164)</f>
        <v>-0.17934369704007092</v>
      </c>
      <c r="R922" s="161">
        <f>-('Cost Calculation'!R164)</f>
        <v>-0.18508400795127303</v>
      </c>
      <c r="S922" s="161">
        <f>-('Cost Calculation'!S164)</f>
        <v>-0.19099652818981119</v>
      </c>
      <c r="T922" s="161">
        <f>-('Cost Calculation'!T164)</f>
        <v>-0.19708642403550553</v>
      </c>
    </row>
    <row r="923" spans="2:20" x14ac:dyDescent="0.25">
      <c r="B923" s="23" t="s">
        <v>4127</v>
      </c>
      <c r="C923" s="28" t="s">
        <v>493</v>
      </c>
      <c r="H923" s="161">
        <f t="shared" ref="H923:T923" si="140">ROUND(H922-H921,9)</f>
        <v>0</v>
      </c>
      <c r="I923" s="161">
        <f t="shared" si="140"/>
        <v>0</v>
      </c>
      <c r="J923" s="161">
        <f t="shared" si="140"/>
        <v>0</v>
      </c>
      <c r="K923" s="161">
        <f t="shared" si="140"/>
        <v>0</v>
      </c>
      <c r="L923" s="161">
        <f t="shared" si="140"/>
        <v>0</v>
      </c>
      <c r="M923" s="161">
        <f t="shared" si="140"/>
        <v>0</v>
      </c>
      <c r="N923" s="161">
        <f t="shared" si="140"/>
        <v>0</v>
      </c>
      <c r="O923" s="161">
        <f t="shared" si="140"/>
        <v>0</v>
      </c>
      <c r="P923" s="161">
        <f t="shared" si="140"/>
        <v>0</v>
      </c>
      <c r="Q923" s="161">
        <f t="shared" si="140"/>
        <v>0</v>
      </c>
      <c r="R923" s="161">
        <f t="shared" si="140"/>
        <v>0</v>
      </c>
      <c r="S923" s="161">
        <f t="shared" si="140"/>
        <v>0</v>
      </c>
      <c r="T923" s="161">
        <f t="shared" si="140"/>
        <v>0</v>
      </c>
    </row>
    <row r="924" spans="2:20" x14ac:dyDescent="0.25">
      <c r="B924" s="23" t="s">
        <v>4165</v>
      </c>
      <c r="C924" s="28" t="s">
        <v>493</v>
      </c>
      <c r="H924" s="30">
        <f>'Source Data'!H1010</f>
        <v>0</v>
      </c>
      <c r="I924" s="30">
        <f>'Source Data'!I1010</f>
        <v>0</v>
      </c>
      <c r="J924" s="30">
        <f>'Source Data'!J1010</f>
        <v>0</v>
      </c>
      <c r="K924" s="30">
        <f>'Source Data'!K1010</f>
        <v>-0.13012000000000001</v>
      </c>
      <c r="L924" s="30">
        <f>'Source Data'!L1010</f>
        <v>-0.13012000000000001</v>
      </c>
      <c r="M924" s="30">
        <f>'Source Data'!M1010</f>
        <v>-0.13012000000000001</v>
      </c>
      <c r="N924" s="30">
        <f>'Source Data'!N1010</f>
        <v>-0.13012000000000001</v>
      </c>
      <c r="O924" s="30">
        <f>'Source Data'!O1010</f>
        <v>-0.13012000000000001</v>
      </c>
      <c r="P924" s="30">
        <f>'Source Data'!P1010</f>
        <v>-0.13012000000000001</v>
      </c>
      <c r="Q924" s="30">
        <f>'Source Data'!Q1010</f>
        <v>-0.13012000000000001</v>
      </c>
      <c r="R924" s="30">
        <f>'Source Data'!R1010</f>
        <v>-0.13012000000000001</v>
      </c>
      <c r="S924" s="30">
        <f>'Source Data'!S1010</f>
        <v>-0.13012000000000001</v>
      </c>
      <c r="T924" s="30">
        <f>'Source Data'!T1010</f>
        <v>-0.13012000000000001</v>
      </c>
    </row>
    <row r="925" spans="2:20" x14ac:dyDescent="0.25">
      <c r="B925" s="23" t="s">
        <v>4129</v>
      </c>
      <c r="C925" s="28" t="s">
        <v>493</v>
      </c>
      <c r="H925" s="161">
        <f>-('Capex &amp; Depreciation'!H242)</f>
        <v>0</v>
      </c>
      <c r="I925" s="161">
        <f>-('Capex &amp; Depreciation'!I242)</f>
        <v>0</v>
      </c>
      <c r="J925" s="161">
        <f>-('Capex &amp; Depreciation'!J242)</f>
        <v>0</v>
      </c>
      <c r="K925" s="161">
        <f>-('Capex &amp; Depreciation'!K242)</f>
        <v>-0.13012000000000001</v>
      </c>
      <c r="L925" s="161">
        <f>-('Capex &amp; Depreciation'!L242)</f>
        <v>-0.13012000000000001</v>
      </c>
      <c r="M925" s="161">
        <f>-('Capex &amp; Depreciation'!M242)</f>
        <v>-0.13012000000000001</v>
      </c>
      <c r="N925" s="161">
        <f>-('Capex &amp; Depreciation'!N242)</f>
        <v>-0.13012000000000001</v>
      </c>
      <c r="O925" s="161">
        <f>-('Capex &amp; Depreciation'!O242)</f>
        <v>-0.13012000000000001</v>
      </c>
      <c r="P925" s="161">
        <f>-('Capex &amp; Depreciation'!P242)</f>
        <v>-0.13012000000000001</v>
      </c>
      <c r="Q925" s="161">
        <f>-('Capex &amp; Depreciation'!Q242)</f>
        <v>-0.13012000000000001</v>
      </c>
      <c r="R925" s="161">
        <f>-('Capex &amp; Depreciation'!R242)</f>
        <v>-0.13012000000000001</v>
      </c>
      <c r="S925" s="161">
        <f>-('Capex &amp; Depreciation'!S242)</f>
        <v>-0.13012000000000001</v>
      </c>
      <c r="T925" s="161">
        <f>-('Capex &amp; Depreciation'!T242)</f>
        <v>-0.13012000000000001</v>
      </c>
    </row>
    <row r="926" spans="2:20" x14ac:dyDescent="0.25">
      <c r="B926" s="23" t="s">
        <v>4130</v>
      </c>
      <c r="C926" s="28" t="s">
        <v>493</v>
      </c>
      <c r="H926" s="161">
        <f t="shared" ref="H926:T926" si="141">ROUND(H925-H924,9)</f>
        <v>0</v>
      </c>
      <c r="I926" s="161">
        <f t="shared" si="141"/>
        <v>0</v>
      </c>
      <c r="J926" s="161">
        <f t="shared" si="141"/>
        <v>0</v>
      </c>
      <c r="K926" s="161">
        <f t="shared" si="141"/>
        <v>0</v>
      </c>
      <c r="L926" s="161">
        <f t="shared" si="141"/>
        <v>0</v>
      </c>
      <c r="M926" s="161">
        <f t="shared" si="141"/>
        <v>0</v>
      </c>
      <c r="N926" s="161">
        <f t="shared" si="141"/>
        <v>0</v>
      </c>
      <c r="O926" s="161">
        <f t="shared" si="141"/>
        <v>0</v>
      </c>
      <c r="P926" s="161">
        <f t="shared" si="141"/>
        <v>0</v>
      </c>
      <c r="Q926" s="161">
        <f t="shared" si="141"/>
        <v>0</v>
      </c>
      <c r="R926" s="161">
        <f t="shared" si="141"/>
        <v>0</v>
      </c>
      <c r="S926" s="161">
        <f t="shared" si="141"/>
        <v>0</v>
      </c>
      <c r="T926" s="161">
        <f t="shared" si="141"/>
        <v>0</v>
      </c>
    </row>
    <row r="927" spans="2:20" x14ac:dyDescent="0.25">
      <c r="B927" s="23" t="s">
        <v>4166</v>
      </c>
      <c r="C927" s="28" t="s">
        <v>493</v>
      </c>
      <c r="H927" s="30">
        <f>'Source Data'!H1011</f>
        <v>0</v>
      </c>
      <c r="I927" s="30">
        <f>'Source Data'!I1011</f>
        <v>0</v>
      </c>
      <c r="J927" s="30">
        <f>'Source Data'!J1011</f>
        <v>0</v>
      </c>
      <c r="K927" s="30">
        <f>'Source Data'!K1011</f>
        <v>0</v>
      </c>
      <c r="L927" s="30">
        <f>'Source Data'!L1011</f>
        <v>0</v>
      </c>
      <c r="M927" s="30">
        <f>'Source Data'!M1011</f>
        <v>0</v>
      </c>
      <c r="N927" s="30">
        <f>'Source Data'!N1011</f>
        <v>0</v>
      </c>
      <c r="O927" s="30">
        <f>'Source Data'!O1011</f>
        <v>0</v>
      </c>
      <c r="P927" s="30">
        <f>'Source Data'!P1011</f>
        <v>0</v>
      </c>
      <c r="Q927" s="30">
        <f>'Source Data'!Q1011</f>
        <v>0</v>
      </c>
      <c r="R927" s="30">
        <f>'Source Data'!R1011</f>
        <v>0</v>
      </c>
      <c r="S927" s="30">
        <f>'Source Data'!S1011</f>
        <v>0</v>
      </c>
      <c r="T927" s="30">
        <f>'Source Data'!T1011</f>
        <v>0</v>
      </c>
    </row>
    <row r="928" spans="2:20" x14ac:dyDescent="0.25">
      <c r="B928" s="23" t="s">
        <v>4132</v>
      </c>
      <c r="C928" s="28" t="s">
        <v>493</v>
      </c>
      <c r="H928" s="161">
        <f>0</f>
        <v>0</v>
      </c>
      <c r="I928" s="161">
        <f>0</f>
        <v>0</v>
      </c>
      <c r="J928" s="161">
        <f>0</f>
        <v>0</v>
      </c>
      <c r="K928" s="161">
        <f>0</f>
        <v>0</v>
      </c>
      <c r="L928" s="161">
        <f>0</f>
        <v>0</v>
      </c>
      <c r="M928" s="161">
        <f>0</f>
        <v>0</v>
      </c>
      <c r="N928" s="161">
        <f>0</f>
        <v>0</v>
      </c>
      <c r="O928" s="161">
        <f>0</f>
        <v>0</v>
      </c>
      <c r="P928" s="161">
        <f>0</f>
        <v>0</v>
      </c>
      <c r="Q928" s="161">
        <f>0</f>
        <v>0</v>
      </c>
      <c r="R928" s="161">
        <f>0</f>
        <v>0</v>
      </c>
      <c r="S928" s="161">
        <f>0</f>
        <v>0</v>
      </c>
      <c r="T928" s="161">
        <f>0</f>
        <v>0</v>
      </c>
    </row>
    <row r="929" spans="2:20" x14ac:dyDescent="0.25">
      <c r="B929" s="23" t="s">
        <v>4133</v>
      </c>
      <c r="C929" s="28" t="s">
        <v>493</v>
      </c>
      <c r="H929" s="161">
        <f t="shared" ref="H929:T929" si="142">ROUND(H928-H927,9)</f>
        <v>0</v>
      </c>
      <c r="I929" s="161">
        <f t="shared" si="142"/>
        <v>0</v>
      </c>
      <c r="J929" s="161">
        <f t="shared" si="142"/>
        <v>0</v>
      </c>
      <c r="K929" s="161">
        <f t="shared" si="142"/>
        <v>0</v>
      </c>
      <c r="L929" s="161">
        <f t="shared" si="142"/>
        <v>0</v>
      </c>
      <c r="M929" s="161">
        <f t="shared" si="142"/>
        <v>0</v>
      </c>
      <c r="N929" s="161">
        <f t="shared" si="142"/>
        <v>0</v>
      </c>
      <c r="O929" s="161">
        <f t="shared" si="142"/>
        <v>0</v>
      </c>
      <c r="P929" s="161">
        <f t="shared" si="142"/>
        <v>0</v>
      </c>
      <c r="Q929" s="161">
        <f t="shared" si="142"/>
        <v>0</v>
      </c>
      <c r="R929" s="161">
        <f t="shared" si="142"/>
        <v>0</v>
      </c>
      <c r="S929" s="161">
        <f t="shared" si="142"/>
        <v>0</v>
      </c>
      <c r="T929" s="161">
        <f t="shared" si="142"/>
        <v>0</v>
      </c>
    </row>
    <row r="930" spans="2:20" x14ac:dyDescent="0.25">
      <c r="B930" s="23" t="s">
        <v>4167</v>
      </c>
      <c r="C930" s="28" t="s">
        <v>493</v>
      </c>
      <c r="H930" s="30">
        <f>'Source Data'!H1012</f>
        <v>0</v>
      </c>
      <c r="I930" s="30">
        <f>'Source Data'!I1012</f>
        <v>0</v>
      </c>
      <c r="J930" s="30">
        <f>'Source Data'!J1012</f>
        <v>0</v>
      </c>
      <c r="K930" s="30">
        <f>'Source Data'!K1012</f>
        <v>0.46286933554682402</v>
      </c>
      <c r="L930" s="30">
        <f>'Source Data'!L1012</f>
        <v>0.48209901561322899</v>
      </c>
      <c r="M930" s="30">
        <f>'Source Data'!M1012</f>
        <v>0.50190558608162605</v>
      </c>
      <c r="N930" s="30">
        <f>'Source Data'!N1012</f>
        <v>0.52230635366407496</v>
      </c>
      <c r="O930" s="30">
        <f>'Source Data'!O1012</f>
        <v>0.54331914427399697</v>
      </c>
      <c r="P930" s="30">
        <f>'Source Data'!P1012</f>
        <v>0.56496231860221702</v>
      </c>
      <c r="Q930" s="30">
        <f>'Source Data'!Q1012</f>
        <v>0.58725478816028398</v>
      </c>
      <c r="R930" s="30">
        <f>'Source Data'!R1012</f>
        <v>0.61021603180509199</v>
      </c>
      <c r="S930" s="30">
        <f>'Source Data'!S1012</f>
        <v>0.63386611275924498</v>
      </c>
      <c r="T930" s="30">
        <f>'Source Data'!T1012</f>
        <v>0.65822569614202198</v>
      </c>
    </row>
    <row r="931" spans="2:20" x14ac:dyDescent="0.25">
      <c r="B931" s="23" t="s">
        <v>4135</v>
      </c>
      <c r="C931" s="28" t="s">
        <v>493</v>
      </c>
      <c r="H931" s="30">
        <f>'FSL Output - With BUMN'!H103</f>
        <v>0</v>
      </c>
      <c r="I931" s="30">
        <f>'FSL Output - With BUMN'!I103</f>
        <v>0</v>
      </c>
      <c r="J931" s="30">
        <f>'FSL Output - With BUMN'!J103</f>
        <v>0</v>
      </c>
      <c r="K931" s="30">
        <f>'FSL Output - With BUMN'!K103</f>
        <v>0.46286933554682441</v>
      </c>
      <c r="L931" s="30">
        <f>'FSL Output - With BUMN'!L103</f>
        <v>0.4820990156132291</v>
      </c>
      <c r="M931" s="30">
        <f>'FSL Output - With BUMN'!M103</f>
        <v>0.50190558608162605</v>
      </c>
      <c r="N931" s="30">
        <f>'FSL Output - With BUMN'!N103</f>
        <v>0.52230635366407485</v>
      </c>
      <c r="O931" s="30">
        <f>'FSL Output - With BUMN'!O103</f>
        <v>0.54331914427399719</v>
      </c>
      <c r="P931" s="30">
        <f>'FSL Output - With BUMN'!P103</f>
        <v>0.56496231860221702</v>
      </c>
      <c r="Q931" s="30">
        <f>'FSL Output - With BUMN'!Q103</f>
        <v>0.58725478816028354</v>
      </c>
      <c r="R931" s="30">
        <f>'FSL Output - With BUMN'!R103</f>
        <v>0.6102160318050921</v>
      </c>
      <c r="S931" s="30">
        <f>'FSL Output - With BUMN'!S103</f>
        <v>0.63386611275924476</v>
      </c>
      <c r="T931" s="30">
        <f>'FSL Output - With BUMN'!T103</f>
        <v>0.65822569614202209</v>
      </c>
    </row>
    <row r="932" spans="2:20" x14ac:dyDescent="0.25">
      <c r="B932" s="23" t="s">
        <v>4136</v>
      </c>
      <c r="C932" s="28" t="s">
        <v>493</v>
      </c>
      <c r="H932" s="161">
        <f t="shared" ref="H932:T932" si="143">ROUND(H931-H930,9)</f>
        <v>0</v>
      </c>
      <c r="I932" s="161">
        <f t="shared" si="143"/>
        <v>0</v>
      </c>
      <c r="J932" s="161">
        <f t="shared" si="143"/>
        <v>0</v>
      </c>
      <c r="K932" s="161">
        <f t="shared" si="143"/>
        <v>0</v>
      </c>
      <c r="L932" s="161">
        <f t="shared" si="143"/>
        <v>0</v>
      </c>
      <c r="M932" s="161">
        <f t="shared" si="143"/>
        <v>0</v>
      </c>
      <c r="N932" s="161">
        <f t="shared" si="143"/>
        <v>0</v>
      </c>
      <c r="O932" s="161">
        <f t="shared" si="143"/>
        <v>0</v>
      </c>
      <c r="P932" s="161">
        <f t="shared" si="143"/>
        <v>0</v>
      </c>
      <c r="Q932" s="161">
        <f t="shared" si="143"/>
        <v>0</v>
      </c>
      <c r="R932" s="161">
        <f t="shared" si="143"/>
        <v>0</v>
      </c>
      <c r="S932" s="161">
        <f t="shared" si="143"/>
        <v>0</v>
      </c>
      <c r="T932" s="161">
        <f t="shared" si="143"/>
        <v>0</v>
      </c>
    </row>
    <row r="933" spans="2:20" x14ac:dyDescent="0.25">
      <c r="B933" s="23" t="s">
        <v>4168</v>
      </c>
      <c r="C933" s="28" t="s">
        <v>493</v>
      </c>
      <c r="H933" s="30">
        <f>'Source Data'!H1013</f>
        <v>0</v>
      </c>
      <c r="I933" s="30">
        <f>'Source Data'!I1013</f>
        <v>0</v>
      </c>
      <c r="J933" s="30">
        <f>'Source Data'!J1013</f>
        <v>0</v>
      </c>
      <c r="K933" s="30">
        <f>'Source Data'!K1013</f>
        <v>-0.101831253820301</v>
      </c>
      <c r="L933" s="30">
        <f>'Source Data'!L1013</f>
        <v>-0.10606178343491</v>
      </c>
      <c r="M933" s="30">
        <f>'Source Data'!M1013</f>
        <v>-0.110419228937958</v>
      </c>
      <c r="N933" s="30">
        <f>'Source Data'!N1013</f>
        <v>-0.114907397806096</v>
      </c>
      <c r="O933" s="30">
        <f>'Source Data'!O1013</f>
        <v>-0.119530211740279</v>
      </c>
      <c r="P933" s="30">
        <f>'Source Data'!P1013</f>
        <v>-0.124291710092488</v>
      </c>
      <c r="Q933" s="30">
        <f>'Source Data'!Q1013</f>
        <v>-0.12919605339526199</v>
      </c>
      <c r="R933" s="30">
        <f>'Source Data'!R1013</f>
        <v>-0.13424752699712</v>
      </c>
      <c r="S933" s="30">
        <f>'Source Data'!S1013</f>
        <v>-0.139450544807034</v>
      </c>
      <c r="T933" s="30">
        <f>'Source Data'!T1013</f>
        <v>-0.144809653151245</v>
      </c>
    </row>
    <row r="934" spans="2:20" x14ac:dyDescent="0.25">
      <c r="B934" s="23" t="s">
        <v>4138</v>
      </c>
      <c r="C934" s="28" t="s">
        <v>493</v>
      </c>
      <c r="H934" s="161">
        <f>-'FSL Output - With BUMN'!H104</f>
        <v>0</v>
      </c>
      <c r="I934" s="161">
        <f>-'FSL Output - With BUMN'!I104</f>
        <v>0</v>
      </c>
      <c r="J934" s="161">
        <f>-'FSL Output - With BUMN'!J104</f>
        <v>0</v>
      </c>
      <c r="K934" s="161">
        <f>-'FSL Output - With BUMN'!K104</f>
        <v>-0.10183125382030137</v>
      </c>
      <c r="L934" s="161">
        <f>-'FSL Output - With BUMN'!L104</f>
        <v>-0.10606178343491041</v>
      </c>
      <c r="M934" s="161">
        <f>-'FSL Output - With BUMN'!M104</f>
        <v>-0.11041922893795773</v>
      </c>
      <c r="N934" s="161">
        <f>-'FSL Output - With BUMN'!N104</f>
        <v>-0.11490739780609646</v>
      </c>
      <c r="O934" s="161">
        <f>-'FSL Output - With BUMN'!O104</f>
        <v>-0.11953021174027938</v>
      </c>
      <c r="P934" s="161">
        <f>-'FSL Output - With BUMN'!P104</f>
        <v>-0.12429171009248774</v>
      </c>
      <c r="Q934" s="161">
        <f>-'FSL Output - With BUMN'!Q104</f>
        <v>-0.12919605339526238</v>
      </c>
      <c r="R934" s="161">
        <f>-'FSL Output - With BUMN'!R104</f>
        <v>-0.13424752699712025</v>
      </c>
      <c r="S934" s="161">
        <f>-'FSL Output - With BUMN'!S104</f>
        <v>-0.13945054480703384</v>
      </c>
      <c r="T934" s="161">
        <f>-'FSL Output - With BUMN'!T104</f>
        <v>-0.14480965315124486</v>
      </c>
    </row>
    <row r="935" spans="2:20" x14ac:dyDescent="0.25">
      <c r="B935" s="23" t="s">
        <v>4139</v>
      </c>
      <c r="C935" s="28" t="s">
        <v>493</v>
      </c>
      <c r="H935" s="161">
        <f t="shared" ref="H935:T935" si="144">ROUND(H934-H933,9)</f>
        <v>0</v>
      </c>
      <c r="I935" s="161">
        <f t="shared" si="144"/>
        <v>0</v>
      </c>
      <c r="J935" s="161">
        <f t="shared" si="144"/>
        <v>0</v>
      </c>
      <c r="K935" s="161">
        <f t="shared" si="144"/>
        <v>0</v>
      </c>
      <c r="L935" s="161">
        <f t="shared" si="144"/>
        <v>0</v>
      </c>
      <c r="M935" s="161">
        <f t="shared" si="144"/>
        <v>0</v>
      </c>
      <c r="N935" s="161">
        <f t="shared" si="144"/>
        <v>0</v>
      </c>
      <c r="O935" s="161">
        <f t="shared" si="144"/>
        <v>0</v>
      </c>
      <c r="P935" s="161">
        <f t="shared" si="144"/>
        <v>0</v>
      </c>
      <c r="Q935" s="161">
        <f t="shared" si="144"/>
        <v>0</v>
      </c>
      <c r="R935" s="161">
        <f t="shared" si="144"/>
        <v>0</v>
      </c>
      <c r="S935" s="161">
        <f t="shared" si="144"/>
        <v>0</v>
      </c>
      <c r="T935" s="161">
        <f t="shared" si="144"/>
        <v>0</v>
      </c>
    </row>
    <row r="936" spans="2:20" x14ac:dyDescent="0.25">
      <c r="B936" s="23" t="s">
        <v>4169</v>
      </c>
      <c r="C936" s="28" t="s">
        <v>493</v>
      </c>
      <c r="H936" s="30">
        <f>'Source Data'!H1014</f>
        <v>0</v>
      </c>
      <c r="I936" s="30">
        <f>'Source Data'!I1014</f>
        <v>0</v>
      </c>
      <c r="J936" s="30">
        <f>'Source Data'!J1014</f>
        <v>0</v>
      </c>
      <c r="K936" s="30">
        <f>'Source Data'!K1014</f>
        <v>0.36103808172652302</v>
      </c>
      <c r="L936" s="30">
        <f>'Source Data'!L1014</f>
        <v>0.37603723217831903</v>
      </c>
      <c r="M936" s="30">
        <f>'Source Data'!M1014</f>
        <v>0.39148635714366797</v>
      </c>
      <c r="N936" s="30">
        <f>'Source Data'!N1014</f>
        <v>0.40739895585797797</v>
      </c>
      <c r="O936" s="30">
        <f>'Source Data'!O1014</f>
        <v>0.42378893253371802</v>
      </c>
      <c r="P936" s="30">
        <f>'Source Data'!P1014</f>
        <v>0.440670608509729</v>
      </c>
      <c r="Q936" s="30">
        <f>'Source Data'!Q1014</f>
        <v>0.45805873476502101</v>
      </c>
      <c r="R936" s="30">
        <f>'Source Data'!R1014</f>
        <v>0.47596850480797198</v>
      </c>
      <c r="S936" s="30">
        <f>'Source Data'!S1014</f>
        <v>0.49441556795221098</v>
      </c>
      <c r="T936" s="30">
        <f>'Source Data'!T1014</f>
        <v>0.51341604299077703</v>
      </c>
    </row>
    <row r="937" spans="2:20" x14ac:dyDescent="0.25">
      <c r="B937" s="23" t="s">
        <v>4141</v>
      </c>
      <c r="C937" s="28" t="s">
        <v>493</v>
      </c>
      <c r="H937" s="30">
        <f>'FSL Output - With BUMN'!H106</f>
        <v>0</v>
      </c>
      <c r="I937" s="30">
        <f>'FSL Output - With BUMN'!I106</f>
        <v>0</v>
      </c>
      <c r="J937" s="30">
        <f>'FSL Output - With BUMN'!J106</f>
        <v>0</v>
      </c>
      <c r="K937" s="30">
        <f>'FSL Output - With BUMN'!K106</f>
        <v>0.36103808172652307</v>
      </c>
      <c r="L937" s="30">
        <f>'FSL Output - With BUMN'!L106</f>
        <v>0.37603723217831869</v>
      </c>
      <c r="M937" s="30">
        <f>'FSL Output - With BUMN'!M106</f>
        <v>0.39148635714366831</v>
      </c>
      <c r="N937" s="30">
        <f>'FSL Output - With BUMN'!N106</f>
        <v>0.40739895585797836</v>
      </c>
      <c r="O937" s="30">
        <f>'FSL Output - With BUMN'!O106</f>
        <v>0.4237889325337178</v>
      </c>
      <c r="P937" s="30">
        <f>'FSL Output - With BUMN'!P106</f>
        <v>0.44067060850972928</v>
      </c>
      <c r="Q937" s="30">
        <f>'FSL Output - With BUMN'!Q106</f>
        <v>0.45805873476502112</v>
      </c>
      <c r="R937" s="30">
        <f>'FSL Output - With BUMN'!R106</f>
        <v>0.47596850480797182</v>
      </c>
      <c r="S937" s="30">
        <f>'FSL Output - With BUMN'!S106</f>
        <v>0.49441556795221092</v>
      </c>
      <c r="T937" s="30">
        <f>'FSL Output - With BUMN'!T106</f>
        <v>0.51341604299077725</v>
      </c>
    </row>
    <row r="938" spans="2:20" x14ac:dyDescent="0.25">
      <c r="B938" s="23" t="s">
        <v>4142</v>
      </c>
      <c r="C938" s="28" t="s">
        <v>493</v>
      </c>
      <c r="H938" s="161">
        <f t="shared" ref="H938:T938" si="145">ROUND(H937-H936,9)</f>
        <v>0</v>
      </c>
      <c r="I938" s="161">
        <f t="shared" si="145"/>
        <v>0</v>
      </c>
      <c r="J938" s="161">
        <f t="shared" si="145"/>
        <v>0</v>
      </c>
      <c r="K938" s="161">
        <f t="shared" si="145"/>
        <v>0</v>
      </c>
      <c r="L938" s="161">
        <f t="shared" si="145"/>
        <v>0</v>
      </c>
      <c r="M938" s="161">
        <f t="shared" si="145"/>
        <v>0</v>
      </c>
      <c r="N938" s="161">
        <f t="shared" si="145"/>
        <v>0</v>
      </c>
      <c r="O938" s="161">
        <f t="shared" si="145"/>
        <v>0</v>
      </c>
      <c r="P938" s="161">
        <f t="shared" si="145"/>
        <v>0</v>
      </c>
      <c r="Q938" s="161">
        <f t="shared" si="145"/>
        <v>0</v>
      </c>
      <c r="R938" s="161">
        <f t="shared" si="145"/>
        <v>0</v>
      </c>
      <c r="S938" s="161">
        <f t="shared" si="145"/>
        <v>0</v>
      </c>
      <c r="T938" s="161">
        <f t="shared" si="145"/>
        <v>0</v>
      </c>
    </row>
    <row r="940" spans="2:20" ht="24.75" customHeight="1" x14ac:dyDescent="0.25">
      <c r="B940" s="221" t="s">
        <v>4170</v>
      </c>
      <c r="C940" s="235"/>
      <c r="D940" s="235"/>
      <c r="E940" s="232" t="str">
        <f>IF(F940&lt;=Inputs!$E$50,"Matches v29",IF(AND($E$22=1,G940&lt;=Inputs!$E$50),"Differs - requested change: LT loan repaid in 2027 (not 2025)",IF($E$21&gt;0,"Differs - inputs changed","UNEXPLAINED")))</f>
        <v>Differs - requested change: LT loan repaid in 2027 (not 2025)</v>
      </c>
      <c r="F940" s="225">
        <f>MAX(MAX(H943:T943),-MIN(H943:T943),MAX(H946:T946),-MIN(H946:T946),MAX(H949:T949),-MIN(H949:T949),MAX(H952:T952),-MIN(H952:T952),MAX(H955:T955),-MIN(H955:T955),MAX(H958:T958),-MIN(H958:T958),MAX(H961:T961),-MIN(H961:T961),MAX(H964:T964),-MIN(H964:T964))</f>
        <v>1.9421714590000001</v>
      </c>
      <c r="G940" s="226">
        <f>IF($E$22=1,MAX(MAX(H943:T943),-MIN(H943:T943),MAX(H946:T946),-MIN(H946:T946),MAX(H949:T949),-MIN(H949:T949),MAX(H952:T952),-MIN(H952:T952)),MAX(MAX(H943:T943),-MIN(H943:T943),MAX(H946:T946),-MIN(H946:T946),MAX(H949:T949),-MIN(H949:T949),MAX(H952:T952),-MIN(H952:T952),MAX(H955:T955),-MIN(H955:T955),MAX(H958:T958),-MIN(H958:T958),MAX(H961:T961),-MIN(H961:T961),MAX(H964:T964),-MIN(H964:T964)))</f>
        <v>0</v>
      </c>
    </row>
    <row r="941" spans="2:20" x14ac:dyDescent="0.25">
      <c r="B941" s="23" t="s">
        <v>4171</v>
      </c>
      <c r="C941" s="28" t="s">
        <v>493</v>
      </c>
      <c r="H941" s="30">
        <f>'Source Data'!H1016</f>
        <v>38.657960000000003</v>
      </c>
      <c r="I941" s="30">
        <f>'Source Data'!I1016</f>
        <v>46.389552000000002</v>
      </c>
      <c r="J941" s="30">
        <f>'Source Data'!J1016</f>
        <v>47.781238559999998</v>
      </c>
      <c r="K941" s="30">
        <f>'Source Data'!K1016</f>
        <v>59.057610860159997</v>
      </c>
      <c r="L941" s="30">
        <f>'Source Data'!L1016</f>
        <v>60.829339185964798</v>
      </c>
      <c r="M941" s="30">
        <f>'Source Data'!M1016</f>
        <v>68.919641297698107</v>
      </c>
      <c r="N941" s="30">
        <f>'Source Data'!N1016</f>
        <v>70.987230536629099</v>
      </c>
      <c r="O941" s="30">
        <f>'Source Data'!O1016</f>
        <v>77.503858299891604</v>
      </c>
      <c r="P941" s="30">
        <f>'Source Data'!P1016</f>
        <v>79.828974048888398</v>
      </c>
      <c r="Q941" s="30">
        <f>'Source Data'!Q1016</f>
        <v>87.157273866576304</v>
      </c>
      <c r="R941" s="30">
        <f>'Source Data'!R1016</f>
        <v>89.771992082573604</v>
      </c>
      <c r="S941" s="30">
        <f>'Source Data'!S1016</f>
        <v>92.465151845050798</v>
      </c>
      <c r="T941" s="30">
        <f>'Source Data'!T1016</f>
        <v>95.239106400402406</v>
      </c>
    </row>
    <row r="942" spans="2:20" x14ac:dyDescent="0.25">
      <c r="B942" s="23" t="s">
        <v>4120</v>
      </c>
      <c r="C942" s="28" t="s">
        <v>493</v>
      </c>
      <c r="H942" s="30">
        <f>'Revenue Calculation'!H47</f>
        <v>38.657960000000003</v>
      </c>
      <c r="I942" s="30">
        <f>'Revenue Calculation'!I47</f>
        <v>46.389552000000002</v>
      </c>
      <c r="J942" s="30">
        <f>'Revenue Calculation'!J47</f>
        <v>47.781238559999998</v>
      </c>
      <c r="K942" s="30">
        <f>'Revenue Calculation'!K47</f>
        <v>59.057610860160004</v>
      </c>
      <c r="L942" s="30">
        <f>'Revenue Calculation'!L47</f>
        <v>60.829339185964805</v>
      </c>
      <c r="M942" s="30">
        <f>'Revenue Calculation'!M47</f>
        <v>68.919641297698121</v>
      </c>
      <c r="N942" s="30">
        <f>'Revenue Calculation'!N47</f>
        <v>70.98723053662907</v>
      </c>
      <c r="O942" s="30">
        <f>'Revenue Calculation'!O47</f>
        <v>77.503858299891618</v>
      </c>
      <c r="P942" s="30">
        <f>'Revenue Calculation'!P47</f>
        <v>79.828974048888384</v>
      </c>
      <c r="Q942" s="30">
        <f>'Revenue Calculation'!Q47</f>
        <v>87.157273866576318</v>
      </c>
      <c r="R942" s="30">
        <f>'Revenue Calculation'!R47</f>
        <v>89.771992082573604</v>
      </c>
      <c r="S942" s="30">
        <f>'Revenue Calculation'!S47</f>
        <v>92.465151845050826</v>
      </c>
      <c r="T942" s="30">
        <f>'Revenue Calculation'!T47</f>
        <v>95.239106400402349</v>
      </c>
    </row>
    <row r="943" spans="2:20" x14ac:dyDescent="0.25">
      <c r="B943" s="23" t="s">
        <v>4121</v>
      </c>
      <c r="C943" s="28" t="s">
        <v>493</v>
      </c>
      <c r="H943" s="161">
        <f t="shared" ref="H943:T943" si="146">ROUND(H942-H941,9)</f>
        <v>0</v>
      </c>
      <c r="I943" s="161">
        <f t="shared" si="146"/>
        <v>0</v>
      </c>
      <c r="J943" s="161">
        <f t="shared" si="146"/>
        <v>0</v>
      </c>
      <c r="K943" s="161">
        <f t="shared" si="146"/>
        <v>0</v>
      </c>
      <c r="L943" s="161">
        <f t="shared" si="146"/>
        <v>0</v>
      </c>
      <c r="M943" s="161">
        <f t="shared" si="146"/>
        <v>0</v>
      </c>
      <c r="N943" s="161">
        <f t="shared" si="146"/>
        <v>0</v>
      </c>
      <c r="O943" s="161">
        <f t="shared" si="146"/>
        <v>0</v>
      </c>
      <c r="P943" s="161">
        <f t="shared" si="146"/>
        <v>0</v>
      </c>
      <c r="Q943" s="161">
        <f t="shared" si="146"/>
        <v>0</v>
      </c>
      <c r="R943" s="161">
        <f t="shared" si="146"/>
        <v>0</v>
      </c>
      <c r="S943" s="161">
        <f t="shared" si="146"/>
        <v>0</v>
      </c>
      <c r="T943" s="161">
        <f t="shared" si="146"/>
        <v>0</v>
      </c>
    </row>
    <row r="944" spans="2:20" x14ac:dyDescent="0.25">
      <c r="B944" s="23" t="s">
        <v>4172</v>
      </c>
      <c r="C944" s="28" t="s">
        <v>493</v>
      </c>
      <c r="H944" s="30">
        <f>'Source Data'!H1017</f>
        <v>-13.4217055472357</v>
      </c>
      <c r="I944" s="30">
        <f>'Source Data'!I1017</f>
        <v>-13.950545135917899</v>
      </c>
      <c r="J944" s="30">
        <f>'Source Data'!J1017</f>
        <v>-14.537513823246501</v>
      </c>
      <c r="K944" s="30">
        <f>'Source Data'!K1017</f>
        <v>-15.1175418720771</v>
      </c>
      <c r="L944" s="30">
        <f>'Source Data'!L1017</f>
        <v>-15.725130220837499</v>
      </c>
      <c r="M944" s="30">
        <f>'Source Data'!M1017</f>
        <v>-16.3948517401858</v>
      </c>
      <c r="N944" s="30">
        <f>'Source Data'!N1017</f>
        <v>-17.0618527122421</v>
      </c>
      <c r="O944" s="30">
        <f>'Source Data'!O1017</f>
        <v>-17.7608622758274</v>
      </c>
      <c r="P944" s="30">
        <f>'Source Data'!P1017</f>
        <v>-18.526694391193999</v>
      </c>
      <c r="Q944" s="30">
        <f>'Source Data'!Q1017</f>
        <v>-19.294750069310901</v>
      </c>
      <c r="R944" s="30">
        <f>'Source Data'!R1017</f>
        <v>-20.100027611659101</v>
      </c>
      <c r="S944" s="30">
        <f>'Source Data'!S1017</f>
        <v>-20.944457891111298</v>
      </c>
      <c r="T944" s="30">
        <f>'Source Data'!T1017</f>
        <v>-21.8300775752917</v>
      </c>
    </row>
    <row r="945" spans="2:20" x14ac:dyDescent="0.25">
      <c r="B945" s="23" t="s">
        <v>4123</v>
      </c>
      <c r="C945" s="28" t="s">
        <v>493</v>
      </c>
      <c r="H945" s="161">
        <f>-('Cost Calculation'!H64)</f>
        <v>-13.421705547235684</v>
      </c>
      <c r="I945" s="161">
        <f>-('Cost Calculation'!I64)</f>
        <v>-13.950545135917951</v>
      </c>
      <c r="J945" s="161">
        <f>-('Cost Calculation'!J64)</f>
        <v>-14.537513823246513</v>
      </c>
      <c r="K945" s="161">
        <f>-('Cost Calculation'!K64)</f>
        <v>-15.117541872077078</v>
      </c>
      <c r="L945" s="161">
        <f>-('Cost Calculation'!L64)</f>
        <v>-15.725130220837485</v>
      </c>
      <c r="M945" s="161">
        <f>-('Cost Calculation'!M64)</f>
        <v>-16.394851740185835</v>
      </c>
      <c r="N945" s="161">
        <f>-('Cost Calculation'!N64)</f>
        <v>-17.061852712242114</v>
      </c>
      <c r="O945" s="161">
        <f>-('Cost Calculation'!O64)</f>
        <v>-17.760862275827428</v>
      </c>
      <c r="P945" s="161">
        <f>-('Cost Calculation'!P64)</f>
        <v>-18.526694391194045</v>
      </c>
      <c r="Q945" s="161">
        <f>-('Cost Calculation'!Q64)</f>
        <v>-19.294750069310869</v>
      </c>
      <c r="R945" s="161">
        <f>-('Cost Calculation'!R64)</f>
        <v>-20.100027611659119</v>
      </c>
      <c r="S945" s="161">
        <f>-('Cost Calculation'!S64)</f>
        <v>-20.944457891111341</v>
      </c>
      <c r="T945" s="161">
        <f>-('Cost Calculation'!T64)</f>
        <v>-21.830077575291654</v>
      </c>
    </row>
    <row r="946" spans="2:20" x14ac:dyDescent="0.25">
      <c r="B946" s="23" t="s">
        <v>4124</v>
      </c>
      <c r="C946" s="28" t="s">
        <v>493</v>
      </c>
      <c r="H946" s="161">
        <f t="shared" ref="H946:T946" si="147">ROUND(H945-H944,9)</f>
        <v>0</v>
      </c>
      <c r="I946" s="161">
        <f t="shared" si="147"/>
        <v>0</v>
      </c>
      <c r="J946" s="161">
        <f t="shared" si="147"/>
        <v>0</v>
      </c>
      <c r="K946" s="161">
        <f t="shared" si="147"/>
        <v>0</v>
      </c>
      <c r="L946" s="161">
        <f t="shared" si="147"/>
        <v>0</v>
      </c>
      <c r="M946" s="161">
        <f t="shared" si="147"/>
        <v>0</v>
      </c>
      <c r="N946" s="161">
        <f t="shared" si="147"/>
        <v>0</v>
      </c>
      <c r="O946" s="161">
        <f t="shared" si="147"/>
        <v>0</v>
      </c>
      <c r="P946" s="161">
        <f t="shared" si="147"/>
        <v>0</v>
      </c>
      <c r="Q946" s="161">
        <f t="shared" si="147"/>
        <v>0</v>
      </c>
      <c r="R946" s="161">
        <f t="shared" si="147"/>
        <v>0</v>
      </c>
      <c r="S946" s="161">
        <f t="shared" si="147"/>
        <v>0</v>
      </c>
      <c r="T946" s="161">
        <f t="shared" si="147"/>
        <v>0</v>
      </c>
    </row>
    <row r="947" spans="2:20" x14ac:dyDescent="0.25">
      <c r="B947" s="23" t="s">
        <v>4173</v>
      </c>
      <c r="C947" s="28" t="s">
        <v>493</v>
      </c>
      <c r="H947" s="30">
        <f>'Source Data'!H1018</f>
        <v>-9.1526681838109791</v>
      </c>
      <c r="I947" s="30">
        <f>'Source Data'!I1018</f>
        <v>-9.4488472204361091</v>
      </c>
      <c r="J947" s="30">
        <f>'Source Data'!J1018</f>
        <v>-9.7546753384197107</v>
      </c>
      <c r="K947" s="30">
        <f>'Source Data'!K1018</f>
        <v>-10.070468894973001</v>
      </c>
      <c r="L947" s="30">
        <f>'Source Data'!L1018</f>
        <v>-10.396554682088899</v>
      </c>
      <c r="M947" s="30">
        <f>'Source Data'!M1018</f>
        <v>-10.7332702726893</v>
      </c>
      <c r="N947" s="30">
        <f>'Source Data'!N1018</f>
        <v>-11.0809643783175</v>
      </c>
      <c r="O947" s="30">
        <f>'Source Data'!O1018</f>
        <v>-11.439997218761301</v>
      </c>
      <c r="P947" s="30">
        <f>'Source Data'!P1018</f>
        <v>-11.810740904007501</v>
      </c>
      <c r="Q947" s="30">
        <f>'Source Data'!Q1018</f>
        <v>-12.1935798289412</v>
      </c>
      <c r="R947" s="30">
        <f>'Source Data'!R1018</f>
        <v>-12.5889110812171</v>
      </c>
      <c r="S947" s="30">
        <f>'Source Data'!S1018</f>
        <v>-12.997144862744699</v>
      </c>
      <c r="T947" s="30">
        <f>'Source Data'!T1018</f>
        <v>-13.418704925244</v>
      </c>
    </row>
    <row r="948" spans="2:20" x14ac:dyDescent="0.25">
      <c r="B948" s="23" t="s">
        <v>4126</v>
      </c>
      <c r="C948" s="28" t="s">
        <v>493</v>
      </c>
      <c r="H948" s="161">
        <f>-('Cost Calculation'!H65)</f>
        <v>-9.1526681838109827</v>
      </c>
      <c r="I948" s="161">
        <f>-('Cost Calculation'!I65)</f>
        <v>-9.4488472204361091</v>
      </c>
      <c r="J948" s="161">
        <f>-('Cost Calculation'!J65)</f>
        <v>-9.7546753384197089</v>
      </c>
      <c r="K948" s="161">
        <f>-('Cost Calculation'!K65)</f>
        <v>-10.07046889497304</v>
      </c>
      <c r="L948" s="161">
        <f>-('Cost Calculation'!L65)</f>
        <v>-10.396554682088897</v>
      </c>
      <c r="M948" s="161">
        <f>-('Cost Calculation'!M65)</f>
        <v>-10.733270272689301</v>
      </c>
      <c r="N948" s="161">
        <f>-('Cost Calculation'!N65)</f>
        <v>-11.080964378317507</v>
      </c>
      <c r="O948" s="161">
        <f>-('Cost Calculation'!O65)</f>
        <v>-11.439997218761297</v>
      </c>
      <c r="P948" s="161">
        <f>-('Cost Calculation'!P65)</f>
        <v>-11.810740904007492</v>
      </c>
      <c r="Q948" s="161">
        <f>-('Cost Calculation'!Q65)</f>
        <v>-12.1935798289412</v>
      </c>
      <c r="R948" s="161">
        <f>-('Cost Calculation'!R65)</f>
        <v>-12.588911081217127</v>
      </c>
      <c r="S948" s="161">
        <f>-('Cost Calculation'!S65)</f>
        <v>-12.997144862744747</v>
      </c>
      <c r="T948" s="161">
        <f>-('Cost Calculation'!T65)</f>
        <v>-13.418704925244016</v>
      </c>
    </row>
    <row r="949" spans="2:20" x14ac:dyDescent="0.25">
      <c r="B949" s="23" t="s">
        <v>4127</v>
      </c>
      <c r="C949" s="28" t="s">
        <v>493</v>
      </c>
      <c r="H949" s="161">
        <f t="shared" ref="H949:T949" si="148">ROUND(H948-H947,9)</f>
        <v>0</v>
      </c>
      <c r="I949" s="161">
        <f t="shared" si="148"/>
        <v>0</v>
      </c>
      <c r="J949" s="161">
        <f t="shared" si="148"/>
        <v>0</v>
      </c>
      <c r="K949" s="161">
        <f t="shared" si="148"/>
        <v>0</v>
      </c>
      <c r="L949" s="161">
        <f t="shared" si="148"/>
        <v>0</v>
      </c>
      <c r="M949" s="161">
        <f t="shared" si="148"/>
        <v>0</v>
      </c>
      <c r="N949" s="161">
        <f t="shared" si="148"/>
        <v>0</v>
      </c>
      <c r="O949" s="161">
        <f t="shared" si="148"/>
        <v>0</v>
      </c>
      <c r="P949" s="161">
        <f t="shared" si="148"/>
        <v>0</v>
      </c>
      <c r="Q949" s="161">
        <f t="shared" si="148"/>
        <v>0</v>
      </c>
      <c r="R949" s="161">
        <f t="shared" si="148"/>
        <v>0</v>
      </c>
      <c r="S949" s="161">
        <f t="shared" si="148"/>
        <v>0</v>
      </c>
      <c r="T949" s="161">
        <f t="shared" si="148"/>
        <v>0</v>
      </c>
    </row>
    <row r="950" spans="2:20" x14ac:dyDescent="0.25">
      <c r="B950" s="23" t="s">
        <v>4174</v>
      </c>
      <c r="C950" s="28" t="s">
        <v>493</v>
      </c>
      <c r="H950" s="30">
        <f>'Source Data'!H1019</f>
        <v>-40.958825604243003</v>
      </c>
      <c r="I950" s="30">
        <f>'Source Data'!I1019</f>
        <v>-40.961418579151299</v>
      </c>
      <c r="J950" s="30">
        <f>'Source Data'!J1019</f>
        <v>-41.964063413557703</v>
      </c>
      <c r="K950" s="30">
        <f>'Source Data'!K1019</f>
        <v>-41.966761144652203</v>
      </c>
      <c r="L950" s="30">
        <f>'Source Data'!L1019</f>
        <v>-41.9695128303687</v>
      </c>
      <c r="M950" s="30">
        <f>'Source Data'!M1019</f>
        <v>-42.972319549799501</v>
      </c>
      <c r="N950" s="30">
        <f>'Source Data'!N1019</f>
        <v>-42.975182403618902</v>
      </c>
      <c r="O950" s="30">
        <f>'Source Data'!O1019</f>
        <v>-42.978102514514603</v>
      </c>
      <c r="P950" s="30">
        <f>'Source Data'!P1019</f>
        <v>-43.981081027628299</v>
      </c>
      <c r="Q950" s="30">
        <f>'Source Data'!Q1019</f>
        <v>-43.984119111004297</v>
      </c>
      <c r="R950" s="30">
        <f>'Source Data'!R1019</f>
        <v>-43.9872179560478</v>
      </c>
      <c r="S950" s="30">
        <f>'Source Data'!S1019</f>
        <v>-43.990378777992099</v>
      </c>
      <c r="T950" s="30">
        <f>'Source Data'!T1019</f>
        <v>-43.9936028163754</v>
      </c>
    </row>
    <row r="951" spans="2:20" x14ac:dyDescent="0.25">
      <c r="B951" s="23" t="s">
        <v>4129</v>
      </c>
      <c r="C951" s="28" t="s">
        <v>493</v>
      </c>
      <c r="H951" s="161">
        <f>-('Capex &amp; Depreciation'!H232)</f>
        <v>-40.958825604243003</v>
      </c>
      <c r="I951" s="161">
        <f>-('Capex &amp; Depreciation'!I232)</f>
        <v>-40.961418579151264</v>
      </c>
      <c r="J951" s="161">
        <f>-('Capex &amp; Depreciation'!J232)</f>
        <v>-41.964063413557689</v>
      </c>
      <c r="K951" s="161">
        <f>-('Capex &amp; Depreciation'!K232)</f>
        <v>-41.966761144652239</v>
      </c>
      <c r="L951" s="161">
        <f>-('Capex &amp; Depreciation'!L232)</f>
        <v>-41.969512830368686</v>
      </c>
      <c r="M951" s="161">
        <f>-('Capex &amp; Depreciation'!M232)</f>
        <v>-42.972319549799458</v>
      </c>
      <c r="N951" s="161">
        <f>-('Capex &amp; Depreciation'!N232)</f>
        <v>-42.975182403618852</v>
      </c>
      <c r="O951" s="161">
        <f>-('Capex &amp; Depreciation'!O232)</f>
        <v>-42.978102514514624</v>
      </c>
      <c r="P951" s="161">
        <f>-('Capex &amp; Depreciation'!P232)</f>
        <v>-43.981081027628321</v>
      </c>
      <c r="Q951" s="161">
        <f>-('Capex &amp; Depreciation'!Q232)</f>
        <v>-43.984119111004283</v>
      </c>
      <c r="R951" s="161">
        <f>-('Capex &amp; Depreciation'!R232)</f>
        <v>-43.987217956047772</v>
      </c>
      <c r="S951" s="161">
        <f>-('Capex &amp; Depreciation'!S232)</f>
        <v>-43.990378777992127</v>
      </c>
      <c r="T951" s="161">
        <f>-('Capex &amp; Depreciation'!T232)</f>
        <v>-43.993602816375372</v>
      </c>
    </row>
    <row r="952" spans="2:20" x14ac:dyDescent="0.25">
      <c r="B952" s="23" t="s">
        <v>4130</v>
      </c>
      <c r="C952" s="28" t="s">
        <v>493</v>
      </c>
      <c r="H952" s="161">
        <f t="shared" ref="H952:T952" si="149">ROUND(H951-H950,9)</f>
        <v>0</v>
      </c>
      <c r="I952" s="161">
        <f t="shared" si="149"/>
        <v>0</v>
      </c>
      <c r="J952" s="161">
        <f t="shared" si="149"/>
        <v>0</v>
      </c>
      <c r="K952" s="161">
        <f t="shared" si="149"/>
        <v>0</v>
      </c>
      <c r="L952" s="161">
        <f t="shared" si="149"/>
        <v>0</v>
      </c>
      <c r="M952" s="161">
        <f t="shared" si="149"/>
        <v>0</v>
      </c>
      <c r="N952" s="161">
        <f t="shared" si="149"/>
        <v>0</v>
      </c>
      <c r="O952" s="161">
        <f t="shared" si="149"/>
        <v>0</v>
      </c>
      <c r="P952" s="161">
        <f t="shared" si="149"/>
        <v>0</v>
      </c>
      <c r="Q952" s="161">
        <f t="shared" si="149"/>
        <v>0</v>
      </c>
      <c r="R952" s="161">
        <f t="shared" si="149"/>
        <v>0</v>
      </c>
      <c r="S952" s="161">
        <f t="shared" si="149"/>
        <v>0</v>
      </c>
      <c r="T952" s="161">
        <f t="shared" si="149"/>
        <v>0</v>
      </c>
    </row>
    <row r="953" spans="2:20" x14ac:dyDescent="0.25">
      <c r="B953" s="23" t="s">
        <v>4175</v>
      </c>
      <c r="C953" s="28" t="s">
        <v>493</v>
      </c>
      <c r="H953" s="30">
        <f>'Source Data'!H1020</f>
        <v>-5.4709055176610004</v>
      </c>
      <c r="I953" s="30">
        <f>'Source Data'!I1020</f>
        <v>-1.9421714587696599</v>
      </c>
      <c r="J953" s="30">
        <f>'Source Data'!J1020</f>
        <v>0</v>
      </c>
      <c r="K953" s="30">
        <f>'Source Data'!K1020</f>
        <v>0</v>
      </c>
      <c r="L953" s="30">
        <f>'Source Data'!L1020</f>
        <v>0</v>
      </c>
      <c r="M953" s="30">
        <f>'Source Data'!M1020</f>
        <v>0</v>
      </c>
      <c r="N953" s="30">
        <f>'Source Data'!N1020</f>
        <v>0</v>
      </c>
      <c r="O953" s="30">
        <f>'Source Data'!O1020</f>
        <v>0</v>
      </c>
      <c r="P953" s="30">
        <f>'Source Data'!P1020</f>
        <v>0</v>
      </c>
      <c r="Q953" s="30">
        <f>'Source Data'!Q1020</f>
        <v>0</v>
      </c>
      <c r="R953" s="30">
        <f>'Source Data'!R1020</f>
        <v>0</v>
      </c>
      <c r="S953" s="30">
        <f>'Source Data'!S1020</f>
        <v>0</v>
      </c>
      <c r="T953" s="30">
        <f>'Source Data'!T1020</f>
        <v>0</v>
      </c>
    </row>
    <row r="954" spans="2:20" x14ac:dyDescent="0.25">
      <c r="B954" s="23" t="s">
        <v>4132</v>
      </c>
      <c r="C954" s="28" t="s">
        <v>493</v>
      </c>
      <c r="H954" s="161">
        <f>-Financing!H22</f>
        <v>-5.4709055176610004</v>
      </c>
      <c r="I954" s="161">
        <f>-Financing!I22</f>
        <v>-1.9421714587696599</v>
      </c>
      <c r="J954" s="161">
        <f>-Financing!J22</f>
        <v>-1.9421714587696484</v>
      </c>
      <c r="K954" s="161">
        <f>-Financing!K22</f>
        <v>-0.96310420284193521</v>
      </c>
      <c r="L954" s="161">
        <f>-Financing!L22</f>
        <v>0</v>
      </c>
      <c r="M954" s="161">
        <f>-Financing!M22</f>
        <v>0</v>
      </c>
      <c r="N954" s="161">
        <f>-Financing!N22</f>
        <v>0</v>
      </c>
      <c r="O954" s="161">
        <f>-Financing!O22</f>
        <v>0</v>
      </c>
      <c r="P954" s="161">
        <f>-Financing!P22</f>
        <v>0</v>
      </c>
      <c r="Q954" s="161">
        <f>-Financing!Q22</f>
        <v>0</v>
      </c>
      <c r="R954" s="161">
        <f>-Financing!R22</f>
        <v>0</v>
      </c>
      <c r="S954" s="161">
        <f>-Financing!S22</f>
        <v>0</v>
      </c>
      <c r="T954" s="161">
        <f>-Financing!T22</f>
        <v>0</v>
      </c>
    </row>
    <row r="955" spans="2:20" x14ac:dyDescent="0.25">
      <c r="B955" s="23" t="s">
        <v>4133</v>
      </c>
      <c r="C955" s="28" t="s">
        <v>493</v>
      </c>
      <c r="H955" s="161">
        <f t="shared" ref="H955:T955" si="150">ROUND(H954-H953,9)</f>
        <v>0</v>
      </c>
      <c r="I955" s="161">
        <f t="shared" si="150"/>
        <v>0</v>
      </c>
      <c r="J955" s="161">
        <f t="shared" si="150"/>
        <v>-1.9421714590000001</v>
      </c>
      <c r="K955" s="161">
        <f t="shared" si="150"/>
        <v>-0.96310420299999999</v>
      </c>
      <c r="L955" s="161">
        <f t="shared" si="150"/>
        <v>0</v>
      </c>
      <c r="M955" s="161">
        <f t="shared" si="150"/>
        <v>0</v>
      </c>
      <c r="N955" s="161">
        <f t="shared" si="150"/>
        <v>0</v>
      </c>
      <c r="O955" s="161">
        <f t="shared" si="150"/>
        <v>0</v>
      </c>
      <c r="P955" s="161">
        <f t="shared" si="150"/>
        <v>0</v>
      </c>
      <c r="Q955" s="161">
        <f t="shared" si="150"/>
        <v>0</v>
      </c>
      <c r="R955" s="161">
        <f t="shared" si="150"/>
        <v>0</v>
      </c>
      <c r="S955" s="161">
        <f t="shared" si="150"/>
        <v>0</v>
      </c>
      <c r="T955" s="161">
        <f t="shared" si="150"/>
        <v>0</v>
      </c>
    </row>
    <row r="956" spans="2:20" x14ac:dyDescent="0.25">
      <c r="B956" s="23" t="s">
        <v>4176</v>
      </c>
      <c r="C956" s="28" t="s">
        <v>493</v>
      </c>
      <c r="H956" s="30">
        <f>'Source Data'!H1021</f>
        <v>-30.346144852950701</v>
      </c>
      <c r="I956" s="30">
        <f>'Source Data'!I1021</f>
        <v>-19.913430394275</v>
      </c>
      <c r="J956" s="30">
        <f>'Source Data'!J1021</f>
        <v>-18.475014015223898</v>
      </c>
      <c r="K956" s="30">
        <f>'Source Data'!K1021</f>
        <v>-8.0971610515423507</v>
      </c>
      <c r="L956" s="30">
        <f>'Source Data'!L1021</f>
        <v>-7.2618585473302604</v>
      </c>
      <c r="M956" s="30">
        <f>'Source Data'!M1021</f>
        <v>-1.18080026497646</v>
      </c>
      <c r="N956" s="30">
        <f>'Source Data'!N1021</f>
        <v>-0.13076895754939999</v>
      </c>
      <c r="O956" s="30">
        <f>'Source Data'!O1021</f>
        <v>5.32489629078826</v>
      </c>
      <c r="P956" s="30">
        <f>'Source Data'!P1021</f>
        <v>5.5104577260585197</v>
      </c>
      <c r="Q956" s="30">
        <f>'Source Data'!Q1021</f>
        <v>11.684824857320001</v>
      </c>
      <c r="R956" s="30">
        <f>'Source Data'!R1021</f>
        <v>13.095835433649601</v>
      </c>
      <c r="S956" s="30">
        <f>'Source Data'!S1021</f>
        <v>14.5331703132026</v>
      </c>
      <c r="T956" s="30">
        <f>'Source Data'!T1021</f>
        <v>15.9967210834913</v>
      </c>
    </row>
    <row r="957" spans="2:20" x14ac:dyDescent="0.25">
      <c r="B957" s="23" t="s">
        <v>4135</v>
      </c>
      <c r="C957" s="28" t="s">
        <v>493</v>
      </c>
      <c r="H957" s="30">
        <f>'FSL Output - With BUMN'!H108</f>
        <v>-30.346144852950665</v>
      </c>
      <c r="I957" s="30">
        <f>'FSL Output - With BUMN'!I108</f>
        <v>-19.913430394274979</v>
      </c>
      <c r="J957" s="30">
        <f>'FSL Output - With BUMN'!J108</f>
        <v>-20.417185473993563</v>
      </c>
      <c r="K957" s="30">
        <f>'FSL Output - With BUMN'!K108</f>
        <v>-9.0602652543842854</v>
      </c>
      <c r="L957" s="30">
        <f>'FSL Output - With BUMN'!L108</f>
        <v>-7.261858547330263</v>
      </c>
      <c r="M957" s="30">
        <f>'FSL Output - With BUMN'!M108</f>
        <v>-1.1808002649764759</v>
      </c>
      <c r="N957" s="30">
        <f>'FSL Output - With BUMN'!N108</f>
        <v>-0.13076895754939954</v>
      </c>
      <c r="O957" s="30">
        <f>'FSL Output - With BUMN'!O108</f>
        <v>5.3248962907882671</v>
      </c>
      <c r="P957" s="30">
        <f>'FSL Output - With BUMN'!P108</f>
        <v>5.510457726058533</v>
      </c>
      <c r="Q957" s="30">
        <f>'FSL Output - With BUMN'!Q108</f>
        <v>11.684824857319974</v>
      </c>
      <c r="R957" s="30">
        <f>'FSL Output - With BUMN'!R108</f>
        <v>13.09583543364959</v>
      </c>
      <c r="S957" s="30">
        <f>'FSL Output - With BUMN'!S108</f>
        <v>14.533170313202611</v>
      </c>
      <c r="T957" s="30">
        <f>'FSL Output - With BUMN'!T108</f>
        <v>15.996721083491309</v>
      </c>
    </row>
    <row r="958" spans="2:20" x14ac:dyDescent="0.25">
      <c r="B958" s="23" t="s">
        <v>4136</v>
      </c>
      <c r="C958" s="28" t="s">
        <v>493</v>
      </c>
      <c r="H958" s="161">
        <f t="shared" ref="H958:T958" si="151">ROUND(H957-H956,9)</f>
        <v>0</v>
      </c>
      <c r="I958" s="161">
        <f t="shared" si="151"/>
        <v>0</v>
      </c>
      <c r="J958" s="161">
        <f t="shared" si="151"/>
        <v>-1.9421714590000001</v>
      </c>
      <c r="K958" s="161">
        <f t="shared" si="151"/>
        <v>-0.96310420299999999</v>
      </c>
      <c r="L958" s="161">
        <f t="shared" si="151"/>
        <v>0</v>
      </c>
      <c r="M958" s="161">
        <f t="shared" si="151"/>
        <v>0</v>
      </c>
      <c r="N958" s="161">
        <f t="shared" si="151"/>
        <v>0</v>
      </c>
      <c r="O958" s="161">
        <f t="shared" si="151"/>
        <v>0</v>
      </c>
      <c r="P958" s="161">
        <f t="shared" si="151"/>
        <v>0</v>
      </c>
      <c r="Q958" s="161">
        <f t="shared" si="151"/>
        <v>0</v>
      </c>
      <c r="R958" s="161">
        <f t="shared" si="151"/>
        <v>0</v>
      </c>
      <c r="S958" s="161">
        <f t="shared" si="151"/>
        <v>0</v>
      </c>
      <c r="T958" s="161">
        <f t="shared" si="151"/>
        <v>0</v>
      </c>
    </row>
    <row r="959" spans="2:20" x14ac:dyDescent="0.25">
      <c r="B959" s="23" t="s">
        <v>4177</v>
      </c>
      <c r="C959" s="28" t="s">
        <v>493</v>
      </c>
      <c r="H959" s="30">
        <f>'Source Data'!H1022</f>
        <v>0</v>
      </c>
      <c r="I959" s="30">
        <f>'Source Data'!I1022</f>
        <v>0</v>
      </c>
      <c r="J959" s="30">
        <f>'Source Data'!J1022</f>
        <v>0</v>
      </c>
      <c r="K959" s="30">
        <f>'Source Data'!K1022</f>
        <v>0</v>
      </c>
      <c r="L959" s="30">
        <f>'Source Data'!L1022</f>
        <v>0</v>
      </c>
      <c r="M959" s="30">
        <f>'Source Data'!M1022</f>
        <v>0</v>
      </c>
      <c r="N959" s="30">
        <f>'Source Data'!N1022</f>
        <v>0</v>
      </c>
      <c r="O959" s="30">
        <f>'Source Data'!O1022</f>
        <v>-1.1714771839734199</v>
      </c>
      <c r="P959" s="30">
        <f>'Source Data'!P1022</f>
        <v>-1.21230069973287</v>
      </c>
      <c r="Q959" s="30">
        <f>'Source Data'!Q1022</f>
        <v>-2.5706614686103899</v>
      </c>
      <c r="R959" s="30">
        <f>'Source Data'!R1022</f>
        <v>-2.88108379540291</v>
      </c>
      <c r="S959" s="30">
        <f>'Source Data'!S1022</f>
        <v>-3.1972974689045701</v>
      </c>
      <c r="T959" s="30">
        <f>'Source Data'!T1022</f>
        <v>-3.5192786383680899</v>
      </c>
    </row>
    <row r="960" spans="2:20" x14ac:dyDescent="0.25">
      <c r="B960" s="23" t="s">
        <v>4138</v>
      </c>
      <c r="C960" s="28" t="s">
        <v>493</v>
      </c>
      <c r="H960" s="161">
        <f>-'FSL Output - With BUMN'!H109</f>
        <v>0</v>
      </c>
      <c r="I960" s="161">
        <f>-'FSL Output - With BUMN'!I109</f>
        <v>0</v>
      </c>
      <c r="J960" s="161">
        <f>-'FSL Output - With BUMN'!J109</f>
        <v>0</v>
      </c>
      <c r="K960" s="161">
        <f>-'FSL Output - With BUMN'!K109</f>
        <v>0</v>
      </c>
      <c r="L960" s="161">
        <f>-'FSL Output - With BUMN'!L109</f>
        <v>0</v>
      </c>
      <c r="M960" s="161">
        <f>-'FSL Output - With BUMN'!M109</f>
        <v>0</v>
      </c>
      <c r="N960" s="161">
        <f>-'FSL Output - With BUMN'!N109</f>
        <v>0</v>
      </c>
      <c r="O960" s="161">
        <f>-'FSL Output - With BUMN'!O109</f>
        <v>-1.1714771839734188</v>
      </c>
      <c r="P960" s="161">
        <f>-'FSL Output - With BUMN'!P109</f>
        <v>-1.2123006997328774</v>
      </c>
      <c r="Q960" s="161">
        <f>-'FSL Output - With BUMN'!Q109</f>
        <v>-2.5706614686103944</v>
      </c>
      <c r="R960" s="161">
        <f>-'FSL Output - With BUMN'!R109</f>
        <v>-2.88108379540291</v>
      </c>
      <c r="S960" s="161">
        <f>-'FSL Output - With BUMN'!S109</f>
        <v>-3.1972974689045746</v>
      </c>
      <c r="T960" s="161">
        <f>-'FSL Output - With BUMN'!T109</f>
        <v>-3.5192786383680881</v>
      </c>
    </row>
    <row r="961" spans="2:20" x14ac:dyDescent="0.25">
      <c r="B961" s="23" t="s">
        <v>4139</v>
      </c>
      <c r="C961" s="28" t="s">
        <v>493</v>
      </c>
      <c r="H961" s="161">
        <f t="shared" ref="H961:T961" si="152">ROUND(H960-H959,9)</f>
        <v>0</v>
      </c>
      <c r="I961" s="161">
        <f t="shared" si="152"/>
        <v>0</v>
      </c>
      <c r="J961" s="161">
        <f t="shared" si="152"/>
        <v>0</v>
      </c>
      <c r="K961" s="161">
        <f t="shared" si="152"/>
        <v>0</v>
      </c>
      <c r="L961" s="161">
        <f t="shared" si="152"/>
        <v>0</v>
      </c>
      <c r="M961" s="161">
        <f t="shared" si="152"/>
        <v>0</v>
      </c>
      <c r="N961" s="161">
        <f t="shared" si="152"/>
        <v>0</v>
      </c>
      <c r="O961" s="161">
        <f t="shared" si="152"/>
        <v>0</v>
      </c>
      <c r="P961" s="161">
        <f t="shared" si="152"/>
        <v>0</v>
      </c>
      <c r="Q961" s="161">
        <f t="shared" si="152"/>
        <v>0</v>
      </c>
      <c r="R961" s="161">
        <f t="shared" si="152"/>
        <v>0</v>
      </c>
      <c r="S961" s="161">
        <f t="shared" si="152"/>
        <v>0</v>
      </c>
      <c r="T961" s="161">
        <f t="shared" si="152"/>
        <v>0</v>
      </c>
    </row>
    <row r="962" spans="2:20" x14ac:dyDescent="0.25">
      <c r="B962" s="23" t="s">
        <v>4178</v>
      </c>
      <c r="C962" s="28" t="s">
        <v>493</v>
      </c>
      <c r="H962" s="30">
        <f>'Source Data'!H1023</f>
        <v>-30.346144852950701</v>
      </c>
      <c r="I962" s="30">
        <f>'Source Data'!I1023</f>
        <v>-19.913430394275</v>
      </c>
      <c r="J962" s="30">
        <f>'Source Data'!J1023</f>
        <v>-18.475014015223898</v>
      </c>
      <c r="K962" s="30">
        <f>'Source Data'!K1023</f>
        <v>-8.0971610515423507</v>
      </c>
      <c r="L962" s="30">
        <f>'Source Data'!L1023</f>
        <v>-7.2618585473302604</v>
      </c>
      <c r="M962" s="30">
        <f>'Source Data'!M1023</f>
        <v>-1.18080026497646</v>
      </c>
      <c r="N962" s="30">
        <f>'Source Data'!N1023</f>
        <v>-0.13076895754939999</v>
      </c>
      <c r="O962" s="30">
        <f>'Source Data'!O1023</f>
        <v>4.1534191068148401</v>
      </c>
      <c r="P962" s="30">
        <f>'Source Data'!P1023</f>
        <v>4.2981570263256499</v>
      </c>
      <c r="Q962" s="30">
        <f>'Source Data'!Q1023</f>
        <v>9.1141633887095796</v>
      </c>
      <c r="R962" s="30">
        <f>'Source Data'!R1023</f>
        <v>10.2147516382467</v>
      </c>
      <c r="S962" s="30">
        <f>'Source Data'!S1023</f>
        <v>11.335872844298001</v>
      </c>
      <c r="T962" s="30">
        <f>'Source Data'!T1023</f>
        <v>12.4774424451232</v>
      </c>
    </row>
    <row r="963" spans="2:20" x14ac:dyDescent="0.25">
      <c r="B963" s="23" t="s">
        <v>4141</v>
      </c>
      <c r="C963" s="28" t="s">
        <v>493</v>
      </c>
      <c r="H963" s="30">
        <f>'FSL Output - With BUMN'!H111</f>
        <v>-30.346144852950665</v>
      </c>
      <c r="I963" s="30">
        <f>'FSL Output - With BUMN'!I111</f>
        <v>-19.913430394274979</v>
      </c>
      <c r="J963" s="30">
        <f>'FSL Output - With BUMN'!J111</f>
        <v>-20.417185473993563</v>
      </c>
      <c r="K963" s="30">
        <f>'FSL Output - With BUMN'!K111</f>
        <v>-9.0602652543842854</v>
      </c>
      <c r="L963" s="30">
        <f>'FSL Output - With BUMN'!L111</f>
        <v>-7.261858547330263</v>
      </c>
      <c r="M963" s="30">
        <f>'FSL Output - With BUMN'!M111</f>
        <v>-1.1808002649764759</v>
      </c>
      <c r="N963" s="30">
        <f>'FSL Output - With BUMN'!N111</f>
        <v>-0.13076895754939954</v>
      </c>
      <c r="O963" s="30">
        <f>'FSL Output - With BUMN'!O111</f>
        <v>4.153419106814848</v>
      </c>
      <c r="P963" s="30">
        <f>'FSL Output - With BUMN'!P111</f>
        <v>4.2981570263256561</v>
      </c>
      <c r="Q963" s="30">
        <f>'FSL Output - With BUMN'!Q111</f>
        <v>9.1141633887095796</v>
      </c>
      <c r="R963" s="30">
        <f>'FSL Output - With BUMN'!R111</f>
        <v>10.21475163824668</v>
      </c>
      <c r="S963" s="30">
        <f>'FSL Output - With BUMN'!S111</f>
        <v>11.335872844298036</v>
      </c>
      <c r="T963" s="30">
        <f>'FSL Output - With BUMN'!T111</f>
        <v>12.47744244512322</v>
      </c>
    </row>
    <row r="964" spans="2:20" x14ac:dyDescent="0.25">
      <c r="B964" s="23" t="s">
        <v>4142</v>
      </c>
      <c r="C964" s="28" t="s">
        <v>493</v>
      </c>
      <c r="H964" s="161">
        <f t="shared" ref="H964:T964" si="153">ROUND(H963-H962,9)</f>
        <v>0</v>
      </c>
      <c r="I964" s="161">
        <f t="shared" si="153"/>
        <v>0</v>
      </c>
      <c r="J964" s="161">
        <f t="shared" si="153"/>
        <v>-1.9421714590000001</v>
      </c>
      <c r="K964" s="161">
        <f t="shared" si="153"/>
        <v>-0.96310420299999999</v>
      </c>
      <c r="L964" s="161">
        <f t="shared" si="153"/>
        <v>0</v>
      </c>
      <c r="M964" s="161">
        <f t="shared" si="153"/>
        <v>0</v>
      </c>
      <c r="N964" s="161">
        <f t="shared" si="153"/>
        <v>0</v>
      </c>
      <c r="O964" s="161">
        <f t="shared" si="153"/>
        <v>0</v>
      </c>
      <c r="P964" s="161">
        <f t="shared" si="153"/>
        <v>0</v>
      </c>
      <c r="Q964" s="161">
        <f t="shared" si="153"/>
        <v>0</v>
      </c>
      <c r="R964" s="161">
        <f t="shared" si="153"/>
        <v>0</v>
      </c>
      <c r="S964" s="161">
        <f t="shared" si="153"/>
        <v>0</v>
      </c>
      <c r="T964" s="161">
        <f t="shared" si="153"/>
        <v>0</v>
      </c>
    </row>
    <row r="966" spans="2:20" ht="24.75" customHeight="1" x14ac:dyDescent="0.25">
      <c r="B966" s="221" t="s">
        <v>4179</v>
      </c>
      <c r="C966" s="235"/>
      <c r="D966" s="235"/>
      <c r="E966" s="232" t="str">
        <f>IF(F966&lt;=Inputs!$E$50,"Matches v29",IF(AND($E$22=1,G966&lt;=Inputs!$E$50),"Differs - requested change: LT loan repaid in 2027 (not 2025)",IF($E$21&gt;0,"Differs - inputs changed","UNEXPLAINED")))</f>
        <v>Differs - requested change: LT loan repaid in 2027 (not 2025)</v>
      </c>
      <c r="F966" s="225">
        <f>MAX(MAX(H969:T969),-MIN(H969:T969),MAX(H972:T972),-MIN(H972:T972),MAX(H975:T975),-MIN(H975:T975),MAX(H978:T978),-MIN(H978:T978),MAX(H981:T981),-MIN(H981:T981),MAX(H984:T984),-MIN(H984:T984),MAX(H987:T987),-MIN(H987:T987),MAX(H990:T990),-MIN(H990:T990))</f>
        <v>13.331278719</v>
      </c>
      <c r="G966" s="226">
        <f>IF($E$22=1,MAX(MAX(H969:T969),-MIN(H969:T969),MAX(H972:T972),-MIN(H972:T972),MAX(H975:T975),-MIN(H975:T975),MAX(H978:T978),-MIN(H978:T978)),MAX(MAX(H969:T969),-MIN(H969:T969),MAX(H972:T972),-MIN(H972:T972),MAX(H975:T975),-MIN(H975:T975),MAX(H978:T978),-MIN(H978:T978),MAX(H981:T981),-MIN(H981:T981),MAX(H984:T984),-MIN(H984:T984),MAX(H987:T987),-MIN(H987:T987),MAX(H990:T990),-MIN(H990:T990)))</f>
        <v>0</v>
      </c>
    </row>
    <row r="967" spans="2:20" x14ac:dyDescent="0.25">
      <c r="B967" s="23" t="s">
        <v>4180</v>
      </c>
      <c r="C967" s="28" t="s">
        <v>493</v>
      </c>
      <c r="H967" s="30">
        <f>'Source Data'!H1025</f>
        <v>0</v>
      </c>
      <c r="I967" s="30">
        <f>'Source Data'!I1025</f>
        <v>100.31220909619201</v>
      </c>
      <c r="J967" s="30">
        <f>'Source Data'!J1025</f>
        <v>103.321575369078</v>
      </c>
      <c r="K967" s="30">
        <f>'Source Data'!K1025</f>
        <v>127.70546715618001</v>
      </c>
      <c r="L967" s="30">
        <f>'Source Data'!L1025</f>
        <v>131.536631170866</v>
      </c>
      <c r="M967" s="30">
        <f>'Source Data'!M1025</f>
        <v>149.03100311659099</v>
      </c>
      <c r="N967" s="30">
        <f>'Source Data'!N1025</f>
        <v>153.501933210088</v>
      </c>
      <c r="O967" s="30">
        <f>'Source Data'!O1025</f>
        <v>167.59341067877401</v>
      </c>
      <c r="P967" s="30">
        <f>'Source Data'!P1025</f>
        <v>172.62121299913801</v>
      </c>
      <c r="Q967" s="30">
        <f>'Source Data'!Q1025</f>
        <v>188.46784035245901</v>
      </c>
      <c r="R967" s="30">
        <f>'Source Data'!R1025</f>
        <v>194.12187556303201</v>
      </c>
      <c r="S967" s="30">
        <f>'Source Data'!S1025</f>
        <v>199.945531829923</v>
      </c>
      <c r="T967" s="30">
        <f>'Source Data'!T1025</f>
        <v>205.94389778482099</v>
      </c>
    </row>
    <row r="968" spans="2:20" x14ac:dyDescent="0.25">
      <c r="B968" s="23" t="s">
        <v>4120</v>
      </c>
      <c r="C968" s="28" t="s">
        <v>493</v>
      </c>
      <c r="H968" s="30">
        <f>'Revenue Calculation'!H99</f>
        <v>0</v>
      </c>
      <c r="I968" s="30">
        <f>'Revenue Calculation'!I99</f>
        <v>100.31220909619201</v>
      </c>
      <c r="J968" s="30">
        <f>'Revenue Calculation'!J99</f>
        <v>103.32157536907776</v>
      </c>
      <c r="K968" s="30">
        <f>'Revenue Calculation'!K99</f>
        <v>127.70546715618012</v>
      </c>
      <c r="L968" s="30">
        <f>'Revenue Calculation'!L99</f>
        <v>131.53663117086552</v>
      </c>
      <c r="M968" s="30">
        <f>'Revenue Calculation'!M99</f>
        <v>149.03100311659063</v>
      </c>
      <c r="N968" s="30">
        <f>'Revenue Calculation'!N99</f>
        <v>153.50193321008834</v>
      </c>
      <c r="O968" s="30">
        <f>'Revenue Calculation'!O99</f>
        <v>167.59341067877446</v>
      </c>
      <c r="P968" s="30">
        <f>'Revenue Calculation'!P99</f>
        <v>172.6212129991377</v>
      </c>
      <c r="Q968" s="30">
        <f>'Revenue Calculation'!Q99</f>
        <v>188.46784035245855</v>
      </c>
      <c r="R968" s="30">
        <f>'Revenue Calculation'!R99</f>
        <v>194.12187556303235</v>
      </c>
      <c r="S968" s="30">
        <f>'Revenue Calculation'!S99</f>
        <v>199.94553182992328</v>
      </c>
      <c r="T968" s="30">
        <f>'Revenue Calculation'!T99</f>
        <v>205.94389778482099</v>
      </c>
    </row>
    <row r="969" spans="2:20" x14ac:dyDescent="0.25">
      <c r="B969" s="23" t="s">
        <v>4121</v>
      </c>
      <c r="C969" s="28" t="s">
        <v>493</v>
      </c>
      <c r="H969" s="161">
        <f t="shared" ref="H969:T969" si="154">ROUND(H968-H967,9)</f>
        <v>0</v>
      </c>
      <c r="I969" s="161">
        <f t="shared" si="154"/>
        <v>0</v>
      </c>
      <c r="J969" s="161">
        <f t="shared" si="154"/>
        <v>0</v>
      </c>
      <c r="K969" s="161">
        <f t="shared" si="154"/>
        <v>0</v>
      </c>
      <c r="L969" s="161">
        <f t="shared" si="154"/>
        <v>0</v>
      </c>
      <c r="M969" s="161">
        <f t="shared" si="154"/>
        <v>0</v>
      </c>
      <c r="N969" s="161">
        <f t="shared" si="154"/>
        <v>0</v>
      </c>
      <c r="O969" s="161">
        <f t="shared" si="154"/>
        <v>0</v>
      </c>
      <c r="P969" s="161">
        <f t="shared" si="154"/>
        <v>0</v>
      </c>
      <c r="Q969" s="161">
        <f t="shared" si="154"/>
        <v>0</v>
      </c>
      <c r="R969" s="161">
        <f t="shared" si="154"/>
        <v>0</v>
      </c>
      <c r="S969" s="161">
        <f t="shared" si="154"/>
        <v>0</v>
      </c>
      <c r="T969" s="161">
        <f t="shared" si="154"/>
        <v>0</v>
      </c>
    </row>
    <row r="970" spans="2:20" x14ac:dyDescent="0.25">
      <c r="B970" s="23" t="s">
        <v>4181</v>
      </c>
      <c r="C970" s="28" t="s">
        <v>493</v>
      </c>
      <c r="H970" s="30">
        <f>'Source Data'!H1026</f>
        <v>0</v>
      </c>
      <c r="I970" s="30">
        <f>'Source Data'!I1026</f>
        <v>-9.5149427163807303</v>
      </c>
      <c r="J970" s="30">
        <f>'Source Data'!J1026</f>
        <v>-10.0310082638083</v>
      </c>
      <c r="K970" s="30">
        <f>'Source Data'!K1026</f>
        <v>-10.5785022030742</v>
      </c>
      <c r="L970" s="30">
        <f>'Source Data'!L1026</f>
        <v>-11.1593385232415</v>
      </c>
      <c r="M970" s="30">
        <f>'Source Data'!M1026</f>
        <v>-11.775547775306899</v>
      </c>
      <c r="N970" s="30">
        <f>'Source Data'!N1026</f>
        <v>-12.429284170823101</v>
      </c>
      <c r="O970" s="30">
        <f>'Source Data'!O1026</f>
        <v>-13.1228331128262</v>
      </c>
      <c r="P970" s="30">
        <f>'Source Data'!P1026</f>
        <v>-13.8586191853973</v>
      </c>
      <c r="Q970" s="30">
        <f>'Source Data'!Q1026</f>
        <v>-14.639214629788</v>
      </c>
      <c r="R970" s="30">
        <f>'Source Data'!R1026</f>
        <v>-15.4673483367421</v>
      </c>
      <c r="S970" s="30">
        <f>'Source Data'!S1026</f>
        <v>-16.3459153864497</v>
      </c>
      <c r="T970" s="30">
        <f>'Source Data'!T1026</f>
        <v>-17.277987169484501</v>
      </c>
    </row>
    <row r="971" spans="2:20" x14ac:dyDescent="0.25">
      <c r="B971" s="23" t="s">
        <v>4123</v>
      </c>
      <c r="C971" s="28" t="s">
        <v>493</v>
      </c>
      <c r="H971" s="161">
        <f>-('Cost Calculation'!H135)</f>
        <v>0</v>
      </c>
      <c r="I971" s="161">
        <f>-('Cost Calculation'!I135)</f>
        <v>-9.514942716380725</v>
      </c>
      <c r="J971" s="161">
        <f>-('Cost Calculation'!J135)</f>
        <v>-10.03100826380831</v>
      </c>
      <c r="K971" s="161">
        <f>-('Cost Calculation'!K135)</f>
        <v>-10.578502203074237</v>
      </c>
      <c r="L971" s="161">
        <f>-('Cost Calculation'!L135)</f>
        <v>-11.159338523241457</v>
      </c>
      <c r="M971" s="161">
        <f>-('Cost Calculation'!M135)</f>
        <v>-11.775547775306864</v>
      </c>
      <c r="N971" s="161">
        <f>-('Cost Calculation'!N135)</f>
        <v>-12.429284170823051</v>
      </c>
      <c r="O971" s="161">
        <f>-('Cost Calculation'!O135)</f>
        <v>-13.122833112826179</v>
      </c>
      <c r="P971" s="161">
        <f>-('Cost Calculation'!P135)</f>
        <v>-13.85861918539729</v>
      </c>
      <c r="Q971" s="161">
        <f>-('Cost Calculation'!Q135)</f>
        <v>-14.639214629787986</v>
      </c>
      <c r="R971" s="161">
        <f>-('Cost Calculation'!R135)</f>
        <v>-15.467348336742077</v>
      </c>
      <c r="S971" s="161">
        <f>-('Cost Calculation'!S135)</f>
        <v>-16.345915386449668</v>
      </c>
      <c r="T971" s="161">
        <f>-('Cost Calculation'!T135)</f>
        <v>-17.277987169484454</v>
      </c>
    </row>
    <row r="972" spans="2:20" x14ac:dyDescent="0.25">
      <c r="B972" s="23" t="s">
        <v>4124</v>
      </c>
      <c r="C972" s="28" t="s">
        <v>493</v>
      </c>
      <c r="H972" s="161">
        <f t="shared" ref="H972:T972" si="155">ROUND(H971-H970,9)</f>
        <v>0</v>
      </c>
      <c r="I972" s="161">
        <f t="shared" si="155"/>
        <v>0</v>
      </c>
      <c r="J972" s="161">
        <f t="shared" si="155"/>
        <v>0</v>
      </c>
      <c r="K972" s="161">
        <f t="shared" si="155"/>
        <v>0</v>
      </c>
      <c r="L972" s="161">
        <f t="shared" si="155"/>
        <v>0</v>
      </c>
      <c r="M972" s="161">
        <f t="shared" si="155"/>
        <v>0</v>
      </c>
      <c r="N972" s="161">
        <f t="shared" si="155"/>
        <v>0</v>
      </c>
      <c r="O972" s="161">
        <f t="shared" si="155"/>
        <v>0</v>
      </c>
      <c r="P972" s="161">
        <f t="shared" si="155"/>
        <v>0</v>
      </c>
      <c r="Q972" s="161">
        <f t="shared" si="155"/>
        <v>0</v>
      </c>
      <c r="R972" s="161">
        <f t="shared" si="155"/>
        <v>0</v>
      </c>
      <c r="S972" s="161">
        <f t="shared" si="155"/>
        <v>0</v>
      </c>
      <c r="T972" s="161">
        <f t="shared" si="155"/>
        <v>0</v>
      </c>
    </row>
    <row r="973" spans="2:20" x14ac:dyDescent="0.25">
      <c r="B973" s="23" t="s">
        <v>4182</v>
      </c>
      <c r="C973" s="28" t="s">
        <v>493</v>
      </c>
      <c r="H973" s="30">
        <f>'Source Data'!H1027</f>
        <v>0</v>
      </c>
      <c r="I973" s="30">
        <f>'Source Data'!I1027</f>
        <v>-20.062441819238401</v>
      </c>
      <c r="J973" s="30">
        <f>'Source Data'!J1027</f>
        <v>-20.664315073815601</v>
      </c>
      <c r="K973" s="30">
        <f>'Source Data'!K1027</f>
        <v>-25.541093431236</v>
      </c>
      <c r="L973" s="30">
        <f>'Source Data'!L1027</f>
        <v>-26.3073262341731</v>
      </c>
      <c r="M973" s="30">
        <f>'Source Data'!M1027</f>
        <v>-29.806200623318102</v>
      </c>
      <c r="N973" s="30">
        <f>'Source Data'!N1027</f>
        <v>-30.700386642017701</v>
      </c>
      <c r="O973" s="30">
        <f>'Source Data'!O1027</f>
        <v>-33.518682135754901</v>
      </c>
      <c r="P973" s="30">
        <f>'Source Data'!P1027</f>
        <v>-34.524242599827502</v>
      </c>
      <c r="Q973" s="30">
        <f>'Source Data'!Q1027</f>
        <v>-37.6935680704917</v>
      </c>
      <c r="R973" s="30">
        <f>'Source Data'!R1027</f>
        <v>-38.824375112606504</v>
      </c>
      <c r="S973" s="30">
        <f>'Source Data'!S1027</f>
        <v>-39.989106365984703</v>
      </c>
      <c r="T973" s="30">
        <f>'Source Data'!T1027</f>
        <v>-41.188779556964199</v>
      </c>
    </row>
    <row r="974" spans="2:20" x14ac:dyDescent="0.25">
      <c r="B974" s="23" t="s">
        <v>4126</v>
      </c>
      <c r="C974" s="28" t="s">
        <v>493</v>
      </c>
      <c r="H974" s="161">
        <f>-('Cost Calculation'!H136)</f>
        <v>0</v>
      </c>
      <c r="I974" s="161">
        <f>-('Cost Calculation'!I136)</f>
        <v>-20.062441819238401</v>
      </c>
      <c r="J974" s="161">
        <f>-('Cost Calculation'!J136)</f>
        <v>-20.664315073815555</v>
      </c>
      <c r="K974" s="161">
        <f>-('Cost Calculation'!K136)</f>
        <v>-25.541093431236025</v>
      </c>
      <c r="L974" s="161">
        <f>-('Cost Calculation'!L136)</f>
        <v>-26.307326234173104</v>
      </c>
      <c r="M974" s="161">
        <f>-('Cost Calculation'!M136)</f>
        <v>-29.806200623318126</v>
      </c>
      <c r="N974" s="161">
        <f>-('Cost Calculation'!N136)</f>
        <v>-30.700386642017669</v>
      </c>
      <c r="O974" s="161">
        <f>-('Cost Calculation'!O136)</f>
        <v>-33.518682135754894</v>
      </c>
      <c r="P974" s="161">
        <f>-('Cost Calculation'!P136)</f>
        <v>-34.524242599827538</v>
      </c>
      <c r="Q974" s="161">
        <f>-('Cost Calculation'!Q136)</f>
        <v>-37.693568070491715</v>
      </c>
      <c r="R974" s="161">
        <f>-('Cost Calculation'!R136)</f>
        <v>-38.824375112606475</v>
      </c>
      <c r="S974" s="161">
        <f>-('Cost Calculation'!S136)</f>
        <v>-39.989106365984661</v>
      </c>
      <c r="T974" s="161">
        <f>-('Cost Calculation'!T136)</f>
        <v>-41.188779556964199</v>
      </c>
    </row>
    <row r="975" spans="2:20" x14ac:dyDescent="0.25">
      <c r="B975" s="23" t="s">
        <v>4127</v>
      </c>
      <c r="C975" s="28" t="s">
        <v>493</v>
      </c>
      <c r="H975" s="161">
        <f t="shared" ref="H975:T975" si="156">ROUND(H974-H973,9)</f>
        <v>0</v>
      </c>
      <c r="I975" s="161">
        <f t="shared" si="156"/>
        <v>0</v>
      </c>
      <c r="J975" s="161">
        <f t="shared" si="156"/>
        <v>0</v>
      </c>
      <c r="K975" s="161">
        <f t="shared" si="156"/>
        <v>0</v>
      </c>
      <c r="L975" s="161">
        <f t="shared" si="156"/>
        <v>0</v>
      </c>
      <c r="M975" s="161">
        <f t="shared" si="156"/>
        <v>0</v>
      </c>
      <c r="N975" s="161">
        <f t="shared" si="156"/>
        <v>0</v>
      </c>
      <c r="O975" s="161">
        <f t="shared" si="156"/>
        <v>0</v>
      </c>
      <c r="P975" s="161">
        <f t="shared" si="156"/>
        <v>0</v>
      </c>
      <c r="Q975" s="161">
        <f t="shared" si="156"/>
        <v>0</v>
      </c>
      <c r="R975" s="161">
        <f t="shared" si="156"/>
        <v>0</v>
      </c>
      <c r="S975" s="161">
        <f t="shared" si="156"/>
        <v>0</v>
      </c>
      <c r="T975" s="161">
        <f t="shared" si="156"/>
        <v>0</v>
      </c>
    </row>
    <row r="976" spans="2:20" x14ac:dyDescent="0.25">
      <c r="B976" s="23" t="s">
        <v>4183</v>
      </c>
      <c r="C976" s="28" t="s">
        <v>493</v>
      </c>
      <c r="H976" s="30">
        <f>'Source Data'!H1028</f>
        <v>0</v>
      </c>
      <c r="I976" s="30">
        <f>'Source Data'!I1028</f>
        <v>-17.798535863122002</v>
      </c>
      <c r="J976" s="30">
        <f>'Source Data'!J1028</f>
        <v>-17.798535863122002</v>
      </c>
      <c r="K976" s="30">
        <f>'Source Data'!K1028</f>
        <v>-17.798535863122002</v>
      </c>
      <c r="L976" s="30">
        <f>'Source Data'!L1028</f>
        <v>-17.798535863122002</v>
      </c>
      <c r="M976" s="30">
        <f>'Source Data'!M1028</f>
        <v>-17.798535863122002</v>
      </c>
      <c r="N976" s="30">
        <f>'Source Data'!N1028</f>
        <v>-17.798535863122002</v>
      </c>
      <c r="O976" s="30">
        <f>'Source Data'!O1028</f>
        <v>-17.798535863122002</v>
      </c>
      <c r="P976" s="30">
        <f>'Source Data'!P1028</f>
        <v>-17.798535863122002</v>
      </c>
      <c r="Q976" s="30">
        <f>'Source Data'!Q1028</f>
        <v>-17.798535863122002</v>
      </c>
      <c r="R976" s="30">
        <f>'Source Data'!R1028</f>
        <v>-17.798535863122002</v>
      </c>
      <c r="S976" s="30">
        <f>'Source Data'!S1028</f>
        <v>-17.798535863122002</v>
      </c>
      <c r="T976" s="30">
        <f>'Source Data'!T1028</f>
        <v>-17.798535863122002</v>
      </c>
    </row>
    <row r="977" spans="2:20" x14ac:dyDescent="0.25">
      <c r="B977" s="23" t="s">
        <v>4129</v>
      </c>
      <c r="C977" s="28" t="s">
        <v>493</v>
      </c>
      <c r="H977" s="161">
        <f>-('Capex &amp; Depreciation'!H235)</f>
        <v>0</v>
      </c>
      <c r="I977" s="161">
        <f>-('Capex &amp; Depreciation'!I235)</f>
        <v>-17.79853586312198</v>
      </c>
      <c r="J977" s="161">
        <f>-('Capex &amp; Depreciation'!J235)</f>
        <v>-17.79853586312198</v>
      </c>
      <c r="K977" s="161">
        <f>-('Capex &amp; Depreciation'!K235)</f>
        <v>-17.79853586312198</v>
      </c>
      <c r="L977" s="161">
        <f>-('Capex &amp; Depreciation'!L235)</f>
        <v>-17.79853586312198</v>
      </c>
      <c r="M977" s="161">
        <f>-('Capex &amp; Depreciation'!M235)</f>
        <v>-17.79853586312198</v>
      </c>
      <c r="N977" s="161">
        <f>-('Capex &amp; Depreciation'!N235)</f>
        <v>-17.79853586312198</v>
      </c>
      <c r="O977" s="161">
        <f>-('Capex &amp; Depreciation'!O235)</f>
        <v>-17.79853586312198</v>
      </c>
      <c r="P977" s="161">
        <f>-('Capex &amp; Depreciation'!P235)</f>
        <v>-17.79853586312198</v>
      </c>
      <c r="Q977" s="161">
        <f>-('Capex &amp; Depreciation'!Q235)</f>
        <v>-17.79853586312198</v>
      </c>
      <c r="R977" s="161">
        <f>-('Capex &amp; Depreciation'!R235)</f>
        <v>-17.79853586312198</v>
      </c>
      <c r="S977" s="161">
        <f>-('Capex &amp; Depreciation'!S235)</f>
        <v>-17.79853586312198</v>
      </c>
      <c r="T977" s="161">
        <f>-('Capex &amp; Depreciation'!T235)</f>
        <v>-17.79853586312198</v>
      </c>
    </row>
    <row r="978" spans="2:20" x14ac:dyDescent="0.25">
      <c r="B978" s="23" t="s">
        <v>4130</v>
      </c>
      <c r="C978" s="28" t="s">
        <v>493</v>
      </c>
      <c r="H978" s="161">
        <f t="shared" ref="H978:T978" si="157">ROUND(H977-H976,9)</f>
        <v>0</v>
      </c>
      <c r="I978" s="161">
        <f t="shared" si="157"/>
        <v>0</v>
      </c>
      <c r="J978" s="161">
        <f t="shared" si="157"/>
        <v>0</v>
      </c>
      <c r="K978" s="161">
        <f t="shared" si="157"/>
        <v>0</v>
      </c>
      <c r="L978" s="161">
        <f t="shared" si="157"/>
        <v>0</v>
      </c>
      <c r="M978" s="161">
        <f t="shared" si="157"/>
        <v>0</v>
      </c>
      <c r="N978" s="161">
        <f t="shared" si="157"/>
        <v>0</v>
      </c>
      <c r="O978" s="161">
        <f t="shared" si="157"/>
        <v>0</v>
      </c>
      <c r="P978" s="161">
        <f t="shared" si="157"/>
        <v>0</v>
      </c>
      <c r="Q978" s="161">
        <f t="shared" si="157"/>
        <v>0</v>
      </c>
      <c r="R978" s="161">
        <f t="shared" si="157"/>
        <v>0</v>
      </c>
      <c r="S978" s="161">
        <f t="shared" si="157"/>
        <v>0</v>
      </c>
      <c r="T978" s="161">
        <f t="shared" si="157"/>
        <v>0</v>
      </c>
    </row>
    <row r="979" spans="2:20" x14ac:dyDescent="0.25">
      <c r="B979" s="23" t="s">
        <v>4184</v>
      </c>
      <c r="C979" s="28" t="s">
        <v>493</v>
      </c>
      <c r="H979" s="30">
        <f>'Source Data'!H1029</f>
        <v>0</v>
      </c>
      <c r="I979" s="30">
        <f>'Source Data'!I1029</f>
        <v>-13.331278719</v>
      </c>
      <c r="J979" s="30">
        <f>'Source Data'!J1029</f>
        <v>0</v>
      </c>
      <c r="K979" s="30">
        <f>'Source Data'!K1029</f>
        <v>0</v>
      </c>
      <c r="L979" s="30">
        <f>'Source Data'!L1029</f>
        <v>0</v>
      </c>
      <c r="M979" s="30">
        <f>'Source Data'!M1029</f>
        <v>0</v>
      </c>
      <c r="N979" s="30">
        <f>'Source Data'!N1029</f>
        <v>0</v>
      </c>
      <c r="O979" s="30">
        <f>'Source Data'!O1029</f>
        <v>0</v>
      </c>
      <c r="P979" s="30">
        <f>'Source Data'!P1029</f>
        <v>0</v>
      </c>
      <c r="Q979" s="30">
        <f>'Source Data'!Q1029</f>
        <v>0</v>
      </c>
      <c r="R979" s="30">
        <f>'Source Data'!R1029</f>
        <v>0</v>
      </c>
      <c r="S979" s="30">
        <f>'Source Data'!S1029</f>
        <v>0</v>
      </c>
      <c r="T979" s="30">
        <f>'Source Data'!T1029</f>
        <v>0</v>
      </c>
    </row>
    <row r="980" spans="2:20" x14ac:dyDescent="0.25">
      <c r="B980" s="23" t="s">
        <v>4132</v>
      </c>
      <c r="C980" s="28" t="s">
        <v>493</v>
      </c>
      <c r="H980" s="161">
        <f>-Financing!H23</f>
        <v>0</v>
      </c>
      <c r="I980" s="161">
        <f>-Financing!I23</f>
        <v>-13.331278719</v>
      </c>
      <c r="J980" s="161">
        <f>-Financing!J23</f>
        <v>-13.331278719000011</v>
      </c>
      <c r="K980" s="161">
        <f>-Financing!K23</f>
        <v>-6.6108532825726085</v>
      </c>
      <c r="L980" s="161">
        <f>-Financing!L23</f>
        <v>0</v>
      </c>
      <c r="M980" s="161">
        <f>-Financing!M23</f>
        <v>0</v>
      </c>
      <c r="N980" s="161">
        <f>-Financing!N23</f>
        <v>0</v>
      </c>
      <c r="O980" s="161">
        <f>-Financing!O23</f>
        <v>0</v>
      </c>
      <c r="P980" s="161">
        <f>-Financing!P23</f>
        <v>0</v>
      </c>
      <c r="Q980" s="161">
        <f>-Financing!Q23</f>
        <v>0</v>
      </c>
      <c r="R980" s="161">
        <f>-Financing!R23</f>
        <v>0</v>
      </c>
      <c r="S980" s="161">
        <f>-Financing!S23</f>
        <v>0</v>
      </c>
      <c r="T980" s="161">
        <f>-Financing!T23</f>
        <v>0</v>
      </c>
    </row>
    <row r="981" spans="2:20" x14ac:dyDescent="0.25">
      <c r="B981" s="23" t="s">
        <v>4133</v>
      </c>
      <c r="C981" s="28" t="s">
        <v>493</v>
      </c>
      <c r="H981" s="161">
        <f t="shared" ref="H981:T981" si="158">ROUND(H980-H979,9)</f>
        <v>0</v>
      </c>
      <c r="I981" s="161">
        <f t="shared" si="158"/>
        <v>0</v>
      </c>
      <c r="J981" s="161">
        <f t="shared" si="158"/>
        <v>-13.331278719</v>
      </c>
      <c r="K981" s="161">
        <f t="shared" si="158"/>
        <v>-6.610853283</v>
      </c>
      <c r="L981" s="161">
        <f t="shared" si="158"/>
        <v>0</v>
      </c>
      <c r="M981" s="161">
        <f t="shared" si="158"/>
        <v>0</v>
      </c>
      <c r="N981" s="161">
        <f t="shared" si="158"/>
        <v>0</v>
      </c>
      <c r="O981" s="161">
        <f t="shared" si="158"/>
        <v>0</v>
      </c>
      <c r="P981" s="161">
        <f t="shared" si="158"/>
        <v>0</v>
      </c>
      <c r="Q981" s="161">
        <f t="shared" si="158"/>
        <v>0</v>
      </c>
      <c r="R981" s="161">
        <f t="shared" si="158"/>
        <v>0</v>
      </c>
      <c r="S981" s="161">
        <f t="shared" si="158"/>
        <v>0</v>
      </c>
      <c r="T981" s="161">
        <f t="shared" si="158"/>
        <v>0</v>
      </c>
    </row>
    <row r="982" spans="2:20" x14ac:dyDescent="0.25">
      <c r="B982" s="23" t="s">
        <v>4185</v>
      </c>
      <c r="C982" s="28" t="s">
        <v>493</v>
      </c>
      <c r="H982" s="30">
        <f>'Source Data'!H1030</f>
        <v>0</v>
      </c>
      <c r="I982" s="30">
        <f>'Source Data'!I1030</f>
        <v>39.605009978450902</v>
      </c>
      <c r="J982" s="30">
        <f>'Source Data'!J1030</f>
        <v>54.827716168331897</v>
      </c>
      <c r="K982" s="30">
        <f>'Source Data'!K1030</f>
        <v>73.787335658747907</v>
      </c>
      <c r="L982" s="30">
        <f>'Source Data'!L1030</f>
        <v>76.271430550329001</v>
      </c>
      <c r="M982" s="30">
        <f>'Source Data'!M1030</f>
        <v>89.650718854843703</v>
      </c>
      <c r="N982" s="30">
        <f>'Source Data'!N1030</f>
        <v>92.573726534125697</v>
      </c>
      <c r="O982" s="30">
        <f>'Source Data'!O1030</f>
        <v>103.15335956707101</v>
      </c>
      <c r="P982" s="30">
        <f>'Source Data'!P1030</f>
        <v>106.43981535079099</v>
      </c>
      <c r="Q982" s="30">
        <f>'Source Data'!Q1030</f>
        <v>118.336521789057</v>
      </c>
      <c r="R982" s="30">
        <f>'Source Data'!R1030</f>
        <v>122.031616250562</v>
      </c>
      <c r="S982" s="30">
        <f>'Source Data'!S1030</f>
        <v>125.811974214367</v>
      </c>
      <c r="T982" s="30">
        <f>'Source Data'!T1030</f>
        <v>129.67859519525001</v>
      </c>
    </row>
    <row r="983" spans="2:20" x14ac:dyDescent="0.25">
      <c r="B983" s="23" t="s">
        <v>4135</v>
      </c>
      <c r="C983" s="28" t="s">
        <v>493</v>
      </c>
      <c r="H983" s="30">
        <f>'FSL Output - With BUMN'!H113</f>
        <v>0</v>
      </c>
      <c r="I983" s="30">
        <f>'FSL Output - With BUMN'!I113</f>
        <v>39.605009978450894</v>
      </c>
      <c r="J983" s="30">
        <f>'FSL Output - With BUMN'!J113</f>
        <v>41.496437449331893</v>
      </c>
      <c r="K983" s="30">
        <f>'FSL Output - With BUMN'!K113</f>
        <v>67.176482376175272</v>
      </c>
      <c r="L983" s="30">
        <f>'FSL Output - With BUMN'!L113</f>
        <v>76.271430550328972</v>
      </c>
      <c r="M983" s="30">
        <f>'FSL Output - With BUMN'!M113</f>
        <v>89.650718854843646</v>
      </c>
      <c r="N983" s="30">
        <f>'FSL Output - With BUMN'!N113</f>
        <v>92.57372653412564</v>
      </c>
      <c r="O983" s="30">
        <f>'FSL Output - With BUMN'!O113</f>
        <v>103.1533595670714</v>
      </c>
      <c r="P983" s="30">
        <f>'FSL Output - With BUMN'!P113</f>
        <v>106.43981535079088</v>
      </c>
      <c r="Q983" s="30">
        <f>'FSL Output - With BUMN'!Q113</f>
        <v>118.33652178905685</v>
      </c>
      <c r="R983" s="30">
        <f>'FSL Output - With BUMN'!R113</f>
        <v>122.03161625056181</v>
      </c>
      <c r="S983" s="30">
        <f>'FSL Output - With BUMN'!S113</f>
        <v>125.81197421436697</v>
      </c>
      <c r="T983" s="30">
        <f>'FSL Output - With BUMN'!T113</f>
        <v>129.67859519525038</v>
      </c>
    </row>
    <row r="984" spans="2:20" x14ac:dyDescent="0.25">
      <c r="B984" s="23" t="s">
        <v>4136</v>
      </c>
      <c r="C984" s="28" t="s">
        <v>493</v>
      </c>
      <c r="H984" s="161">
        <f t="shared" ref="H984:T984" si="159">ROUND(H983-H982,9)</f>
        <v>0</v>
      </c>
      <c r="I984" s="161">
        <f t="shared" si="159"/>
        <v>0</v>
      </c>
      <c r="J984" s="161">
        <f t="shared" si="159"/>
        <v>-13.331278719</v>
      </c>
      <c r="K984" s="161">
        <f t="shared" si="159"/>
        <v>-6.610853283</v>
      </c>
      <c r="L984" s="161">
        <f t="shared" si="159"/>
        <v>0</v>
      </c>
      <c r="M984" s="161">
        <f t="shared" si="159"/>
        <v>0</v>
      </c>
      <c r="N984" s="161">
        <f t="shared" si="159"/>
        <v>0</v>
      </c>
      <c r="O984" s="161">
        <f t="shared" si="159"/>
        <v>0</v>
      </c>
      <c r="P984" s="161">
        <f t="shared" si="159"/>
        <v>0</v>
      </c>
      <c r="Q984" s="161">
        <f t="shared" si="159"/>
        <v>0</v>
      </c>
      <c r="R984" s="161">
        <f t="shared" si="159"/>
        <v>0</v>
      </c>
      <c r="S984" s="161">
        <f t="shared" si="159"/>
        <v>0</v>
      </c>
      <c r="T984" s="161">
        <f t="shared" si="159"/>
        <v>0</v>
      </c>
    </row>
    <row r="985" spans="2:20" x14ac:dyDescent="0.25">
      <c r="B985" s="23" t="s">
        <v>4186</v>
      </c>
      <c r="C985" s="28" t="s">
        <v>493</v>
      </c>
      <c r="H985" s="30">
        <f>'Source Data'!H1031</f>
        <v>0</v>
      </c>
      <c r="I985" s="30">
        <f>'Source Data'!I1031</f>
        <v>-8.7131021952592</v>
      </c>
      <c r="J985" s="30">
        <f>'Source Data'!J1031</f>
        <v>-12.062097557033001</v>
      </c>
      <c r="K985" s="30">
        <f>'Source Data'!K1031</f>
        <v>-16.233213844924499</v>
      </c>
      <c r="L985" s="30">
        <f>'Source Data'!L1031</f>
        <v>-16.779714721072398</v>
      </c>
      <c r="M985" s="30">
        <f>'Source Data'!M1031</f>
        <v>-19.7231581480656</v>
      </c>
      <c r="N985" s="30">
        <f>'Source Data'!N1031</f>
        <v>-20.3662198375076</v>
      </c>
      <c r="O985" s="30">
        <f>'Source Data'!O1031</f>
        <v>-22.6937391047557</v>
      </c>
      <c r="P985" s="30">
        <f>'Source Data'!P1031</f>
        <v>-23.416759377173999</v>
      </c>
      <c r="Q985" s="30">
        <f>'Source Data'!Q1031</f>
        <v>-26.0340347935925</v>
      </c>
      <c r="R985" s="30">
        <f>'Source Data'!R1031</f>
        <v>-26.846955575123602</v>
      </c>
      <c r="S985" s="30">
        <f>'Source Data'!S1031</f>
        <v>-27.678634327160701</v>
      </c>
      <c r="T985" s="30">
        <f>'Source Data'!T1031</f>
        <v>-28.5292909429551</v>
      </c>
    </row>
    <row r="986" spans="2:20" x14ac:dyDescent="0.25">
      <c r="B986" s="23" t="s">
        <v>4138</v>
      </c>
      <c r="C986" s="28" t="s">
        <v>493</v>
      </c>
      <c r="H986" s="161">
        <f>-'FSL Output - With BUMN'!H114</f>
        <v>0</v>
      </c>
      <c r="I986" s="161">
        <f>-'FSL Output - With BUMN'!I114</f>
        <v>-8.7131021952591965</v>
      </c>
      <c r="J986" s="161">
        <f>-'FSL Output - With BUMN'!J114</f>
        <v>-9.1292162388530169</v>
      </c>
      <c r="K986" s="161">
        <f>-'FSL Output - With BUMN'!K114</f>
        <v>-14.778826122758559</v>
      </c>
      <c r="L986" s="161">
        <f>-'FSL Output - With BUMN'!L114</f>
        <v>-16.779714721072374</v>
      </c>
      <c r="M986" s="161">
        <f>-'FSL Output - With BUMN'!M114</f>
        <v>-19.723158148065604</v>
      </c>
      <c r="N986" s="161">
        <f>-'FSL Output - With BUMN'!N114</f>
        <v>-20.366219837507639</v>
      </c>
      <c r="O986" s="161">
        <f>-'FSL Output - With BUMN'!O114</f>
        <v>-22.693739104755711</v>
      </c>
      <c r="P986" s="161">
        <f>-'FSL Output - With BUMN'!P114</f>
        <v>-23.416759377173992</v>
      </c>
      <c r="Q986" s="161">
        <f>-'FSL Output - With BUMN'!Q114</f>
        <v>-26.034034793592507</v>
      </c>
      <c r="R986" s="161">
        <f>-'FSL Output - With BUMN'!R114</f>
        <v>-26.846955575123598</v>
      </c>
      <c r="S986" s="161">
        <f>-'FSL Output - With BUMN'!S114</f>
        <v>-27.678634327160733</v>
      </c>
      <c r="T986" s="161">
        <f>-'FSL Output - With BUMN'!T114</f>
        <v>-28.529290942955082</v>
      </c>
    </row>
    <row r="987" spans="2:20" x14ac:dyDescent="0.25">
      <c r="B987" s="23" t="s">
        <v>4139</v>
      </c>
      <c r="C987" s="28" t="s">
        <v>493</v>
      </c>
      <c r="H987" s="161">
        <f t="shared" ref="H987:T987" si="160">ROUND(H986-H985,9)</f>
        <v>0</v>
      </c>
      <c r="I987" s="161">
        <f t="shared" si="160"/>
        <v>0</v>
      </c>
      <c r="J987" s="161">
        <f t="shared" si="160"/>
        <v>2.9328813180000002</v>
      </c>
      <c r="K987" s="161">
        <f t="shared" si="160"/>
        <v>1.4543877220000001</v>
      </c>
      <c r="L987" s="161">
        <f t="shared" si="160"/>
        <v>0</v>
      </c>
      <c r="M987" s="161">
        <f t="shared" si="160"/>
        <v>0</v>
      </c>
      <c r="N987" s="161">
        <f t="shared" si="160"/>
        <v>0</v>
      </c>
      <c r="O987" s="161">
        <f t="shared" si="160"/>
        <v>0</v>
      </c>
      <c r="P987" s="161">
        <f t="shared" si="160"/>
        <v>0</v>
      </c>
      <c r="Q987" s="161">
        <f t="shared" si="160"/>
        <v>0</v>
      </c>
      <c r="R987" s="161">
        <f t="shared" si="160"/>
        <v>0</v>
      </c>
      <c r="S987" s="161">
        <f t="shared" si="160"/>
        <v>0</v>
      </c>
      <c r="T987" s="161">
        <f t="shared" si="160"/>
        <v>0</v>
      </c>
    </row>
    <row r="988" spans="2:20" x14ac:dyDescent="0.25">
      <c r="B988" s="23" t="s">
        <v>4187</v>
      </c>
      <c r="C988" s="28" t="s">
        <v>493</v>
      </c>
      <c r="H988" s="30">
        <f>'Source Data'!H1032</f>
        <v>0</v>
      </c>
      <c r="I988" s="30">
        <f>'Source Data'!I1032</f>
        <v>30.891907783191701</v>
      </c>
      <c r="J988" s="30">
        <f>'Source Data'!J1032</f>
        <v>42.765618611298898</v>
      </c>
      <c r="K988" s="30">
        <f>'Source Data'!K1032</f>
        <v>57.554121813823301</v>
      </c>
      <c r="L988" s="30">
        <f>'Source Data'!L1032</f>
        <v>59.491715829256599</v>
      </c>
      <c r="M988" s="30">
        <f>'Source Data'!M1032</f>
        <v>69.927560706778095</v>
      </c>
      <c r="N988" s="30">
        <f>'Source Data'!N1032</f>
        <v>72.207506696617997</v>
      </c>
      <c r="O988" s="30">
        <f>'Source Data'!O1032</f>
        <v>80.459620462315698</v>
      </c>
      <c r="P988" s="30">
        <f>'Source Data'!P1032</f>
        <v>83.023055973616906</v>
      </c>
      <c r="Q988" s="30">
        <f>'Source Data'!Q1032</f>
        <v>92.302486995464406</v>
      </c>
      <c r="R988" s="30">
        <f>'Source Data'!R1032</f>
        <v>95.184660675438195</v>
      </c>
      <c r="S988" s="30">
        <f>'Source Data'!S1032</f>
        <v>98.133339887206304</v>
      </c>
      <c r="T988" s="30">
        <f>'Source Data'!T1032</f>
        <v>101.149304252295</v>
      </c>
    </row>
    <row r="989" spans="2:20" x14ac:dyDescent="0.25">
      <c r="B989" s="23" t="s">
        <v>4141</v>
      </c>
      <c r="C989" s="28" t="s">
        <v>493</v>
      </c>
      <c r="H989" s="30">
        <f>'FSL Output - With BUMN'!H116</f>
        <v>0</v>
      </c>
      <c r="I989" s="30">
        <f>'FSL Output - With BUMN'!I116</f>
        <v>30.891907783191698</v>
      </c>
      <c r="J989" s="30">
        <f>'FSL Output - With BUMN'!J116</f>
        <v>32.367221210478874</v>
      </c>
      <c r="K989" s="30">
        <f>'FSL Output - With BUMN'!K116</f>
        <v>52.397656253416713</v>
      </c>
      <c r="L989" s="30">
        <f>'FSL Output - With BUMN'!L116</f>
        <v>59.491715829256599</v>
      </c>
      <c r="M989" s="30">
        <f>'FSL Output - With BUMN'!M116</f>
        <v>69.927560706778038</v>
      </c>
      <c r="N989" s="30">
        <f>'FSL Output - With BUMN'!N116</f>
        <v>72.207506696617997</v>
      </c>
      <c r="O989" s="30">
        <f>'FSL Output - With BUMN'!O116</f>
        <v>80.459620462315698</v>
      </c>
      <c r="P989" s="30">
        <f>'FSL Output - With BUMN'!P116</f>
        <v>83.023055973616891</v>
      </c>
      <c r="Q989" s="30">
        <f>'FSL Output - With BUMN'!Q116</f>
        <v>92.302486995464335</v>
      </c>
      <c r="R989" s="30">
        <f>'FSL Output - With BUMN'!R116</f>
        <v>95.184660675438209</v>
      </c>
      <c r="S989" s="30">
        <f>'FSL Output - With BUMN'!S116</f>
        <v>98.133339887206233</v>
      </c>
      <c r="T989" s="30">
        <f>'FSL Output - With BUMN'!T116</f>
        <v>101.14930425229529</v>
      </c>
    </row>
    <row r="990" spans="2:20" x14ac:dyDescent="0.25">
      <c r="B990" s="23" t="s">
        <v>4142</v>
      </c>
      <c r="C990" s="28" t="s">
        <v>493</v>
      </c>
      <c r="H990" s="161">
        <f t="shared" ref="H990:T990" si="161">ROUND(H989-H988,9)</f>
        <v>0</v>
      </c>
      <c r="I990" s="161">
        <f t="shared" si="161"/>
        <v>0</v>
      </c>
      <c r="J990" s="161">
        <f t="shared" si="161"/>
        <v>-10.398397401</v>
      </c>
      <c r="K990" s="161">
        <f t="shared" si="161"/>
        <v>-5.15646556</v>
      </c>
      <c r="L990" s="161">
        <f t="shared" si="161"/>
        <v>0</v>
      </c>
      <c r="M990" s="161">
        <f t="shared" si="161"/>
        <v>0</v>
      </c>
      <c r="N990" s="161">
        <f t="shared" si="161"/>
        <v>0</v>
      </c>
      <c r="O990" s="161">
        <f t="shared" si="161"/>
        <v>0</v>
      </c>
      <c r="P990" s="161">
        <f t="shared" si="161"/>
        <v>0</v>
      </c>
      <c r="Q990" s="161">
        <f t="shared" si="161"/>
        <v>0</v>
      </c>
      <c r="R990" s="161">
        <f t="shared" si="161"/>
        <v>0</v>
      </c>
      <c r="S990" s="161">
        <f t="shared" si="161"/>
        <v>0</v>
      </c>
      <c r="T990" s="161">
        <f t="shared" si="161"/>
        <v>0</v>
      </c>
    </row>
    <row r="992" spans="2:20" x14ac:dyDescent="0.25">
      <c r="B992" s="221" t="s">
        <v>4188</v>
      </c>
      <c r="C992" s="235"/>
      <c r="D992" s="235"/>
      <c r="E992" s="224" t="str">
        <f>IF(F992&lt;=Inputs!$E$50,"Matches v29",IF($E$21&gt;0,"Differs - inputs changed","UNEXPLAINED"))</f>
        <v>Matches v29</v>
      </c>
      <c r="F992" s="225">
        <f>MAX(MAX(H995:T995),-MIN(H995:T995),MAX(H998:T998),-MIN(H998:T998),MAX(H1001:T1001),-MIN(H1001:T1001),MAX(H1004:T1004),-MIN(H1004:T1004),MAX(H1007:T1007),-MIN(H1007:T1007),MAX(H1010:T1010),-MIN(H1010:T1010),MAX(H1013:T1013),-MIN(H1013:T1013),MAX(H1016:T1016),-MIN(H1016:T1016))</f>
        <v>0</v>
      </c>
      <c r="G992" s="226">
        <f>MAX(MAX(H995:T995),-MIN(H995:T995),MAX(H998:T998),-MIN(H998:T998),MAX(H1001:T1001),-MIN(H1001:T1001),MAX(H1004:T1004),-MIN(H1004:T1004),MAX(H1007:T1007),-MIN(H1007:T1007),MAX(H1010:T1010),-MIN(H1010:T1010),MAX(H1013:T1013),-MIN(H1013:T1013),MAX(H1016:T1016),-MIN(H1016:T1016))</f>
        <v>0</v>
      </c>
    </row>
    <row r="993" spans="2:20" x14ac:dyDescent="0.25">
      <c r="B993" s="23" t="s">
        <v>4189</v>
      </c>
      <c r="C993" s="28" t="s">
        <v>493</v>
      </c>
      <c r="H993" s="30">
        <f>'Source Data'!H1034</f>
        <v>0</v>
      </c>
      <c r="I993" s="30">
        <f>'Source Data'!I1034</f>
        <v>31.5</v>
      </c>
      <c r="J993" s="30">
        <f>'Source Data'!J1034</f>
        <v>32.445</v>
      </c>
      <c r="K993" s="30">
        <f>'Source Data'!K1034</f>
        <v>33.418349999999997</v>
      </c>
      <c r="L993" s="30">
        <f>'Source Data'!L1034</f>
        <v>34.420900500000002</v>
      </c>
      <c r="M993" s="30">
        <f>'Source Data'!M1034</f>
        <v>35.453527514999998</v>
      </c>
      <c r="N993" s="30">
        <f>'Source Data'!N1034</f>
        <v>36.517133340450002</v>
      </c>
      <c r="O993" s="30">
        <f>'Source Data'!O1034</f>
        <v>37.6126473406635</v>
      </c>
      <c r="P993" s="30">
        <f>'Source Data'!P1034</f>
        <v>38.7410267608834</v>
      </c>
      <c r="Q993" s="30">
        <f>'Source Data'!Q1034</f>
        <v>39.9032575637099</v>
      </c>
      <c r="R993" s="30">
        <f>'Source Data'!R1034</f>
        <v>41.100355290621202</v>
      </c>
      <c r="S993" s="30">
        <f>'Source Data'!S1034</f>
        <v>42.3333659493399</v>
      </c>
      <c r="T993" s="30">
        <f>'Source Data'!T1034</f>
        <v>43.603366927820097</v>
      </c>
    </row>
    <row r="994" spans="2:20" x14ac:dyDescent="0.25">
      <c r="B994" s="23" t="s">
        <v>4120</v>
      </c>
      <c r="C994" s="28" t="s">
        <v>493</v>
      </c>
      <c r="H994" s="30">
        <f>'Revenue Calculation'!H104</f>
        <v>0</v>
      </c>
      <c r="I994" s="30">
        <f>'Revenue Calculation'!I104</f>
        <v>31.5</v>
      </c>
      <c r="J994" s="30">
        <f>'Revenue Calculation'!J104</f>
        <v>32.445</v>
      </c>
      <c r="K994" s="30">
        <f>'Revenue Calculation'!K104</f>
        <v>33.418349999999997</v>
      </c>
      <c r="L994" s="30">
        <f>'Revenue Calculation'!L104</f>
        <v>34.420900500000002</v>
      </c>
      <c r="M994" s="30">
        <f>'Revenue Calculation'!M104</f>
        <v>35.453527514999998</v>
      </c>
      <c r="N994" s="30">
        <f>'Revenue Calculation'!N104</f>
        <v>36.517133340450002</v>
      </c>
      <c r="O994" s="30">
        <f>'Revenue Calculation'!O104</f>
        <v>37.6126473406635</v>
      </c>
      <c r="P994" s="30">
        <f>'Revenue Calculation'!P104</f>
        <v>38.741026760883415</v>
      </c>
      <c r="Q994" s="30">
        <f>'Revenue Calculation'!Q104</f>
        <v>39.903257563709914</v>
      </c>
      <c r="R994" s="30">
        <f>'Revenue Calculation'!R104</f>
        <v>41.100355290621216</v>
      </c>
      <c r="S994" s="30">
        <f>'Revenue Calculation'!S104</f>
        <v>42.33336594933985</v>
      </c>
      <c r="T994" s="30">
        <f>'Revenue Calculation'!T104</f>
        <v>43.603366927820048</v>
      </c>
    </row>
    <row r="995" spans="2:20" x14ac:dyDescent="0.25">
      <c r="B995" s="23" t="s">
        <v>4121</v>
      </c>
      <c r="C995" s="28" t="s">
        <v>493</v>
      </c>
      <c r="H995" s="161">
        <f t="shared" ref="H995:T995" si="162">ROUND(H994-H993,9)</f>
        <v>0</v>
      </c>
      <c r="I995" s="161">
        <f t="shared" si="162"/>
        <v>0</v>
      </c>
      <c r="J995" s="161">
        <f t="shared" si="162"/>
        <v>0</v>
      </c>
      <c r="K995" s="161">
        <f t="shared" si="162"/>
        <v>0</v>
      </c>
      <c r="L995" s="161">
        <f t="shared" si="162"/>
        <v>0</v>
      </c>
      <c r="M995" s="161">
        <f t="shared" si="162"/>
        <v>0</v>
      </c>
      <c r="N995" s="161">
        <f t="shared" si="162"/>
        <v>0</v>
      </c>
      <c r="O995" s="161">
        <f t="shared" si="162"/>
        <v>0</v>
      </c>
      <c r="P995" s="161">
        <f t="shared" si="162"/>
        <v>0</v>
      </c>
      <c r="Q995" s="161">
        <f t="shared" si="162"/>
        <v>0</v>
      </c>
      <c r="R995" s="161">
        <f t="shared" si="162"/>
        <v>0</v>
      </c>
      <c r="S995" s="161">
        <f t="shared" si="162"/>
        <v>0</v>
      </c>
      <c r="T995" s="161">
        <f t="shared" si="162"/>
        <v>0</v>
      </c>
    </row>
    <row r="996" spans="2:20" x14ac:dyDescent="0.25">
      <c r="B996" s="23" t="s">
        <v>4190</v>
      </c>
      <c r="C996" s="28" t="s">
        <v>493</v>
      </c>
      <c r="H996" s="30">
        <f>'Source Data'!H1035</f>
        <v>0</v>
      </c>
      <c r="I996" s="30">
        <f>'Source Data'!I1035</f>
        <v>-2.4271241506568502</v>
      </c>
      <c r="J996" s="30">
        <f>'Source Data'!J1035</f>
        <v>-2.5353144714318598</v>
      </c>
      <c r="K996" s="30">
        <f>'Source Data'!K1035</f>
        <v>-2.65009358274206</v>
      </c>
      <c r="L996" s="30">
        <f>'Source Data'!L1035</f>
        <v>-2.77186274193105</v>
      </c>
      <c r="M996" s="30">
        <f>'Source Data'!M1035</f>
        <v>-2.9010476429146501</v>
      </c>
      <c r="N996" s="30">
        <f>'Source Data'!N1035</f>
        <v>-3.03809990436815</v>
      </c>
      <c r="O996" s="30">
        <f>'Source Data'!O1035</f>
        <v>-3.1834986485441701</v>
      </c>
      <c r="P996" s="30">
        <f>'Source Data'!P1035</f>
        <v>-3.3377521762405098</v>
      </c>
      <c r="Q996" s="30">
        <f>'Source Data'!Q1035</f>
        <v>-3.5013997437735598</v>
      </c>
      <c r="R996" s="30">
        <f>'Source Data'!R1035</f>
        <v>-3.6750134481693699</v>
      </c>
      <c r="S996" s="30">
        <f>'Source Data'!S1035</f>
        <v>-3.8592002271628898</v>
      </c>
      <c r="T996" s="30">
        <f>'Source Data'!T1035</f>
        <v>-4.0546039809971104</v>
      </c>
    </row>
    <row r="997" spans="2:20" x14ac:dyDescent="0.25">
      <c r="B997" s="23" t="s">
        <v>4123</v>
      </c>
      <c r="C997" s="28" t="s">
        <v>493</v>
      </c>
      <c r="H997" s="161">
        <f>-('Cost Calculation'!H139)</f>
        <v>0</v>
      </c>
      <c r="I997" s="161">
        <f>-('Cost Calculation'!I139)</f>
        <v>-2.4271241506568551</v>
      </c>
      <c r="J997" s="161">
        <f>-('Cost Calculation'!J139)</f>
        <v>-2.5353144714318572</v>
      </c>
      <c r="K997" s="161">
        <f>-('Cost Calculation'!K139)</f>
        <v>-2.6500935827420573</v>
      </c>
      <c r="L997" s="161">
        <f>-('Cost Calculation'!L139)</f>
        <v>-2.7718627419310486</v>
      </c>
      <c r="M997" s="161">
        <f>-('Cost Calculation'!M139)</f>
        <v>-2.9010476429146497</v>
      </c>
      <c r="N997" s="161">
        <f>-('Cost Calculation'!N139)</f>
        <v>-3.0380999043681518</v>
      </c>
      <c r="O997" s="161">
        <f>-('Cost Calculation'!O139)</f>
        <v>-3.1834986485441732</v>
      </c>
      <c r="P997" s="161">
        <f>-('Cost Calculation'!P139)</f>
        <v>-3.3377521762405129</v>
      </c>
      <c r="Q997" s="161">
        <f>-('Cost Calculation'!Q139)</f>
        <v>-3.5013997437735602</v>
      </c>
      <c r="R997" s="161">
        <f>-('Cost Calculation'!R139)</f>
        <v>-3.6750134481693699</v>
      </c>
      <c r="S997" s="161">
        <f>-('Cost Calculation'!S139)</f>
        <v>-3.8592002271628854</v>
      </c>
      <c r="T997" s="161">
        <f>-('Cost Calculation'!T139)</f>
        <v>-4.0546039809971051</v>
      </c>
    </row>
    <row r="998" spans="2:20" x14ac:dyDescent="0.25">
      <c r="B998" s="23" t="s">
        <v>4124</v>
      </c>
      <c r="C998" s="28" t="s">
        <v>493</v>
      </c>
      <c r="H998" s="161">
        <f t="shared" ref="H998:T998" si="163">ROUND(H997-H996,9)</f>
        <v>0</v>
      </c>
      <c r="I998" s="161">
        <f t="shared" si="163"/>
        <v>0</v>
      </c>
      <c r="J998" s="161">
        <f t="shared" si="163"/>
        <v>0</v>
      </c>
      <c r="K998" s="161">
        <f t="shared" si="163"/>
        <v>0</v>
      </c>
      <c r="L998" s="161">
        <f t="shared" si="163"/>
        <v>0</v>
      </c>
      <c r="M998" s="161">
        <f t="shared" si="163"/>
        <v>0</v>
      </c>
      <c r="N998" s="161">
        <f t="shared" si="163"/>
        <v>0</v>
      </c>
      <c r="O998" s="161">
        <f t="shared" si="163"/>
        <v>0</v>
      </c>
      <c r="P998" s="161">
        <f t="shared" si="163"/>
        <v>0</v>
      </c>
      <c r="Q998" s="161">
        <f t="shared" si="163"/>
        <v>0</v>
      </c>
      <c r="R998" s="161">
        <f t="shared" si="163"/>
        <v>0</v>
      </c>
      <c r="S998" s="161">
        <f t="shared" si="163"/>
        <v>0</v>
      </c>
      <c r="T998" s="161">
        <f t="shared" si="163"/>
        <v>0</v>
      </c>
    </row>
    <row r="999" spans="2:20" x14ac:dyDescent="0.25">
      <c r="B999" s="23" t="s">
        <v>4191</v>
      </c>
      <c r="C999" s="28" t="s">
        <v>493</v>
      </c>
      <c r="H999" s="30">
        <f>'Source Data'!H1036</f>
        <v>0</v>
      </c>
      <c r="I999" s="30">
        <f>'Source Data'!I1036</f>
        <v>0</v>
      </c>
      <c r="J999" s="30">
        <f>'Source Data'!J1036</f>
        <v>0</v>
      </c>
      <c r="K999" s="30">
        <f>'Source Data'!K1036</f>
        <v>0</v>
      </c>
      <c r="L999" s="30">
        <f>'Source Data'!L1036</f>
        <v>0</v>
      </c>
      <c r="M999" s="30">
        <f>'Source Data'!M1036</f>
        <v>0</v>
      </c>
      <c r="N999" s="30">
        <f>'Source Data'!N1036</f>
        <v>0</v>
      </c>
      <c r="O999" s="30">
        <f>'Source Data'!O1036</f>
        <v>0</v>
      </c>
      <c r="P999" s="30">
        <f>'Source Data'!P1036</f>
        <v>0</v>
      </c>
      <c r="Q999" s="30">
        <f>'Source Data'!Q1036</f>
        <v>0</v>
      </c>
      <c r="R999" s="30">
        <f>'Source Data'!R1036</f>
        <v>0</v>
      </c>
      <c r="S999" s="30">
        <f>'Source Data'!S1036</f>
        <v>0</v>
      </c>
      <c r="T999" s="30">
        <f>'Source Data'!T1036</f>
        <v>0</v>
      </c>
    </row>
    <row r="1000" spans="2:20" x14ac:dyDescent="0.25">
      <c r="B1000" s="23" t="s">
        <v>4126</v>
      </c>
      <c r="C1000" s="28" t="s">
        <v>493</v>
      </c>
      <c r="H1000" s="161">
        <f>-('Cost Calculation'!H140)</f>
        <v>0</v>
      </c>
      <c r="I1000" s="161">
        <f>-('Cost Calculation'!I140)</f>
        <v>0</v>
      </c>
      <c r="J1000" s="161">
        <f>-('Cost Calculation'!J140)</f>
        <v>0</v>
      </c>
      <c r="K1000" s="161">
        <f>-('Cost Calculation'!K140)</f>
        <v>0</v>
      </c>
      <c r="L1000" s="161">
        <f>-('Cost Calculation'!L140)</f>
        <v>0</v>
      </c>
      <c r="M1000" s="161">
        <f>-('Cost Calculation'!M140)</f>
        <v>0</v>
      </c>
      <c r="N1000" s="161">
        <f>-('Cost Calculation'!N140)</f>
        <v>0</v>
      </c>
      <c r="O1000" s="161">
        <f>-('Cost Calculation'!O140)</f>
        <v>0</v>
      </c>
      <c r="P1000" s="161">
        <f>-('Cost Calculation'!P140)</f>
        <v>0</v>
      </c>
      <c r="Q1000" s="161">
        <f>-('Cost Calculation'!Q140)</f>
        <v>0</v>
      </c>
      <c r="R1000" s="161">
        <f>-('Cost Calculation'!R140)</f>
        <v>0</v>
      </c>
      <c r="S1000" s="161">
        <f>-('Cost Calculation'!S140)</f>
        <v>0</v>
      </c>
      <c r="T1000" s="161">
        <f>-('Cost Calculation'!T140)</f>
        <v>0</v>
      </c>
    </row>
    <row r="1001" spans="2:20" x14ac:dyDescent="0.25">
      <c r="B1001" s="23" t="s">
        <v>4127</v>
      </c>
      <c r="C1001" s="28" t="s">
        <v>493</v>
      </c>
      <c r="H1001" s="161">
        <f t="shared" ref="H1001:T1001" si="164">ROUND(H1000-H999,9)</f>
        <v>0</v>
      </c>
      <c r="I1001" s="161">
        <f t="shared" si="164"/>
        <v>0</v>
      </c>
      <c r="J1001" s="161">
        <f t="shared" si="164"/>
        <v>0</v>
      </c>
      <c r="K1001" s="161">
        <f t="shared" si="164"/>
        <v>0</v>
      </c>
      <c r="L1001" s="161">
        <f t="shared" si="164"/>
        <v>0</v>
      </c>
      <c r="M1001" s="161">
        <f t="shared" si="164"/>
        <v>0</v>
      </c>
      <c r="N1001" s="161">
        <f t="shared" si="164"/>
        <v>0</v>
      </c>
      <c r="O1001" s="161">
        <f t="shared" si="164"/>
        <v>0</v>
      </c>
      <c r="P1001" s="161">
        <f t="shared" si="164"/>
        <v>0</v>
      </c>
      <c r="Q1001" s="161">
        <f t="shared" si="164"/>
        <v>0</v>
      </c>
      <c r="R1001" s="161">
        <f t="shared" si="164"/>
        <v>0</v>
      </c>
      <c r="S1001" s="161">
        <f t="shared" si="164"/>
        <v>0</v>
      </c>
      <c r="T1001" s="161">
        <f t="shared" si="164"/>
        <v>0</v>
      </c>
    </row>
    <row r="1002" spans="2:20" x14ac:dyDescent="0.25">
      <c r="B1002" s="23" t="s">
        <v>4192</v>
      </c>
      <c r="C1002" s="28" t="s">
        <v>493</v>
      </c>
      <c r="H1002" s="30">
        <f>'Source Data'!H1037</f>
        <v>0</v>
      </c>
      <c r="I1002" s="30">
        <f>'Source Data'!I1037</f>
        <v>-7.4200198051662101</v>
      </c>
      <c r="J1002" s="30">
        <f>'Source Data'!J1037</f>
        <v>-7.4200198051662101</v>
      </c>
      <c r="K1002" s="30">
        <f>'Source Data'!K1037</f>
        <v>-7.4200198051662101</v>
      </c>
      <c r="L1002" s="30">
        <f>'Source Data'!L1037</f>
        <v>-7.4200198051662101</v>
      </c>
      <c r="M1002" s="30">
        <f>'Source Data'!M1037</f>
        <v>-7.4200198051662101</v>
      </c>
      <c r="N1002" s="30">
        <f>'Source Data'!N1037</f>
        <v>-7.4200198051662101</v>
      </c>
      <c r="O1002" s="30">
        <f>'Source Data'!O1037</f>
        <v>-7.4200198051662101</v>
      </c>
      <c r="P1002" s="30">
        <f>'Source Data'!P1037</f>
        <v>-7.4200198051662101</v>
      </c>
      <c r="Q1002" s="30">
        <f>'Source Data'!Q1037</f>
        <v>-7.4200198051662101</v>
      </c>
      <c r="R1002" s="30">
        <f>'Source Data'!R1037</f>
        <v>-7.4200198051662101</v>
      </c>
      <c r="S1002" s="30">
        <f>'Source Data'!S1037</f>
        <v>-7.4200198051662101</v>
      </c>
      <c r="T1002" s="30">
        <f>'Source Data'!T1037</f>
        <v>-7.4200198051662101</v>
      </c>
    </row>
    <row r="1003" spans="2:20" x14ac:dyDescent="0.25">
      <c r="B1003" s="23" t="s">
        <v>4129</v>
      </c>
      <c r="C1003" s="28" t="s">
        <v>493</v>
      </c>
      <c r="H1003" s="161">
        <f>-('Capex &amp; Depreciation'!H236)</f>
        <v>0</v>
      </c>
      <c r="I1003" s="161">
        <f>-('Capex &amp; Depreciation'!I236)</f>
        <v>-7.4200198051661976</v>
      </c>
      <c r="J1003" s="161">
        <f>-('Capex &amp; Depreciation'!J236)</f>
        <v>-7.4200198051661976</v>
      </c>
      <c r="K1003" s="161">
        <f>-('Capex &amp; Depreciation'!K236)</f>
        <v>-7.4200198051661976</v>
      </c>
      <c r="L1003" s="161">
        <f>-('Capex &amp; Depreciation'!L236)</f>
        <v>-7.4200198051661976</v>
      </c>
      <c r="M1003" s="161">
        <f>-('Capex &amp; Depreciation'!M236)</f>
        <v>-7.4200198051661976</v>
      </c>
      <c r="N1003" s="161">
        <f>-('Capex &amp; Depreciation'!N236)</f>
        <v>-7.4200198051661976</v>
      </c>
      <c r="O1003" s="161">
        <f>-('Capex &amp; Depreciation'!O236)</f>
        <v>-7.4200198051661976</v>
      </c>
      <c r="P1003" s="161">
        <f>-('Capex &amp; Depreciation'!P236)</f>
        <v>-7.4200198051661976</v>
      </c>
      <c r="Q1003" s="161">
        <f>-('Capex &amp; Depreciation'!Q236)</f>
        <v>-7.4200198051661976</v>
      </c>
      <c r="R1003" s="161">
        <f>-('Capex &amp; Depreciation'!R236)</f>
        <v>-7.4200198051661976</v>
      </c>
      <c r="S1003" s="161">
        <f>-('Capex &amp; Depreciation'!S236)</f>
        <v>-7.4200198051661976</v>
      </c>
      <c r="T1003" s="161">
        <f>-('Capex &amp; Depreciation'!T236)</f>
        <v>-7.4200198051661976</v>
      </c>
    </row>
    <row r="1004" spans="2:20" x14ac:dyDescent="0.25">
      <c r="B1004" s="23" t="s">
        <v>4130</v>
      </c>
      <c r="C1004" s="28" t="s">
        <v>493</v>
      </c>
      <c r="H1004" s="161">
        <f t="shared" ref="H1004:T1004" si="165">ROUND(H1003-H1002,9)</f>
        <v>0</v>
      </c>
      <c r="I1004" s="161">
        <f t="shared" si="165"/>
        <v>0</v>
      </c>
      <c r="J1004" s="161">
        <f t="shared" si="165"/>
        <v>0</v>
      </c>
      <c r="K1004" s="161">
        <f t="shared" si="165"/>
        <v>0</v>
      </c>
      <c r="L1004" s="161">
        <f t="shared" si="165"/>
        <v>0</v>
      </c>
      <c r="M1004" s="161">
        <f t="shared" si="165"/>
        <v>0</v>
      </c>
      <c r="N1004" s="161">
        <f t="shared" si="165"/>
        <v>0</v>
      </c>
      <c r="O1004" s="161">
        <f t="shared" si="165"/>
        <v>0</v>
      </c>
      <c r="P1004" s="161">
        <f t="shared" si="165"/>
        <v>0</v>
      </c>
      <c r="Q1004" s="161">
        <f t="shared" si="165"/>
        <v>0</v>
      </c>
      <c r="R1004" s="161">
        <f t="shared" si="165"/>
        <v>0</v>
      </c>
      <c r="S1004" s="161">
        <f t="shared" si="165"/>
        <v>0</v>
      </c>
      <c r="T1004" s="161">
        <f t="shared" si="165"/>
        <v>0</v>
      </c>
    </row>
    <row r="1005" spans="2:20" x14ac:dyDescent="0.25">
      <c r="B1005" s="23" t="s">
        <v>4193</v>
      </c>
      <c r="C1005" s="28" t="s">
        <v>493</v>
      </c>
      <c r="H1005" s="30">
        <f>'Source Data'!H1038</f>
        <v>0</v>
      </c>
      <c r="I1005" s="30">
        <f>'Source Data'!I1038</f>
        <v>0</v>
      </c>
      <c r="J1005" s="30">
        <f>'Source Data'!J1038</f>
        <v>0</v>
      </c>
      <c r="K1005" s="30">
        <f>'Source Data'!K1038</f>
        <v>0</v>
      </c>
      <c r="L1005" s="30">
        <f>'Source Data'!L1038</f>
        <v>0</v>
      </c>
      <c r="M1005" s="30">
        <f>'Source Data'!M1038</f>
        <v>0</v>
      </c>
      <c r="N1005" s="30">
        <f>'Source Data'!N1038</f>
        <v>0</v>
      </c>
      <c r="O1005" s="30">
        <f>'Source Data'!O1038</f>
        <v>0</v>
      </c>
      <c r="P1005" s="30">
        <f>'Source Data'!P1038</f>
        <v>0</v>
      </c>
      <c r="Q1005" s="30">
        <f>'Source Data'!Q1038</f>
        <v>0</v>
      </c>
      <c r="R1005" s="30">
        <f>'Source Data'!R1038</f>
        <v>0</v>
      </c>
      <c r="S1005" s="30">
        <f>'Source Data'!S1038</f>
        <v>0</v>
      </c>
      <c r="T1005" s="30">
        <f>'Source Data'!T1038</f>
        <v>0</v>
      </c>
    </row>
    <row r="1006" spans="2:20" x14ac:dyDescent="0.25">
      <c r="B1006" s="23" t="s">
        <v>4132</v>
      </c>
      <c r="C1006" s="28" t="s">
        <v>493</v>
      </c>
      <c r="H1006" s="161">
        <f>0</f>
        <v>0</v>
      </c>
      <c r="I1006" s="161">
        <f>0</f>
        <v>0</v>
      </c>
      <c r="J1006" s="161">
        <f>0</f>
        <v>0</v>
      </c>
      <c r="K1006" s="161">
        <f>0</f>
        <v>0</v>
      </c>
      <c r="L1006" s="161">
        <f>0</f>
        <v>0</v>
      </c>
      <c r="M1006" s="161">
        <f>0</f>
        <v>0</v>
      </c>
      <c r="N1006" s="161">
        <f>0</f>
        <v>0</v>
      </c>
      <c r="O1006" s="161">
        <f>0</f>
        <v>0</v>
      </c>
      <c r="P1006" s="161">
        <f>0</f>
        <v>0</v>
      </c>
      <c r="Q1006" s="161">
        <f>0</f>
        <v>0</v>
      </c>
      <c r="R1006" s="161">
        <f>0</f>
        <v>0</v>
      </c>
      <c r="S1006" s="161">
        <f>0</f>
        <v>0</v>
      </c>
      <c r="T1006" s="161">
        <f>0</f>
        <v>0</v>
      </c>
    </row>
    <row r="1007" spans="2:20" x14ac:dyDescent="0.25">
      <c r="B1007" s="23" t="s">
        <v>4133</v>
      </c>
      <c r="C1007" s="28" t="s">
        <v>493</v>
      </c>
      <c r="H1007" s="161">
        <f t="shared" ref="H1007:T1007" si="166">ROUND(H1006-H1005,9)</f>
        <v>0</v>
      </c>
      <c r="I1007" s="161">
        <f t="shared" si="166"/>
        <v>0</v>
      </c>
      <c r="J1007" s="161">
        <f t="shared" si="166"/>
        <v>0</v>
      </c>
      <c r="K1007" s="161">
        <f t="shared" si="166"/>
        <v>0</v>
      </c>
      <c r="L1007" s="161">
        <f t="shared" si="166"/>
        <v>0</v>
      </c>
      <c r="M1007" s="161">
        <f t="shared" si="166"/>
        <v>0</v>
      </c>
      <c r="N1007" s="161">
        <f t="shared" si="166"/>
        <v>0</v>
      </c>
      <c r="O1007" s="161">
        <f t="shared" si="166"/>
        <v>0</v>
      </c>
      <c r="P1007" s="161">
        <f t="shared" si="166"/>
        <v>0</v>
      </c>
      <c r="Q1007" s="161">
        <f t="shared" si="166"/>
        <v>0</v>
      </c>
      <c r="R1007" s="161">
        <f t="shared" si="166"/>
        <v>0</v>
      </c>
      <c r="S1007" s="161">
        <f t="shared" si="166"/>
        <v>0</v>
      </c>
      <c r="T1007" s="161">
        <f t="shared" si="166"/>
        <v>0</v>
      </c>
    </row>
    <row r="1008" spans="2:20" x14ac:dyDescent="0.25">
      <c r="B1008" s="23" t="s">
        <v>4194</v>
      </c>
      <c r="C1008" s="28" t="s">
        <v>493</v>
      </c>
      <c r="H1008" s="30">
        <f>'Source Data'!H1039</f>
        <v>0</v>
      </c>
      <c r="I1008" s="30">
        <f>'Source Data'!I1039</f>
        <v>21.6528560441769</v>
      </c>
      <c r="J1008" s="30">
        <f>'Source Data'!J1039</f>
        <v>22.489665723401899</v>
      </c>
      <c r="K1008" s="30">
        <f>'Source Data'!K1039</f>
        <v>23.3482366120917</v>
      </c>
      <c r="L1008" s="30">
        <f>'Source Data'!L1039</f>
        <v>24.229017952902701</v>
      </c>
      <c r="M1008" s="30">
        <f>'Source Data'!M1039</f>
        <v>25.132460066919101</v>
      </c>
      <c r="N1008" s="30">
        <f>'Source Data'!N1039</f>
        <v>26.059013630915601</v>
      </c>
      <c r="O1008" s="30">
        <f>'Source Data'!O1039</f>
        <v>27.0091288869531</v>
      </c>
      <c r="P1008" s="30">
        <f>'Source Data'!P1039</f>
        <v>27.983254779476699</v>
      </c>
      <c r="Q1008" s="30">
        <f>'Source Data'!Q1039</f>
        <v>28.981838014770101</v>
      </c>
      <c r="R1008" s="30">
        <f>'Source Data'!R1039</f>
        <v>30.005322037285602</v>
      </c>
      <c r="S1008" s="30">
        <f>'Source Data'!S1039</f>
        <v>31.0541459170108</v>
      </c>
      <c r="T1008" s="30">
        <f>'Source Data'!T1039</f>
        <v>32.128743141656699</v>
      </c>
    </row>
    <row r="1009" spans="2:20" x14ac:dyDescent="0.25">
      <c r="B1009" s="23" t="s">
        <v>4135</v>
      </c>
      <c r="C1009" s="28" t="s">
        <v>493</v>
      </c>
      <c r="H1009" s="30">
        <f>'FSL Output - With BUMN'!H118</f>
        <v>0</v>
      </c>
      <c r="I1009" s="30">
        <f>'FSL Output - With BUMN'!I118</f>
        <v>21.652856044176946</v>
      </c>
      <c r="J1009" s="30">
        <f>'FSL Output - With BUMN'!J118</f>
        <v>22.489665723401945</v>
      </c>
      <c r="K1009" s="30">
        <f>'FSL Output - With BUMN'!K118</f>
        <v>23.348236612091739</v>
      </c>
      <c r="L1009" s="30">
        <f>'FSL Output - With BUMN'!L118</f>
        <v>24.229017952902755</v>
      </c>
      <c r="M1009" s="30">
        <f>'FSL Output - With BUMN'!M118</f>
        <v>25.132460066919151</v>
      </c>
      <c r="N1009" s="30">
        <f>'FSL Output - With BUMN'!N118</f>
        <v>26.059013630915651</v>
      </c>
      <c r="O1009" s="30">
        <f>'FSL Output - With BUMN'!O118</f>
        <v>27.009128886953128</v>
      </c>
      <c r="P1009" s="30">
        <f>'FSL Output - With BUMN'!P118</f>
        <v>27.983254779476702</v>
      </c>
      <c r="Q1009" s="30">
        <f>'FSL Output - With BUMN'!Q118</f>
        <v>28.981838014770155</v>
      </c>
      <c r="R1009" s="30">
        <f>'FSL Output - With BUMN'!R118</f>
        <v>30.005322037285644</v>
      </c>
      <c r="S1009" s="30">
        <f>'FSL Output - With BUMN'!S118</f>
        <v>31.054145917010764</v>
      </c>
      <c r="T1009" s="30">
        <f>'FSL Output - With BUMN'!T118</f>
        <v>32.128743141656741</v>
      </c>
    </row>
    <row r="1010" spans="2:20" x14ac:dyDescent="0.25">
      <c r="B1010" s="23" t="s">
        <v>4136</v>
      </c>
      <c r="C1010" s="28" t="s">
        <v>493</v>
      </c>
      <c r="H1010" s="161">
        <f t="shared" ref="H1010:T1010" si="167">ROUND(H1009-H1008,9)</f>
        <v>0</v>
      </c>
      <c r="I1010" s="161">
        <f t="shared" si="167"/>
        <v>0</v>
      </c>
      <c r="J1010" s="161">
        <f t="shared" si="167"/>
        <v>0</v>
      </c>
      <c r="K1010" s="161">
        <f t="shared" si="167"/>
        <v>0</v>
      </c>
      <c r="L1010" s="161">
        <f t="shared" si="167"/>
        <v>0</v>
      </c>
      <c r="M1010" s="161">
        <f t="shared" si="167"/>
        <v>0</v>
      </c>
      <c r="N1010" s="161">
        <f t="shared" si="167"/>
        <v>0</v>
      </c>
      <c r="O1010" s="161">
        <f t="shared" si="167"/>
        <v>0</v>
      </c>
      <c r="P1010" s="161">
        <f t="shared" si="167"/>
        <v>0</v>
      </c>
      <c r="Q1010" s="161">
        <f t="shared" si="167"/>
        <v>0</v>
      </c>
      <c r="R1010" s="161">
        <f t="shared" si="167"/>
        <v>0</v>
      </c>
      <c r="S1010" s="161">
        <f t="shared" si="167"/>
        <v>0</v>
      </c>
      <c r="T1010" s="161">
        <f t="shared" si="167"/>
        <v>0</v>
      </c>
    </row>
    <row r="1011" spans="2:20" x14ac:dyDescent="0.25">
      <c r="B1011" s="23" t="s">
        <v>4195</v>
      </c>
      <c r="C1011" s="28" t="s">
        <v>493</v>
      </c>
      <c r="H1011" s="30">
        <f>'Source Data'!H1040</f>
        <v>0</v>
      </c>
      <c r="I1011" s="30">
        <f>'Source Data'!I1040</f>
        <v>-4.7636283297189301</v>
      </c>
      <c r="J1011" s="30">
        <f>'Source Data'!J1040</f>
        <v>-4.9477264591484298</v>
      </c>
      <c r="K1011" s="30">
        <f>'Source Data'!K1040</f>
        <v>-5.1366120546601799</v>
      </c>
      <c r="L1011" s="30">
        <f>'Source Data'!L1040</f>
        <v>-5.3303839496386001</v>
      </c>
      <c r="M1011" s="30">
        <f>'Source Data'!M1040</f>
        <v>-5.5291412147222099</v>
      </c>
      <c r="N1011" s="30">
        <f>'Source Data'!N1040</f>
        <v>-5.7329829988014396</v>
      </c>
      <c r="O1011" s="30">
        <f>'Source Data'!O1040</f>
        <v>-5.9420083551296896</v>
      </c>
      <c r="P1011" s="30">
        <f>'Source Data'!P1040</f>
        <v>-6.15631605148487</v>
      </c>
      <c r="Q1011" s="30">
        <f>'Source Data'!Q1040</f>
        <v>-6.3760043632494297</v>
      </c>
      <c r="R1011" s="30">
        <f>'Source Data'!R1040</f>
        <v>-6.6011708482028402</v>
      </c>
      <c r="S1011" s="30">
        <f>'Source Data'!S1040</f>
        <v>-6.8319121017423701</v>
      </c>
      <c r="T1011" s="30">
        <f>'Source Data'!T1040</f>
        <v>-7.0683234911644801</v>
      </c>
    </row>
    <row r="1012" spans="2:20" x14ac:dyDescent="0.25">
      <c r="B1012" s="23" t="s">
        <v>4138</v>
      </c>
      <c r="C1012" s="28" t="s">
        <v>493</v>
      </c>
      <c r="H1012" s="161">
        <f>-'FSL Output - With BUMN'!H119</f>
        <v>0</v>
      </c>
      <c r="I1012" s="161">
        <f>-'FSL Output - With BUMN'!I119</f>
        <v>-4.7636283297189284</v>
      </c>
      <c r="J1012" s="161">
        <f>-'FSL Output - With BUMN'!J119</f>
        <v>-4.947726459148428</v>
      </c>
      <c r="K1012" s="161">
        <f>-'FSL Output - With BUMN'!K119</f>
        <v>-5.1366120546601826</v>
      </c>
      <c r="L1012" s="161">
        <f>-'FSL Output - With BUMN'!L119</f>
        <v>-5.3303839496386063</v>
      </c>
      <c r="M1012" s="161">
        <f>-'FSL Output - With BUMN'!M119</f>
        <v>-5.5291412147222134</v>
      </c>
      <c r="N1012" s="161">
        <f>-'FSL Output - With BUMN'!N119</f>
        <v>-5.7329829988014431</v>
      </c>
      <c r="O1012" s="161">
        <f>-'FSL Output - With BUMN'!O119</f>
        <v>-5.9420083551296878</v>
      </c>
      <c r="P1012" s="161">
        <f>-'FSL Output - With BUMN'!P119</f>
        <v>-6.1563160514848745</v>
      </c>
      <c r="Q1012" s="161">
        <f>-'FSL Output - With BUMN'!Q119</f>
        <v>-6.3760043632494341</v>
      </c>
      <c r="R1012" s="161">
        <f>-'FSL Output - With BUMN'!R119</f>
        <v>-6.6011708482028419</v>
      </c>
      <c r="S1012" s="161">
        <f>-'FSL Output - With BUMN'!S119</f>
        <v>-6.8319121017423683</v>
      </c>
      <c r="T1012" s="161">
        <f>-'FSL Output - With BUMN'!T119</f>
        <v>-7.0683234911644828</v>
      </c>
    </row>
    <row r="1013" spans="2:20" x14ac:dyDescent="0.25">
      <c r="B1013" s="23" t="s">
        <v>4139</v>
      </c>
      <c r="C1013" s="28" t="s">
        <v>493</v>
      </c>
      <c r="H1013" s="161">
        <f t="shared" ref="H1013:T1013" si="168">ROUND(H1012-H1011,9)</f>
        <v>0</v>
      </c>
      <c r="I1013" s="161">
        <f t="shared" si="168"/>
        <v>0</v>
      </c>
      <c r="J1013" s="161">
        <f t="shared" si="168"/>
        <v>0</v>
      </c>
      <c r="K1013" s="161">
        <f t="shared" si="168"/>
        <v>0</v>
      </c>
      <c r="L1013" s="161">
        <f t="shared" si="168"/>
        <v>0</v>
      </c>
      <c r="M1013" s="161">
        <f t="shared" si="168"/>
        <v>0</v>
      </c>
      <c r="N1013" s="161">
        <f t="shared" si="168"/>
        <v>0</v>
      </c>
      <c r="O1013" s="161">
        <f t="shared" si="168"/>
        <v>0</v>
      </c>
      <c r="P1013" s="161">
        <f t="shared" si="168"/>
        <v>0</v>
      </c>
      <c r="Q1013" s="161">
        <f t="shared" si="168"/>
        <v>0</v>
      </c>
      <c r="R1013" s="161">
        <f t="shared" si="168"/>
        <v>0</v>
      </c>
      <c r="S1013" s="161">
        <f t="shared" si="168"/>
        <v>0</v>
      </c>
      <c r="T1013" s="161">
        <f t="shared" si="168"/>
        <v>0</v>
      </c>
    </row>
    <row r="1014" spans="2:20" x14ac:dyDescent="0.25">
      <c r="B1014" s="23" t="s">
        <v>4196</v>
      </c>
      <c r="C1014" s="28" t="s">
        <v>493</v>
      </c>
      <c r="H1014" s="30">
        <f>'Source Data'!H1041</f>
        <v>0</v>
      </c>
      <c r="I1014" s="30">
        <f>'Source Data'!I1041</f>
        <v>16.889227714457999</v>
      </c>
      <c r="J1014" s="30">
        <f>'Source Data'!J1041</f>
        <v>17.5419392642535</v>
      </c>
      <c r="K1014" s="30">
        <f>'Source Data'!K1041</f>
        <v>18.211624557431598</v>
      </c>
      <c r="L1014" s="30">
        <f>'Source Data'!L1041</f>
        <v>18.8986340032641</v>
      </c>
      <c r="M1014" s="30">
        <f>'Source Data'!M1041</f>
        <v>19.6033188521969</v>
      </c>
      <c r="N1014" s="30">
        <f>'Source Data'!N1041</f>
        <v>20.3260306321142</v>
      </c>
      <c r="O1014" s="30">
        <f>'Source Data'!O1041</f>
        <v>21.067120531823399</v>
      </c>
      <c r="P1014" s="30">
        <f>'Source Data'!P1041</f>
        <v>21.826938727991799</v>
      </c>
      <c r="Q1014" s="30">
        <f>'Source Data'!Q1041</f>
        <v>22.605833651520701</v>
      </c>
      <c r="R1014" s="30">
        <f>'Source Data'!R1041</f>
        <v>23.4041511890828</v>
      </c>
      <c r="S1014" s="30">
        <f>'Source Data'!S1041</f>
        <v>24.2222338152684</v>
      </c>
      <c r="T1014" s="30">
        <f>'Source Data'!T1041</f>
        <v>25.0604196504923</v>
      </c>
    </row>
    <row r="1015" spans="2:20" x14ac:dyDescent="0.25">
      <c r="B1015" s="23" t="s">
        <v>4141</v>
      </c>
      <c r="C1015" s="28" t="s">
        <v>493</v>
      </c>
      <c r="H1015" s="30">
        <f>'FSL Output - With BUMN'!H121</f>
        <v>0</v>
      </c>
      <c r="I1015" s="30">
        <f>'FSL Output - With BUMN'!I121</f>
        <v>16.889227714458016</v>
      </c>
      <c r="J1015" s="30">
        <f>'FSL Output - With BUMN'!J121</f>
        <v>17.541939264253518</v>
      </c>
      <c r="K1015" s="30">
        <f>'FSL Output - With BUMN'!K121</f>
        <v>18.211624557431556</v>
      </c>
      <c r="L1015" s="30">
        <f>'FSL Output - With BUMN'!L121</f>
        <v>18.898634003264149</v>
      </c>
      <c r="M1015" s="30">
        <f>'FSL Output - With BUMN'!M121</f>
        <v>19.603318852196939</v>
      </c>
      <c r="N1015" s="30">
        <f>'FSL Output - With BUMN'!N121</f>
        <v>20.326030632114207</v>
      </c>
      <c r="O1015" s="30">
        <f>'FSL Output - With BUMN'!O121</f>
        <v>21.067120531823441</v>
      </c>
      <c r="P1015" s="30">
        <f>'FSL Output - With BUMN'!P121</f>
        <v>21.826938727991827</v>
      </c>
      <c r="Q1015" s="30">
        <f>'FSL Output - With BUMN'!Q121</f>
        <v>22.605833651520719</v>
      </c>
      <c r="R1015" s="30">
        <f>'FSL Output - With BUMN'!R121</f>
        <v>23.404151189082803</v>
      </c>
      <c r="S1015" s="30">
        <f>'FSL Output - With BUMN'!S121</f>
        <v>24.222233815268396</v>
      </c>
      <c r="T1015" s="30">
        <f>'FSL Output - With BUMN'!T121</f>
        <v>25.060419650492257</v>
      </c>
    </row>
    <row r="1016" spans="2:20" x14ac:dyDescent="0.25">
      <c r="B1016" s="23" t="s">
        <v>4142</v>
      </c>
      <c r="C1016" s="28" t="s">
        <v>493</v>
      </c>
      <c r="H1016" s="161">
        <f t="shared" ref="H1016:T1016" si="169">ROUND(H1015-H1014,9)</f>
        <v>0</v>
      </c>
      <c r="I1016" s="161">
        <f t="shared" si="169"/>
        <v>0</v>
      </c>
      <c r="J1016" s="161">
        <f t="shared" si="169"/>
        <v>0</v>
      </c>
      <c r="K1016" s="161">
        <f t="shared" si="169"/>
        <v>0</v>
      </c>
      <c r="L1016" s="161">
        <f t="shared" si="169"/>
        <v>0</v>
      </c>
      <c r="M1016" s="161">
        <f t="shared" si="169"/>
        <v>0</v>
      </c>
      <c r="N1016" s="161">
        <f t="shared" si="169"/>
        <v>0</v>
      </c>
      <c r="O1016" s="161">
        <f t="shared" si="169"/>
        <v>0</v>
      </c>
      <c r="P1016" s="161">
        <f t="shared" si="169"/>
        <v>0</v>
      </c>
      <c r="Q1016" s="161">
        <f t="shared" si="169"/>
        <v>0</v>
      </c>
      <c r="R1016" s="161">
        <f t="shared" si="169"/>
        <v>0</v>
      </c>
      <c r="S1016" s="161">
        <f t="shared" si="169"/>
        <v>0</v>
      </c>
      <c r="T1016" s="161">
        <f t="shared" si="169"/>
        <v>0</v>
      </c>
    </row>
    <row r="1018" spans="2:20" x14ac:dyDescent="0.25">
      <c r="B1018" s="221" t="s">
        <v>4197</v>
      </c>
      <c r="C1018" s="235"/>
      <c r="D1018" s="235"/>
      <c r="E1018" s="224" t="str">
        <f>IF(F1018&lt;=Inputs!$E$50,"Matches v29",IF($E$21&gt;0,"Differs - inputs changed","UNEXPLAINED"))</f>
        <v>Matches v29</v>
      </c>
      <c r="F1018" s="225">
        <f>MAX(MAX(H1021:T1021),-MIN(H1021:T1021),MAX(H1024:T1024),-MIN(H1024:T1024),MAX(H1027:T1027),-MIN(H1027:T1027),MAX(H1030:T1030),-MIN(H1030:T1030),MAX(H1033:T1033),-MIN(H1033:T1033),MAX(H1036:T1036),-MIN(H1036:T1036),MAX(H1039:T1039),-MIN(H1039:T1039),MAX(H1042:T1042),-MIN(H1042:T1042))</f>
        <v>0</v>
      </c>
      <c r="G1018" s="226">
        <f>MAX(MAX(H1021:T1021),-MIN(H1021:T1021),MAX(H1024:T1024),-MIN(H1024:T1024),MAX(H1027:T1027),-MIN(H1027:T1027),MAX(H1030:T1030),-MIN(H1030:T1030),MAX(H1033:T1033),-MIN(H1033:T1033),MAX(H1036:T1036),-MIN(H1036:T1036),MAX(H1039:T1039),-MIN(H1039:T1039),MAX(H1042:T1042),-MIN(H1042:T1042))</f>
        <v>0</v>
      </c>
    </row>
    <row r="1019" spans="2:20" x14ac:dyDescent="0.25">
      <c r="B1019" s="23" t="s">
        <v>4198</v>
      </c>
      <c r="C1019" s="28" t="s">
        <v>493</v>
      </c>
      <c r="H1019" s="30">
        <f>'Source Data'!H1043</f>
        <v>0</v>
      </c>
      <c r="I1019" s="30">
        <f>'Source Data'!I1043</f>
        <v>0</v>
      </c>
      <c r="J1019" s="30">
        <f>'Source Data'!J1043</f>
        <v>127.49380734818899</v>
      </c>
      <c r="K1019" s="30">
        <f>'Source Data'!K1043</f>
        <v>134.53647443892001</v>
      </c>
      <c r="L1019" s="30">
        <f>'Source Data'!L1043</f>
        <v>139.28049630355</v>
      </c>
      <c r="M1019" s="30">
        <f>'Source Data'!M1043</f>
        <v>144.142704927593</v>
      </c>
      <c r="N1019" s="30">
        <f>'Source Data'!N1043</f>
        <v>149.12664591382901</v>
      </c>
      <c r="O1019" s="30">
        <f>'Source Data'!O1043</f>
        <v>154.23597123312501</v>
      </c>
      <c r="P1019" s="30">
        <f>'Source Data'!P1043</f>
        <v>159.47444241547299</v>
      </c>
      <c r="Q1019" s="30">
        <f>'Source Data'!Q1043</f>
        <v>164.845933836764</v>
      </c>
      <c r="R1019" s="30">
        <f>'Source Data'!R1043</f>
        <v>170.35443610416701</v>
      </c>
      <c r="S1019" s="30">
        <f>'Source Data'!S1043</f>
        <v>166.350500932209</v>
      </c>
      <c r="T1019" s="30">
        <f>'Source Data'!T1043</f>
        <v>171.34101596017601</v>
      </c>
    </row>
    <row r="1020" spans="2:20" x14ac:dyDescent="0.25">
      <c r="B1020" s="23" t="s">
        <v>4120</v>
      </c>
      <c r="C1020" s="28" t="s">
        <v>493</v>
      </c>
      <c r="H1020" s="161">
        <f>'BUMN Synergy Calculation'!H34+'BUMN Synergy Calculation'!H59+'BUMN Synergy Calculation'!H81</f>
        <v>0</v>
      </c>
      <c r="I1020" s="161">
        <f>'BUMN Synergy Calculation'!I34+'BUMN Synergy Calculation'!I59+'BUMN Synergy Calculation'!I81</f>
        <v>0</v>
      </c>
      <c r="J1020" s="161">
        <f>'BUMN Synergy Calculation'!J34+'BUMN Synergy Calculation'!J59+'BUMN Synergy Calculation'!J81</f>
        <v>127.49380734818928</v>
      </c>
      <c r="K1020" s="161">
        <f>'BUMN Synergy Calculation'!K34+'BUMN Synergy Calculation'!K59+'BUMN Synergy Calculation'!K81</f>
        <v>134.5364744389201</v>
      </c>
      <c r="L1020" s="161">
        <f>'BUMN Synergy Calculation'!L34+'BUMN Synergy Calculation'!L59+'BUMN Synergy Calculation'!L81</f>
        <v>139.28049630355042</v>
      </c>
      <c r="M1020" s="161">
        <f>'BUMN Synergy Calculation'!M34+'BUMN Synergy Calculation'!M59+'BUMN Synergy Calculation'!M81</f>
        <v>144.14270492759252</v>
      </c>
      <c r="N1020" s="161">
        <f>'BUMN Synergy Calculation'!N34+'BUMN Synergy Calculation'!N59+'BUMN Synergy Calculation'!N81</f>
        <v>149.12664591382875</v>
      </c>
      <c r="O1020" s="161">
        <f>'BUMN Synergy Calculation'!O34+'BUMN Synergy Calculation'!O59+'BUMN Synergy Calculation'!O81</f>
        <v>154.23597123312493</v>
      </c>
      <c r="P1020" s="161">
        <f>'BUMN Synergy Calculation'!P34+'BUMN Synergy Calculation'!P59+'BUMN Synergy Calculation'!P81</f>
        <v>159.47444241547282</v>
      </c>
      <c r="Q1020" s="161">
        <f>'BUMN Synergy Calculation'!Q34+'BUMN Synergy Calculation'!Q59+'BUMN Synergy Calculation'!Q81</f>
        <v>164.84593383676409</v>
      </c>
      <c r="R1020" s="161">
        <f>'BUMN Synergy Calculation'!R34+'BUMN Synergy Calculation'!R59+'BUMN Synergy Calculation'!R81</f>
        <v>170.35443610416692</v>
      </c>
      <c r="S1020" s="161">
        <f>'BUMN Synergy Calculation'!S34+'BUMN Synergy Calculation'!S59+'BUMN Synergy Calculation'!S81</f>
        <v>166.35050093220929</v>
      </c>
      <c r="T1020" s="161">
        <f>'BUMN Synergy Calculation'!T34+'BUMN Synergy Calculation'!T59+'BUMN Synergy Calculation'!T81</f>
        <v>171.34101596017558</v>
      </c>
    </row>
    <row r="1021" spans="2:20" x14ac:dyDescent="0.25">
      <c r="B1021" s="23" t="s">
        <v>4121</v>
      </c>
      <c r="C1021" s="28" t="s">
        <v>493</v>
      </c>
      <c r="H1021" s="161">
        <f t="shared" ref="H1021:T1021" si="170">ROUND(H1020-H1019,9)</f>
        <v>0</v>
      </c>
      <c r="I1021" s="161">
        <f t="shared" si="170"/>
        <v>0</v>
      </c>
      <c r="J1021" s="161">
        <f t="shared" si="170"/>
        <v>0</v>
      </c>
      <c r="K1021" s="161">
        <f t="shared" si="170"/>
        <v>0</v>
      </c>
      <c r="L1021" s="161">
        <f t="shared" si="170"/>
        <v>0</v>
      </c>
      <c r="M1021" s="161">
        <f t="shared" si="170"/>
        <v>0</v>
      </c>
      <c r="N1021" s="161">
        <f t="shared" si="170"/>
        <v>0</v>
      </c>
      <c r="O1021" s="161">
        <f t="shared" si="170"/>
        <v>0</v>
      </c>
      <c r="P1021" s="161">
        <f t="shared" si="170"/>
        <v>0</v>
      </c>
      <c r="Q1021" s="161">
        <f t="shared" si="170"/>
        <v>0</v>
      </c>
      <c r="R1021" s="161">
        <f t="shared" si="170"/>
        <v>0</v>
      </c>
      <c r="S1021" s="161">
        <f t="shared" si="170"/>
        <v>0</v>
      </c>
      <c r="T1021" s="161">
        <f t="shared" si="170"/>
        <v>0</v>
      </c>
    </row>
    <row r="1022" spans="2:20" x14ac:dyDescent="0.25">
      <c r="B1022" s="23" t="s">
        <v>4199</v>
      </c>
      <c r="C1022" s="28" t="s">
        <v>493</v>
      </c>
      <c r="H1022" s="30">
        <f>'Source Data'!H1044</f>
        <v>0</v>
      </c>
      <c r="I1022" s="30">
        <f>'Source Data'!I1044</f>
        <v>0</v>
      </c>
      <c r="J1022" s="30">
        <f>'Source Data'!J1044</f>
        <v>0</v>
      </c>
      <c r="K1022" s="30">
        <f>'Source Data'!K1044</f>
        <v>0</v>
      </c>
      <c r="L1022" s="30">
        <f>'Source Data'!L1044</f>
        <v>0</v>
      </c>
      <c r="M1022" s="30">
        <f>'Source Data'!M1044</f>
        <v>0</v>
      </c>
      <c r="N1022" s="30">
        <f>'Source Data'!N1044</f>
        <v>0</v>
      </c>
      <c r="O1022" s="30">
        <f>'Source Data'!O1044</f>
        <v>0</v>
      </c>
      <c r="P1022" s="30">
        <f>'Source Data'!P1044</f>
        <v>0</v>
      </c>
      <c r="Q1022" s="30">
        <f>'Source Data'!Q1044</f>
        <v>0</v>
      </c>
      <c r="R1022" s="30">
        <f>'Source Data'!R1044</f>
        <v>0</v>
      </c>
      <c r="S1022" s="30">
        <f>'Source Data'!S1044</f>
        <v>0</v>
      </c>
      <c r="T1022" s="30">
        <f>'Source Data'!T1044</f>
        <v>0</v>
      </c>
    </row>
    <row r="1023" spans="2:20" x14ac:dyDescent="0.25">
      <c r="B1023" s="23" t="s">
        <v>4123</v>
      </c>
      <c r="C1023" s="28" t="s">
        <v>493</v>
      </c>
      <c r="H1023" s="161">
        <f>-('BUMN Synergy Calculation'!H35+'BUMN Synergy Calculation'!H60+'BUMN Synergy Calculation'!H82)</f>
        <v>0</v>
      </c>
      <c r="I1023" s="161">
        <f>-('BUMN Synergy Calculation'!I35+'BUMN Synergy Calculation'!I60+'BUMN Synergy Calculation'!I82)</f>
        <v>0</v>
      </c>
      <c r="J1023" s="161">
        <f>-('BUMN Synergy Calculation'!J35+'BUMN Synergy Calculation'!J60+'BUMN Synergy Calculation'!J82)</f>
        <v>0</v>
      </c>
      <c r="K1023" s="161">
        <f>-('BUMN Synergy Calculation'!K35+'BUMN Synergy Calculation'!K60+'BUMN Synergy Calculation'!K82)</f>
        <v>0</v>
      </c>
      <c r="L1023" s="161">
        <f>-('BUMN Synergy Calculation'!L35+'BUMN Synergy Calculation'!L60+'BUMN Synergy Calculation'!L82)</f>
        <v>0</v>
      </c>
      <c r="M1023" s="161">
        <f>-('BUMN Synergy Calculation'!M35+'BUMN Synergy Calculation'!M60+'BUMN Synergy Calculation'!M82)</f>
        <v>0</v>
      </c>
      <c r="N1023" s="161">
        <f>-('BUMN Synergy Calculation'!N35+'BUMN Synergy Calculation'!N60+'BUMN Synergy Calculation'!N82)</f>
        <v>0</v>
      </c>
      <c r="O1023" s="161">
        <f>-('BUMN Synergy Calculation'!O35+'BUMN Synergy Calculation'!O60+'BUMN Synergy Calculation'!O82)</f>
        <v>0</v>
      </c>
      <c r="P1023" s="161">
        <f>-('BUMN Synergy Calculation'!P35+'BUMN Synergy Calculation'!P60+'BUMN Synergy Calculation'!P82)</f>
        <v>0</v>
      </c>
      <c r="Q1023" s="161">
        <f>-('BUMN Synergy Calculation'!Q35+'BUMN Synergy Calculation'!Q60+'BUMN Synergy Calculation'!Q82)</f>
        <v>0</v>
      </c>
      <c r="R1023" s="161">
        <f>-('BUMN Synergy Calculation'!R35+'BUMN Synergy Calculation'!R60+'BUMN Synergy Calculation'!R82)</f>
        <v>0</v>
      </c>
      <c r="S1023" s="161">
        <f>-('BUMN Synergy Calculation'!S35+'BUMN Synergy Calculation'!S60+'BUMN Synergy Calculation'!S82)</f>
        <v>0</v>
      </c>
      <c r="T1023" s="161">
        <f>-('BUMN Synergy Calculation'!T35+'BUMN Synergy Calculation'!T60+'BUMN Synergy Calculation'!T82)</f>
        <v>0</v>
      </c>
    </row>
    <row r="1024" spans="2:20" x14ac:dyDescent="0.25">
      <c r="B1024" s="23" t="s">
        <v>4124</v>
      </c>
      <c r="C1024" s="28" t="s">
        <v>493</v>
      </c>
      <c r="H1024" s="161">
        <f t="shared" ref="H1024:T1024" si="171">ROUND(H1023-H1022,9)</f>
        <v>0</v>
      </c>
      <c r="I1024" s="161">
        <f t="shared" si="171"/>
        <v>0</v>
      </c>
      <c r="J1024" s="161">
        <f t="shared" si="171"/>
        <v>0</v>
      </c>
      <c r="K1024" s="161">
        <f t="shared" si="171"/>
        <v>0</v>
      </c>
      <c r="L1024" s="161">
        <f t="shared" si="171"/>
        <v>0</v>
      </c>
      <c r="M1024" s="161">
        <f t="shared" si="171"/>
        <v>0</v>
      </c>
      <c r="N1024" s="161">
        <f t="shared" si="171"/>
        <v>0</v>
      </c>
      <c r="O1024" s="161">
        <f t="shared" si="171"/>
        <v>0</v>
      </c>
      <c r="P1024" s="161">
        <f t="shared" si="171"/>
        <v>0</v>
      </c>
      <c r="Q1024" s="161">
        <f t="shared" si="171"/>
        <v>0</v>
      </c>
      <c r="R1024" s="161">
        <f t="shared" si="171"/>
        <v>0</v>
      </c>
      <c r="S1024" s="161">
        <f t="shared" si="171"/>
        <v>0</v>
      </c>
      <c r="T1024" s="161">
        <f t="shared" si="171"/>
        <v>0</v>
      </c>
    </row>
    <row r="1025" spans="2:20" x14ac:dyDescent="0.25">
      <c r="B1025" s="23" t="s">
        <v>4200</v>
      </c>
      <c r="C1025" s="28" t="s">
        <v>493</v>
      </c>
      <c r="H1025" s="30">
        <f>'Source Data'!H1045</f>
        <v>0</v>
      </c>
      <c r="I1025" s="30">
        <f>'Source Data'!I1045</f>
        <v>0</v>
      </c>
      <c r="J1025" s="30">
        <f>'Source Data'!J1045</f>
        <v>-69.175634298300906</v>
      </c>
      <c r="K1025" s="30">
        <f>'Source Data'!K1045</f>
        <v>-73.085079463312496</v>
      </c>
      <c r="L1025" s="30">
        <f>'Source Data'!L1045</f>
        <v>-75.681150597145603</v>
      </c>
      <c r="M1025" s="30">
        <f>'Source Data'!M1045</f>
        <v>-78.341347543973299</v>
      </c>
      <c r="N1025" s="30">
        <f>'Source Data'!N1045</f>
        <v>-81.067594078185294</v>
      </c>
      <c r="O1025" s="30">
        <f>'Source Data'!O1045</f>
        <v>-83.861871687403195</v>
      </c>
      <c r="P1025" s="30">
        <f>'Source Data'!P1045</f>
        <v>-86.726221303877097</v>
      </c>
      <c r="Q1025" s="30">
        <f>'Source Data'!Q1045</f>
        <v>-89.662745087824902</v>
      </c>
      <c r="R1025" s="30">
        <f>'Source Data'!R1045</f>
        <v>-92.673608264270598</v>
      </c>
      <c r="S1025" s="30">
        <f>'Source Data'!S1045</f>
        <v>-90.258512606801602</v>
      </c>
      <c r="T1025" s="30">
        <f>'Source Data'!T1045</f>
        <v>-92.9662679850057</v>
      </c>
    </row>
    <row r="1026" spans="2:20" x14ac:dyDescent="0.25">
      <c r="B1026" s="23" t="s">
        <v>4126</v>
      </c>
      <c r="C1026" s="28" t="s">
        <v>493</v>
      </c>
      <c r="H1026" s="161">
        <f>-('BUMN Synergy Calculation'!H36+'BUMN Synergy Calculation'!H61+'BUMN Synergy Calculation'!H83)</f>
        <v>0</v>
      </c>
      <c r="I1026" s="161">
        <f>-('BUMN Synergy Calculation'!I36+'BUMN Synergy Calculation'!I61+'BUMN Synergy Calculation'!I83)</f>
        <v>0</v>
      </c>
      <c r="J1026" s="161">
        <f>-('BUMN Synergy Calculation'!J36+'BUMN Synergy Calculation'!J61+'BUMN Synergy Calculation'!J83)</f>
        <v>-69.17563429830092</v>
      </c>
      <c r="K1026" s="161">
        <f>-('BUMN Synergy Calculation'!K36+'BUMN Synergy Calculation'!K61+'BUMN Synergy Calculation'!K83)</f>
        <v>-73.085079463312468</v>
      </c>
      <c r="L1026" s="161">
        <f>-('BUMN Synergy Calculation'!L36+'BUMN Synergy Calculation'!L61+'BUMN Synergy Calculation'!L83)</f>
        <v>-75.681150597145603</v>
      </c>
      <c r="M1026" s="161">
        <f>-('BUMN Synergy Calculation'!M36+'BUMN Synergy Calculation'!M61+'BUMN Synergy Calculation'!M83)</f>
        <v>-78.341347543973271</v>
      </c>
      <c r="N1026" s="161">
        <f>-('BUMN Synergy Calculation'!N36+'BUMN Synergy Calculation'!N61+'BUMN Synergy Calculation'!N83)</f>
        <v>-81.067594078185266</v>
      </c>
      <c r="O1026" s="161">
        <f>-('BUMN Synergy Calculation'!O36+'BUMN Synergy Calculation'!O61+'BUMN Synergy Calculation'!O83)</f>
        <v>-83.86187168740318</v>
      </c>
      <c r="P1026" s="161">
        <f>-('BUMN Synergy Calculation'!P36+'BUMN Synergy Calculation'!P61+'BUMN Synergy Calculation'!P83)</f>
        <v>-86.726221303877139</v>
      </c>
      <c r="Q1026" s="161">
        <f>-('BUMN Synergy Calculation'!Q36+'BUMN Synergy Calculation'!Q61+'BUMN Synergy Calculation'!Q83)</f>
        <v>-89.662745087824874</v>
      </c>
      <c r="R1026" s="161">
        <f>-('BUMN Synergy Calculation'!R36+'BUMN Synergy Calculation'!R61+'BUMN Synergy Calculation'!R83)</f>
        <v>-92.67360826427057</v>
      </c>
      <c r="S1026" s="161">
        <f>-('BUMN Synergy Calculation'!S36+'BUMN Synergy Calculation'!S61+'BUMN Synergy Calculation'!S83)</f>
        <v>-90.258512606801588</v>
      </c>
      <c r="T1026" s="161">
        <f>-('BUMN Synergy Calculation'!T36+'BUMN Synergy Calculation'!T61+'BUMN Synergy Calculation'!T83)</f>
        <v>-92.966267985005643</v>
      </c>
    </row>
    <row r="1027" spans="2:20" x14ac:dyDescent="0.25">
      <c r="B1027" s="23" t="s">
        <v>4127</v>
      </c>
      <c r="C1027" s="28" t="s">
        <v>493</v>
      </c>
      <c r="H1027" s="161">
        <f t="shared" ref="H1027:T1027" si="172">ROUND(H1026-H1025,9)</f>
        <v>0</v>
      </c>
      <c r="I1027" s="161">
        <f t="shared" si="172"/>
        <v>0</v>
      </c>
      <c r="J1027" s="161">
        <f t="shared" si="172"/>
        <v>0</v>
      </c>
      <c r="K1027" s="161">
        <f t="shared" si="172"/>
        <v>0</v>
      </c>
      <c r="L1027" s="161">
        <f t="shared" si="172"/>
        <v>0</v>
      </c>
      <c r="M1027" s="161">
        <f t="shared" si="172"/>
        <v>0</v>
      </c>
      <c r="N1027" s="161">
        <f t="shared" si="172"/>
        <v>0</v>
      </c>
      <c r="O1027" s="161">
        <f t="shared" si="172"/>
        <v>0</v>
      </c>
      <c r="P1027" s="161">
        <f t="shared" si="172"/>
        <v>0</v>
      </c>
      <c r="Q1027" s="161">
        <f t="shared" si="172"/>
        <v>0</v>
      </c>
      <c r="R1027" s="161">
        <f t="shared" si="172"/>
        <v>0</v>
      </c>
      <c r="S1027" s="161">
        <f t="shared" si="172"/>
        <v>0</v>
      </c>
      <c r="T1027" s="161">
        <f t="shared" si="172"/>
        <v>0</v>
      </c>
    </row>
    <row r="1028" spans="2:20" x14ac:dyDescent="0.25">
      <c r="B1028" s="23" t="s">
        <v>4201</v>
      </c>
      <c r="C1028" s="28" t="s">
        <v>493</v>
      </c>
      <c r="H1028" s="30">
        <f>'Source Data'!H1046</f>
        <v>0</v>
      </c>
      <c r="I1028" s="30">
        <f>'Source Data'!I1046</f>
        <v>0</v>
      </c>
      <c r="J1028" s="30">
        <f>'Source Data'!J1046</f>
        <v>0</v>
      </c>
      <c r="K1028" s="30">
        <f>'Source Data'!K1046</f>
        <v>0</v>
      </c>
      <c r="L1028" s="30">
        <f>'Source Data'!L1046</f>
        <v>0</v>
      </c>
      <c r="M1028" s="30">
        <f>'Source Data'!M1046</f>
        <v>0</v>
      </c>
      <c r="N1028" s="30">
        <f>'Source Data'!N1046</f>
        <v>0</v>
      </c>
      <c r="O1028" s="30">
        <f>'Source Data'!O1046</f>
        <v>0</v>
      </c>
      <c r="P1028" s="30">
        <f>'Source Data'!P1046</f>
        <v>0</v>
      </c>
      <c r="Q1028" s="30">
        <f>'Source Data'!Q1046</f>
        <v>0</v>
      </c>
      <c r="R1028" s="30">
        <f>'Source Data'!R1046</f>
        <v>0</v>
      </c>
      <c r="S1028" s="30">
        <f>'Source Data'!S1046</f>
        <v>0</v>
      </c>
      <c r="T1028" s="30">
        <f>'Source Data'!T1046</f>
        <v>0</v>
      </c>
    </row>
    <row r="1029" spans="2:20" x14ac:dyDescent="0.25">
      <c r="B1029" s="23" t="s">
        <v>4129</v>
      </c>
      <c r="C1029" s="28" t="s">
        <v>493</v>
      </c>
      <c r="H1029" s="161">
        <f>-('Capex &amp; Depreciation'!H246+'Capex &amp; Depreciation'!H247+'Capex &amp; Depreciation'!H248)</f>
        <v>0</v>
      </c>
      <c r="I1029" s="161">
        <f>-('Capex &amp; Depreciation'!I246+'Capex &amp; Depreciation'!I247+'Capex &amp; Depreciation'!I248)</f>
        <v>0</v>
      </c>
      <c r="J1029" s="161">
        <f>-('Capex &amp; Depreciation'!J246+'Capex &amp; Depreciation'!J247+'Capex &amp; Depreciation'!J248)</f>
        <v>0</v>
      </c>
      <c r="K1029" s="161">
        <f>-('Capex &amp; Depreciation'!K246+'Capex &amp; Depreciation'!K247+'Capex &amp; Depreciation'!K248)</f>
        <v>0</v>
      </c>
      <c r="L1029" s="161">
        <f>-('Capex &amp; Depreciation'!L246+'Capex &amp; Depreciation'!L247+'Capex &amp; Depreciation'!L248)</f>
        <v>0</v>
      </c>
      <c r="M1029" s="161">
        <f>-('Capex &amp; Depreciation'!M246+'Capex &amp; Depreciation'!M247+'Capex &amp; Depreciation'!M248)</f>
        <v>0</v>
      </c>
      <c r="N1029" s="161">
        <f>-('Capex &amp; Depreciation'!N246+'Capex &amp; Depreciation'!N247+'Capex &amp; Depreciation'!N248)</f>
        <v>0</v>
      </c>
      <c r="O1029" s="161">
        <f>-('Capex &amp; Depreciation'!O246+'Capex &amp; Depreciation'!O247+'Capex &amp; Depreciation'!O248)</f>
        <v>0</v>
      </c>
      <c r="P1029" s="161">
        <f>-('Capex &amp; Depreciation'!P246+'Capex &amp; Depreciation'!P247+'Capex &amp; Depreciation'!P248)</f>
        <v>0</v>
      </c>
      <c r="Q1029" s="161">
        <f>-('Capex &amp; Depreciation'!Q246+'Capex &amp; Depreciation'!Q247+'Capex &amp; Depreciation'!Q248)</f>
        <v>0</v>
      </c>
      <c r="R1029" s="161">
        <f>-('Capex &amp; Depreciation'!R246+'Capex &amp; Depreciation'!R247+'Capex &amp; Depreciation'!R248)</f>
        <v>0</v>
      </c>
      <c r="S1029" s="161">
        <f>-('Capex &amp; Depreciation'!S246+'Capex &amp; Depreciation'!S247+'Capex &amp; Depreciation'!S248)</f>
        <v>0</v>
      </c>
      <c r="T1029" s="161">
        <f>-('Capex &amp; Depreciation'!T246+'Capex &amp; Depreciation'!T247+'Capex &amp; Depreciation'!T248)</f>
        <v>0</v>
      </c>
    </row>
    <row r="1030" spans="2:20" x14ac:dyDescent="0.25">
      <c r="B1030" s="23" t="s">
        <v>4130</v>
      </c>
      <c r="C1030" s="28" t="s">
        <v>493</v>
      </c>
      <c r="H1030" s="161">
        <f t="shared" ref="H1030:T1030" si="173">ROUND(H1029-H1028,9)</f>
        <v>0</v>
      </c>
      <c r="I1030" s="161">
        <f t="shared" si="173"/>
        <v>0</v>
      </c>
      <c r="J1030" s="161">
        <f t="shared" si="173"/>
        <v>0</v>
      </c>
      <c r="K1030" s="161">
        <f t="shared" si="173"/>
        <v>0</v>
      </c>
      <c r="L1030" s="161">
        <f t="shared" si="173"/>
        <v>0</v>
      </c>
      <c r="M1030" s="161">
        <f t="shared" si="173"/>
        <v>0</v>
      </c>
      <c r="N1030" s="161">
        <f t="shared" si="173"/>
        <v>0</v>
      </c>
      <c r="O1030" s="161">
        <f t="shared" si="173"/>
        <v>0</v>
      </c>
      <c r="P1030" s="161">
        <f t="shared" si="173"/>
        <v>0</v>
      </c>
      <c r="Q1030" s="161">
        <f t="shared" si="173"/>
        <v>0</v>
      </c>
      <c r="R1030" s="161">
        <f t="shared" si="173"/>
        <v>0</v>
      </c>
      <c r="S1030" s="161">
        <f t="shared" si="173"/>
        <v>0</v>
      </c>
      <c r="T1030" s="161">
        <f t="shared" si="173"/>
        <v>0</v>
      </c>
    </row>
    <row r="1031" spans="2:20" x14ac:dyDescent="0.25">
      <c r="B1031" s="23" t="s">
        <v>4202</v>
      </c>
      <c r="C1031" s="28" t="s">
        <v>493</v>
      </c>
      <c r="H1031" s="30">
        <f>'Source Data'!H1047</f>
        <v>0</v>
      </c>
      <c r="I1031" s="30">
        <f>'Source Data'!I1047</f>
        <v>0</v>
      </c>
      <c r="J1031" s="30">
        <f>'Source Data'!J1047</f>
        <v>0</v>
      </c>
      <c r="K1031" s="30">
        <f>'Source Data'!K1047</f>
        <v>0</v>
      </c>
      <c r="L1031" s="30">
        <f>'Source Data'!L1047</f>
        <v>0</v>
      </c>
      <c r="M1031" s="30">
        <f>'Source Data'!M1047</f>
        <v>0</v>
      </c>
      <c r="N1031" s="30">
        <f>'Source Data'!N1047</f>
        <v>0</v>
      </c>
      <c r="O1031" s="30">
        <f>'Source Data'!O1047</f>
        <v>0</v>
      </c>
      <c r="P1031" s="30">
        <f>'Source Data'!P1047</f>
        <v>0</v>
      </c>
      <c r="Q1031" s="30">
        <f>'Source Data'!Q1047</f>
        <v>0</v>
      </c>
      <c r="R1031" s="30">
        <f>'Source Data'!R1047</f>
        <v>0</v>
      </c>
      <c r="S1031" s="30">
        <f>'Source Data'!S1047</f>
        <v>0</v>
      </c>
      <c r="T1031" s="30">
        <f>'Source Data'!T1047</f>
        <v>0</v>
      </c>
    </row>
    <row r="1032" spans="2:20" x14ac:dyDescent="0.25">
      <c r="B1032" s="23" t="s">
        <v>4132</v>
      </c>
      <c r="C1032" s="28" t="s">
        <v>493</v>
      </c>
      <c r="H1032" s="161">
        <f>0</f>
        <v>0</v>
      </c>
      <c r="I1032" s="161">
        <f>0</f>
        <v>0</v>
      </c>
      <c r="J1032" s="161">
        <f>0</f>
        <v>0</v>
      </c>
      <c r="K1032" s="161">
        <f>0</f>
        <v>0</v>
      </c>
      <c r="L1032" s="161">
        <f>0</f>
        <v>0</v>
      </c>
      <c r="M1032" s="161">
        <f>0</f>
        <v>0</v>
      </c>
      <c r="N1032" s="161">
        <f>0</f>
        <v>0</v>
      </c>
      <c r="O1032" s="161">
        <f>0</f>
        <v>0</v>
      </c>
      <c r="P1032" s="161">
        <f>0</f>
        <v>0</v>
      </c>
      <c r="Q1032" s="161">
        <f>0</f>
        <v>0</v>
      </c>
      <c r="R1032" s="161">
        <f>0</f>
        <v>0</v>
      </c>
      <c r="S1032" s="161">
        <f>0</f>
        <v>0</v>
      </c>
      <c r="T1032" s="161">
        <f>0</f>
        <v>0</v>
      </c>
    </row>
    <row r="1033" spans="2:20" x14ac:dyDescent="0.25">
      <c r="B1033" s="23" t="s">
        <v>4133</v>
      </c>
      <c r="C1033" s="28" t="s">
        <v>493</v>
      </c>
      <c r="H1033" s="161">
        <f t="shared" ref="H1033:T1033" si="174">ROUND(H1032-H1031,9)</f>
        <v>0</v>
      </c>
      <c r="I1033" s="161">
        <f t="shared" si="174"/>
        <v>0</v>
      </c>
      <c r="J1033" s="161">
        <f t="shared" si="174"/>
        <v>0</v>
      </c>
      <c r="K1033" s="161">
        <f t="shared" si="174"/>
        <v>0</v>
      </c>
      <c r="L1033" s="161">
        <f t="shared" si="174"/>
        <v>0</v>
      </c>
      <c r="M1033" s="161">
        <f t="shared" si="174"/>
        <v>0</v>
      </c>
      <c r="N1033" s="161">
        <f t="shared" si="174"/>
        <v>0</v>
      </c>
      <c r="O1033" s="161">
        <f t="shared" si="174"/>
        <v>0</v>
      </c>
      <c r="P1033" s="161">
        <f t="shared" si="174"/>
        <v>0</v>
      </c>
      <c r="Q1033" s="161">
        <f t="shared" si="174"/>
        <v>0</v>
      </c>
      <c r="R1033" s="161">
        <f t="shared" si="174"/>
        <v>0</v>
      </c>
      <c r="S1033" s="161">
        <f t="shared" si="174"/>
        <v>0</v>
      </c>
      <c r="T1033" s="161">
        <f t="shared" si="174"/>
        <v>0</v>
      </c>
    </row>
    <row r="1034" spans="2:20" x14ac:dyDescent="0.25">
      <c r="B1034" s="23" t="s">
        <v>4203</v>
      </c>
      <c r="C1034" s="28" t="s">
        <v>493</v>
      </c>
      <c r="H1034" s="30">
        <f>'Source Data'!H1048</f>
        <v>0</v>
      </c>
      <c r="I1034" s="30">
        <f>'Source Data'!I1048</f>
        <v>0</v>
      </c>
      <c r="J1034" s="30">
        <f>'Source Data'!J1048</f>
        <v>58.318173049888401</v>
      </c>
      <c r="K1034" s="30">
        <f>'Source Data'!K1048</f>
        <v>61.451394975607599</v>
      </c>
      <c r="L1034" s="30">
        <f>'Source Data'!L1048</f>
        <v>63.599345706404897</v>
      </c>
      <c r="M1034" s="30">
        <f>'Source Data'!M1048</f>
        <v>65.801357383619305</v>
      </c>
      <c r="N1034" s="30">
        <f>'Source Data'!N1048</f>
        <v>68.059051835643501</v>
      </c>
      <c r="O1034" s="30">
        <f>'Source Data'!O1048</f>
        <v>70.374099545721805</v>
      </c>
      <c r="P1034" s="30">
        <f>'Source Data'!P1048</f>
        <v>72.748221111595697</v>
      </c>
      <c r="Q1034" s="30">
        <f>'Source Data'!Q1048</f>
        <v>75.183188748939202</v>
      </c>
      <c r="R1034" s="30">
        <f>'Source Data'!R1048</f>
        <v>77.680827839896395</v>
      </c>
      <c r="S1034" s="30">
        <f>'Source Data'!S1048</f>
        <v>76.091988325407698</v>
      </c>
      <c r="T1034" s="30">
        <f>'Source Data'!T1048</f>
        <v>78.374747975169896</v>
      </c>
    </row>
    <row r="1035" spans="2:20" x14ac:dyDescent="0.25">
      <c r="B1035" s="23" t="s">
        <v>4135</v>
      </c>
      <c r="C1035" s="28" t="s">
        <v>493</v>
      </c>
      <c r="H1035" s="30">
        <f>'FSL Output - With BUMN'!H123</f>
        <v>0</v>
      </c>
      <c r="I1035" s="30">
        <f>'FSL Output - With BUMN'!I123</f>
        <v>0</v>
      </c>
      <c r="J1035" s="30">
        <f>'FSL Output - With BUMN'!J123</f>
        <v>58.318173049888365</v>
      </c>
      <c r="K1035" s="30">
        <f>'FSL Output - With BUMN'!K123</f>
        <v>61.45139497560762</v>
      </c>
      <c r="L1035" s="30">
        <f>'FSL Output - With BUMN'!L123</f>
        <v>63.599345706404833</v>
      </c>
      <c r="M1035" s="30">
        <f>'FSL Output - With BUMN'!M123</f>
        <v>65.801357383619276</v>
      </c>
      <c r="N1035" s="30">
        <f>'FSL Output - With BUMN'!N123</f>
        <v>68.059051835643473</v>
      </c>
      <c r="O1035" s="30">
        <f>'FSL Output - With BUMN'!O123</f>
        <v>70.374099545721748</v>
      </c>
      <c r="P1035" s="30">
        <f>'FSL Output - With BUMN'!P123</f>
        <v>72.748221111595697</v>
      </c>
      <c r="Q1035" s="30">
        <f>'FSL Output - With BUMN'!Q123</f>
        <v>75.183188748939216</v>
      </c>
      <c r="R1035" s="30">
        <f>'FSL Output - With BUMN'!R123</f>
        <v>77.680827839896338</v>
      </c>
      <c r="S1035" s="30">
        <f>'FSL Output - With BUMN'!S123</f>
        <v>76.091988325407698</v>
      </c>
      <c r="T1035" s="30">
        <f>'FSL Output - With BUMN'!T123</f>
        <v>78.374747975169939</v>
      </c>
    </row>
    <row r="1036" spans="2:20" x14ac:dyDescent="0.25">
      <c r="B1036" s="23" t="s">
        <v>4136</v>
      </c>
      <c r="C1036" s="28" t="s">
        <v>493</v>
      </c>
      <c r="H1036" s="161">
        <f t="shared" ref="H1036:T1036" si="175">ROUND(H1035-H1034,9)</f>
        <v>0</v>
      </c>
      <c r="I1036" s="161">
        <f t="shared" si="175"/>
        <v>0</v>
      </c>
      <c r="J1036" s="161">
        <f t="shared" si="175"/>
        <v>0</v>
      </c>
      <c r="K1036" s="161">
        <f t="shared" si="175"/>
        <v>0</v>
      </c>
      <c r="L1036" s="161">
        <f t="shared" si="175"/>
        <v>0</v>
      </c>
      <c r="M1036" s="161">
        <f t="shared" si="175"/>
        <v>0</v>
      </c>
      <c r="N1036" s="161">
        <f t="shared" si="175"/>
        <v>0</v>
      </c>
      <c r="O1036" s="161">
        <f t="shared" si="175"/>
        <v>0</v>
      </c>
      <c r="P1036" s="161">
        <f t="shared" si="175"/>
        <v>0</v>
      </c>
      <c r="Q1036" s="161">
        <f t="shared" si="175"/>
        <v>0</v>
      </c>
      <c r="R1036" s="161">
        <f t="shared" si="175"/>
        <v>0</v>
      </c>
      <c r="S1036" s="161">
        <f t="shared" si="175"/>
        <v>0</v>
      </c>
      <c r="T1036" s="161">
        <f t="shared" si="175"/>
        <v>0</v>
      </c>
    </row>
    <row r="1037" spans="2:20" x14ac:dyDescent="0.25">
      <c r="B1037" s="23" t="s">
        <v>4204</v>
      </c>
      <c r="C1037" s="28" t="s">
        <v>493</v>
      </c>
      <c r="H1037" s="30">
        <f>'Source Data'!H1049</f>
        <v>0</v>
      </c>
      <c r="I1037" s="30">
        <f>'Source Data'!I1049</f>
        <v>0</v>
      </c>
      <c r="J1037" s="30">
        <f>'Source Data'!J1049</f>
        <v>-12.8299980709754</v>
      </c>
      <c r="K1037" s="30">
        <f>'Source Data'!K1049</f>
        <v>-13.519306894633701</v>
      </c>
      <c r="L1037" s="30">
        <f>'Source Data'!L1049</f>
        <v>-13.9918560554091</v>
      </c>
      <c r="M1037" s="30">
        <f>'Source Data'!M1049</f>
        <v>-14.4762986243962</v>
      </c>
      <c r="N1037" s="30">
        <f>'Source Data'!N1049</f>
        <v>-14.972991403841601</v>
      </c>
      <c r="O1037" s="30">
        <f>'Source Data'!O1049</f>
        <v>-15.4823019000588</v>
      </c>
      <c r="P1037" s="30">
        <f>'Source Data'!P1049</f>
        <v>-16.004608644551102</v>
      </c>
      <c r="Q1037" s="30">
        <f>'Source Data'!Q1049</f>
        <v>-16.540301524766601</v>
      </c>
      <c r="R1037" s="30">
        <f>'Source Data'!R1049</f>
        <v>-17.089782124777201</v>
      </c>
      <c r="S1037" s="30">
        <f>'Source Data'!S1049</f>
        <v>-16.740237431589701</v>
      </c>
      <c r="T1037" s="30">
        <f>'Source Data'!T1049</f>
        <v>-17.2424445545374</v>
      </c>
    </row>
    <row r="1038" spans="2:20" x14ac:dyDescent="0.25">
      <c r="B1038" s="23" t="s">
        <v>4138</v>
      </c>
      <c r="C1038" s="28" t="s">
        <v>493</v>
      </c>
      <c r="H1038" s="161">
        <f>-'FSL Output - With BUMN'!H124</f>
        <v>0</v>
      </c>
      <c r="I1038" s="161">
        <f>-'FSL Output - With BUMN'!I124</f>
        <v>0</v>
      </c>
      <c r="J1038" s="161">
        <f>-'FSL Output - With BUMN'!J124</f>
        <v>-12.82999807097544</v>
      </c>
      <c r="K1038" s="161">
        <f>-'FSL Output - With BUMN'!K124</f>
        <v>-13.519306894633676</v>
      </c>
      <c r="L1038" s="161">
        <f>-'FSL Output - With BUMN'!L124</f>
        <v>-13.991856055409063</v>
      </c>
      <c r="M1038" s="161">
        <f>-'FSL Output - With BUMN'!M124</f>
        <v>-14.476298624396241</v>
      </c>
      <c r="N1038" s="161">
        <f>-'FSL Output - With BUMN'!N124</f>
        <v>-14.972991403841563</v>
      </c>
      <c r="O1038" s="161">
        <f>-'FSL Output - With BUMN'!O124</f>
        <v>-15.482301900058784</v>
      </c>
      <c r="P1038" s="161">
        <f>-'FSL Output - With BUMN'!P124</f>
        <v>-16.004608644551052</v>
      </c>
      <c r="Q1038" s="161">
        <f>-'FSL Output - With BUMN'!Q124</f>
        <v>-16.540301524766626</v>
      </c>
      <c r="R1038" s="161">
        <f>-'FSL Output - With BUMN'!R124</f>
        <v>-17.089782124777194</v>
      </c>
      <c r="S1038" s="161">
        <f>-'FSL Output - With BUMN'!S124</f>
        <v>-16.740237431589694</v>
      </c>
      <c r="T1038" s="161">
        <f>-'FSL Output - With BUMN'!T124</f>
        <v>-17.242444554537386</v>
      </c>
    </row>
    <row r="1039" spans="2:20" x14ac:dyDescent="0.25">
      <c r="B1039" s="23" t="s">
        <v>4139</v>
      </c>
      <c r="C1039" s="28" t="s">
        <v>493</v>
      </c>
      <c r="H1039" s="161">
        <f t="shared" ref="H1039:T1039" si="176">ROUND(H1038-H1037,9)</f>
        <v>0</v>
      </c>
      <c r="I1039" s="161">
        <f t="shared" si="176"/>
        <v>0</v>
      </c>
      <c r="J1039" s="161">
        <f t="shared" si="176"/>
        <v>0</v>
      </c>
      <c r="K1039" s="161">
        <f t="shared" si="176"/>
        <v>0</v>
      </c>
      <c r="L1039" s="161">
        <f t="shared" si="176"/>
        <v>0</v>
      </c>
      <c r="M1039" s="161">
        <f t="shared" si="176"/>
        <v>0</v>
      </c>
      <c r="N1039" s="161">
        <f t="shared" si="176"/>
        <v>0</v>
      </c>
      <c r="O1039" s="161">
        <f t="shared" si="176"/>
        <v>0</v>
      </c>
      <c r="P1039" s="161">
        <f t="shared" si="176"/>
        <v>0</v>
      </c>
      <c r="Q1039" s="161">
        <f t="shared" si="176"/>
        <v>0</v>
      </c>
      <c r="R1039" s="161">
        <f t="shared" si="176"/>
        <v>0</v>
      </c>
      <c r="S1039" s="161">
        <f t="shared" si="176"/>
        <v>0</v>
      </c>
      <c r="T1039" s="161">
        <f t="shared" si="176"/>
        <v>0</v>
      </c>
    </row>
    <row r="1040" spans="2:20" x14ac:dyDescent="0.25">
      <c r="B1040" s="23" t="s">
        <v>4205</v>
      </c>
      <c r="C1040" s="28" t="s">
        <v>493</v>
      </c>
      <c r="H1040" s="30">
        <f>'Source Data'!H1050</f>
        <v>0</v>
      </c>
      <c r="I1040" s="30">
        <f>'Source Data'!I1050</f>
        <v>0</v>
      </c>
      <c r="J1040" s="30">
        <f>'Source Data'!J1050</f>
        <v>45.488174978912902</v>
      </c>
      <c r="K1040" s="30">
        <f>'Source Data'!K1050</f>
        <v>47.932088080973998</v>
      </c>
      <c r="L1040" s="30">
        <f>'Source Data'!L1050</f>
        <v>49.607489650995802</v>
      </c>
      <c r="M1040" s="30">
        <f>'Source Data'!M1050</f>
        <v>51.325058759223097</v>
      </c>
      <c r="N1040" s="30">
        <f>'Source Data'!N1050</f>
        <v>53.086060431801897</v>
      </c>
      <c r="O1040" s="30">
        <f>'Source Data'!O1050</f>
        <v>54.891797645662997</v>
      </c>
      <c r="P1040" s="30">
        <f>'Source Data'!P1050</f>
        <v>56.743612467044699</v>
      </c>
      <c r="Q1040" s="30">
        <f>'Source Data'!Q1050</f>
        <v>58.642887224172597</v>
      </c>
      <c r="R1040" s="30">
        <f>'Source Data'!R1050</f>
        <v>60.591045715119201</v>
      </c>
      <c r="S1040" s="30">
        <f>'Source Data'!S1050</f>
        <v>59.351750893818</v>
      </c>
      <c r="T1040" s="30">
        <f>'Source Data'!T1050</f>
        <v>61.132303420632503</v>
      </c>
    </row>
    <row r="1041" spans="2:20" x14ac:dyDescent="0.25">
      <c r="B1041" s="23" t="s">
        <v>4141</v>
      </c>
      <c r="C1041" s="28" t="s">
        <v>493</v>
      </c>
      <c r="H1041" s="30">
        <f>'FSL Output - With BUMN'!H126</f>
        <v>0</v>
      </c>
      <c r="I1041" s="30">
        <f>'FSL Output - With BUMN'!I126</f>
        <v>0</v>
      </c>
      <c r="J1041" s="30">
        <f>'FSL Output - With BUMN'!J126</f>
        <v>45.488174978912923</v>
      </c>
      <c r="K1041" s="30">
        <f>'FSL Output - With BUMN'!K126</f>
        <v>47.932088080973941</v>
      </c>
      <c r="L1041" s="30">
        <f>'FSL Output - With BUMN'!L126</f>
        <v>49.607489650995774</v>
      </c>
      <c r="M1041" s="30">
        <f>'FSL Output - With BUMN'!M126</f>
        <v>51.325058759223033</v>
      </c>
      <c r="N1041" s="30">
        <f>'FSL Output - With BUMN'!N126</f>
        <v>53.086060431801911</v>
      </c>
      <c r="O1041" s="30">
        <f>'FSL Output - With BUMN'!O126</f>
        <v>54.891797645662962</v>
      </c>
      <c r="P1041" s="30">
        <f>'FSL Output - With BUMN'!P126</f>
        <v>56.743612467044642</v>
      </c>
      <c r="Q1041" s="30">
        <f>'FSL Output - With BUMN'!Q126</f>
        <v>58.64288722417259</v>
      </c>
      <c r="R1041" s="30">
        <f>'FSL Output - With BUMN'!R126</f>
        <v>60.591045715119144</v>
      </c>
      <c r="S1041" s="30">
        <f>'FSL Output - With BUMN'!S126</f>
        <v>59.351750893818007</v>
      </c>
      <c r="T1041" s="30">
        <f>'FSL Output - With BUMN'!T126</f>
        <v>61.132303420632553</v>
      </c>
    </row>
    <row r="1042" spans="2:20" x14ac:dyDescent="0.25">
      <c r="B1042" s="23" t="s">
        <v>4142</v>
      </c>
      <c r="C1042" s="28" t="s">
        <v>493</v>
      </c>
      <c r="H1042" s="161">
        <f t="shared" ref="H1042:T1042" si="177">ROUND(H1041-H1040,9)</f>
        <v>0</v>
      </c>
      <c r="I1042" s="161">
        <f t="shared" si="177"/>
        <v>0</v>
      </c>
      <c r="J1042" s="161">
        <f t="shared" si="177"/>
        <v>0</v>
      </c>
      <c r="K1042" s="161">
        <f t="shared" si="177"/>
        <v>0</v>
      </c>
      <c r="L1042" s="161">
        <f t="shared" si="177"/>
        <v>0</v>
      </c>
      <c r="M1042" s="161">
        <f t="shared" si="177"/>
        <v>0</v>
      </c>
      <c r="N1042" s="161">
        <f t="shared" si="177"/>
        <v>0</v>
      </c>
      <c r="O1042" s="161">
        <f t="shared" si="177"/>
        <v>0</v>
      </c>
      <c r="P1042" s="161">
        <f t="shared" si="177"/>
        <v>0</v>
      </c>
      <c r="Q1042" s="161">
        <f t="shared" si="177"/>
        <v>0</v>
      </c>
      <c r="R1042" s="161">
        <f t="shared" si="177"/>
        <v>0</v>
      </c>
      <c r="S1042" s="161">
        <f t="shared" si="177"/>
        <v>0</v>
      </c>
      <c r="T1042" s="161">
        <f t="shared" si="177"/>
        <v>0</v>
      </c>
    </row>
    <row r="1044" spans="2:20" x14ac:dyDescent="0.25">
      <c r="B1044" s="221" t="s">
        <v>4206</v>
      </c>
      <c r="C1044" s="235"/>
      <c r="D1044" s="235"/>
      <c r="E1044" s="224" t="str">
        <f>IF(F1044&lt;=Inputs!$E$50,"Matches v29",IF($E$21&gt;0,"Differs - inputs changed","UNEXPLAINED"))</f>
        <v>Matches v29</v>
      </c>
      <c r="F1044" s="225">
        <f>MAX(MAX(H1047:T1047),-MIN(H1047:T1047),MAX(H1050:T1050),-MIN(H1050:T1050),MAX(H1053:T1053),-MIN(H1053:T1053),MAX(H1056:T1056),-MIN(H1056:T1056),MAX(H1059:T1059),-MIN(H1059:T1059),MAX(H1062:T1062),-MIN(H1062:T1062),MAX(H1065:T1065),-MIN(H1065:T1065),MAX(H1068:T1068),-MIN(H1068:T1068))</f>
        <v>0</v>
      </c>
      <c r="G1044" s="226">
        <f>MAX(MAX(H1047:T1047),-MIN(H1047:T1047),MAX(H1050:T1050),-MIN(H1050:T1050),MAX(H1053:T1053),-MIN(H1053:T1053),MAX(H1056:T1056),-MIN(H1056:T1056),MAX(H1059:T1059),-MIN(H1059:T1059),MAX(H1062:T1062),-MIN(H1062:T1062),MAX(H1065:T1065),-MIN(H1065:T1065),MAX(H1068:T1068),-MIN(H1068:T1068))</f>
        <v>0</v>
      </c>
    </row>
    <row r="1045" spans="2:20" x14ac:dyDescent="0.25">
      <c r="B1045" s="23" t="s">
        <v>4207</v>
      </c>
      <c r="C1045" s="28" t="s">
        <v>493</v>
      </c>
      <c r="H1045" s="30">
        <f>'Source Data'!H1052</f>
        <v>0</v>
      </c>
      <c r="I1045" s="30">
        <f>'Source Data'!I1052</f>
        <v>0</v>
      </c>
      <c r="J1045" s="30">
        <f>'Source Data'!J1052</f>
        <v>0</v>
      </c>
      <c r="K1045" s="30">
        <f>'Source Data'!K1052</f>
        <v>53.023781999999997</v>
      </c>
      <c r="L1045" s="30">
        <f>'Source Data'!L1052</f>
        <v>54.614495460000001</v>
      </c>
      <c r="M1045" s="30">
        <f>'Source Data'!M1052</f>
        <v>56.252930323800001</v>
      </c>
      <c r="N1045" s="30">
        <f>'Source Data'!N1052</f>
        <v>57.940518233513998</v>
      </c>
      <c r="O1045" s="30">
        <f>'Source Data'!O1052</f>
        <v>59.678733780519401</v>
      </c>
      <c r="P1045" s="30">
        <f>'Source Data'!P1052</f>
        <v>61.469095793934997</v>
      </c>
      <c r="Q1045" s="30">
        <f>'Source Data'!Q1052</f>
        <v>63.313168667753096</v>
      </c>
      <c r="R1045" s="30">
        <f>'Source Data'!R1052</f>
        <v>65.212563727785707</v>
      </c>
      <c r="S1045" s="30">
        <f>'Source Data'!S1052</f>
        <v>67.168940639619194</v>
      </c>
      <c r="T1045" s="30">
        <f>'Source Data'!T1052</f>
        <v>69.1840088588078</v>
      </c>
    </row>
    <row r="1046" spans="2:20" x14ac:dyDescent="0.25">
      <c r="B1046" s="23" t="s">
        <v>4120</v>
      </c>
      <c r="C1046" s="28" t="s">
        <v>493</v>
      </c>
      <c r="H1046" s="30">
        <f>'Revenue Calculation'!H111</f>
        <v>0</v>
      </c>
      <c r="I1046" s="30">
        <f>'Revenue Calculation'!I111</f>
        <v>0</v>
      </c>
      <c r="J1046" s="30">
        <f>'Revenue Calculation'!J111</f>
        <v>0</v>
      </c>
      <c r="K1046" s="30">
        <f>'Revenue Calculation'!K111</f>
        <v>53.023781999999997</v>
      </c>
      <c r="L1046" s="30">
        <f>'Revenue Calculation'!L111</f>
        <v>54.614495459999993</v>
      </c>
      <c r="M1046" s="30">
        <f>'Revenue Calculation'!M111</f>
        <v>56.252930323800008</v>
      </c>
      <c r="N1046" s="30">
        <f>'Revenue Calculation'!N111</f>
        <v>57.940518233513998</v>
      </c>
      <c r="O1046" s="30">
        <f>'Revenue Calculation'!O111</f>
        <v>59.67873378051943</v>
      </c>
      <c r="P1046" s="30">
        <f>'Revenue Calculation'!P111</f>
        <v>61.469095793935011</v>
      </c>
      <c r="Q1046" s="30">
        <f>'Revenue Calculation'!Q111</f>
        <v>63.313168667753068</v>
      </c>
      <c r="R1046" s="30">
        <f>'Revenue Calculation'!R111</f>
        <v>65.21256372778565</v>
      </c>
      <c r="S1046" s="30">
        <f>'Revenue Calculation'!S111</f>
        <v>67.168940639619237</v>
      </c>
      <c r="T1046" s="30">
        <f>'Revenue Calculation'!T111</f>
        <v>69.1840088588078</v>
      </c>
    </row>
    <row r="1047" spans="2:20" x14ac:dyDescent="0.25">
      <c r="B1047" s="23" t="s">
        <v>4121</v>
      </c>
      <c r="C1047" s="28" t="s">
        <v>493</v>
      </c>
      <c r="H1047" s="161">
        <f t="shared" ref="H1047:T1047" si="178">ROUND(H1046-H1045,9)</f>
        <v>0</v>
      </c>
      <c r="I1047" s="161">
        <f t="shared" si="178"/>
        <v>0</v>
      </c>
      <c r="J1047" s="161">
        <f t="shared" si="178"/>
        <v>0</v>
      </c>
      <c r="K1047" s="161">
        <f t="shared" si="178"/>
        <v>0</v>
      </c>
      <c r="L1047" s="161">
        <f t="shared" si="178"/>
        <v>0</v>
      </c>
      <c r="M1047" s="161">
        <f t="shared" si="178"/>
        <v>0</v>
      </c>
      <c r="N1047" s="161">
        <f t="shared" si="178"/>
        <v>0</v>
      </c>
      <c r="O1047" s="161">
        <f t="shared" si="178"/>
        <v>0</v>
      </c>
      <c r="P1047" s="161">
        <f t="shared" si="178"/>
        <v>0</v>
      </c>
      <c r="Q1047" s="161">
        <f t="shared" si="178"/>
        <v>0</v>
      </c>
      <c r="R1047" s="161">
        <f t="shared" si="178"/>
        <v>0</v>
      </c>
      <c r="S1047" s="161">
        <f t="shared" si="178"/>
        <v>0</v>
      </c>
      <c r="T1047" s="161">
        <f t="shared" si="178"/>
        <v>0</v>
      </c>
    </row>
    <row r="1048" spans="2:20" x14ac:dyDescent="0.25">
      <c r="B1048" s="23" t="s">
        <v>4208</v>
      </c>
      <c r="C1048" s="28" t="s">
        <v>493</v>
      </c>
      <c r="H1048" s="30">
        <f>'Source Data'!H1053</f>
        <v>0</v>
      </c>
      <c r="I1048" s="30">
        <f>'Source Data'!I1053</f>
        <v>0</v>
      </c>
      <c r="J1048" s="30">
        <f>'Source Data'!J1053</f>
        <v>0</v>
      </c>
      <c r="K1048" s="30">
        <f>'Source Data'!K1053</f>
        <v>-5.3023781999999997</v>
      </c>
      <c r="L1048" s="30">
        <f>'Source Data'!L1053</f>
        <v>-5.4614495459999999</v>
      </c>
      <c r="M1048" s="30">
        <f>'Source Data'!M1053</f>
        <v>-5.6252930323800001</v>
      </c>
      <c r="N1048" s="30">
        <f>'Source Data'!N1053</f>
        <v>-5.7940518233514</v>
      </c>
      <c r="O1048" s="30">
        <f>'Source Data'!O1053</f>
        <v>-5.96787337805194</v>
      </c>
      <c r="P1048" s="30">
        <f>'Source Data'!P1053</f>
        <v>-6.1469095793935002</v>
      </c>
      <c r="Q1048" s="30">
        <f>'Source Data'!Q1053</f>
        <v>-6.3313168667753104</v>
      </c>
      <c r="R1048" s="30">
        <f>'Source Data'!R1053</f>
        <v>-6.52125637277857</v>
      </c>
      <c r="S1048" s="30">
        <f>'Source Data'!S1053</f>
        <v>-6.7168940639619201</v>
      </c>
      <c r="T1048" s="30">
        <f>'Source Data'!T1053</f>
        <v>-6.9184008858807804</v>
      </c>
    </row>
    <row r="1049" spans="2:20" x14ac:dyDescent="0.25">
      <c r="B1049" s="23" t="s">
        <v>4123</v>
      </c>
      <c r="C1049" s="28" t="s">
        <v>493</v>
      </c>
      <c r="H1049" s="161">
        <f>-('Cost Calculation'!H143)</f>
        <v>0</v>
      </c>
      <c r="I1049" s="161">
        <f>-('Cost Calculation'!I143)</f>
        <v>0</v>
      </c>
      <c r="J1049" s="161">
        <f>-('Cost Calculation'!J143)</f>
        <v>0</v>
      </c>
      <c r="K1049" s="161">
        <f>-('Cost Calculation'!K143)</f>
        <v>-5.3023781999999997</v>
      </c>
      <c r="L1049" s="161">
        <f>-('Cost Calculation'!L143)</f>
        <v>-5.4614495459999999</v>
      </c>
      <c r="M1049" s="161">
        <f>-('Cost Calculation'!M143)</f>
        <v>-5.625293032380001</v>
      </c>
      <c r="N1049" s="161">
        <f>-('Cost Calculation'!N143)</f>
        <v>-5.7940518233514</v>
      </c>
      <c r="O1049" s="161">
        <f>-('Cost Calculation'!O143)</f>
        <v>-5.9678733780519435</v>
      </c>
      <c r="P1049" s="161">
        <f>-('Cost Calculation'!P143)</f>
        <v>-6.1469095793935011</v>
      </c>
      <c r="Q1049" s="161">
        <f>-('Cost Calculation'!Q143)</f>
        <v>-6.3313168667753068</v>
      </c>
      <c r="R1049" s="161">
        <f>-('Cost Calculation'!R143)</f>
        <v>-6.5212563727785655</v>
      </c>
      <c r="S1049" s="161">
        <f>-('Cost Calculation'!S143)</f>
        <v>-6.7168940639619237</v>
      </c>
      <c r="T1049" s="161">
        <f>-('Cost Calculation'!T143)</f>
        <v>-6.9184008858807804</v>
      </c>
    </row>
    <row r="1050" spans="2:20" x14ac:dyDescent="0.25">
      <c r="B1050" s="23" t="s">
        <v>4124</v>
      </c>
      <c r="C1050" s="28" t="s">
        <v>493</v>
      </c>
      <c r="H1050" s="161">
        <f t="shared" ref="H1050:T1050" si="179">ROUND(H1049-H1048,9)</f>
        <v>0</v>
      </c>
      <c r="I1050" s="161">
        <f t="shared" si="179"/>
        <v>0</v>
      </c>
      <c r="J1050" s="161">
        <f t="shared" si="179"/>
        <v>0</v>
      </c>
      <c r="K1050" s="161">
        <f t="shared" si="179"/>
        <v>0</v>
      </c>
      <c r="L1050" s="161">
        <f t="shared" si="179"/>
        <v>0</v>
      </c>
      <c r="M1050" s="161">
        <f t="shared" si="179"/>
        <v>0</v>
      </c>
      <c r="N1050" s="161">
        <f t="shared" si="179"/>
        <v>0</v>
      </c>
      <c r="O1050" s="161">
        <f t="shared" si="179"/>
        <v>0</v>
      </c>
      <c r="P1050" s="161">
        <f t="shared" si="179"/>
        <v>0</v>
      </c>
      <c r="Q1050" s="161">
        <f t="shared" si="179"/>
        <v>0</v>
      </c>
      <c r="R1050" s="161">
        <f t="shared" si="179"/>
        <v>0</v>
      </c>
      <c r="S1050" s="161">
        <f t="shared" si="179"/>
        <v>0</v>
      </c>
      <c r="T1050" s="161">
        <f t="shared" si="179"/>
        <v>0</v>
      </c>
    </row>
    <row r="1051" spans="2:20" x14ac:dyDescent="0.25">
      <c r="B1051" s="23" t="s">
        <v>4209</v>
      </c>
      <c r="C1051" s="28" t="s">
        <v>493</v>
      </c>
      <c r="H1051" s="30">
        <f>'Source Data'!H1054</f>
        <v>0</v>
      </c>
      <c r="I1051" s="30">
        <f>'Source Data'!I1054</f>
        <v>0</v>
      </c>
      <c r="J1051" s="30">
        <f>'Source Data'!J1054</f>
        <v>0</v>
      </c>
      <c r="K1051" s="30">
        <f>'Source Data'!K1054</f>
        <v>-26.511890999999999</v>
      </c>
      <c r="L1051" s="30">
        <f>'Source Data'!L1054</f>
        <v>-27.30724773</v>
      </c>
      <c r="M1051" s="30">
        <f>'Source Data'!M1054</f>
        <v>-28.126465161900001</v>
      </c>
      <c r="N1051" s="30">
        <f>'Source Data'!N1054</f>
        <v>-28.970259116756999</v>
      </c>
      <c r="O1051" s="30">
        <f>'Source Data'!O1054</f>
        <v>-29.839366890259701</v>
      </c>
      <c r="P1051" s="30">
        <f>'Source Data'!P1054</f>
        <v>-30.734547896967499</v>
      </c>
      <c r="Q1051" s="30">
        <f>'Source Data'!Q1054</f>
        <v>-31.656584333876499</v>
      </c>
      <c r="R1051" s="30">
        <f>'Source Data'!R1054</f>
        <v>-32.606281863892796</v>
      </c>
      <c r="S1051" s="30">
        <f>'Source Data'!S1054</f>
        <v>-33.584470319809597</v>
      </c>
      <c r="T1051" s="30">
        <f>'Source Data'!T1054</f>
        <v>-34.5920044294039</v>
      </c>
    </row>
    <row r="1052" spans="2:20" x14ac:dyDescent="0.25">
      <c r="B1052" s="23" t="s">
        <v>4126</v>
      </c>
      <c r="C1052" s="28" t="s">
        <v>493</v>
      </c>
      <c r="H1052" s="161">
        <f>-('Cost Calculation'!H144)</f>
        <v>0</v>
      </c>
      <c r="I1052" s="161">
        <f>-('Cost Calculation'!I144)</f>
        <v>0</v>
      </c>
      <c r="J1052" s="161">
        <f>-('Cost Calculation'!J144)</f>
        <v>0</v>
      </c>
      <c r="K1052" s="161">
        <f>-('Cost Calculation'!K144)</f>
        <v>-26.511890999999999</v>
      </c>
      <c r="L1052" s="161">
        <f>-('Cost Calculation'!L144)</f>
        <v>-27.307247729999997</v>
      </c>
      <c r="M1052" s="161">
        <f>-('Cost Calculation'!M144)</f>
        <v>-28.126465161900004</v>
      </c>
      <c r="N1052" s="161">
        <f>-('Cost Calculation'!N144)</f>
        <v>-28.970259116756999</v>
      </c>
      <c r="O1052" s="161">
        <f>-('Cost Calculation'!O144)</f>
        <v>-29.839366890259715</v>
      </c>
      <c r="P1052" s="161">
        <f>-('Cost Calculation'!P144)</f>
        <v>-30.734547896967506</v>
      </c>
      <c r="Q1052" s="161">
        <f>-('Cost Calculation'!Q144)</f>
        <v>-31.656584333876534</v>
      </c>
      <c r="R1052" s="161">
        <f>-('Cost Calculation'!R144)</f>
        <v>-32.606281863892825</v>
      </c>
      <c r="S1052" s="161">
        <f>-('Cost Calculation'!S144)</f>
        <v>-33.584470319809618</v>
      </c>
      <c r="T1052" s="161">
        <f>-('Cost Calculation'!T144)</f>
        <v>-34.5920044294039</v>
      </c>
    </row>
    <row r="1053" spans="2:20" x14ac:dyDescent="0.25">
      <c r="B1053" s="23" t="s">
        <v>4127</v>
      </c>
      <c r="C1053" s="28" t="s">
        <v>493</v>
      </c>
      <c r="H1053" s="161">
        <f t="shared" ref="H1053:T1053" si="180">ROUND(H1052-H1051,9)</f>
        <v>0</v>
      </c>
      <c r="I1053" s="161">
        <f t="shared" si="180"/>
        <v>0</v>
      </c>
      <c r="J1053" s="161">
        <f t="shared" si="180"/>
        <v>0</v>
      </c>
      <c r="K1053" s="161">
        <f t="shared" si="180"/>
        <v>0</v>
      </c>
      <c r="L1053" s="161">
        <f t="shared" si="180"/>
        <v>0</v>
      </c>
      <c r="M1053" s="161">
        <f t="shared" si="180"/>
        <v>0</v>
      </c>
      <c r="N1053" s="161">
        <f t="shared" si="180"/>
        <v>0</v>
      </c>
      <c r="O1053" s="161">
        <f t="shared" si="180"/>
        <v>0</v>
      </c>
      <c r="P1053" s="161">
        <f t="shared" si="180"/>
        <v>0</v>
      </c>
      <c r="Q1053" s="161">
        <f t="shared" si="180"/>
        <v>0</v>
      </c>
      <c r="R1053" s="161">
        <f t="shared" si="180"/>
        <v>0</v>
      </c>
      <c r="S1053" s="161">
        <f t="shared" si="180"/>
        <v>0</v>
      </c>
      <c r="T1053" s="161">
        <f t="shared" si="180"/>
        <v>0</v>
      </c>
    </row>
    <row r="1054" spans="2:20" x14ac:dyDescent="0.25">
      <c r="B1054" s="23" t="s">
        <v>4210</v>
      </c>
      <c r="C1054" s="28" t="s">
        <v>493</v>
      </c>
      <c r="H1054" s="30">
        <f>'Source Data'!H1055</f>
        <v>0</v>
      </c>
      <c r="I1054" s="30">
        <f>'Source Data'!I1055</f>
        <v>0</v>
      </c>
      <c r="J1054" s="30">
        <f>'Source Data'!J1055</f>
        <v>0</v>
      </c>
      <c r="K1054" s="30">
        <f>'Source Data'!K1055</f>
        <v>0</v>
      </c>
      <c r="L1054" s="30">
        <f>'Source Data'!L1055</f>
        <v>0</v>
      </c>
      <c r="M1054" s="30">
        <f>'Source Data'!M1055</f>
        <v>0</v>
      </c>
      <c r="N1054" s="30">
        <f>'Source Data'!N1055</f>
        <v>0</v>
      </c>
      <c r="O1054" s="30">
        <f>'Source Data'!O1055</f>
        <v>0</v>
      </c>
      <c r="P1054" s="30">
        <f>'Source Data'!P1055</f>
        <v>0</v>
      </c>
      <c r="Q1054" s="30">
        <f>'Source Data'!Q1055</f>
        <v>0</v>
      </c>
      <c r="R1054" s="30">
        <f>'Source Data'!R1055</f>
        <v>0</v>
      </c>
      <c r="S1054" s="30">
        <f>'Source Data'!S1055</f>
        <v>0</v>
      </c>
      <c r="T1054" s="30">
        <f>'Source Data'!T1055</f>
        <v>0</v>
      </c>
    </row>
    <row r="1055" spans="2:20" x14ac:dyDescent="0.25">
      <c r="B1055" s="23" t="s">
        <v>4129</v>
      </c>
      <c r="C1055" s="28" t="s">
        <v>493</v>
      </c>
      <c r="H1055" s="161">
        <f>-('Capex &amp; Depreciation'!H237)</f>
        <v>0</v>
      </c>
      <c r="I1055" s="161">
        <f>-('Capex &amp; Depreciation'!I237)</f>
        <v>0</v>
      </c>
      <c r="J1055" s="161">
        <f>-('Capex &amp; Depreciation'!J237)</f>
        <v>0</v>
      </c>
      <c r="K1055" s="161">
        <f>-('Capex &amp; Depreciation'!K237)</f>
        <v>0</v>
      </c>
      <c r="L1055" s="161">
        <f>-('Capex &amp; Depreciation'!L237)</f>
        <v>0</v>
      </c>
      <c r="M1055" s="161">
        <f>-('Capex &amp; Depreciation'!M237)</f>
        <v>0</v>
      </c>
      <c r="N1055" s="161">
        <f>-('Capex &amp; Depreciation'!N237)</f>
        <v>0</v>
      </c>
      <c r="O1055" s="161">
        <f>-('Capex &amp; Depreciation'!O237)</f>
        <v>0</v>
      </c>
      <c r="P1055" s="161">
        <f>-('Capex &amp; Depreciation'!P237)</f>
        <v>0</v>
      </c>
      <c r="Q1055" s="161">
        <f>-('Capex &amp; Depreciation'!Q237)</f>
        <v>0</v>
      </c>
      <c r="R1055" s="161">
        <f>-('Capex &amp; Depreciation'!R237)</f>
        <v>0</v>
      </c>
      <c r="S1055" s="161">
        <f>-('Capex &amp; Depreciation'!S237)</f>
        <v>0</v>
      </c>
      <c r="T1055" s="161">
        <f>-('Capex &amp; Depreciation'!T237)</f>
        <v>0</v>
      </c>
    </row>
    <row r="1056" spans="2:20" x14ac:dyDescent="0.25">
      <c r="B1056" s="23" t="s">
        <v>4130</v>
      </c>
      <c r="C1056" s="28" t="s">
        <v>493</v>
      </c>
      <c r="H1056" s="161">
        <f t="shared" ref="H1056:T1056" si="181">ROUND(H1055-H1054,9)</f>
        <v>0</v>
      </c>
      <c r="I1056" s="161">
        <f t="shared" si="181"/>
        <v>0</v>
      </c>
      <c r="J1056" s="161">
        <f t="shared" si="181"/>
        <v>0</v>
      </c>
      <c r="K1056" s="161">
        <f t="shared" si="181"/>
        <v>0</v>
      </c>
      <c r="L1056" s="161">
        <f t="shared" si="181"/>
        <v>0</v>
      </c>
      <c r="M1056" s="161">
        <f t="shared" si="181"/>
        <v>0</v>
      </c>
      <c r="N1056" s="161">
        <f t="shared" si="181"/>
        <v>0</v>
      </c>
      <c r="O1056" s="161">
        <f t="shared" si="181"/>
        <v>0</v>
      </c>
      <c r="P1056" s="161">
        <f t="shared" si="181"/>
        <v>0</v>
      </c>
      <c r="Q1056" s="161">
        <f t="shared" si="181"/>
        <v>0</v>
      </c>
      <c r="R1056" s="161">
        <f t="shared" si="181"/>
        <v>0</v>
      </c>
      <c r="S1056" s="161">
        <f t="shared" si="181"/>
        <v>0</v>
      </c>
      <c r="T1056" s="161">
        <f t="shared" si="181"/>
        <v>0</v>
      </c>
    </row>
    <row r="1057" spans="2:20" x14ac:dyDescent="0.25">
      <c r="B1057" s="23" t="s">
        <v>4211</v>
      </c>
      <c r="C1057" s="28" t="s">
        <v>493</v>
      </c>
      <c r="H1057" s="30">
        <f>'Source Data'!H1056</f>
        <v>0</v>
      </c>
      <c r="I1057" s="30">
        <f>'Source Data'!I1056</f>
        <v>0</v>
      </c>
      <c r="J1057" s="30">
        <f>'Source Data'!J1056</f>
        <v>0</v>
      </c>
      <c r="K1057" s="30">
        <f>'Source Data'!K1056</f>
        <v>0</v>
      </c>
      <c r="L1057" s="30">
        <f>'Source Data'!L1056</f>
        <v>0</v>
      </c>
      <c r="M1057" s="30">
        <f>'Source Data'!M1056</f>
        <v>0</v>
      </c>
      <c r="N1057" s="30">
        <f>'Source Data'!N1056</f>
        <v>0</v>
      </c>
      <c r="O1057" s="30">
        <f>'Source Data'!O1056</f>
        <v>0</v>
      </c>
      <c r="P1057" s="30">
        <f>'Source Data'!P1056</f>
        <v>0</v>
      </c>
      <c r="Q1057" s="30">
        <f>'Source Data'!Q1056</f>
        <v>0</v>
      </c>
      <c r="R1057" s="30">
        <f>'Source Data'!R1056</f>
        <v>0</v>
      </c>
      <c r="S1057" s="30">
        <f>'Source Data'!S1056</f>
        <v>0</v>
      </c>
      <c r="T1057" s="30">
        <f>'Source Data'!T1056</f>
        <v>0</v>
      </c>
    </row>
    <row r="1058" spans="2:20" x14ac:dyDescent="0.25">
      <c r="B1058" s="23" t="s">
        <v>4132</v>
      </c>
      <c r="C1058" s="28" t="s">
        <v>493</v>
      </c>
      <c r="H1058" s="161">
        <f>0</f>
        <v>0</v>
      </c>
      <c r="I1058" s="161">
        <f>0</f>
        <v>0</v>
      </c>
      <c r="J1058" s="161">
        <f>0</f>
        <v>0</v>
      </c>
      <c r="K1058" s="161">
        <f>0</f>
        <v>0</v>
      </c>
      <c r="L1058" s="161">
        <f>0</f>
        <v>0</v>
      </c>
      <c r="M1058" s="161">
        <f>0</f>
        <v>0</v>
      </c>
      <c r="N1058" s="161">
        <f>0</f>
        <v>0</v>
      </c>
      <c r="O1058" s="161">
        <f>0</f>
        <v>0</v>
      </c>
      <c r="P1058" s="161">
        <f>0</f>
        <v>0</v>
      </c>
      <c r="Q1058" s="161">
        <f>0</f>
        <v>0</v>
      </c>
      <c r="R1058" s="161">
        <f>0</f>
        <v>0</v>
      </c>
      <c r="S1058" s="161">
        <f>0</f>
        <v>0</v>
      </c>
      <c r="T1058" s="161">
        <f>0</f>
        <v>0</v>
      </c>
    </row>
    <row r="1059" spans="2:20" x14ac:dyDescent="0.25">
      <c r="B1059" s="23" t="s">
        <v>4133</v>
      </c>
      <c r="C1059" s="28" t="s">
        <v>493</v>
      </c>
      <c r="H1059" s="161">
        <f t="shared" ref="H1059:T1059" si="182">ROUND(H1058-H1057,9)</f>
        <v>0</v>
      </c>
      <c r="I1059" s="161">
        <f t="shared" si="182"/>
        <v>0</v>
      </c>
      <c r="J1059" s="161">
        <f t="shared" si="182"/>
        <v>0</v>
      </c>
      <c r="K1059" s="161">
        <f t="shared" si="182"/>
        <v>0</v>
      </c>
      <c r="L1059" s="161">
        <f t="shared" si="182"/>
        <v>0</v>
      </c>
      <c r="M1059" s="161">
        <f t="shared" si="182"/>
        <v>0</v>
      </c>
      <c r="N1059" s="161">
        <f t="shared" si="182"/>
        <v>0</v>
      </c>
      <c r="O1059" s="161">
        <f t="shared" si="182"/>
        <v>0</v>
      </c>
      <c r="P1059" s="161">
        <f t="shared" si="182"/>
        <v>0</v>
      </c>
      <c r="Q1059" s="161">
        <f t="shared" si="182"/>
        <v>0</v>
      </c>
      <c r="R1059" s="161">
        <f t="shared" si="182"/>
        <v>0</v>
      </c>
      <c r="S1059" s="161">
        <f t="shared" si="182"/>
        <v>0</v>
      </c>
      <c r="T1059" s="161">
        <f t="shared" si="182"/>
        <v>0</v>
      </c>
    </row>
    <row r="1060" spans="2:20" x14ac:dyDescent="0.25">
      <c r="B1060" s="23" t="s">
        <v>4212</v>
      </c>
      <c r="C1060" s="28" t="s">
        <v>493</v>
      </c>
      <c r="H1060" s="30">
        <f>'Source Data'!H1057</f>
        <v>0</v>
      </c>
      <c r="I1060" s="30">
        <f>'Source Data'!I1057</f>
        <v>0</v>
      </c>
      <c r="J1060" s="30">
        <f>'Source Data'!J1057</f>
        <v>0</v>
      </c>
      <c r="K1060" s="30">
        <f>'Source Data'!K1057</f>
        <v>21.209512799999999</v>
      </c>
      <c r="L1060" s="30">
        <f>'Source Data'!L1057</f>
        <v>21.845798184</v>
      </c>
      <c r="M1060" s="30">
        <f>'Source Data'!M1057</f>
        <v>22.50117212952</v>
      </c>
      <c r="N1060" s="30">
        <f>'Source Data'!N1057</f>
        <v>23.1762072934056</v>
      </c>
      <c r="O1060" s="30">
        <f>'Source Data'!O1057</f>
        <v>23.871493512207799</v>
      </c>
      <c r="P1060" s="30">
        <f>'Source Data'!P1057</f>
        <v>24.587638317574001</v>
      </c>
      <c r="Q1060" s="30">
        <f>'Source Data'!Q1057</f>
        <v>25.325267467101199</v>
      </c>
      <c r="R1060" s="30">
        <f>'Source Data'!R1057</f>
        <v>26.085025491114301</v>
      </c>
      <c r="S1060" s="30">
        <f>'Source Data'!S1057</f>
        <v>26.867576255847698</v>
      </c>
      <c r="T1060" s="30">
        <f>'Source Data'!T1057</f>
        <v>27.6736035435231</v>
      </c>
    </row>
    <row r="1061" spans="2:20" x14ac:dyDescent="0.25">
      <c r="B1061" s="23" t="s">
        <v>4135</v>
      </c>
      <c r="C1061" s="28" t="s">
        <v>493</v>
      </c>
      <c r="H1061" s="30">
        <f>'FSL Output - With BUMN'!H128</f>
        <v>0</v>
      </c>
      <c r="I1061" s="30">
        <f>'FSL Output - With BUMN'!I128</f>
        <v>0</v>
      </c>
      <c r="J1061" s="30">
        <f>'FSL Output - With BUMN'!J128</f>
        <v>0</v>
      </c>
      <c r="K1061" s="30">
        <f>'FSL Output - With BUMN'!K128</f>
        <v>21.209512799999999</v>
      </c>
      <c r="L1061" s="30">
        <f>'FSL Output - With BUMN'!L128</f>
        <v>21.845798184</v>
      </c>
      <c r="M1061" s="30">
        <f>'FSL Output - With BUMN'!M128</f>
        <v>22.501172129520004</v>
      </c>
      <c r="N1061" s="30">
        <f>'FSL Output - With BUMN'!N128</f>
        <v>23.176207293405596</v>
      </c>
      <c r="O1061" s="30">
        <f>'FSL Output - With BUMN'!O128</f>
        <v>23.871493512207774</v>
      </c>
      <c r="P1061" s="30">
        <f>'FSL Output - With BUMN'!P128</f>
        <v>24.587638317574005</v>
      </c>
      <c r="Q1061" s="30">
        <f>'FSL Output - With BUMN'!Q128</f>
        <v>25.325267467101231</v>
      </c>
      <c r="R1061" s="30">
        <f>'FSL Output - With BUMN'!R128</f>
        <v>26.085025491114259</v>
      </c>
      <c r="S1061" s="30">
        <f>'FSL Output - With BUMN'!S128</f>
        <v>26.867576255847695</v>
      </c>
      <c r="T1061" s="30">
        <f>'FSL Output - With BUMN'!T128</f>
        <v>27.673603543523122</v>
      </c>
    </row>
    <row r="1062" spans="2:20" x14ac:dyDescent="0.25">
      <c r="B1062" s="23" t="s">
        <v>4136</v>
      </c>
      <c r="C1062" s="28" t="s">
        <v>493</v>
      </c>
      <c r="H1062" s="161">
        <f t="shared" ref="H1062:T1062" si="183">ROUND(H1061-H1060,9)</f>
        <v>0</v>
      </c>
      <c r="I1062" s="161">
        <f t="shared" si="183"/>
        <v>0</v>
      </c>
      <c r="J1062" s="161">
        <f t="shared" si="183"/>
        <v>0</v>
      </c>
      <c r="K1062" s="161">
        <f t="shared" si="183"/>
        <v>0</v>
      </c>
      <c r="L1062" s="161">
        <f t="shared" si="183"/>
        <v>0</v>
      </c>
      <c r="M1062" s="161">
        <f t="shared" si="183"/>
        <v>0</v>
      </c>
      <c r="N1062" s="161">
        <f t="shared" si="183"/>
        <v>0</v>
      </c>
      <c r="O1062" s="161">
        <f t="shared" si="183"/>
        <v>0</v>
      </c>
      <c r="P1062" s="161">
        <f t="shared" si="183"/>
        <v>0</v>
      </c>
      <c r="Q1062" s="161">
        <f t="shared" si="183"/>
        <v>0</v>
      </c>
      <c r="R1062" s="161">
        <f t="shared" si="183"/>
        <v>0</v>
      </c>
      <c r="S1062" s="161">
        <f t="shared" si="183"/>
        <v>0</v>
      </c>
      <c r="T1062" s="161">
        <f t="shared" si="183"/>
        <v>0</v>
      </c>
    </row>
    <row r="1063" spans="2:20" x14ac:dyDescent="0.25">
      <c r="B1063" s="23" t="s">
        <v>4213</v>
      </c>
      <c r="C1063" s="28" t="s">
        <v>493</v>
      </c>
      <c r="H1063" s="30">
        <f>'Source Data'!H1058</f>
        <v>0</v>
      </c>
      <c r="I1063" s="30">
        <f>'Source Data'!I1058</f>
        <v>0</v>
      </c>
      <c r="J1063" s="30">
        <f>'Source Data'!J1058</f>
        <v>0</v>
      </c>
      <c r="K1063" s="30">
        <f>'Source Data'!K1058</f>
        <v>-4.6660928159999999</v>
      </c>
      <c r="L1063" s="30">
        <f>'Source Data'!L1058</f>
        <v>-4.8060756004799998</v>
      </c>
      <c r="M1063" s="30">
        <f>'Source Data'!M1058</f>
        <v>-4.9502578684943996</v>
      </c>
      <c r="N1063" s="30">
        <f>'Source Data'!N1058</f>
        <v>-5.0987656045492296</v>
      </c>
      <c r="O1063" s="30">
        <f>'Source Data'!O1058</f>
        <v>-5.2517285726857104</v>
      </c>
      <c r="P1063" s="30">
        <f>'Source Data'!P1058</f>
        <v>-5.4092804298662802</v>
      </c>
      <c r="Q1063" s="30">
        <f>'Source Data'!Q1058</f>
        <v>-5.5715588427622702</v>
      </c>
      <c r="R1063" s="30">
        <f>'Source Data'!R1058</f>
        <v>-5.73870560804514</v>
      </c>
      <c r="S1063" s="30">
        <f>'Source Data'!S1058</f>
        <v>-5.9108667762864897</v>
      </c>
      <c r="T1063" s="30">
        <f>'Source Data'!T1058</f>
        <v>-6.0881927795750901</v>
      </c>
    </row>
    <row r="1064" spans="2:20" x14ac:dyDescent="0.25">
      <c r="B1064" s="23" t="s">
        <v>4138</v>
      </c>
      <c r="C1064" s="28" t="s">
        <v>493</v>
      </c>
      <c r="H1064" s="161">
        <f>-'FSL Output - With BUMN'!H129</f>
        <v>0</v>
      </c>
      <c r="I1064" s="161">
        <f>-'FSL Output - With BUMN'!I129</f>
        <v>0</v>
      </c>
      <c r="J1064" s="161">
        <f>-'FSL Output - With BUMN'!J129</f>
        <v>0</v>
      </c>
      <c r="K1064" s="161">
        <f>-'FSL Output - With BUMN'!K129</f>
        <v>-4.6660928159999999</v>
      </c>
      <c r="L1064" s="161">
        <f>-'FSL Output - With BUMN'!L129</f>
        <v>-4.8060756004799998</v>
      </c>
      <c r="M1064" s="161">
        <f>-'FSL Output - With BUMN'!M129</f>
        <v>-4.9502578684944005</v>
      </c>
      <c r="N1064" s="161">
        <f>-'FSL Output - With BUMN'!N129</f>
        <v>-5.0987656045492313</v>
      </c>
      <c r="O1064" s="161">
        <f>-'FSL Output - With BUMN'!O129</f>
        <v>-5.2517285726857104</v>
      </c>
      <c r="P1064" s="161">
        <f>-'FSL Output - With BUMN'!P129</f>
        <v>-5.4092804298662811</v>
      </c>
      <c r="Q1064" s="161">
        <f>-'FSL Output - With BUMN'!Q129</f>
        <v>-5.5715588427622711</v>
      </c>
      <c r="R1064" s="161">
        <f>-'FSL Output - With BUMN'!R129</f>
        <v>-5.7387056080451373</v>
      </c>
      <c r="S1064" s="161">
        <f>-'FSL Output - With BUMN'!S129</f>
        <v>-5.9108667762864933</v>
      </c>
      <c r="T1064" s="161">
        <f>-'FSL Output - With BUMN'!T129</f>
        <v>-6.0881927795750865</v>
      </c>
    </row>
    <row r="1065" spans="2:20" x14ac:dyDescent="0.25">
      <c r="B1065" s="23" t="s">
        <v>4139</v>
      </c>
      <c r="C1065" s="28" t="s">
        <v>493</v>
      </c>
      <c r="H1065" s="161">
        <f t="shared" ref="H1065:T1065" si="184">ROUND(H1064-H1063,9)</f>
        <v>0</v>
      </c>
      <c r="I1065" s="161">
        <f t="shared" si="184"/>
        <v>0</v>
      </c>
      <c r="J1065" s="161">
        <f t="shared" si="184"/>
        <v>0</v>
      </c>
      <c r="K1065" s="161">
        <f t="shared" si="184"/>
        <v>0</v>
      </c>
      <c r="L1065" s="161">
        <f t="shared" si="184"/>
        <v>0</v>
      </c>
      <c r="M1065" s="161">
        <f t="shared" si="184"/>
        <v>0</v>
      </c>
      <c r="N1065" s="161">
        <f t="shared" si="184"/>
        <v>0</v>
      </c>
      <c r="O1065" s="161">
        <f t="shared" si="184"/>
        <v>0</v>
      </c>
      <c r="P1065" s="161">
        <f t="shared" si="184"/>
        <v>0</v>
      </c>
      <c r="Q1065" s="161">
        <f t="shared" si="184"/>
        <v>0</v>
      </c>
      <c r="R1065" s="161">
        <f t="shared" si="184"/>
        <v>0</v>
      </c>
      <c r="S1065" s="161">
        <f t="shared" si="184"/>
        <v>0</v>
      </c>
      <c r="T1065" s="161">
        <f t="shared" si="184"/>
        <v>0</v>
      </c>
    </row>
    <row r="1066" spans="2:20" x14ac:dyDescent="0.25">
      <c r="B1066" s="23" t="s">
        <v>4214</v>
      </c>
      <c r="C1066" s="28" t="s">
        <v>493</v>
      </c>
      <c r="H1066" s="30">
        <f>'Source Data'!H1059</f>
        <v>0</v>
      </c>
      <c r="I1066" s="30">
        <f>'Source Data'!I1059</f>
        <v>0</v>
      </c>
      <c r="J1066" s="30">
        <f>'Source Data'!J1059</f>
        <v>0</v>
      </c>
      <c r="K1066" s="30">
        <f>'Source Data'!K1059</f>
        <v>16.543419984</v>
      </c>
      <c r="L1066" s="30">
        <f>'Source Data'!L1059</f>
        <v>17.03972258352</v>
      </c>
      <c r="M1066" s="30">
        <f>'Source Data'!M1059</f>
        <v>17.5509142610256</v>
      </c>
      <c r="N1066" s="30">
        <f>'Source Data'!N1059</f>
        <v>18.0774416888564</v>
      </c>
      <c r="O1066" s="30">
        <f>'Source Data'!O1059</f>
        <v>18.619764939522099</v>
      </c>
      <c r="P1066" s="30">
        <f>'Source Data'!P1059</f>
        <v>19.178357887707701</v>
      </c>
      <c r="Q1066" s="30">
        <f>'Source Data'!Q1059</f>
        <v>19.753708624339001</v>
      </c>
      <c r="R1066" s="30">
        <f>'Source Data'!R1059</f>
        <v>20.3463198830691</v>
      </c>
      <c r="S1066" s="30">
        <f>'Source Data'!S1059</f>
        <v>20.956709479561201</v>
      </c>
      <c r="T1066" s="30">
        <f>'Source Data'!T1059</f>
        <v>21.585410763948001</v>
      </c>
    </row>
    <row r="1067" spans="2:20" x14ac:dyDescent="0.25">
      <c r="B1067" s="23" t="s">
        <v>4141</v>
      </c>
      <c r="C1067" s="28" t="s">
        <v>493</v>
      </c>
      <c r="H1067" s="30">
        <f>'FSL Output - With BUMN'!H131</f>
        <v>0</v>
      </c>
      <c r="I1067" s="30">
        <f>'FSL Output - With BUMN'!I131</f>
        <v>0</v>
      </c>
      <c r="J1067" s="30">
        <f>'FSL Output - With BUMN'!J131</f>
        <v>0</v>
      </c>
      <c r="K1067" s="30">
        <f>'FSL Output - With BUMN'!K131</f>
        <v>16.543419984</v>
      </c>
      <c r="L1067" s="30">
        <f>'FSL Output - With BUMN'!L131</f>
        <v>17.03972258352</v>
      </c>
      <c r="M1067" s="30">
        <f>'FSL Output - With BUMN'!M131</f>
        <v>17.550914261025603</v>
      </c>
      <c r="N1067" s="30">
        <f>'FSL Output - With BUMN'!N131</f>
        <v>18.077441688856364</v>
      </c>
      <c r="O1067" s="30">
        <f>'FSL Output - With BUMN'!O131</f>
        <v>18.619764939522064</v>
      </c>
      <c r="P1067" s="30">
        <f>'FSL Output - With BUMN'!P131</f>
        <v>19.178357887707723</v>
      </c>
      <c r="Q1067" s="30">
        <f>'FSL Output - With BUMN'!Q131</f>
        <v>19.753708624338959</v>
      </c>
      <c r="R1067" s="30">
        <f>'FSL Output - With BUMN'!R131</f>
        <v>20.346319883069121</v>
      </c>
      <c r="S1067" s="30">
        <f>'FSL Output - With BUMN'!S131</f>
        <v>20.956709479561201</v>
      </c>
      <c r="T1067" s="30">
        <f>'FSL Output - With BUMN'!T131</f>
        <v>21.585410763948033</v>
      </c>
    </row>
    <row r="1068" spans="2:20" x14ac:dyDescent="0.25">
      <c r="B1068" s="23" t="s">
        <v>4142</v>
      </c>
      <c r="C1068" s="28" t="s">
        <v>493</v>
      </c>
      <c r="H1068" s="161">
        <f t="shared" ref="H1068:T1068" si="185">ROUND(H1067-H1066,9)</f>
        <v>0</v>
      </c>
      <c r="I1068" s="161">
        <f t="shared" si="185"/>
        <v>0</v>
      </c>
      <c r="J1068" s="161">
        <f t="shared" si="185"/>
        <v>0</v>
      </c>
      <c r="K1068" s="161">
        <f t="shared" si="185"/>
        <v>0</v>
      </c>
      <c r="L1068" s="161">
        <f t="shared" si="185"/>
        <v>0</v>
      </c>
      <c r="M1068" s="161">
        <f t="shared" si="185"/>
        <v>0</v>
      </c>
      <c r="N1068" s="161">
        <f t="shared" si="185"/>
        <v>0</v>
      </c>
      <c r="O1068" s="161">
        <f t="shared" si="185"/>
        <v>0</v>
      </c>
      <c r="P1068" s="161">
        <f t="shared" si="185"/>
        <v>0</v>
      </c>
      <c r="Q1068" s="161">
        <f t="shared" si="185"/>
        <v>0</v>
      </c>
      <c r="R1068" s="161">
        <f t="shared" si="185"/>
        <v>0</v>
      </c>
      <c r="S1068" s="161">
        <f t="shared" si="185"/>
        <v>0</v>
      </c>
      <c r="T1068" s="161">
        <f t="shared" si="185"/>
        <v>0</v>
      </c>
    </row>
    <row r="1070" spans="2:20" x14ac:dyDescent="0.25">
      <c r="B1070" s="221" t="s">
        <v>4215</v>
      </c>
      <c r="C1070" s="235"/>
      <c r="D1070" s="235"/>
      <c r="E1070" s="224" t="str">
        <f>IF(F1070&lt;=Inputs!$E$50,"Matches v29",IF($E$21&gt;0,"Differs - inputs changed","UNEXPLAINED"))</f>
        <v>Matches v29</v>
      </c>
      <c r="F1070" s="225">
        <f>MAX(MAX(H1073:T1073),-MIN(H1073:T1073),MAX(H1076:T1076),-MIN(H1076:T1076),MAX(H1079:T1079),-MIN(H1079:T1079),MAX(H1082:T1082),-MIN(H1082:T1082),MAX(H1085:T1085),-MIN(H1085:T1085),MAX(H1088:T1088),-MIN(H1088:T1088),MAX(H1091:T1091),-MIN(H1091:T1091),MAX(H1094:T1094),-MIN(H1094:T1094))</f>
        <v>0</v>
      </c>
      <c r="G1070" s="226">
        <f>MAX(MAX(H1073:T1073),-MIN(H1073:T1073),MAX(H1076:T1076),-MIN(H1076:T1076),MAX(H1079:T1079),-MIN(H1079:T1079),MAX(H1082:T1082),-MIN(H1082:T1082),MAX(H1085:T1085),-MIN(H1085:T1085),MAX(H1088:T1088),-MIN(H1088:T1088),MAX(H1091:T1091),-MIN(H1091:T1091),MAX(H1094:T1094),-MIN(H1094:T1094))</f>
        <v>0</v>
      </c>
    </row>
    <row r="1071" spans="2:20" x14ac:dyDescent="0.25">
      <c r="B1071" s="23" t="s">
        <v>4216</v>
      </c>
      <c r="C1071" s="28" t="s">
        <v>493</v>
      </c>
      <c r="H1071" s="30">
        <f>'Source Data'!H1061</f>
        <v>0</v>
      </c>
      <c r="I1071" s="30">
        <f>'Source Data'!I1061</f>
        <v>0</v>
      </c>
      <c r="J1071" s="30">
        <f>'Source Data'!J1061</f>
        <v>0</v>
      </c>
      <c r="K1071" s="30">
        <f>'Source Data'!K1061</f>
        <v>1.560414156</v>
      </c>
      <c r="L1071" s="30">
        <f>'Source Data'!L1061</f>
        <v>1.6072265806799999</v>
      </c>
      <c r="M1071" s="30">
        <f>'Source Data'!M1061</f>
        <v>1.6554433781004001</v>
      </c>
      <c r="N1071" s="30">
        <f>'Source Data'!N1061</f>
        <v>1.70510667944341</v>
      </c>
      <c r="O1071" s="30">
        <f>'Source Data'!O1061</f>
        <v>1.7562598798267099</v>
      </c>
      <c r="P1071" s="30">
        <f>'Source Data'!P1061</f>
        <v>1.80894767622152</v>
      </c>
      <c r="Q1071" s="30">
        <f>'Source Data'!Q1061</f>
        <v>1.8632161065081601</v>
      </c>
      <c r="R1071" s="30">
        <f>'Source Data'!R1061</f>
        <v>1.91911258970341</v>
      </c>
      <c r="S1071" s="30">
        <f>'Source Data'!S1061</f>
        <v>1.9766859673945101</v>
      </c>
      <c r="T1071" s="30">
        <f>'Source Data'!T1061</f>
        <v>2.03598654641634</v>
      </c>
    </row>
    <row r="1072" spans="2:20" x14ac:dyDescent="0.25">
      <c r="B1072" s="23" t="s">
        <v>4120</v>
      </c>
      <c r="C1072" s="28" t="s">
        <v>493</v>
      </c>
      <c r="H1072" s="30">
        <f>'Revenue Calculation'!H140</f>
        <v>0</v>
      </c>
      <c r="I1072" s="30">
        <f>'Revenue Calculation'!I140</f>
        <v>0</v>
      </c>
      <c r="J1072" s="30">
        <f>'Revenue Calculation'!J140</f>
        <v>0</v>
      </c>
      <c r="K1072" s="30">
        <f>'Revenue Calculation'!K140</f>
        <v>1.560414156</v>
      </c>
      <c r="L1072" s="30">
        <f>'Revenue Calculation'!L140</f>
        <v>1.6072265806800003</v>
      </c>
      <c r="M1072" s="30">
        <f>'Revenue Calculation'!M140</f>
        <v>1.6554433781004003</v>
      </c>
      <c r="N1072" s="30">
        <f>'Revenue Calculation'!N140</f>
        <v>1.7051066794434122</v>
      </c>
      <c r="O1072" s="30">
        <f>'Revenue Calculation'!O140</f>
        <v>1.7562598798267148</v>
      </c>
      <c r="P1072" s="30">
        <f>'Revenue Calculation'!P140</f>
        <v>1.8089476762215162</v>
      </c>
      <c r="Q1072" s="30">
        <f>'Revenue Calculation'!Q140</f>
        <v>1.8632161065081616</v>
      </c>
      <c r="R1072" s="30">
        <f>'Revenue Calculation'!R140</f>
        <v>1.9191125897034065</v>
      </c>
      <c r="S1072" s="30">
        <f>'Revenue Calculation'!S140</f>
        <v>1.9766859673945087</v>
      </c>
      <c r="T1072" s="30">
        <f>'Revenue Calculation'!T140</f>
        <v>2.035986546416344</v>
      </c>
    </row>
    <row r="1073" spans="2:20" x14ac:dyDescent="0.25">
      <c r="B1073" s="23" t="s">
        <v>4121</v>
      </c>
      <c r="C1073" s="28" t="s">
        <v>493</v>
      </c>
      <c r="H1073" s="161">
        <f t="shared" ref="H1073:T1073" si="186">ROUND(H1072-H1071,9)</f>
        <v>0</v>
      </c>
      <c r="I1073" s="161">
        <f t="shared" si="186"/>
        <v>0</v>
      </c>
      <c r="J1073" s="161">
        <f t="shared" si="186"/>
        <v>0</v>
      </c>
      <c r="K1073" s="161">
        <f t="shared" si="186"/>
        <v>0</v>
      </c>
      <c r="L1073" s="161">
        <f t="shared" si="186"/>
        <v>0</v>
      </c>
      <c r="M1073" s="161">
        <f t="shared" si="186"/>
        <v>0</v>
      </c>
      <c r="N1073" s="161">
        <f t="shared" si="186"/>
        <v>0</v>
      </c>
      <c r="O1073" s="161">
        <f t="shared" si="186"/>
        <v>0</v>
      </c>
      <c r="P1073" s="161">
        <f t="shared" si="186"/>
        <v>0</v>
      </c>
      <c r="Q1073" s="161">
        <f t="shared" si="186"/>
        <v>0</v>
      </c>
      <c r="R1073" s="161">
        <f t="shared" si="186"/>
        <v>0</v>
      </c>
      <c r="S1073" s="161">
        <f t="shared" si="186"/>
        <v>0</v>
      </c>
      <c r="T1073" s="161">
        <f t="shared" si="186"/>
        <v>0</v>
      </c>
    </row>
    <row r="1074" spans="2:20" x14ac:dyDescent="0.25">
      <c r="B1074" s="23" t="s">
        <v>4217</v>
      </c>
      <c r="C1074" s="28" t="s">
        <v>493</v>
      </c>
      <c r="H1074" s="30">
        <f>'Source Data'!H1062</f>
        <v>0</v>
      </c>
      <c r="I1074" s="30">
        <f>'Source Data'!I1062</f>
        <v>0</v>
      </c>
      <c r="J1074" s="30">
        <f>'Source Data'!J1062</f>
        <v>0</v>
      </c>
      <c r="K1074" s="30">
        <f>'Source Data'!K1062</f>
        <v>0</v>
      </c>
      <c r="L1074" s="30">
        <f>'Source Data'!L1062</f>
        <v>0</v>
      </c>
      <c r="M1074" s="30">
        <f>'Source Data'!M1062</f>
        <v>0</v>
      </c>
      <c r="N1074" s="30">
        <f>'Source Data'!N1062</f>
        <v>0</v>
      </c>
      <c r="O1074" s="30">
        <f>'Source Data'!O1062</f>
        <v>0</v>
      </c>
      <c r="P1074" s="30">
        <f>'Source Data'!P1062</f>
        <v>0</v>
      </c>
      <c r="Q1074" s="30">
        <f>'Source Data'!Q1062</f>
        <v>0</v>
      </c>
      <c r="R1074" s="30">
        <f>'Source Data'!R1062</f>
        <v>0</v>
      </c>
      <c r="S1074" s="30">
        <f>'Source Data'!S1062</f>
        <v>0</v>
      </c>
      <c r="T1074" s="30">
        <f>'Source Data'!T1062</f>
        <v>0</v>
      </c>
    </row>
    <row r="1075" spans="2:20" x14ac:dyDescent="0.25">
      <c r="B1075" s="23" t="s">
        <v>4123</v>
      </c>
      <c r="C1075" s="28" t="s">
        <v>493</v>
      </c>
      <c r="H1075" s="161">
        <f>-('Cost Calculation'!H166)</f>
        <v>0</v>
      </c>
      <c r="I1075" s="161">
        <f>-('Cost Calculation'!I166)</f>
        <v>0</v>
      </c>
      <c r="J1075" s="161">
        <f>-('Cost Calculation'!J166)</f>
        <v>0</v>
      </c>
      <c r="K1075" s="161">
        <f>-('Cost Calculation'!K166)</f>
        <v>0</v>
      </c>
      <c r="L1075" s="161">
        <f>-('Cost Calculation'!L166)</f>
        <v>0</v>
      </c>
      <c r="M1075" s="161">
        <f>-('Cost Calculation'!M166)</f>
        <v>0</v>
      </c>
      <c r="N1075" s="161">
        <f>-('Cost Calculation'!N166)</f>
        <v>0</v>
      </c>
      <c r="O1075" s="161">
        <f>-('Cost Calculation'!O166)</f>
        <v>0</v>
      </c>
      <c r="P1075" s="161">
        <f>-('Cost Calculation'!P166)</f>
        <v>0</v>
      </c>
      <c r="Q1075" s="161">
        <f>-('Cost Calculation'!Q166)</f>
        <v>0</v>
      </c>
      <c r="R1075" s="161">
        <f>-('Cost Calculation'!R166)</f>
        <v>0</v>
      </c>
      <c r="S1075" s="161">
        <f>-('Cost Calculation'!S166)</f>
        <v>0</v>
      </c>
      <c r="T1075" s="161">
        <f>-('Cost Calculation'!T166)</f>
        <v>0</v>
      </c>
    </row>
    <row r="1076" spans="2:20" x14ac:dyDescent="0.25">
      <c r="B1076" s="23" t="s">
        <v>4124</v>
      </c>
      <c r="C1076" s="28" t="s">
        <v>493</v>
      </c>
      <c r="H1076" s="161">
        <f t="shared" ref="H1076:T1076" si="187">ROUND(H1075-H1074,9)</f>
        <v>0</v>
      </c>
      <c r="I1076" s="161">
        <f t="shared" si="187"/>
        <v>0</v>
      </c>
      <c r="J1076" s="161">
        <f t="shared" si="187"/>
        <v>0</v>
      </c>
      <c r="K1076" s="161">
        <f t="shared" si="187"/>
        <v>0</v>
      </c>
      <c r="L1076" s="161">
        <f t="shared" si="187"/>
        <v>0</v>
      </c>
      <c r="M1076" s="161">
        <f t="shared" si="187"/>
        <v>0</v>
      </c>
      <c r="N1076" s="161">
        <f t="shared" si="187"/>
        <v>0</v>
      </c>
      <c r="O1076" s="161">
        <f t="shared" si="187"/>
        <v>0</v>
      </c>
      <c r="P1076" s="161">
        <f t="shared" si="187"/>
        <v>0</v>
      </c>
      <c r="Q1076" s="161">
        <f t="shared" si="187"/>
        <v>0</v>
      </c>
      <c r="R1076" s="161">
        <f t="shared" si="187"/>
        <v>0</v>
      </c>
      <c r="S1076" s="161">
        <f t="shared" si="187"/>
        <v>0</v>
      </c>
      <c r="T1076" s="161">
        <f t="shared" si="187"/>
        <v>0</v>
      </c>
    </row>
    <row r="1077" spans="2:20" x14ac:dyDescent="0.25">
      <c r="B1077" s="23" t="s">
        <v>4218</v>
      </c>
      <c r="C1077" s="28" t="s">
        <v>493</v>
      </c>
      <c r="H1077" s="30">
        <f>'Source Data'!H1063</f>
        <v>0</v>
      </c>
      <c r="I1077" s="30">
        <f>'Source Data'!I1063</f>
        <v>0</v>
      </c>
      <c r="J1077" s="30">
        <f>'Source Data'!J1063</f>
        <v>0</v>
      </c>
      <c r="K1077" s="30">
        <f>'Source Data'!K1063</f>
        <v>-0.31208283120000002</v>
      </c>
      <c r="L1077" s="30">
        <f>'Source Data'!L1063</f>
        <v>-0.32144531613600003</v>
      </c>
      <c r="M1077" s="30">
        <f>'Source Data'!M1063</f>
        <v>-0.33108867562007999</v>
      </c>
      <c r="N1077" s="30">
        <f>'Source Data'!N1063</f>
        <v>-0.341021335888682</v>
      </c>
      <c r="O1077" s="30">
        <f>'Source Data'!O1063</f>
        <v>-0.35125197596534302</v>
      </c>
      <c r="P1077" s="30">
        <f>'Source Data'!P1063</f>
        <v>-0.36178953524430302</v>
      </c>
      <c r="Q1077" s="30">
        <f>'Source Data'!Q1063</f>
        <v>-0.37264322130163202</v>
      </c>
      <c r="R1077" s="30">
        <f>'Source Data'!R1063</f>
        <v>-0.38382251794068101</v>
      </c>
      <c r="S1077" s="30">
        <f>'Source Data'!S1063</f>
        <v>-0.395337193478902</v>
      </c>
      <c r="T1077" s="30">
        <f>'Source Data'!T1063</f>
        <v>-0.40719730928326903</v>
      </c>
    </row>
    <row r="1078" spans="2:20" x14ac:dyDescent="0.25">
      <c r="B1078" s="23" t="s">
        <v>4126</v>
      </c>
      <c r="C1078" s="28" t="s">
        <v>493</v>
      </c>
      <c r="H1078" s="161">
        <f>-('Cost Calculation'!H167)</f>
        <v>0</v>
      </c>
      <c r="I1078" s="161">
        <f>-('Cost Calculation'!I167)</f>
        <v>0</v>
      </c>
      <c r="J1078" s="161">
        <f>-('Cost Calculation'!J167)</f>
        <v>0</v>
      </c>
      <c r="K1078" s="161">
        <f>-('Cost Calculation'!K167)</f>
        <v>-0.31208283120000002</v>
      </c>
      <c r="L1078" s="161">
        <f>-('Cost Calculation'!L167)</f>
        <v>-0.32144531613600008</v>
      </c>
      <c r="M1078" s="161">
        <f>-('Cost Calculation'!M167)</f>
        <v>-0.3310886756200801</v>
      </c>
      <c r="N1078" s="161">
        <f>-('Cost Calculation'!N167)</f>
        <v>-0.34102133588868244</v>
      </c>
      <c r="O1078" s="161">
        <f>-('Cost Calculation'!O167)</f>
        <v>-0.35125197596534297</v>
      </c>
      <c r="P1078" s="161">
        <f>-('Cost Calculation'!P167)</f>
        <v>-0.36178953524430324</v>
      </c>
      <c r="Q1078" s="161">
        <f>-('Cost Calculation'!Q167)</f>
        <v>-0.37264322130163235</v>
      </c>
      <c r="R1078" s="161">
        <f>-('Cost Calculation'!R167)</f>
        <v>-0.38382251794068134</v>
      </c>
      <c r="S1078" s="161">
        <f>-('Cost Calculation'!S167)</f>
        <v>-0.39533719347890178</v>
      </c>
      <c r="T1078" s="161">
        <f>-('Cost Calculation'!T167)</f>
        <v>-0.4071973092832688</v>
      </c>
    </row>
    <row r="1079" spans="2:20" x14ac:dyDescent="0.25">
      <c r="B1079" s="23" t="s">
        <v>4127</v>
      </c>
      <c r="C1079" s="28" t="s">
        <v>493</v>
      </c>
      <c r="H1079" s="161">
        <f t="shared" ref="H1079:T1079" si="188">ROUND(H1078-H1077,9)</f>
        <v>0</v>
      </c>
      <c r="I1079" s="161">
        <f t="shared" si="188"/>
        <v>0</v>
      </c>
      <c r="J1079" s="161">
        <f t="shared" si="188"/>
        <v>0</v>
      </c>
      <c r="K1079" s="161">
        <f t="shared" si="188"/>
        <v>0</v>
      </c>
      <c r="L1079" s="161">
        <f t="shared" si="188"/>
        <v>0</v>
      </c>
      <c r="M1079" s="161">
        <f t="shared" si="188"/>
        <v>0</v>
      </c>
      <c r="N1079" s="161">
        <f t="shared" si="188"/>
        <v>0</v>
      </c>
      <c r="O1079" s="161">
        <f t="shared" si="188"/>
        <v>0</v>
      </c>
      <c r="P1079" s="161">
        <f t="shared" si="188"/>
        <v>0</v>
      </c>
      <c r="Q1079" s="161">
        <f t="shared" si="188"/>
        <v>0</v>
      </c>
      <c r="R1079" s="161">
        <f t="shared" si="188"/>
        <v>0</v>
      </c>
      <c r="S1079" s="161">
        <f t="shared" si="188"/>
        <v>0</v>
      </c>
      <c r="T1079" s="161">
        <f t="shared" si="188"/>
        <v>0</v>
      </c>
    </row>
    <row r="1080" spans="2:20" x14ac:dyDescent="0.25">
      <c r="B1080" s="23" t="s">
        <v>4219</v>
      </c>
      <c r="C1080" s="28" t="s">
        <v>493</v>
      </c>
      <c r="H1080" s="30">
        <f>'Source Data'!H1064</f>
        <v>0</v>
      </c>
      <c r="I1080" s="30">
        <f>'Source Data'!I1064</f>
        <v>0</v>
      </c>
      <c r="J1080" s="30">
        <f>'Source Data'!J1064</f>
        <v>0</v>
      </c>
      <c r="K1080" s="30">
        <f>'Source Data'!K1064</f>
        <v>-0.13012000000000001</v>
      </c>
      <c r="L1080" s="30">
        <f>'Source Data'!L1064</f>
        <v>-0.13012000000000001</v>
      </c>
      <c r="M1080" s="30">
        <f>'Source Data'!M1064</f>
        <v>-0.13012000000000001</v>
      </c>
      <c r="N1080" s="30">
        <f>'Source Data'!N1064</f>
        <v>-0.13012000000000001</v>
      </c>
      <c r="O1080" s="30">
        <f>'Source Data'!O1064</f>
        <v>-0.13012000000000001</v>
      </c>
      <c r="P1080" s="30">
        <f>'Source Data'!P1064</f>
        <v>-0.13012000000000001</v>
      </c>
      <c r="Q1080" s="30">
        <f>'Source Data'!Q1064</f>
        <v>-0.13012000000000001</v>
      </c>
      <c r="R1080" s="30">
        <f>'Source Data'!R1064</f>
        <v>-0.13012000000000001</v>
      </c>
      <c r="S1080" s="30">
        <f>'Source Data'!S1064</f>
        <v>-0.13012000000000001</v>
      </c>
      <c r="T1080" s="30">
        <f>'Source Data'!T1064</f>
        <v>-0.13012000000000001</v>
      </c>
    </row>
    <row r="1081" spans="2:20" x14ac:dyDescent="0.25">
      <c r="B1081" s="23" t="s">
        <v>4129</v>
      </c>
      <c r="C1081" s="28" t="s">
        <v>493</v>
      </c>
      <c r="H1081" s="161">
        <f>-('Capex &amp; Depreciation'!H243)</f>
        <v>0</v>
      </c>
      <c r="I1081" s="161">
        <f>-('Capex &amp; Depreciation'!I243)</f>
        <v>0</v>
      </c>
      <c r="J1081" s="161">
        <f>-('Capex &amp; Depreciation'!J243)</f>
        <v>0</v>
      </c>
      <c r="K1081" s="161">
        <f>-('Capex &amp; Depreciation'!K243)</f>
        <v>-0.13012000000000001</v>
      </c>
      <c r="L1081" s="161">
        <f>-('Capex &amp; Depreciation'!L243)</f>
        <v>-0.13012000000000001</v>
      </c>
      <c r="M1081" s="161">
        <f>-('Capex &amp; Depreciation'!M243)</f>
        <v>-0.13012000000000001</v>
      </c>
      <c r="N1081" s="161">
        <f>-('Capex &amp; Depreciation'!N243)</f>
        <v>-0.13012000000000001</v>
      </c>
      <c r="O1081" s="161">
        <f>-('Capex &amp; Depreciation'!O243)</f>
        <v>-0.13012000000000001</v>
      </c>
      <c r="P1081" s="161">
        <f>-('Capex &amp; Depreciation'!P243)</f>
        <v>-0.13012000000000001</v>
      </c>
      <c r="Q1081" s="161">
        <f>-('Capex &amp; Depreciation'!Q243)</f>
        <v>-0.13012000000000001</v>
      </c>
      <c r="R1081" s="161">
        <f>-('Capex &amp; Depreciation'!R243)</f>
        <v>-0.13012000000000001</v>
      </c>
      <c r="S1081" s="161">
        <f>-('Capex &amp; Depreciation'!S243)</f>
        <v>-0.13012000000000001</v>
      </c>
      <c r="T1081" s="161">
        <f>-('Capex &amp; Depreciation'!T243)</f>
        <v>-0.13012000000000001</v>
      </c>
    </row>
    <row r="1082" spans="2:20" x14ac:dyDescent="0.25">
      <c r="B1082" s="23" t="s">
        <v>4130</v>
      </c>
      <c r="C1082" s="28" t="s">
        <v>493</v>
      </c>
      <c r="H1082" s="161">
        <f t="shared" ref="H1082:T1082" si="189">ROUND(H1081-H1080,9)</f>
        <v>0</v>
      </c>
      <c r="I1082" s="161">
        <f t="shared" si="189"/>
        <v>0</v>
      </c>
      <c r="J1082" s="161">
        <f t="shared" si="189"/>
        <v>0</v>
      </c>
      <c r="K1082" s="161">
        <f t="shared" si="189"/>
        <v>0</v>
      </c>
      <c r="L1082" s="161">
        <f t="shared" si="189"/>
        <v>0</v>
      </c>
      <c r="M1082" s="161">
        <f t="shared" si="189"/>
        <v>0</v>
      </c>
      <c r="N1082" s="161">
        <f t="shared" si="189"/>
        <v>0</v>
      </c>
      <c r="O1082" s="161">
        <f t="shared" si="189"/>
        <v>0</v>
      </c>
      <c r="P1082" s="161">
        <f t="shared" si="189"/>
        <v>0</v>
      </c>
      <c r="Q1082" s="161">
        <f t="shared" si="189"/>
        <v>0</v>
      </c>
      <c r="R1082" s="161">
        <f t="shared" si="189"/>
        <v>0</v>
      </c>
      <c r="S1082" s="161">
        <f t="shared" si="189"/>
        <v>0</v>
      </c>
      <c r="T1082" s="161">
        <f t="shared" si="189"/>
        <v>0</v>
      </c>
    </row>
    <row r="1083" spans="2:20" x14ac:dyDescent="0.25">
      <c r="B1083" s="23" t="s">
        <v>4220</v>
      </c>
      <c r="C1083" s="28" t="s">
        <v>493</v>
      </c>
      <c r="H1083" s="30">
        <f>'Source Data'!H1065</f>
        <v>0</v>
      </c>
      <c r="I1083" s="30">
        <f>'Source Data'!I1065</f>
        <v>0</v>
      </c>
      <c r="J1083" s="30">
        <f>'Source Data'!J1065</f>
        <v>0</v>
      </c>
      <c r="K1083" s="30">
        <f>'Source Data'!K1065</f>
        <v>0</v>
      </c>
      <c r="L1083" s="30">
        <f>'Source Data'!L1065</f>
        <v>0</v>
      </c>
      <c r="M1083" s="30">
        <f>'Source Data'!M1065</f>
        <v>0</v>
      </c>
      <c r="N1083" s="30">
        <f>'Source Data'!N1065</f>
        <v>0</v>
      </c>
      <c r="O1083" s="30">
        <f>'Source Data'!O1065</f>
        <v>0</v>
      </c>
      <c r="P1083" s="30">
        <f>'Source Data'!P1065</f>
        <v>0</v>
      </c>
      <c r="Q1083" s="30">
        <f>'Source Data'!Q1065</f>
        <v>0</v>
      </c>
      <c r="R1083" s="30">
        <f>'Source Data'!R1065</f>
        <v>0</v>
      </c>
      <c r="S1083" s="30">
        <f>'Source Data'!S1065</f>
        <v>0</v>
      </c>
      <c r="T1083" s="30">
        <f>'Source Data'!T1065</f>
        <v>0</v>
      </c>
    </row>
    <row r="1084" spans="2:20" x14ac:dyDescent="0.25">
      <c r="B1084" s="23" t="s">
        <v>4132</v>
      </c>
      <c r="C1084" s="28" t="s">
        <v>493</v>
      </c>
      <c r="H1084" s="161">
        <f>0</f>
        <v>0</v>
      </c>
      <c r="I1084" s="161">
        <f>0</f>
        <v>0</v>
      </c>
      <c r="J1084" s="161">
        <f>0</f>
        <v>0</v>
      </c>
      <c r="K1084" s="161">
        <f>0</f>
        <v>0</v>
      </c>
      <c r="L1084" s="161">
        <f>0</f>
        <v>0</v>
      </c>
      <c r="M1084" s="161">
        <f>0</f>
        <v>0</v>
      </c>
      <c r="N1084" s="161">
        <f>0</f>
        <v>0</v>
      </c>
      <c r="O1084" s="161">
        <f>0</f>
        <v>0</v>
      </c>
      <c r="P1084" s="161">
        <f>0</f>
        <v>0</v>
      </c>
      <c r="Q1084" s="161">
        <f>0</f>
        <v>0</v>
      </c>
      <c r="R1084" s="161">
        <f>0</f>
        <v>0</v>
      </c>
      <c r="S1084" s="161">
        <f>0</f>
        <v>0</v>
      </c>
      <c r="T1084" s="161">
        <f>0</f>
        <v>0</v>
      </c>
    </row>
    <row r="1085" spans="2:20" x14ac:dyDescent="0.25">
      <c r="B1085" s="23" t="s">
        <v>4133</v>
      </c>
      <c r="C1085" s="28" t="s">
        <v>493</v>
      </c>
      <c r="H1085" s="161">
        <f t="shared" ref="H1085:T1085" si="190">ROUND(H1084-H1083,9)</f>
        <v>0</v>
      </c>
      <c r="I1085" s="161">
        <f t="shared" si="190"/>
        <v>0</v>
      </c>
      <c r="J1085" s="161">
        <f t="shared" si="190"/>
        <v>0</v>
      </c>
      <c r="K1085" s="161">
        <f t="shared" si="190"/>
        <v>0</v>
      </c>
      <c r="L1085" s="161">
        <f t="shared" si="190"/>
        <v>0</v>
      </c>
      <c r="M1085" s="161">
        <f t="shared" si="190"/>
        <v>0</v>
      </c>
      <c r="N1085" s="161">
        <f t="shared" si="190"/>
        <v>0</v>
      </c>
      <c r="O1085" s="161">
        <f t="shared" si="190"/>
        <v>0</v>
      </c>
      <c r="P1085" s="161">
        <f t="shared" si="190"/>
        <v>0</v>
      </c>
      <c r="Q1085" s="161">
        <f t="shared" si="190"/>
        <v>0</v>
      </c>
      <c r="R1085" s="161">
        <f t="shared" si="190"/>
        <v>0</v>
      </c>
      <c r="S1085" s="161">
        <f t="shared" si="190"/>
        <v>0</v>
      </c>
      <c r="T1085" s="161">
        <f t="shared" si="190"/>
        <v>0</v>
      </c>
    </row>
    <row r="1086" spans="2:20" x14ac:dyDescent="0.25">
      <c r="B1086" s="23" t="s">
        <v>4221</v>
      </c>
      <c r="C1086" s="28" t="s">
        <v>493</v>
      </c>
      <c r="H1086" s="30">
        <f>'Source Data'!H1066</f>
        <v>0</v>
      </c>
      <c r="I1086" s="30">
        <f>'Source Data'!I1066</f>
        <v>0</v>
      </c>
      <c r="J1086" s="30">
        <f>'Source Data'!J1066</f>
        <v>0</v>
      </c>
      <c r="K1086" s="30">
        <f>'Source Data'!K1066</f>
        <v>1.1182113248000001</v>
      </c>
      <c r="L1086" s="30">
        <f>'Source Data'!L1066</f>
        <v>1.1556612645440001</v>
      </c>
      <c r="M1086" s="30">
        <f>'Source Data'!M1066</f>
        <v>1.1942347024803199</v>
      </c>
      <c r="N1086" s="30">
        <f>'Source Data'!N1066</f>
        <v>1.23396534355473</v>
      </c>
      <c r="O1086" s="30">
        <f>'Source Data'!O1066</f>
        <v>1.2748879038613701</v>
      </c>
      <c r="P1086" s="30">
        <f>'Source Data'!P1066</f>
        <v>1.3170381409772101</v>
      </c>
      <c r="Q1086" s="30">
        <f>'Source Data'!Q1066</f>
        <v>1.3604528852065301</v>
      </c>
      <c r="R1086" s="30">
        <f>'Source Data'!R1066</f>
        <v>1.40517007176273</v>
      </c>
      <c r="S1086" s="30">
        <f>'Source Data'!S1066</f>
        <v>1.45122877391561</v>
      </c>
      <c r="T1086" s="30">
        <f>'Source Data'!T1066</f>
        <v>1.4986692371330801</v>
      </c>
    </row>
    <row r="1087" spans="2:20" x14ac:dyDescent="0.25">
      <c r="B1087" s="23" t="s">
        <v>4135</v>
      </c>
      <c r="C1087" s="28" t="s">
        <v>493</v>
      </c>
      <c r="H1087" s="30">
        <f>'FSL Output - With BUMN'!H133</f>
        <v>0</v>
      </c>
      <c r="I1087" s="30">
        <f>'FSL Output - With BUMN'!I133</f>
        <v>0</v>
      </c>
      <c r="J1087" s="30">
        <f>'FSL Output - With BUMN'!J133</f>
        <v>0</v>
      </c>
      <c r="K1087" s="30">
        <f>'FSL Output - With BUMN'!K133</f>
        <v>1.1182113248000001</v>
      </c>
      <c r="L1087" s="30">
        <f>'FSL Output - With BUMN'!L133</f>
        <v>1.1556612645440003</v>
      </c>
      <c r="M1087" s="30">
        <f>'FSL Output - With BUMN'!M133</f>
        <v>1.1942347024803202</v>
      </c>
      <c r="N1087" s="30">
        <f>'FSL Output - With BUMN'!N133</f>
        <v>1.2339653435547298</v>
      </c>
      <c r="O1087" s="30">
        <f>'FSL Output - With BUMN'!O133</f>
        <v>1.2748879038613719</v>
      </c>
      <c r="P1087" s="30">
        <f>'FSL Output - With BUMN'!P133</f>
        <v>1.3170381409772129</v>
      </c>
      <c r="Q1087" s="30">
        <f>'FSL Output - With BUMN'!Q133</f>
        <v>1.3604528852065292</v>
      </c>
      <c r="R1087" s="30">
        <f>'FSL Output - With BUMN'!R133</f>
        <v>1.4051700717627251</v>
      </c>
      <c r="S1087" s="30">
        <f>'FSL Output - With BUMN'!S133</f>
        <v>1.4512287739156069</v>
      </c>
      <c r="T1087" s="30">
        <f>'FSL Output - With BUMN'!T133</f>
        <v>1.4986692371330752</v>
      </c>
    </row>
    <row r="1088" spans="2:20" x14ac:dyDescent="0.25">
      <c r="B1088" s="23" t="s">
        <v>4136</v>
      </c>
      <c r="C1088" s="28" t="s">
        <v>493</v>
      </c>
      <c r="H1088" s="161">
        <f t="shared" ref="H1088:T1088" si="191">ROUND(H1087-H1086,9)</f>
        <v>0</v>
      </c>
      <c r="I1088" s="161">
        <f t="shared" si="191"/>
        <v>0</v>
      </c>
      <c r="J1088" s="161">
        <f t="shared" si="191"/>
        <v>0</v>
      </c>
      <c r="K1088" s="161">
        <f t="shared" si="191"/>
        <v>0</v>
      </c>
      <c r="L1088" s="161">
        <f t="shared" si="191"/>
        <v>0</v>
      </c>
      <c r="M1088" s="161">
        <f t="shared" si="191"/>
        <v>0</v>
      </c>
      <c r="N1088" s="161">
        <f t="shared" si="191"/>
        <v>0</v>
      </c>
      <c r="O1088" s="161">
        <f t="shared" si="191"/>
        <v>0</v>
      </c>
      <c r="P1088" s="161">
        <f t="shared" si="191"/>
        <v>0</v>
      </c>
      <c r="Q1088" s="161">
        <f t="shared" si="191"/>
        <v>0</v>
      </c>
      <c r="R1088" s="161">
        <f t="shared" si="191"/>
        <v>0</v>
      </c>
      <c r="S1088" s="161">
        <f t="shared" si="191"/>
        <v>0</v>
      </c>
      <c r="T1088" s="161">
        <f t="shared" si="191"/>
        <v>0</v>
      </c>
    </row>
    <row r="1089" spans="2:20" x14ac:dyDescent="0.25">
      <c r="B1089" s="23" t="s">
        <v>4222</v>
      </c>
      <c r="C1089" s="28" t="s">
        <v>493</v>
      </c>
      <c r="H1089" s="30">
        <f>'Source Data'!H1067</f>
        <v>0</v>
      </c>
      <c r="I1089" s="30">
        <f>'Source Data'!I1067</f>
        <v>0</v>
      </c>
      <c r="J1089" s="30">
        <f>'Source Data'!J1067</f>
        <v>0</v>
      </c>
      <c r="K1089" s="30">
        <f>'Source Data'!K1067</f>
        <v>-0.24600649145600001</v>
      </c>
      <c r="L1089" s="30">
        <f>'Source Data'!L1067</f>
        <v>-0.25424547819968002</v>
      </c>
      <c r="M1089" s="30">
        <f>'Source Data'!M1067</f>
        <v>-0.26273163454567</v>
      </c>
      <c r="N1089" s="30">
        <f>'Source Data'!N1067</f>
        <v>-0.27147237558204101</v>
      </c>
      <c r="O1089" s="30">
        <f>'Source Data'!O1067</f>
        <v>-0.28047533884950199</v>
      </c>
      <c r="P1089" s="30">
        <f>'Source Data'!P1067</f>
        <v>-0.28974839101498701</v>
      </c>
      <c r="Q1089" s="30">
        <f>'Source Data'!Q1067</f>
        <v>-0.29929963474543603</v>
      </c>
      <c r="R1089" s="30">
        <f>'Source Data'!R1067</f>
        <v>-0.30913741578780002</v>
      </c>
      <c r="S1089" s="30">
        <f>'Source Data'!S1067</f>
        <v>-0.31927033026143398</v>
      </c>
      <c r="T1089" s="30">
        <f>'Source Data'!T1067</f>
        <v>-0.329707232169277</v>
      </c>
    </row>
    <row r="1090" spans="2:20" x14ac:dyDescent="0.25">
      <c r="B1090" s="23" t="s">
        <v>4138</v>
      </c>
      <c r="C1090" s="28" t="s">
        <v>493</v>
      </c>
      <c r="H1090" s="161">
        <f>-'FSL Output - With BUMN'!H134</f>
        <v>0</v>
      </c>
      <c r="I1090" s="161">
        <f>-'FSL Output - With BUMN'!I134</f>
        <v>0</v>
      </c>
      <c r="J1090" s="161">
        <f>-'FSL Output - With BUMN'!J134</f>
        <v>0</v>
      </c>
      <c r="K1090" s="161">
        <f>-'FSL Output - With BUMN'!K134</f>
        <v>-0.24600649145600001</v>
      </c>
      <c r="L1090" s="161">
        <f>-'FSL Output - With BUMN'!L134</f>
        <v>-0.25424547819968008</v>
      </c>
      <c r="M1090" s="161">
        <f>-'FSL Output - With BUMN'!M134</f>
        <v>-0.26273163454567044</v>
      </c>
      <c r="N1090" s="161">
        <f>-'FSL Output - With BUMN'!N134</f>
        <v>-0.27147237558204057</v>
      </c>
      <c r="O1090" s="161">
        <f>-'FSL Output - With BUMN'!O134</f>
        <v>-0.28047533884950182</v>
      </c>
      <c r="P1090" s="161">
        <f>-'FSL Output - With BUMN'!P134</f>
        <v>-0.28974839101498684</v>
      </c>
      <c r="Q1090" s="161">
        <f>-'FSL Output - With BUMN'!Q134</f>
        <v>-0.29929963474543642</v>
      </c>
      <c r="R1090" s="161">
        <f>-'FSL Output - With BUMN'!R134</f>
        <v>-0.30913741578779952</v>
      </c>
      <c r="S1090" s="161">
        <f>-'FSL Output - With BUMN'!S134</f>
        <v>-0.31927033026143353</v>
      </c>
      <c r="T1090" s="161">
        <f>-'FSL Output - With BUMN'!T134</f>
        <v>-0.32970723216927655</v>
      </c>
    </row>
    <row r="1091" spans="2:20" x14ac:dyDescent="0.25">
      <c r="B1091" s="23" t="s">
        <v>4139</v>
      </c>
      <c r="C1091" s="28" t="s">
        <v>493</v>
      </c>
      <c r="H1091" s="161">
        <f t="shared" ref="H1091:T1091" si="192">ROUND(H1090-H1089,9)</f>
        <v>0</v>
      </c>
      <c r="I1091" s="161">
        <f t="shared" si="192"/>
        <v>0</v>
      </c>
      <c r="J1091" s="161">
        <f t="shared" si="192"/>
        <v>0</v>
      </c>
      <c r="K1091" s="161">
        <f t="shared" si="192"/>
        <v>0</v>
      </c>
      <c r="L1091" s="161">
        <f t="shared" si="192"/>
        <v>0</v>
      </c>
      <c r="M1091" s="161">
        <f t="shared" si="192"/>
        <v>0</v>
      </c>
      <c r="N1091" s="161">
        <f t="shared" si="192"/>
        <v>0</v>
      </c>
      <c r="O1091" s="161">
        <f t="shared" si="192"/>
        <v>0</v>
      </c>
      <c r="P1091" s="161">
        <f t="shared" si="192"/>
        <v>0</v>
      </c>
      <c r="Q1091" s="161">
        <f t="shared" si="192"/>
        <v>0</v>
      </c>
      <c r="R1091" s="161">
        <f t="shared" si="192"/>
        <v>0</v>
      </c>
      <c r="S1091" s="161">
        <f t="shared" si="192"/>
        <v>0</v>
      </c>
      <c r="T1091" s="161">
        <f t="shared" si="192"/>
        <v>0</v>
      </c>
    </row>
    <row r="1092" spans="2:20" x14ac:dyDescent="0.25">
      <c r="B1092" s="23" t="s">
        <v>4223</v>
      </c>
      <c r="C1092" s="28" t="s">
        <v>493</v>
      </c>
      <c r="H1092" s="30">
        <f>'Source Data'!H1068</f>
        <v>0</v>
      </c>
      <c r="I1092" s="30">
        <f>'Source Data'!I1068</f>
        <v>0</v>
      </c>
      <c r="J1092" s="30">
        <f>'Source Data'!J1068</f>
        <v>0</v>
      </c>
      <c r="K1092" s="30">
        <f>'Source Data'!K1068</f>
        <v>0.87220483334400001</v>
      </c>
      <c r="L1092" s="30">
        <f>'Source Data'!L1068</f>
        <v>0.90141578634431996</v>
      </c>
      <c r="M1092" s="30">
        <f>'Source Data'!M1068</f>
        <v>0.93150306793464999</v>
      </c>
      <c r="N1092" s="30">
        <f>'Source Data'!N1068</f>
        <v>0.96249296797268902</v>
      </c>
      <c r="O1092" s="30">
        <f>'Source Data'!O1068</f>
        <v>0.99441256501187003</v>
      </c>
      <c r="P1092" s="30">
        <f>'Source Data'!P1068</f>
        <v>1.02728974996223</v>
      </c>
      <c r="Q1092" s="30">
        <f>'Source Data'!Q1068</f>
        <v>1.0611532504610901</v>
      </c>
      <c r="R1092" s="30">
        <f>'Source Data'!R1068</f>
        <v>1.09603265597493</v>
      </c>
      <c r="S1092" s="30">
        <f>'Source Data'!S1068</f>
        <v>1.1319584436541701</v>
      </c>
      <c r="T1092" s="30">
        <f>'Source Data'!T1068</f>
        <v>1.1689620049638001</v>
      </c>
    </row>
    <row r="1093" spans="2:20" x14ac:dyDescent="0.25">
      <c r="B1093" s="23" t="s">
        <v>4141</v>
      </c>
      <c r="C1093" s="28" t="s">
        <v>493</v>
      </c>
      <c r="H1093" s="30">
        <f>'FSL Output - With BUMN'!H136</f>
        <v>0</v>
      </c>
      <c r="I1093" s="30">
        <f>'FSL Output - With BUMN'!I136</f>
        <v>0</v>
      </c>
      <c r="J1093" s="30">
        <f>'FSL Output - With BUMN'!J136</f>
        <v>0</v>
      </c>
      <c r="K1093" s="30">
        <f>'FSL Output - With BUMN'!K136</f>
        <v>0.87220483334400001</v>
      </c>
      <c r="L1093" s="30">
        <f>'FSL Output - With BUMN'!L136</f>
        <v>0.90141578634432018</v>
      </c>
      <c r="M1093" s="30">
        <f>'FSL Output - With BUMN'!M136</f>
        <v>0.93150306793464965</v>
      </c>
      <c r="N1093" s="30">
        <f>'FSL Output - With BUMN'!N136</f>
        <v>0.96249296797268924</v>
      </c>
      <c r="O1093" s="30">
        <f>'FSL Output - With BUMN'!O136</f>
        <v>0.99441256501187003</v>
      </c>
      <c r="P1093" s="30">
        <f>'FSL Output - With BUMN'!P136</f>
        <v>1.0272897499622262</v>
      </c>
      <c r="Q1093" s="30">
        <f>'FSL Output - With BUMN'!Q136</f>
        <v>1.0611532504610928</v>
      </c>
      <c r="R1093" s="30">
        <f>'FSL Output - With BUMN'!R136</f>
        <v>1.0960326559749256</v>
      </c>
      <c r="S1093" s="30">
        <f>'FSL Output - With BUMN'!S136</f>
        <v>1.1319584436541734</v>
      </c>
      <c r="T1093" s="30">
        <f>'FSL Output - With BUMN'!T136</f>
        <v>1.1689620049637988</v>
      </c>
    </row>
    <row r="1094" spans="2:20" x14ac:dyDescent="0.25">
      <c r="B1094" s="23" t="s">
        <v>4142</v>
      </c>
      <c r="C1094" s="28" t="s">
        <v>493</v>
      </c>
      <c r="H1094" s="161">
        <f t="shared" ref="H1094:T1094" si="193">ROUND(H1093-H1092,9)</f>
        <v>0</v>
      </c>
      <c r="I1094" s="161">
        <f t="shared" si="193"/>
        <v>0</v>
      </c>
      <c r="J1094" s="161">
        <f t="shared" si="193"/>
        <v>0</v>
      </c>
      <c r="K1094" s="161">
        <f t="shared" si="193"/>
        <v>0</v>
      </c>
      <c r="L1094" s="161">
        <f t="shared" si="193"/>
        <v>0</v>
      </c>
      <c r="M1094" s="161">
        <f t="shared" si="193"/>
        <v>0</v>
      </c>
      <c r="N1094" s="161">
        <f t="shared" si="193"/>
        <v>0</v>
      </c>
      <c r="O1094" s="161">
        <f t="shared" si="193"/>
        <v>0</v>
      </c>
      <c r="P1094" s="161">
        <f t="shared" si="193"/>
        <v>0</v>
      </c>
      <c r="Q1094" s="161">
        <f t="shared" si="193"/>
        <v>0</v>
      </c>
      <c r="R1094" s="161">
        <f t="shared" si="193"/>
        <v>0</v>
      </c>
      <c r="S1094" s="161">
        <f t="shared" si="193"/>
        <v>0</v>
      </c>
      <c r="T1094" s="161">
        <f t="shared" si="193"/>
        <v>0</v>
      </c>
    </row>
    <row r="1096" spans="2:20" x14ac:dyDescent="0.25">
      <c r="B1096" s="221" t="s">
        <v>4224</v>
      </c>
      <c r="C1096" s="235"/>
      <c r="D1096" s="235"/>
      <c r="E1096" s="224" t="str">
        <f>IF(F1096&lt;=Inputs!$E$50,"Matches v29",IF($E$21&gt;0,"Differs - inputs changed","UNEXPLAINED"))</f>
        <v>Matches v29</v>
      </c>
      <c r="F1096" s="225">
        <f>MAX(MAX(H1099:T1099),-MIN(H1099:T1099),MAX(H1102:T1102),-MIN(H1102:T1102),MAX(H1105:T1105),-MIN(H1105:T1105),MAX(H1108:T1108),-MIN(H1108:T1108),MAX(H1111:T1111),-MIN(H1111:T1111),MAX(H1114:T1114),-MIN(H1114:T1114),MAX(H1117:T1117),-MIN(H1117:T1117),MAX(H1120:T1120),-MIN(H1120:T1120))</f>
        <v>0</v>
      </c>
      <c r="G1096" s="226">
        <f>MAX(MAX(H1099:T1099),-MIN(H1099:T1099),MAX(H1102:T1102),-MIN(H1102:T1102),MAX(H1105:T1105),-MIN(H1105:T1105),MAX(H1108:T1108),-MIN(H1108:T1108),MAX(H1111:T1111),-MIN(H1111:T1111),MAX(H1114:T1114),-MIN(H1114:T1114),MAX(H1117:T1117),-MIN(H1117:T1117),MAX(H1120:T1120),-MIN(H1120:T1120))</f>
        <v>0</v>
      </c>
    </row>
    <row r="1097" spans="2:20" x14ac:dyDescent="0.25">
      <c r="B1097" s="23" t="s">
        <v>4225</v>
      </c>
      <c r="C1097" s="28" t="s">
        <v>493</v>
      </c>
      <c r="H1097" s="30">
        <f>'Source Data'!H1070</f>
        <v>0</v>
      </c>
      <c r="I1097" s="30">
        <f>'Source Data'!I1070</f>
        <v>0</v>
      </c>
      <c r="J1097" s="30">
        <f>'Source Data'!J1070</f>
        <v>0</v>
      </c>
      <c r="K1097" s="30">
        <f>'Source Data'!K1070</f>
        <v>0</v>
      </c>
      <c r="L1097" s="30">
        <f>'Source Data'!L1070</f>
        <v>58.257839587834397</v>
      </c>
      <c r="M1097" s="30">
        <f>'Source Data'!M1070</f>
        <v>76.900348255941395</v>
      </c>
      <c r="N1097" s="30">
        <f>'Source Data'!N1070</f>
        <v>84.590383081535606</v>
      </c>
      <c r="O1097" s="30">
        <f>'Source Data'!O1070</f>
        <v>102.354363528658</v>
      </c>
      <c r="P1097" s="30">
        <f>'Source Data'!P1070</f>
        <v>108.495625340378</v>
      </c>
      <c r="Q1097" s="30">
        <f>'Source Data'!Q1070</f>
        <v>121.905684632448</v>
      </c>
      <c r="R1097" s="30">
        <f>'Source Data'!R1070</f>
        <v>129.22002571039499</v>
      </c>
      <c r="S1097" s="30">
        <f>'Source Data'!S1070</f>
        <v>145.19162088819999</v>
      </c>
      <c r="T1097" s="30">
        <f>'Source Data'!T1070</f>
        <v>153.903118141492</v>
      </c>
    </row>
    <row r="1098" spans="2:20" x14ac:dyDescent="0.25">
      <c r="B1098" s="23" t="s">
        <v>4120</v>
      </c>
      <c r="C1098" s="28" t="s">
        <v>493</v>
      </c>
      <c r="H1098" s="30">
        <f>'Revenue Calculation'!H129</f>
        <v>0</v>
      </c>
      <c r="I1098" s="30">
        <f>'Revenue Calculation'!I129</f>
        <v>0</v>
      </c>
      <c r="J1098" s="30">
        <f>'Revenue Calculation'!J129</f>
        <v>0</v>
      </c>
      <c r="K1098" s="30">
        <f>'Revenue Calculation'!K129</f>
        <v>0</v>
      </c>
      <c r="L1098" s="30">
        <f>'Revenue Calculation'!L129</f>
        <v>58.257839587834397</v>
      </c>
      <c r="M1098" s="30">
        <f>'Revenue Calculation'!M129</f>
        <v>76.900348255941608</v>
      </c>
      <c r="N1098" s="30">
        <f>'Revenue Calculation'!N129</f>
        <v>84.590383081535748</v>
      </c>
      <c r="O1098" s="30">
        <f>'Revenue Calculation'!O129</f>
        <v>102.35436352865807</v>
      </c>
      <c r="P1098" s="30">
        <f>'Revenue Calculation'!P129</f>
        <v>108.49562534037757</v>
      </c>
      <c r="Q1098" s="30">
        <f>'Revenue Calculation'!Q129</f>
        <v>121.90568463244824</v>
      </c>
      <c r="R1098" s="30">
        <f>'Revenue Calculation'!R129</f>
        <v>129.22002571039516</v>
      </c>
      <c r="S1098" s="30">
        <f>'Revenue Calculation'!S129</f>
        <v>145.19162088820008</v>
      </c>
      <c r="T1098" s="30">
        <f>'Revenue Calculation'!T129</f>
        <v>153.90311814149209</v>
      </c>
    </row>
    <row r="1099" spans="2:20" x14ac:dyDescent="0.25">
      <c r="B1099" s="23" t="s">
        <v>4121</v>
      </c>
      <c r="C1099" s="28" t="s">
        <v>493</v>
      </c>
      <c r="H1099" s="161">
        <f t="shared" ref="H1099:T1099" si="194">ROUND(H1098-H1097,9)</f>
        <v>0</v>
      </c>
      <c r="I1099" s="161">
        <f t="shared" si="194"/>
        <v>0</v>
      </c>
      <c r="J1099" s="161">
        <f t="shared" si="194"/>
        <v>0</v>
      </c>
      <c r="K1099" s="161">
        <f t="shared" si="194"/>
        <v>0</v>
      </c>
      <c r="L1099" s="161">
        <f t="shared" si="194"/>
        <v>0</v>
      </c>
      <c r="M1099" s="161">
        <f t="shared" si="194"/>
        <v>0</v>
      </c>
      <c r="N1099" s="161">
        <f t="shared" si="194"/>
        <v>0</v>
      </c>
      <c r="O1099" s="161">
        <f t="shared" si="194"/>
        <v>0</v>
      </c>
      <c r="P1099" s="161">
        <f t="shared" si="194"/>
        <v>0</v>
      </c>
      <c r="Q1099" s="161">
        <f t="shared" si="194"/>
        <v>0</v>
      </c>
      <c r="R1099" s="161">
        <f t="shared" si="194"/>
        <v>0</v>
      </c>
      <c r="S1099" s="161">
        <f t="shared" si="194"/>
        <v>0</v>
      </c>
      <c r="T1099" s="161">
        <f t="shared" si="194"/>
        <v>0</v>
      </c>
    </row>
    <row r="1100" spans="2:20" x14ac:dyDescent="0.25">
      <c r="B1100" s="23" t="s">
        <v>4226</v>
      </c>
      <c r="C1100" s="28" t="s">
        <v>493</v>
      </c>
      <c r="H1100" s="30">
        <f>'Source Data'!H1071</f>
        <v>0</v>
      </c>
      <c r="I1100" s="30">
        <f>'Source Data'!I1071</f>
        <v>0</v>
      </c>
      <c r="J1100" s="30">
        <f>'Source Data'!J1071</f>
        <v>0</v>
      </c>
      <c r="K1100" s="30">
        <f>'Source Data'!K1071</f>
        <v>0</v>
      </c>
      <c r="L1100" s="30">
        <f>'Source Data'!L1071</f>
        <v>-15.060366036570899</v>
      </c>
      <c r="M1100" s="30">
        <f>'Source Data'!M1071</f>
        <v>-18.2933309675674</v>
      </c>
      <c r="N1100" s="30">
        <f>'Source Data'!N1071</f>
        <v>-20.3313841954234</v>
      </c>
      <c r="O1100" s="30">
        <f>'Source Data'!O1071</f>
        <v>-23.455629098209801</v>
      </c>
      <c r="P1100" s="30">
        <f>'Source Data'!P1071</f>
        <v>-25.179645829240801</v>
      </c>
      <c r="Q1100" s="30">
        <f>'Source Data'!Q1071</f>
        <v>-26.987302524079201</v>
      </c>
      <c r="R1100" s="30">
        <f>'Source Data'!R1071</f>
        <v>-28.9324768728445</v>
      </c>
      <c r="S1100" s="30">
        <f>'Source Data'!S1071</f>
        <v>-32.887630952372398</v>
      </c>
      <c r="T1100" s="30">
        <f>'Source Data'!T1071</f>
        <v>-35.276654045694102</v>
      </c>
    </row>
    <row r="1101" spans="2:20" x14ac:dyDescent="0.25">
      <c r="B1101" s="23" t="s">
        <v>4123</v>
      </c>
      <c r="C1101" s="28" t="s">
        <v>493</v>
      </c>
      <c r="H1101" s="161">
        <f>-('Cost Calculation'!H155)</f>
        <v>0</v>
      </c>
      <c r="I1101" s="161">
        <f>-('Cost Calculation'!I155)</f>
        <v>0</v>
      </c>
      <c r="J1101" s="161">
        <f>-('Cost Calculation'!J155)</f>
        <v>0</v>
      </c>
      <c r="K1101" s="161">
        <f>-('Cost Calculation'!K155)</f>
        <v>0</v>
      </c>
      <c r="L1101" s="161">
        <f>-('Cost Calculation'!L155)</f>
        <v>-15.060366036570924</v>
      </c>
      <c r="M1101" s="161">
        <f>-('Cost Calculation'!M155)</f>
        <v>-18.293330967567442</v>
      </c>
      <c r="N1101" s="161">
        <f>-('Cost Calculation'!N155)</f>
        <v>-20.331384195423436</v>
      </c>
      <c r="O1101" s="161">
        <f>-('Cost Calculation'!O155)</f>
        <v>-23.455629098209837</v>
      </c>
      <c r="P1101" s="161">
        <f>-('Cost Calculation'!P155)</f>
        <v>-25.179645829240791</v>
      </c>
      <c r="Q1101" s="161">
        <f>-('Cost Calculation'!Q155)</f>
        <v>-26.987302524079226</v>
      </c>
      <c r="R1101" s="161">
        <f>-('Cost Calculation'!R155)</f>
        <v>-28.932476872844543</v>
      </c>
      <c r="S1101" s="161">
        <f>-('Cost Calculation'!S155)</f>
        <v>-32.887630952372412</v>
      </c>
      <c r="T1101" s="161">
        <f>-('Cost Calculation'!T155)</f>
        <v>-35.276654045694144</v>
      </c>
    </row>
    <row r="1102" spans="2:20" x14ac:dyDescent="0.25">
      <c r="B1102" s="23" t="s">
        <v>4124</v>
      </c>
      <c r="C1102" s="28" t="s">
        <v>493</v>
      </c>
      <c r="H1102" s="161">
        <f t="shared" ref="H1102:T1102" si="195">ROUND(H1101-H1100,9)</f>
        <v>0</v>
      </c>
      <c r="I1102" s="161">
        <f t="shared" si="195"/>
        <v>0</v>
      </c>
      <c r="J1102" s="161">
        <f t="shared" si="195"/>
        <v>0</v>
      </c>
      <c r="K1102" s="161">
        <f t="shared" si="195"/>
        <v>0</v>
      </c>
      <c r="L1102" s="161">
        <f t="shared" si="195"/>
        <v>0</v>
      </c>
      <c r="M1102" s="161">
        <f t="shared" si="195"/>
        <v>0</v>
      </c>
      <c r="N1102" s="161">
        <f t="shared" si="195"/>
        <v>0</v>
      </c>
      <c r="O1102" s="161">
        <f t="shared" si="195"/>
        <v>0</v>
      </c>
      <c r="P1102" s="161">
        <f t="shared" si="195"/>
        <v>0</v>
      </c>
      <c r="Q1102" s="161">
        <f t="shared" si="195"/>
        <v>0</v>
      </c>
      <c r="R1102" s="161">
        <f t="shared" si="195"/>
        <v>0</v>
      </c>
      <c r="S1102" s="161">
        <f t="shared" si="195"/>
        <v>0</v>
      </c>
      <c r="T1102" s="161">
        <f t="shared" si="195"/>
        <v>0</v>
      </c>
    </row>
    <row r="1103" spans="2:20" x14ac:dyDescent="0.25">
      <c r="B1103" s="23" t="s">
        <v>4227</v>
      </c>
      <c r="C1103" s="28" t="s">
        <v>493</v>
      </c>
      <c r="H1103" s="30">
        <f>'Source Data'!H1072</f>
        <v>0</v>
      </c>
      <c r="I1103" s="30">
        <f>'Source Data'!I1072</f>
        <v>0</v>
      </c>
      <c r="J1103" s="30">
        <f>'Source Data'!J1072</f>
        <v>0</v>
      </c>
      <c r="K1103" s="30">
        <f>'Source Data'!K1072</f>
        <v>0</v>
      </c>
      <c r="L1103" s="30">
        <f>'Source Data'!L1072</f>
        <v>-10.0914541184959</v>
      </c>
      <c r="M1103" s="30">
        <f>'Source Data'!M1072</f>
        <v>-12.1358719942834</v>
      </c>
      <c r="N1103" s="30">
        <f>'Source Data'!N1072</f>
        <v>-13.3783735393143</v>
      </c>
      <c r="O1103" s="30">
        <f>'Source Data'!O1072</f>
        <v>-15.3047454774039</v>
      </c>
      <c r="P1103" s="30">
        <f>'Source Data'!P1072</f>
        <v>-16.258440915252201</v>
      </c>
      <c r="Q1103" s="30">
        <f>'Source Data'!Q1072</f>
        <v>-17.271708621838499</v>
      </c>
      <c r="R1103" s="30">
        <f>'Source Data'!R1072</f>
        <v>-18.3482782326079</v>
      </c>
      <c r="S1103" s="30">
        <f>'Source Data'!S1072</f>
        <v>-20.6616401893288</v>
      </c>
      <c r="T1103" s="30">
        <f>'Source Data'!T1072</f>
        <v>-21.949872022071499</v>
      </c>
    </row>
    <row r="1104" spans="2:20" x14ac:dyDescent="0.25">
      <c r="B1104" s="23" t="s">
        <v>4126</v>
      </c>
      <c r="C1104" s="28" t="s">
        <v>493</v>
      </c>
      <c r="H1104" s="161">
        <f>-('Cost Calculation'!H156)</f>
        <v>0</v>
      </c>
      <c r="I1104" s="161">
        <f>-('Cost Calculation'!I156)</f>
        <v>0</v>
      </c>
      <c r="J1104" s="161">
        <f>-('Cost Calculation'!J156)</f>
        <v>0</v>
      </c>
      <c r="K1104" s="161">
        <f>-('Cost Calculation'!K156)</f>
        <v>0</v>
      </c>
      <c r="L1104" s="161">
        <f>-('Cost Calculation'!L156)</f>
        <v>-10.091454118495877</v>
      </c>
      <c r="M1104" s="161">
        <f>-('Cost Calculation'!M156)</f>
        <v>-12.135871994283461</v>
      </c>
      <c r="N1104" s="161">
        <f>-('Cost Calculation'!N156)</f>
        <v>-13.378373539314355</v>
      </c>
      <c r="O1104" s="161">
        <f>-('Cost Calculation'!O156)</f>
        <v>-15.304745477403898</v>
      </c>
      <c r="P1104" s="161">
        <f>-('Cost Calculation'!P156)</f>
        <v>-16.258440915252198</v>
      </c>
      <c r="Q1104" s="161">
        <f>-('Cost Calculation'!Q156)</f>
        <v>-17.271708621838521</v>
      </c>
      <c r="R1104" s="161">
        <f>-('Cost Calculation'!R156)</f>
        <v>-18.348278232607907</v>
      </c>
      <c r="S1104" s="161">
        <f>-('Cost Calculation'!S156)</f>
        <v>-20.661640189328775</v>
      </c>
      <c r="T1104" s="161">
        <f>-('Cost Calculation'!T156)</f>
        <v>-21.949872022071517</v>
      </c>
    </row>
    <row r="1105" spans="2:20" x14ac:dyDescent="0.25">
      <c r="B1105" s="23" t="s">
        <v>4127</v>
      </c>
      <c r="C1105" s="28" t="s">
        <v>493</v>
      </c>
      <c r="H1105" s="161">
        <f t="shared" ref="H1105:T1105" si="196">ROUND(H1104-H1103,9)</f>
        <v>0</v>
      </c>
      <c r="I1105" s="161">
        <f t="shared" si="196"/>
        <v>0</v>
      </c>
      <c r="J1105" s="161">
        <f t="shared" si="196"/>
        <v>0</v>
      </c>
      <c r="K1105" s="161">
        <f t="shared" si="196"/>
        <v>0</v>
      </c>
      <c r="L1105" s="161">
        <f t="shared" si="196"/>
        <v>0</v>
      </c>
      <c r="M1105" s="161">
        <f t="shared" si="196"/>
        <v>0</v>
      </c>
      <c r="N1105" s="161">
        <f t="shared" si="196"/>
        <v>0</v>
      </c>
      <c r="O1105" s="161">
        <f t="shared" si="196"/>
        <v>0</v>
      </c>
      <c r="P1105" s="161">
        <f t="shared" si="196"/>
        <v>0</v>
      </c>
      <c r="Q1105" s="161">
        <f t="shared" si="196"/>
        <v>0</v>
      </c>
      <c r="R1105" s="161">
        <f t="shared" si="196"/>
        <v>0</v>
      </c>
      <c r="S1105" s="161">
        <f t="shared" si="196"/>
        <v>0</v>
      </c>
      <c r="T1105" s="161">
        <f t="shared" si="196"/>
        <v>0</v>
      </c>
    </row>
    <row r="1106" spans="2:20" x14ac:dyDescent="0.25">
      <c r="B1106" s="23" t="s">
        <v>4228</v>
      </c>
      <c r="C1106" s="28" t="s">
        <v>493</v>
      </c>
      <c r="H1106" s="30">
        <f>'Source Data'!H1073</f>
        <v>0</v>
      </c>
      <c r="I1106" s="30">
        <f>'Source Data'!I1073</f>
        <v>0</v>
      </c>
      <c r="J1106" s="30">
        <f>'Source Data'!J1073</f>
        <v>0</v>
      </c>
      <c r="K1106" s="30">
        <f>'Source Data'!K1073</f>
        <v>0</v>
      </c>
      <c r="L1106" s="30">
        <f>'Source Data'!L1073</f>
        <v>-7.1509375000000004</v>
      </c>
      <c r="M1106" s="30">
        <f>'Source Data'!M1073</f>
        <v>-7.1509375000000004</v>
      </c>
      <c r="N1106" s="30">
        <f>'Source Data'!N1073</f>
        <v>-7.1509375000000004</v>
      </c>
      <c r="O1106" s="30">
        <f>'Source Data'!O1073</f>
        <v>-7.1509375000000004</v>
      </c>
      <c r="P1106" s="30">
        <f>'Source Data'!P1073</f>
        <v>-7.1509375000000004</v>
      </c>
      <c r="Q1106" s="30">
        <f>'Source Data'!Q1073</f>
        <v>-7.1509375000000004</v>
      </c>
      <c r="R1106" s="30">
        <f>'Source Data'!R1073</f>
        <v>-7.1509375000000004</v>
      </c>
      <c r="S1106" s="30">
        <f>'Source Data'!S1073</f>
        <v>-7.1509375000000004</v>
      </c>
      <c r="T1106" s="30">
        <f>'Source Data'!T1073</f>
        <v>-7.1509375000000004</v>
      </c>
    </row>
    <row r="1107" spans="2:20" x14ac:dyDescent="0.25">
      <c r="B1107" s="23" t="s">
        <v>4129</v>
      </c>
      <c r="C1107" s="28" t="s">
        <v>493</v>
      </c>
      <c r="H1107" s="161">
        <f>-('Capex &amp; Depreciation'!H240)</f>
        <v>0</v>
      </c>
      <c r="I1107" s="161">
        <f>-('Capex &amp; Depreciation'!I240)</f>
        <v>0</v>
      </c>
      <c r="J1107" s="161">
        <f>-('Capex &amp; Depreciation'!J240)</f>
        <v>0</v>
      </c>
      <c r="K1107" s="161">
        <f>-('Capex &amp; Depreciation'!K240)</f>
        <v>0</v>
      </c>
      <c r="L1107" s="161">
        <f>-('Capex &amp; Depreciation'!L240)</f>
        <v>-7.1509375000000039</v>
      </c>
      <c r="M1107" s="161">
        <f>-('Capex &amp; Depreciation'!M240)</f>
        <v>-7.1509375000000039</v>
      </c>
      <c r="N1107" s="161">
        <f>-('Capex &amp; Depreciation'!N240)</f>
        <v>-7.1509375000000039</v>
      </c>
      <c r="O1107" s="161">
        <f>-('Capex &amp; Depreciation'!O240)</f>
        <v>-7.1509375000000039</v>
      </c>
      <c r="P1107" s="161">
        <f>-('Capex &amp; Depreciation'!P240)</f>
        <v>-7.1509375000000039</v>
      </c>
      <c r="Q1107" s="161">
        <f>-('Capex &amp; Depreciation'!Q240)</f>
        <v>-7.1509375000000039</v>
      </c>
      <c r="R1107" s="161">
        <f>-('Capex &amp; Depreciation'!R240)</f>
        <v>-7.1509375000000039</v>
      </c>
      <c r="S1107" s="161">
        <f>-('Capex &amp; Depreciation'!S240)</f>
        <v>-7.1509375000000039</v>
      </c>
      <c r="T1107" s="161">
        <f>-('Capex &amp; Depreciation'!T240)</f>
        <v>-7.1509375000000039</v>
      </c>
    </row>
    <row r="1108" spans="2:20" x14ac:dyDescent="0.25">
      <c r="B1108" s="23" t="s">
        <v>4130</v>
      </c>
      <c r="C1108" s="28" t="s">
        <v>493</v>
      </c>
      <c r="H1108" s="161">
        <f t="shared" ref="H1108:T1108" si="197">ROUND(H1107-H1106,9)</f>
        <v>0</v>
      </c>
      <c r="I1108" s="161">
        <f t="shared" si="197"/>
        <v>0</v>
      </c>
      <c r="J1108" s="161">
        <f t="shared" si="197"/>
        <v>0</v>
      </c>
      <c r="K1108" s="161">
        <f t="shared" si="197"/>
        <v>0</v>
      </c>
      <c r="L1108" s="161">
        <f t="shared" si="197"/>
        <v>0</v>
      </c>
      <c r="M1108" s="161">
        <f t="shared" si="197"/>
        <v>0</v>
      </c>
      <c r="N1108" s="161">
        <f t="shared" si="197"/>
        <v>0</v>
      </c>
      <c r="O1108" s="161">
        <f t="shared" si="197"/>
        <v>0</v>
      </c>
      <c r="P1108" s="161">
        <f t="shared" si="197"/>
        <v>0</v>
      </c>
      <c r="Q1108" s="161">
        <f t="shared" si="197"/>
        <v>0</v>
      </c>
      <c r="R1108" s="161">
        <f t="shared" si="197"/>
        <v>0</v>
      </c>
      <c r="S1108" s="161">
        <f t="shared" si="197"/>
        <v>0</v>
      </c>
      <c r="T1108" s="161">
        <f t="shared" si="197"/>
        <v>0</v>
      </c>
    </row>
    <row r="1109" spans="2:20" x14ac:dyDescent="0.25">
      <c r="B1109" s="23" t="s">
        <v>4229</v>
      </c>
      <c r="C1109" s="28" t="s">
        <v>493</v>
      </c>
      <c r="H1109" s="30">
        <f>'Source Data'!H1074</f>
        <v>0</v>
      </c>
      <c r="I1109" s="30">
        <f>'Source Data'!I1074</f>
        <v>0</v>
      </c>
      <c r="J1109" s="30">
        <f>'Source Data'!J1074</f>
        <v>0</v>
      </c>
      <c r="K1109" s="30">
        <f>'Source Data'!K1074</f>
        <v>0</v>
      </c>
      <c r="L1109" s="30">
        <f>'Source Data'!L1074</f>
        <v>0</v>
      </c>
      <c r="M1109" s="30">
        <f>'Source Data'!M1074</f>
        <v>0</v>
      </c>
      <c r="N1109" s="30">
        <f>'Source Data'!N1074</f>
        <v>0</v>
      </c>
      <c r="O1109" s="30">
        <f>'Source Data'!O1074</f>
        <v>0</v>
      </c>
      <c r="P1109" s="30">
        <f>'Source Data'!P1074</f>
        <v>0</v>
      </c>
      <c r="Q1109" s="30">
        <f>'Source Data'!Q1074</f>
        <v>0</v>
      </c>
      <c r="R1109" s="30">
        <f>'Source Data'!R1074</f>
        <v>0</v>
      </c>
      <c r="S1109" s="30">
        <f>'Source Data'!S1074</f>
        <v>0</v>
      </c>
      <c r="T1109" s="30">
        <f>'Source Data'!T1074</f>
        <v>0</v>
      </c>
    </row>
    <row r="1110" spans="2:20" x14ac:dyDescent="0.25">
      <c r="B1110" s="23" t="s">
        <v>4132</v>
      </c>
      <c r="C1110" s="28" t="s">
        <v>493</v>
      </c>
      <c r="H1110" s="161">
        <f>0</f>
        <v>0</v>
      </c>
      <c r="I1110" s="161">
        <f>0</f>
        <v>0</v>
      </c>
      <c r="J1110" s="161">
        <f>0</f>
        <v>0</v>
      </c>
      <c r="K1110" s="161">
        <f>0</f>
        <v>0</v>
      </c>
      <c r="L1110" s="161">
        <f>0</f>
        <v>0</v>
      </c>
      <c r="M1110" s="161">
        <f>0</f>
        <v>0</v>
      </c>
      <c r="N1110" s="161">
        <f>0</f>
        <v>0</v>
      </c>
      <c r="O1110" s="161">
        <f>0</f>
        <v>0</v>
      </c>
      <c r="P1110" s="161">
        <f>0</f>
        <v>0</v>
      </c>
      <c r="Q1110" s="161">
        <f>0</f>
        <v>0</v>
      </c>
      <c r="R1110" s="161">
        <f>0</f>
        <v>0</v>
      </c>
      <c r="S1110" s="161">
        <f>0</f>
        <v>0</v>
      </c>
      <c r="T1110" s="161">
        <f>0</f>
        <v>0</v>
      </c>
    </row>
    <row r="1111" spans="2:20" x14ac:dyDescent="0.25">
      <c r="B1111" s="23" t="s">
        <v>4133</v>
      </c>
      <c r="C1111" s="28" t="s">
        <v>493</v>
      </c>
      <c r="H1111" s="161">
        <f t="shared" ref="H1111:T1111" si="198">ROUND(H1110-H1109,9)</f>
        <v>0</v>
      </c>
      <c r="I1111" s="161">
        <f t="shared" si="198"/>
        <v>0</v>
      </c>
      <c r="J1111" s="161">
        <f t="shared" si="198"/>
        <v>0</v>
      </c>
      <c r="K1111" s="161">
        <f t="shared" si="198"/>
        <v>0</v>
      </c>
      <c r="L1111" s="161">
        <f t="shared" si="198"/>
        <v>0</v>
      </c>
      <c r="M1111" s="161">
        <f t="shared" si="198"/>
        <v>0</v>
      </c>
      <c r="N1111" s="161">
        <f t="shared" si="198"/>
        <v>0</v>
      </c>
      <c r="O1111" s="161">
        <f t="shared" si="198"/>
        <v>0</v>
      </c>
      <c r="P1111" s="161">
        <f t="shared" si="198"/>
        <v>0</v>
      </c>
      <c r="Q1111" s="161">
        <f t="shared" si="198"/>
        <v>0</v>
      </c>
      <c r="R1111" s="161">
        <f t="shared" si="198"/>
        <v>0</v>
      </c>
      <c r="S1111" s="161">
        <f t="shared" si="198"/>
        <v>0</v>
      </c>
      <c r="T1111" s="161">
        <f t="shared" si="198"/>
        <v>0</v>
      </c>
    </row>
    <row r="1112" spans="2:20" x14ac:dyDescent="0.25">
      <c r="B1112" s="23" t="s">
        <v>4230</v>
      </c>
      <c r="C1112" s="28" t="s">
        <v>493</v>
      </c>
      <c r="H1112" s="30">
        <f>'Source Data'!H1075</f>
        <v>0</v>
      </c>
      <c r="I1112" s="30">
        <f>'Source Data'!I1075</f>
        <v>0</v>
      </c>
      <c r="J1112" s="30">
        <f>'Source Data'!J1075</f>
        <v>0</v>
      </c>
      <c r="K1112" s="30">
        <f>'Source Data'!K1075</f>
        <v>0</v>
      </c>
      <c r="L1112" s="30">
        <f>'Source Data'!L1075</f>
        <v>25.955081932767602</v>
      </c>
      <c r="M1112" s="30">
        <f>'Source Data'!M1075</f>
        <v>39.320207794090599</v>
      </c>
      <c r="N1112" s="30">
        <f>'Source Data'!N1075</f>
        <v>43.729687846797901</v>
      </c>
      <c r="O1112" s="30">
        <f>'Source Data'!O1075</f>
        <v>56.443051453044298</v>
      </c>
      <c r="P1112" s="30">
        <f>'Source Data'!P1075</f>
        <v>59.906601095884596</v>
      </c>
      <c r="Q1112" s="30">
        <f>'Source Data'!Q1075</f>
        <v>70.495735986530505</v>
      </c>
      <c r="R1112" s="30">
        <f>'Source Data'!R1075</f>
        <v>74.788333104942694</v>
      </c>
      <c r="S1112" s="30">
        <f>'Source Data'!S1075</f>
        <v>84.491412246498797</v>
      </c>
      <c r="T1112" s="30">
        <f>'Source Data'!T1075</f>
        <v>89.525654573726399</v>
      </c>
    </row>
    <row r="1113" spans="2:20" x14ac:dyDescent="0.25">
      <c r="B1113" s="23" t="s">
        <v>4135</v>
      </c>
      <c r="C1113" s="28" t="s">
        <v>493</v>
      </c>
      <c r="H1113" s="30">
        <f>'FSL Output - With BUMN'!H138</f>
        <v>0</v>
      </c>
      <c r="I1113" s="30">
        <f>'FSL Output - With BUMN'!I138</f>
        <v>0</v>
      </c>
      <c r="J1113" s="30">
        <f>'FSL Output - With BUMN'!J138</f>
        <v>0</v>
      </c>
      <c r="K1113" s="30">
        <f>'FSL Output - With BUMN'!K138</f>
        <v>0</v>
      </c>
      <c r="L1113" s="30">
        <f>'FSL Output - With BUMN'!L138</f>
        <v>25.955081932767591</v>
      </c>
      <c r="M1113" s="30">
        <f>'FSL Output - With BUMN'!M138</f>
        <v>39.320207794090699</v>
      </c>
      <c r="N1113" s="30">
        <f>'FSL Output - With BUMN'!N138</f>
        <v>43.729687846797951</v>
      </c>
      <c r="O1113" s="30">
        <f>'FSL Output - With BUMN'!O138</f>
        <v>56.443051453044326</v>
      </c>
      <c r="P1113" s="30">
        <f>'FSL Output - With BUMN'!P138</f>
        <v>59.906601095884589</v>
      </c>
      <c r="Q1113" s="30">
        <f>'FSL Output - With BUMN'!Q138</f>
        <v>70.495735986530491</v>
      </c>
      <c r="R1113" s="30">
        <f>'FSL Output - With BUMN'!R138</f>
        <v>74.788333104942708</v>
      </c>
      <c r="S1113" s="30">
        <f>'FSL Output - With BUMN'!S138</f>
        <v>84.491412246498896</v>
      </c>
      <c r="T1113" s="30">
        <f>'FSL Output - With BUMN'!T138</f>
        <v>89.525654573726428</v>
      </c>
    </row>
    <row r="1114" spans="2:20" x14ac:dyDescent="0.25">
      <c r="B1114" s="23" t="s">
        <v>4136</v>
      </c>
      <c r="C1114" s="28" t="s">
        <v>493</v>
      </c>
      <c r="H1114" s="161">
        <f t="shared" ref="H1114:T1114" si="199">ROUND(H1113-H1112,9)</f>
        <v>0</v>
      </c>
      <c r="I1114" s="161">
        <f t="shared" si="199"/>
        <v>0</v>
      </c>
      <c r="J1114" s="161">
        <f t="shared" si="199"/>
        <v>0</v>
      </c>
      <c r="K1114" s="161">
        <f t="shared" si="199"/>
        <v>0</v>
      </c>
      <c r="L1114" s="161">
        <f t="shared" si="199"/>
        <v>0</v>
      </c>
      <c r="M1114" s="161">
        <f t="shared" si="199"/>
        <v>0</v>
      </c>
      <c r="N1114" s="161">
        <f t="shared" si="199"/>
        <v>0</v>
      </c>
      <c r="O1114" s="161">
        <f t="shared" si="199"/>
        <v>0</v>
      </c>
      <c r="P1114" s="161">
        <f t="shared" si="199"/>
        <v>0</v>
      </c>
      <c r="Q1114" s="161">
        <f t="shared" si="199"/>
        <v>0</v>
      </c>
      <c r="R1114" s="161">
        <f t="shared" si="199"/>
        <v>0</v>
      </c>
      <c r="S1114" s="161">
        <f t="shared" si="199"/>
        <v>0</v>
      </c>
      <c r="T1114" s="161">
        <f t="shared" si="199"/>
        <v>0</v>
      </c>
    </row>
    <row r="1115" spans="2:20" x14ac:dyDescent="0.25">
      <c r="B1115" s="23" t="s">
        <v>4231</v>
      </c>
      <c r="C1115" s="28" t="s">
        <v>493</v>
      </c>
      <c r="H1115" s="30">
        <f>'Source Data'!H1076</f>
        <v>0</v>
      </c>
      <c r="I1115" s="30">
        <f>'Source Data'!I1076</f>
        <v>0</v>
      </c>
      <c r="J1115" s="30">
        <f>'Source Data'!J1076</f>
        <v>0</v>
      </c>
      <c r="K1115" s="30">
        <f>'Source Data'!K1076</f>
        <v>0</v>
      </c>
      <c r="L1115" s="30">
        <f>'Source Data'!L1076</f>
        <v>-5.7101180252088701</v>
      </c>
      <c r="M1115" s="30">
        <f>'Source Data'!M1076</f>
        <v>-8.6504457146999307</v>
      </c>
      <c r="N1115" s="30">
        <f>'Source Data'!N1076</f>
        <v>-9.6205313262955308</v>
      </c>
      <c r="O1115" s="30">
        <f>'Source Data'!O1076</f>
        <v>-12.417471319669801</v>
      </c>
      <c r="P1115" s="30">
        <f>'Source Data'!P1076</f>
        <v>-13.1794522410946</v>
      </c>
      <c r="Q1115" s="30">
        <f>'Source Data'!Q1076</f>
        <v>-15.5090619170367</v>
      </c>
      <c r="R1115" s="30">
        <f>'Source Data'!R1076</f>
        <v>-16.453433283087399</v>
      </c>
      <c r="S1115" s="30">
        <f>'Source Data'!S1076</f>
        <v>-18.588110694229702</v>
      </c>
      <c r="T1115" s="30">
        <f>'Source Data'!T1076</f>
        <v>-19.695644006219801</v>
      </c>
    </row>
    <row r="1116" spans="2:20" x14ac:dyDescent="0.25">
      <c r="B1116" s="23" t="s">
        <v>4138</v>
      </c>
      <c r="C1116" s="28" t="s">
        <v>493</v>
      </c>
      <c r="H1116" s="161">
        <f>-'FSL Output - With BUMN'!H139</f>
        <v>0</v>
      </c>
      <c r="I1116" s="161">
        <f>-'FSL Output - With BUMN'!I139</f>
        <v>0</v>
      </c>
      <c r="J1116" s="161">
        <f>-'FSL Output - With BUMN'!J139</f>
        <v>0</v>
      </c>
      <c r="K1116" s="161">
        <f>-'FSL Output - With BUMN'!K139</f>
        <v>0</v>
      </c>
      <c r="L1116" s="161">
        <f>-'FSL Output - With BUMN'!L139</f>
        <v>-5.7101180252088701</v>
      </c>
      <c r="M1116" s="161">
        <f>-'FSL Output - With BUMN'!M139</f>
        <v>-8.6504457146999538</v>
      </c>
      <c r="N1116" s="161">
        <f>-'FSL Output - With BUMN'!N139</f>
        <v>-9.6205313262955485</v>
      </c>
      <c r="O1116" s="161">
        <f>-'FSL Output - With BUMN'!O139</f>
        <v>-12.417471319669751</v>
      </c>
      <c r="P1116" s="161">
        <f>-'FSL Output - With BUMN'!P139</f>
        <v>-13.17945224109461</v>
      </c>
      <c r="Q1116" s="161">
        <f>-'FSL Output - With BUMN'!Q139</f>
        <v>-15.509061917036709</v>
      </c>
      <c r="R1116" s="161">
        <f>-'FSL Output - With BUMN'!R139</f>
        <v>-16.453433283087396</v>
      </c>
      <c r="S1116" s="161">
        <f>-'FSL Output - With BUMN'!S139</f>
        <v>-18.588110694229758</v>
      </c>
      <c r="T1116" s="161">
        <f>-'FSL Output - With BUMN'!T139</f>
        <v>-19.695644006219815</v>
      </c>
    </row>
    <row r="1117" spans="2:20" x14ac:dyDescent="0.25">
      <c r="B1117" s="23" t="s">
        <v>4139</v>
      </c>
      <c r="C1117" s="28" t="s">
        <v>493</v>
      </c>
      <c r="H1117" s="161">
        <f t="shared" ref="H1117:T1117" si="200">ROUND(H1116-H1115,9)</f>
        <v>0</v>
      </c>
      <c r="I1117" s="161">
        <f t="shared" si="200"/>
        <v>0</v>
      </c>
      <c r="J1117" s="161">
        <f t="shared" si="200"/>
        <v>0</v>
      </c>
      <c r="K1117" s="161">
        <f t="shared" si="200"/>
        <v>0</v>
      </c>
      <c r="L1117" s="161">
        <f t="shared" si="200"/>
        <v>0</v>
      </c>
      <c r="M1117" s="161">
        <f t="shared" si="200"/>
        <v>0</v>
      </c>
      <c r="N1117" s="161">
        <f t="shared" si="200"/>
        <v>0</v>
      </c>
      <c r="O1117" s="161">
        <f t="shared" si="200"/>
        <v>0</v>
      </c>
      <c r="P1117" s="161">
        <f t="shared" si="200"/>
        <v>0</v>
      </c>
      <c r="Q1117" s="161">
        <f t="shared" si="200"/>
        <v>0</v>
      </c>
      <c r="R1117" s="161">
        <f t="shared" si="200"/>
        <v>0</v>
      </c>
      <c r="S1117" s="161">
        <f t="shared" si="200"/>
        <v>0</v>
      </c>
      <c r="T1117" s="161">
        <f t="shared" si="200"/>
        <v>0</v>
      </c>
    </row>
    <row r="1118" spans="2:20" x14ac:dyDescent="0.25">
      <c r="B1118" s="23" t="s">
        <v>4232</v>
      </c>
      <c r="C1118" s="28" t="s">
        <v>493</v>
      </c>
      <c r="H1118" s="30">
        <f>'Source Data'!H1077</f>
        <v>0</v>
      </c>
      <c r="I1118" s="30">
        <f>'Source Data'!I1077</f>
        <v>0</v>
      </c>
      <c r="J1118" s="30">
        <f>'Source Data'!J1077</f>
        <v>0</v>
      </c>
      <c r="K1118" s="30">
        <f>'Source Data'!K1077</f>
        <v>0</v>
      </c>
      <c r="L1118" s="30">
        <f>'Source Data'!L1077</f>
        <v>20.244963907558699</v>
      </c>
      <c r="M1118" s="30">
        <f>'Source Data'!M1077</f>
        <v>30.669762079390701</v>
      </c>
      <c r="N1118" s="30">
        <f>'Source Data'!N1077</f>
        <v>34.109156520502303</v>
      </c>
      <c r="O1118" s="30">
        <f>'Source Data'!O1077</f>
        <v>44.025580133374604</v>
      </c>
      <c r="P1118" s="30">
        <f>'Source Data'!P1077</f>
        <v>46.727148854790002</v>
      </c>
      <c r="Q1118" s="30">
        <f>'Source Data'!Q1077</f>
        <v>54.986674069493802</v>
      </c>
      <c r="R1118" s="30">
        <f>'Source Data'!R1077</f>
        <v>58.334899821855302</v>
      </c>
      <c r="S1118" s="30">
        <f>'Source Data'!S1077</f>
        <v>65.903301552269099</v>
      </c>
      <c r="T1118" s="30">
        <f>'Source Data'!T1077</f>
        <v>69.830010567506605</v>
      </c>
    </row>
    <row r="1119" spans="2:20" x14ac:dyDescent="0.25">
      <c r="B1119" s="23" t="s">
        <v>4141</v>
      </c>
      <c r="C1119" s="28" t="s">
        <v>493</v>
      </c>
      <c r="H1119" s="30">
        <f>'FSL Output - With BUMN'!H141</f>
        <v>0</v>
      </c>
      <c r="I1119" s="30">
        <f>'FSL Output - With BUMN'!I141</f>
        <v>0</v>
      </c>
      <c r="J1119" s="30">
        <f>'FSL Output - With BUMN'!J141</f>
        <v>0</v>
      </c>
      <c r="K1119" s="30">
        <f>'FSL Output - With BUMN'!K141</f>
        <v>0</v>
      </c>
      <c r="L1119" s="30">
        <f>'FSL Output - With BUMN'!L141</f>
        <v>20.24496390755872</v>
      </c>
      <c r="M1119" s="30">
        <f>'FSL Output - With BUMN'!M141</f>
        <v>30.669762079390743</v>
      </c>
      <c r="N1119" s="30">
        <f>'FSL Output - With BUMN'!N141</f>
        <v>34.109156520502403</v>
      </c>
      <c r="O1119" s="30">
        <f>'FSL Output - With BUMN'!O141</f>
        <v>44.025580133374575</v>
      </c>
      <c r="P1119" s="30">
        <f>'FSL Output - With BUMN'!P141</f>
        <v>46.727148854789981</v>
      </c>
      <c r="Q1119" s="30">
        <f>'FSL Output - With BUMN'!Q141</f>
        <v>54.98667406949378</v>
      </c>
      <c r="R1119" s="30">
        <f>'FSL Output - With BUMN'!R141</f>
        <v>58.334899821855316</v>
      </c>
      <c r="S1119" s="30">
        <f>'FSL Output - With BUMN'!S141</f>
        <v>65.903301552269141</v>
      </c>
      <c r="T1119" s="30">
        <f>'FSL Output - With BUMN'!T141</f>
        <v>69.830010567506605</v>
      </c>
    </row>
    <row r="1120" spans="2:20" x14ac:dyDescent="0.25">
      <c r="B1120" s="23" t="s">
        <v>4142</v>
      </c>
      <c r="C1120" s="28" t="s">
        <v>493</v>
      </c>
      <c r="H1120" s="161">
        <f t="shared" ref="H1120:T1120" si="201">ROUND(H1119-H1118,9)</f>
        <v>0</v>
      </c>
      <c r="I1120" s="161">
        <f t="shared" si="201"/>
        <v>0</v>
      </c>
      <c r="J1120" s="161">
        <f t="shared" si="201"/>
        <v>0</v>
      </c>
      <c r="K1120" s="161">
        <f t="shared" si="201"/>
        <v>0</v>
      </c>
      <c r="L1120" s="161">
        <f t="shared" si="201"/>
        <v>0</v>
      </c>
      <c r="M1120" s="161">
        <f t="shared" si="201"/>
        <v>0</v>
      </c>
      <c r="N1120" s="161">
        <f t="shared" si="201"/>
        <v>0</v>
      </c>
      <c r="O1120" s="161">
        <f t="shared" si="201"/>
        <v>0</v>
      </c>
      <c r="P1120" s="161">
        <f t="shared" si="201"/>
        <v>0</v>
      </c>
      <c r="Q1120" s="161">
        <f t="shared" si="201"/>
        <v>0</v>
      </c>
      <c r="R1120" s="161">
        <f t="shared" si="201"/>
        <v>0</v>
      </c>
      <c r="S1120" s="161">
        <f t="shared" si="201"/>
        <v>0</v>
      </c>
      <c r="T1120" s="161">
        <f t="shared" si="201"/>
        <v>0</v>
      </c>
    </row>
    <row r="1122" spans="2:20" x14ac:dyDescent="0.25">
      <c r="B1122" s="221" t="s">
        <v>4233</v>
      </c>
      <c r="C1122" s="235"/>
      <c r="D1122" s="235"/>
      <c r="E1122" s="224" t="str">
        <f>IF(F1122&lt;=Inputs!$E$50,"Matches v29",IF($E$21&gt;0,"Differs - inputs changed","UNEXPLAINED"))</f>
        <v>Matches v29</v>
      </c>
      <c r="F1122" s="225">
        <f>MAX(MAX(H1125:T1125),-MIN(H1125:T1125),MAX(H1128:T1128),-MIN(H1128:T1128),MAX(H1131:T1131),-MIN(H1131:T1131),MAX(H1134:T1134),-MIN(H1134:T1134),MAX(H1137:T1137),-MIN(H1137:T1137),MAX(H1140:T1140),-MIN(H1140:T1140),MAX(H1143:T1143),-MIN(H1143:T1143),MAX(H1146:T1146),-MIN(H1146:T1146))</f>
        <v>0</v>
      </c>
      <c r="G1122" s="226">
        <f>MAX(MAX(H1125:T1125),-MIN(H1125:T1125),MAX(H1128:T1128),-MIN(H1128:T1128),MAX(H1131:T1131),-MIN(H1131:T1131),MAX(H1134:T1134),-MIN(H1134:T1134),MAX(H1137:T1137),-MIN(H1137:T1137),MAX(H1140:T1140),-MIN(H1140:T1140),MAX(H1143:T1143),-MIN(H1143:T1143),MAX(H1146:T1146),-MIN(H1146:T1146))</f>
        <v>0</v>
      </c>
    </row>
    <row r="1123" spans="2:20" x14ac:dyDescent="0.25">
      <c r="B1123" s="23" t="s">
        <v>4234</v>
      </c>
      <c r="C1123" s="28" t="s">
        <v>493</v>
      </c>
      <c r="H1123" s="30">
        <f>'Source Data'!H1079</f>
        <v>0</v>
      </c>
      <c r="I1123" s="30">
        <f>'Source Data'!I1079</f>
        <v>0</v>
      </c>
      <c r="J1123" s="30">
        <f>'Source Data'!J1079</f>
        <v>0</v>
      </c>
      <c r="K1123" s="30">
        <f>'Source Data'!K1079</f>
        <v>0</v>
      </c>
      <c r="L1123" s="30">
        <f>'Source Data'!L1079</f>
        <v>0.46400000000000002</v>
      </c>
      <c r="M1123" s="30">
        <f>'Source Data'!M1079</f>
        <v>0.51039999999999996</v>
      </c>
      <c r="N1123" s="30">
        <f>'Source Data'!N1079</f>
        <v>0.56144000000000005</v>
      </c>
      <c r="O1123" s="30">
        <f>'Source Data'!O1079</f>
        <v>0.61758400000000002</v>
      </c>
      <c r="P1123" s="30">
        <f>'Source Data'!P1079</f>
        <v>0.65463903999999995</v>
      </c>
      <c r="Q1123" s="30">
        <f>'Source Data'!Q1079</f>
        <v>0.6939173824</v>
      </c>
      <c r="R1123" s="30">
        <f>'Source Data'!R1079</f>
        <v>0.735552425344</v>
      </c>
      <c r="S1123" s="30">
        <f>'Source Data'!S1079</f>
        <v>0.77968557086463997</v>
      </c>
      <c r="T1123" s="30">
        <f>'Source Data'!T1079</f>
        <v>0.82646670511651898</v>
      </c>
    </row>
    <row r="1124" spans="2:20" x14ac:dyDescent="0.25">
      <c r="B1124" s="23" t="s">
        <v>4120</v>
      </c>
      <c r="C1124" s="28" t="s">
        <v>493</v>
      </c>
      <c r="H1124" s="30">
        <f>'Revenue Calculation'!H143</f>
        <v>0</v>
      </c>
      <c r="I1124" s="30">
        <f>'Revenue Calculation'!I143</f>
        <v>0</v>
      </c>
      <c r="J1124" s="30">
        <f>'Revenue Calculation'!J143</f>
        <v>0</v>
      </c>
      <c r="K1124" s="30">
        <f>'Revenue Calculation'!K143</f>
        <v>0</v>
      </c>
      <c r="L1124" s="30">
        <f>'Revenue Calculation'!L143</f>
        <v>0.46400000000000002</v>
      </c>
      <c r="M1124" s="30">
        <f>'Revenue Calculation'!M143</f>
        <v>0.51040000000000008</v>
      </c>
      <c r="N1124" s="30">
        <f>'Revenue Calculation'!N143</f>
        <v>0.56144000000000016</v>
      </c>
      <c r="O1124" s="30">
        <f>'Revenue Calculation'!O143</f>
        <v>0.61758400000000013</v>
      </c>
      <c r="P1124" s="30">
        <f>'Revenue Calculation'!P143</f>
        <v>0.65463904000000028</v>
      </c>
      <c r="Q1124" s="30">
        <f>'Revenue Calculation'!Q143</f>
        <v>0.69391738240000034</v>
      </c>
      <c r="R1124" s="30">
        <f>'Revenue Calculation'!R143</f>
        <v>0.73555242534400034</v>
      </c>
      <c r="S1124" s="30">
        <f>'Revenue Calculation'!S143</f>
        <v>0.77968557086464041</v>
      </c>
      <c r="T1124" s="30">
        <f>'Revenue Calculation'!T143</f>
        <v>0.82646670511651898</v>
      </c>
    </row>
    <row r="1125" spans="2:20" x14ac:dyDescent="0.25">
      <c r="B1125" s="23" t="s">
        <v>4121</v>
      </c>
      <c r="C1125" s="28" t="s">
        <v>493</v>
      </c>
      <c r="H1125" s="161">
        <f t="shared" ref="H1125:T1125" si="202">ROUND(H1124-H1123,9)</f>
        <v>0</v>
      </c>
      <c r="I1125" s="161">
        <f t="shared" si="202"/>
        <v>0</v>
      </c>
      <c r="J1125" s="161">
        <f t="shared" si="202"/>
        <v>0</v>
      </c>
      <c r="K1125" s="161">
        <f t="shared" si="202"/>
        <v>0</v>
      </c>
      <c r="L1125" s="161">
        <f t="shared" si="202"/>
        <v>0</v>
      </c>
      <c r="M1125" s="161">
        <f t="shared" si="202"/>
        <v>0</v>
      </c>
      <c r="N1125" s="161">
        <f t="shared" si="202"/>
        <v>0</v>
      </c>
      <c r="O1125" s="161">
        <f t="shared" si="202"/>
        <v>0</v>
      </c>
      <c r="P1125" s="161">
        <f t="shared" si="202"/>
        <v>0</v>
      </c>
      <c r="Q1125" s="161">
        <f t="shared" si="202"/>
        <v>0</v>
      </c>
      <c r="R1125" s="161">
        <f t="shared" si="202"/>
        <v>0</v>
      </c>
      <c r="S1125" s="161">
        <f t="shared" si="202"/>
        <v>0</v>
      </c>
      <c r="T1125" s="161">
        <f t="shared" si="202"/>
        <v>0</v>
      </c>
    </row>
    <row r="1126" spans="2:20" x14ac:dyDescent="0.25">
      <c r="B1126" s="23" t="s">
        <v>4235</v>
      </c>
      <c r="C1126" s="28" t="s">
        <v>493</v>
      </c>
      <c r="H1126" s="30">
        <f>'Source Data'!H1080</f>
        <v>0</v>
      </c>
      <c r="I1126" s="30">
        <f>'Source Data'!I1080</f>
        <v>0</v>
      </c>
      <c r="J1126" s="30">
        <f>'Source Data'!J1080</f>
        <v>0</v>
      </c>
      <c r="K1126" s="30">
        <f>'Source Data'!K1080</f>
        <v>0</v>
      </c>
      <c r="L1126" s="30">
        <f>'Source Data'!L1080</f>
        <v>0</v>
      </c>
      <c r="M1126" s="30">
        <f>'Source Data'!M1080</f>
        <v>0</v>
      </c>
      <c r="N1126" s="30">
        <f>'Source Data'!N1080</f>
        <v>0</v>
      </c>
      <c r="O1126" s="30">
        <f>'Source Data'!O1080</f>
        <v>0</v>
      </c>
      <c r="P1126" s="30">
        <f>'Source Data'!P1080</f>
        <v>0</v>
      </c>
      <c r="Q1126" s="30">
        <f>'Source Data'!Q1080</f>
        <v>0</v>
      </c>
      <c r="R1126" s="30">
        <f>'Source Data'!R1080</f>
        <v>0</v>
      </c>
      <c r="S1126" s="30">
        <f>'Source Data'!S1080</f>
        <v>0</v>
      </c>
      <c r="T1126" s="30">
        <f>'Source Data'!T1080</f>
        <v>0</v>
      </c>
    </row>
    <row r="1127" spans="2:20" x14ac:dyDescent="0.25">
      <c r="B1127" s="23" t="s">
        <v>4123</v>
      </c>
      <c r="C1127" s="28" t="s">
        <v>493</v>
      </c>
      <c r="H1127" s="161">
        <f>-('Cost Calculation'!H169)</f>
        <v>0</v>
      </c>
      <c r="I1127" s="161">
        <f>-('Cost Calculation'!I169)</f>
        <v>0</v>
      </c>
      <c r="J1127" s="161">
        <f>-('Cost Calculation'!J169)</f>
        <v>0</v>
      </c>
      <c r="K1127" s="161">
        <f>-('Cost Calculation'!K169)</f>
        <v>0</v>
      </c>
      <c r="L1127" s="161">
        <f>-('Cost Calculation'!L169)</f>
        <v>0</v>
      </c>
      <c r="M1127" s="161">
        <f>-('Cost Calculation'!M169)</f>
        <v>0</v>
      </c>
      <c r="N1127" s="161">
        <f>-('Cost Calculation'!N169)</f>
        <v>0</v>
      </c>
      <c r="O1127" s="161">
        <f>-('Cost Calculation'!O169)</f>
        <v>0</v>
      </c>
      <c r="P1127" s="161">
        <f>-('Cost Calculation'!P169)</f>
        <v>0</v>
      </c>
      <c r="Q1127" s="161">
        <f>-('Cost Calculation'!Q169)</f>
        <v>0</v>
      </c>
      <c r="R1127" s="161">
        <f>-('Cost Calculation'!R169)</f>
        <v>0</v>
      </c>
      <c r="S1127" s="161">
        <f>-('Cost Calculation'!S169)</f>
        <v>0</v>
      </c>
      <c r="T1127" s="161">
        <f>-('Cost Calculation'!T169)</f>
        <v>0</v>
      </c>
    </row>
    <row r="1128" spans="2:20" x14ac:dyDescent="0.25">
      <c r="B1128" s="23" t="s">
        <v>4124</v>
      </c>
      <c r="C1128" s="28" t="s">
        <v>493</v>
      </c>
      <c r="H1128" s="161">
        <f t="shared" ref="H1128:T1128" si="203">ROUND(H1127-H1126,9)</f>
        <v>0</v>
      </c>
      <c r="I1128" s="161">
        <f t="shared" si="203"/>
        <v>0</v>
      </c>
      <c r="J1128" s="161">
        <f t="shared" si="203"/>
        <v>0</v>
      </c>
      <c r="K1128" s="161">
        <f t="shared" si="203"/>
        <v>0</v>
      </c>
      <c r="L1128" s="161">
        <f t="shared" si="203"/>
        <v>0</v>
      </c>
      <c r="M1128" s="161">
        <f t="shared" si="203"/>
        <v>0</v>
      </c>
      <c r="N1128" s="161">
        <f t="shared" si="203"/>
        <v>0</v>
      </c>
      <c r="O1128" s="161">
        <f t="shared" si="203"/>
        <v>0</v>
      </c>
      <c r="P1128" s="161">
        <f t="shared" si="203"/>
        <v>0</v>
      </c>
      <c r="Q1128" s="161">
        <f t="shared" si="203"/>
        <v>0</v>
      </c>
      <c r="R1128" s="161">
        <f t="shared" si="203"/>
        <v>0</v>
      </c>
      <c r="S1128" s="161">
        <f t="shared" si="203"/>
        <v>0</v>
      </c>
      <c r="T1128" s="161">
        <f t="shared" si="203"/>
        <v>0</v>
      </c>
    </row>
    <row r="1129" spans="2:20" x14ac:dyDescent="0.25">
      <c r="B1129" s="23" t="s">
        <v>4236</v>
      </c>
      <c r="C1129" s="28" t="s">
        <v>493</v>
      </c>
      <c r="H1129" s="30">
        <f>'Source Data'!H1081</f>
        <v>0</v>
      </c>
      <c r="I1129" s="30">
        <f>'Source Data'!I1081</f>
        <v>0</v>
      </c>
      <c r="J1129" s="30">
        <f>'Source Data'!J1081</f>
        <v>0</v>
      </c>
      <c r="K1129" s="30">
        <f>'Source Data'!K1081</f>
        <v>0</v>
      </c>
      <c r="L1129" s="30">
        <f>'Source Data'!L1081</f>
        <v>-9.2799999999999994E-2</v>
      </c>
      <c r="M1129" s="30">
        <f>'Source Data'!M1081</f>
        <v>-0.10208</v>
      </c>
      <c r="N1129" s="30">
        <f>'Source Data'!N1081</f>
        <v>-0.112288</v>
      </c>
      <c r="O1129" s="30">
        <f>'Source Data'!O1081</f>
        <v>-0.1235168</v>
      </c>
      <c r="P1129" s="30">
        <f>'Source Data'!P1081</f>
        <v>-0.13092780800000001</v>
      </c>
      <c r="Q1129" s="30">
        <f>'Source Data'!Q1081</f>
        <v>-0.13878347648</v>
      </c>
      <c r="R1129" s="30">
        <f>'Source Data'!R1081</f>
        <v>-0.14711048506880001</v>
      </c>
      <c r="S1129" s="30">
        <f>'Source Data'!S1081</f>
        <v>-0.15593711417292799</v>
      </c>
      <c r="T1129" s="30">
        <f>'Source Data'!T1081</f>
        <v>-0.16529334102330401</v>
      </c>
    </row>
    <row r="1130" spans="2:20" x14ac:dyDescent="0.25">
      <c r="B1130" s="23" t="s">
        <v>4126</v>
      </c>
      <c r="C1130" s="28" t="s">
        <v>493</v>
      </c>
      <c r="H1130" s="161">
        <f>-('Cost Calculation'!H170)</f>
        <v>0</v>
      </c>
      <c r="I1130" s="161">
        <f>-('Cost Calculation'!I170)</f>
        <v>0</v>
      </c>
      <c r="J1130" s="161">
        <f>-('Cost Calculation'!J170)</f>
        <v>0</v>
      </c>
      <c r="K1130" s="161">
        <f>-('Cost Calculation'!K170)</f>
        <v>0</v>
      </c>
      <c r="L1130" s="161">
        <f>-('Cost Calculation'!L170)</f>
        <v>-9.2800000000000007E-2</v>
      </c>
      <c r="M1130" s="161">
        <f>-('Cost Calculation'!M170)</f>
        <v>-0.10208000000000002</v>
      </c>
      <c r="N1130" s="161">
        <f>-('Cost Calculation'!N170)</f>
        <v>-0.11228800000000004</v>
      </c>
      <c r="O1130" s="161">
        <f>-('Cost Calculation'!O170)</f>
        <v>-0.12351680000000004</v>
      </c>
      <c r="P1130" s="161">
        <f>-('Cost Calculation'!P170)</f>
        <v>-0.13092780800000006</v>
      </c>
      <c r="Q1130" s="161">
        <f>-('Cost Calculation'!Q170)</f>
        <v>-0.13878347648000008</v>
      </c>
      <c r="R1130" s="161">
        <f>-('Cost Calculation'!R170)</f>
        <v>-0.14711048506880006</v>
      </c>
      <c r="S1130" s="161">
        <f>-('Cost Calculation'!S170)</f>
        <v>-0.1559371141729281</v>
      </c>
      <c r="T1130" s="161">
        <f>-('Cost Calculation'!T170)</f>
        <v>-0.16529334102330381</v>
      </c>
    </row>
    <row r="1131" spans="2:20" x14ac:dyDescent="0.25">
      <c r="B1131" s="23" t="s">
        <v>4127</v>
      </c>
      <c r="C1131" s="28" t="s">
        <v>493</v>
      </c>
      <c r="H1131" s="161">
        <f t="shared" ref="H1131:T1131" si="204">ROUND(H1130-H1129,9)</f>
        <v>0</v>
      </c>
      <c r="I1131" s="161">
        <f t="shared" si="204"/>
        <v>0</v>
      </c>
      <c r="J1131" s="161">
        <f t="shared" si="204"/>
        <v>0</v>
      </c>
      <c r="K1131" s="161">
        <f t="shared" si="204"/>
        <v>0</v>
      </c>
      <c r="L1131" s="161">
        <f t="shared" si="204"/>
        <v>0</v>
      </c>
      <c r="M1131" s="161">
        <f t="shared" si="204"/>
        <v>0</v>
      </c>
      <c r="N1131" s="161">
        <f t="shared" si="204"/>
        <v>0</v>
      </c>
      <c r="O1131" s="161">
        <f t="shared" si="204"/>
        <v>0</v>
      </c>
      <c r="P1131" s="161">
        <f t="shared" si="204"/>
        <v>0</v>
      </c>
      <c r="Q1131" s="161">
        <f t="shared" si="204"/>
        <v>0</v>
      </c>
      <c r="R1131" s="161">
        <f t="shared" si="204"/>
        <v>0</v>
      </c>
      <c r="S1131" s="161">
        <f t="shared" si="204"/>
        <v>0</v>
      </c>
      <c r="T1131" s="161">
        <f t="shared" si="204"/>
        <v>0</v>
      </c>
    </row>
    <row r="1132" spans="2:20" x14ac:dyDescent="0.25">
      <c r="B1132" s="23" t="s">
        <v>4237</v>
      </c>
      <c r="C1132" s="28" t="s">
        <v>493</v>
      </c>
      <c r="H1132" s="30">
        <f>'Source Data'!H1082</f>
        <v>0</v>
      </c>
      <c r="I1132" s="30">
        <f>'Source Data'!I1082</f>
        <v>0</v>
      </c>
      <c r="J1132" s="30">
        <f>'Source Data'!J1082</f>
        <v>0</v>
      </c>
      <c r="K1132" s="30">
        <f>'Source Data'!K1082</f>
        <v>0</v>
      </c>
      <c r="L1132" s="30">
        <f>'Source Data'!L1082</f>
        <v>-9.7589999999999996E-2</v>
      </c>
      <c r="M1132" s="30">
        <f>'Source Data'!M1082</f>
        <v>-9.7589999999999996E-2</v>
      </c>
      <c r="N1132" s="30">
        <f>'Source Data'!N1082</f>
        <v>-9.7589999999999996E-2</v>
      </c>
      <c r="O1132" s="30">
        <f>'Source Data'!O1082</f>
        <v>-9.7589999999999996E-2</v>
      </c>
      <c r="P1132" s="30">
        <f>'Source Data'!P1082</f>
        <v>-9.7589999999999996E-2</v>
      </c>
      <c r="Q1132" s="30">
        <f>'Source Data'!Q1082</f>
        <v>-9.7589999999999996E-2</v>
      </c>
      <c r="R1132" s="30">
        <f>'Source Data'!R1082</f>
        <v>-9.7589999999999996E-2</v>
      </c>
      <c r="S1132" s="30">
        <f>'Source Data'!S1082</f>
        <v>-9.7589999999999996E-2</v>
      </c>
      <c r="T1132" s="30">
        <f>'Source Data'!T1082</f>
        <v>-9.7589999999999996E-2</v>
      </c>
    </row>
    <row r="1133" spans="2:20" x14ac:dyDescent="0.25">
      <c r="B1133" s="23" t="s">
        <v>4129</v>
      </c>
      <c r="C1133" s="28" t="s">
        <v>493</v>
      </c>
      <c r="H1133" s="161">
        <f>-('Capex &amp; Depreciation'!H244)</f>
        <v>0</v>
      </c>
      <c r="I1133" s="161">
        <f>-('Capex &amp; Depreciation'!I244)</f>
        <v>0</v>
      </c>
      <c r="J1133" s="161">
        <f>-('Capex &amp; Depreciation'!J244)</f>
        <v>0</v>
      </c>
      <c r="K1133" s="161">
        <f>-('Capex &amp; Depreciation'!K244)</f>
        <v>0</v>
      </c>
      <c r="L1133" s="161">
        <f>-('Capex &amp; Depreciation'!L244)</f>
        <v>-9.7589999999999996E-2</v>
      </c>
      <c r="M1133" s="161">
        <f>-('Capex &amp; Depreciation'!M244)</f>
        <v>-9.7589999999999996E-2</v>
      </c>
      <c r="N1133" s="161">
        <f>-('Capex &amp; Depreciation'!N244)</f>
        <v>-9.7589999999999996E-2</v>
      </c>
      <c r="O1133" s="161">
        <f>-('Capex &amp; Depreciation'!O244)</f>
        <v>-9.7589999999999996E-2</v>
      </c>
      <c r="P1133" s="161">
        <f>-('Capex &amp; Depreciation'!P244)</f>
        <v>-9.7589999999999996E-2</v>
      </c>
      <c r="Q1133" s="161">
        <f>-('Capex &amp; Depreciation'!Q244)</f>
        <v>-9.7589999999999996E-2</v>
      </c>
      <c r="R1133" s="161">
        <f>-('Capex &amp; Depreciation'!R244)</f>
        <v>-9.7589999999999996E-2</v>
      </c>
      <c r="S1133" s="161">
        <f>-('Capex &amp; Depreciation'!S244)</f>
        <v>-9.7589999999999996E-2</v>
      </c>
      <c r="T1133" s="161">
        <f>-('Capex &amp; Depreciation'!T244)</f>
        <v>-9.7589999999999996E-2</v>
      </c>
    </row>
    <row r="1134" spans="2:20" x14ac:dyDescent="0.25">
      <c r="B1134" s="23" t="s">
        <v>4130</v>
      </c>
      <c r="C1134" s="28" t="s">
        <v>493</v>
      </c>
      <c r="H1134" s="161">
        <f t="shared" ref="H1134:T1134" si="205">ROUND(H1133-H1132,9)</f>
        <v>0</v>
      </c>
      <c r="I1134" s="161">
        <f t="shared" si="205"/>
        <v>0</v>
      </c>
      <c r="J1134" s="161">
        <f t="shared" si="205"/>
        <v>0</v>
      </c>
      <c r="K1134" s="161">
        <f t="shared" si="205"/>
        <v>0</v>
      </c>
      <c r="L1134" s="161">
        <f t="shared" si="205"/>
        <v>0</v>
      </c>
      <c r="M1134" s="161">
        <f t="shared" si="205"/>
        <v>0</v>
      </c>
      <c r="N1134" s="161">
        <f t="shared" si="205"/>
        <v>0</v>
      </c>
      <c r="O1134" s="161">
        <f t="shared" si="205"/>
        <v>0</v>
      </c>
      <c r="P1134" s="161">
        <f t="shared" si="205"/>
        <v>0</v>
      </c>
      <c r="Q1134" s="161">
        <f t="shared" si="205"/>
        <v>0</v>
      </c>
      <c r="R1134" s="161">
        <f t="shared" si="205"/>
        <v>0</v>
      </c>
      <c r="S1134" s="161">
        <f t="shared" si="205"/>
        <v>0</v>
      </c>
      <c r="T1134" s="161">
        <f t="shared" si="205"/>
        <v>0</v>
      </c>
    </row>
    <row r="1135" spans="2:20" x14ac:dyDescent="0.25">
      <c r="B1135" s="23" t="s">
        <v>4238</v>
      </c>
      <c r="C1135" s="28" t="s">
        <v>493</v>
      </c>
      <c r="H1135" s="30">
        <f>'Source Data'!H1083</f>
        <v>0</v>
      </c>
      <c r="I1135" s="30">
        <f>'Source Data'!I1083</f>
        <v>0</v>
      </c>
      <c r="J1135" s="30">
        <f>'Source Data'!J1083</f>
        <v>0</v>
      </c>
      <c r="K1135" s="30">
        <f>'Source Data'!K1083</f>
        <v>0</v>
      </c>
      <c r="L1135" s="30">
        <f>'Source Data'!L1083</f>
        <v>0</v>
      </c>
      <c r="M1135" s="30">
        <f>'Source Data'!M1083</f>
        <v>0</v>
      </c>
      <c r="N1135" s="30">
        <f>'Source Data'!N1083</f>
        <v>0</v>
      </c>
      <c r="O1135" s="30">
        <f>'Source Data'!O1083</f>
        <v>0</v>
      </c>
      <c r="P1135" s="30">
        <f>'Source Data'!P1083</f>
        <v>0</v>
      </c>
      <c r="Q1135" s="30">
        <f>'Source Data'!Q1083</f>
        <v>0</v>
      </c>
      <c r="R1135" s="30">
        <f>'Source Data'!R1083</f>
        <v>0</v>
      </c>
      <c r="S1135" s="30">
        <f>'Source Data'!S1083</f>
        <v>0</v>
      </c>
      <c r="T1135" s="30">
        <f>'Source Data'!T1083</f>
        <v>0</v>
      </c>
    </row>
    <row r="1136" spans="2:20" x14ac:dyDescent="0.25">
      <c r="B1136" s="23" t="s">
        <v>4132</v>
      </c>
      <c r="C1136" s="28" t="s">
        <v>493</v>
      </c>
      <c r="H1136" s="161">
        <f>0</f>
        <v>0</v>
      </c>
      <c r="I1136" s="161">
        <f>0</f>
        <v>0</v>
      </c>
      <c r="J1136" s="161">
        <f>0</f>
        <v>0</v>
      </c>
      <c r="K1136" s="161">
        <f>0</f>
        <v>0</v>
      </c>
      <c r="L1136" s="161">
        <f>0</f>
        <v>0</v>
      </c>
      <c r="M1136" s="161">
        <f>0</f>
        <v>0</v>
      </c>
      <c r="N1136" s="161">
        <f>0</f>
        <v>0</v>
      </c>
      <c r="O1136" s="161">
        <f>0</f>
        <v>0</v>
      </c>
      <c r="P1136" s="161">
        <f>0</f>
        <v>0</v>
      </c>
      <c r="Q1136" s="161">
        <f>0</f>
        <v>0</v>
      </c>
      <c r="R1136" s="161">
        <f>0</f>
        <v>0</v>
      </c>
      <c r="S1136" s="161">
        <f>0</f>
        <v>0</v>
      </c>
      <c r="T1136" s="161">
        <f>0</f>
        <v>0</v>
      </c>
    </row>
    <row r="1137" spans="2:20" x14ac:dyDescent="0.25">
      <c r="B1137" s="23" t="s">
        <v>4133</v>
      </c>
      <c r="C1137" s="28" t="s">
        <v>493</v>
      </c>
      <c r="H1137" s="161">
        <f t="shared" ref="H1137:T1137" si="206">ROUND(H1136-H1135,9)</f>
        <v>0</v>
      </c>
      <c r="I1137" s="161">
        <f t="shared" si="206"/>
        <v>0</v>
      </c>
      <c r="J1137" s="161">
        <f t="shared" si="206"/>
        <v>0</v>
      </c>
      <c r="K1137" s="161">
        <f t="shared" si="206"/>
        <v>0</v>
      </c>
      <c r="L1137" s="161">
        <f t="shared" si="206"/>
        <v>0</v>
      </c>
      <c r="M1137" s="161">
        <f t="shared" si="206"/>
        <v>0</v>
      </c>
      <c r="N1137" s="161">
        <f t="shared" si="206"/>
        <v>0</v>
      </c>
      <c r="O1137" s="161">
        <f t="shared" si="206"/>
        <v>0</v>
      </c>
      <c r="P1137" s="161">
        <f t="shared" si="206"/>
        <v>0</v>
      </c>
      <c r="Q1137" s="161">
        <f t="shared" si="206"/>
        <v>0</v>
      </c>
      <c r="R1137" s="161">
        <f t="shared" si="206"/>
        <v>0</v>
      </c>
      <c r="S1137" s="161">
        <f t="shared" si="206"/>
        <v>0</v>
      </c>
      <c r="T1137" s="161">
        <f t="shared" si="206"/>
        <v>0</v>
      </c>
    </row>
    <row r="1138" spans="2:20" x14ac:dyDescent="0.25">
      <c r="B1138" s="23" t="s">
        <v>4239</v>
      </c>
      <c r="C1138" s="28" t="s">
        <v>493</v>
      </c>
      <c r="H1138" s="30">
        <f>'Source Data'!H1084</f>
        <v>0</v>
      </c>
      <c r="I1138" s="30">
        <f>'Source Data'!I1084</f>
        <v>0</v>
      </c>
      <c r="J1138" s="30">
        <f>'Source Data'!J1084</f>
        <v>0</v>
      </c>
      <c r="K1138" s="30">
        <f>'Source Data'!K1084</f>
        <v>0</v>
      </c>
      <c r="L1138" s="30">
        <f>'Source Data'!L1084</f>
        <v>0.27361000000000002</v>
      </c>
      <c r="M1138" s="30">
        <f>'Source Data'!M1084</f>
        <v>0.31073000000000001</v>
      </c>
      <c r="N1138" s="30">
        <f>'Source Data'!N1084</f>
        <v>0.35156199999999999</v>
      </c>
      <c r="O1138" s="30">
        <f>'Source Data'!O1084</f>
        <v>0.39647719999999997</v>
      </c>
      <c r="P1138" s="30">
        <f>'Source Data'!P1084</f>
        <v>0.42612123200000002</v>
      </c>
      <c r="Q1138" s="30">
        <f>'Source Data'!Q1084</f>
        <v>0.45754390591999999</v>
      </c>
      <c r="R1138" s="30">
        <f>'Source Data'!R1084</f>
        <v>0.49085194027520002</v>
      </c>
      <c r="S1138" s="30">
        <f>'Source Data'!S1084</f>
        <v>0.52615845669171202</v>
      </c>
      <c r="T1138" s="30">
        <f>'Source Data'!T1084</f>
        <v>0.56358336409321497</v>
      </c>
    </row>
    <row r="1139" spans="2:20" x14ac:dyDescent="0.25">
      <c r="B1139" s="23" t="s">
        <v>4135</v>
      </c>
      <c r="C1139" s="28" t="s">
        <v>493</v>
      </c>
      <c r="H1139" s="30">
        <f>'FSL Output - With BUMN'!H143</f>
        <v>0</v>
      </c>
      <c r="I1139" s="30">
        <f>'FSL Output - With BUMN'!I143</f>
        <v>0</v>
      </c>
      <c r="J1139" s="30">
        <f>'FSL Output - With BUMN'!J143</f>
        <v>0</v>
      </c>
      <c r="K1139" s="30">
        <f>'FSL Output - With BUMN'!K143</f>
        <v>0</v>
      </c>
      <c r="L1139" s="30">
        <f>'FSL Output - With BUMN'!L143</f>
        <v>0.27361000000000002</v>
      </c>
      <c r="M1139" s="30">
        <f>'FSL Output - With BUMN'!M143</f>
        <v>0.31073000000000006</v>
      </c>
      <c r="N1139" s="30">
        <f>'FSL Output - With BUMN'!N143</f>
        <v>0.3515620000000001</v>
      </c>
      <c r="O1139" s="30">
        <f>'FSL Output - With BUMN'!O143</f>
        <v>0.39647720000000009</v>
      </c>
      <c r="P1139" s="30">
        <f>'FSL Output - With BUMN'!P143</f>
        <v>0.42612123200000024</v>
      </c>
      <c r="Q1139" s="30">
        <f>'FSL Output - With BUMN'!Q143</f>
        <v>0.45754390592000022</v>
      </c>
      <c r="R1139" s="30">
        <f>'FSL Output - With BUMN'!R143</f>
        <v>0.49085194027520024</v>
      </c>
      <c r="S1139" s="30">
        <f>'FSL Output - With BUMN'!S143</f>
        <v>0.52615845669171235</v>
      </c>
      <c r="T1139" s="30">
        <f>'FSL Output - With BUMN'!T143</f>
        <v>0.56358336409321519</v>
      </c>
    </row>
    <row r="1140" spans="2:20" x14ac:dyDescent="0.25">
      <c r="B1140" s="23" t="s">
        <v>4136</v>
      </c>
      <c r="C1140" s="28" t="s">
        <v>493</v>
      </c>
      <c r="H1140" s="161">
        <f t="shared" ref="H1140:T1140" si="207">ROUND(H1139-H1138,9)</f>
        <v>0</v>
      </c>
      <c r="I1140" s="161">
        <f t="shared" si="207"/>
        <v>0</v>
      </c>
      <c r="J1140" s="161">
        <f t="shared" si="207"/>
        <v>0</v>
      </c>
      <c r="K1140" s="161">
        <f t="shared" si="207"/>
        <v>0</v>
      </c>
      <c r="L1140" s="161">
        <f t="shared" si="207"/>
        <v>0</v>
      </c>
      <c r="M1140" s="161">
        <f t="shared" si="207"/>
        <v>0</v>
      </c>
      <c r="N1140" s="161">
        <f t="shared" si="207"/>
        <v>0</v>
      </c>
      <c r="O1140" s="161">
        <f t="shared" si="207"/>
        <v>0</v>
      </c>
      <c r="P1140" s="161">
        <f t="shared" si="207"/>
        <v>0</v>
      </c>
      <c r="Q1140" s="161">
        <f t="shared" si="207"/>
        <v>0</v>
      </c>
      <c r="R1140" s="161">
        <f t="shared" si="207"/>
        <v>0</v>
      </c>
      <c r="S1140" s="161">
        <f t="shared" si="207"/>
        <v>0</v>
      </c>
      <c r="T1140" s="161">
        <f t="shared" si="207"/>
        <v>0</v>
      </c>
    </row>
    <row r="1141" spans="2:20" x14ac:dyDescent="0.25">
      <c r="B1141" s="23" t="s">
        <v>4240</v>
      </c>
      <c r="C1141" s="28" t="s">
        <v>493</v>
      </c>
      <c r="H1141" s="30">
        <f>'Source Data'!H1085</f>
        <v>0</v>
      </c>
      <c r="I1141" s="30">
        <f>'Source Data'!I1085</f>
        <v>0</v>
      </c>
      <c r="J1141" s="30">
        <f>'Source Data'!J1085</f>
        <v>0</v>
      </c>
      <c r="K1141" s="30">
        <f>'Source Data'!K1085</f>
        <v>0</v>
      </c>
      <c r="L1141" s="30">
        <f>'Source Data'!L1085</f>
        <v>-6.0194200000000003E-2</v>
      </c>
      <c r="M1141" s="30">
        <f>'Source Data'!M1085</f>
        <v>-6.8360599999999994E-2</v>
      </c>
      <c r="N1141" s="30">
        <f>'Source Data'!N1085</f>
        <v>-7.7343640000000005E-2</v>
      </c>
      <c r="O1141" s="30">
        <f>'Source Data'!O1085</f>
        <v>-8.7224984000000005E-2</v>
      </c>
      <c r="P1141" s="30">
        <f>'Source Data'!P1085</f>
        <v>-9.3746671040000104E-2</v>
      </c>
      <c r="Q1141" s="30">
        <f>'Source Data'!Q1085</f>
        <v>-0.10065965930240001</v>
      </c>
      <c r="R1141" s="30">
        <f>'Source Data'!R1085</f>
        <v>-0.10798742686054399</v>
      </c>
      <c r="S1141" s="30">
        <f>'Source Data'!S1085</f>
        <v>-0.11575486047217701</v>
      </c>
      <c r="T1141" s="30">
        <f>'Source Data'!T1085</f>
        <v>-0.12398834010050699</v>
      </c>
    </row>
    <row r="1142" spans="2:20" x14ac:dyDescent="0.25">
      <c r="B1142" s="23" t="s">
        <v>4138</v>
      </c>
      <c r="C1142" s="28" t="s">
        <v>493</v>
      </c>
      <c r="H1142" s="161">
        <f>-'FSL Output - With BUMN'!H144</f>
        <v>0</v>
      </c>
      <c r="I1142" s="161">
        <f>-'FSL Output - With BUMN'!I144</f>
        <v>0</v>
      </c>
      <c r="J1142" s="161">
        <f>-'FSL Output - With BUMN'!J144</f>
        <v>0</v>
      </c>
      <c r="K1142" s="161">
        <f>-'FSL Output - With BUMN'!K144</f>
        <v>0</v>
      </c>
      <c r="L1142" s="161">
        <f>-'FSL Output - With BUMN'!L144</f>
        <v>-6.0194200000000003E-2</v>
      </c>
      <c r="M1142" s="161">
        <f>-'FSL Output - With BUMN'!M144</f>
        <v>-6.8360600000000007E-2</v>
      </c>
      <c r="N1142" s="161">
        <f>-'FSL Output - With BUMN'!N144</f>
        <v>-7.7343640000000019E-2</v>
      </c>
      <c r="O1142" s="161">
        <f>-'FSL Output - With BUMN'!O144</f>
        <v>-8.7224984000000019E-2</v>
      </c>
      <c r="P1142" s="161">
        <f>-'FSL Output - With BUMN'!P144</f>
        <v>-9.3746671040000049E-2</v>
      </c>
      <c r="Q1142" s="161">
        <f>-'FSL Output - With BUMN'!Q144</f>
        <v>-0.10065965930240005</v>
      </c>
      <c r="R1142" s="161">
        <f>-'FSL Output - With BUMN'!R144</f>
        <v>-0.10798742686054405</v>
      </c>
      <c r="S1142" s="161">
        <f>-'FSL Output - With BUMN'!S144</f>
        <v>-0.11575486047217672</v>
      </c>
      <c r="T1142" s="161">
        <f>-'FSL Output - With BUMN'!T144</f>
        <v>-0.12398834010050734</v>
      </c>
    </row>
    <row r="1143" spans="2:20" x14ac:dyDescent="0.25">
      <c r="B1143" s="23" t="s">
        <v>4139</v>
      </c>
      <c r="C1143" s="28" t="s">
        <v>493</v>
      </c>
      <c r="H1143" s="161">
        <f t="shared" ref="H1143:T1143" si="208">ROUND(H1142-H1141,9)</f>
        <v>0</v>
      </c>
      <c r="I1143" s="161">
        <f t="shared" si="208"/>
        <v>0</v>
      </c>
      <c r="J1143" s="161">
        <f t="shared" si="208"/>
        <v>0</v>
      </c>
      <c r="K1143" s="161">
        <f t="shared" si="208"/>
        <v>0</v>
      </c>
      <c r="L1143" s="161">
        <f t="shared" si="208"/>
        <v>0</v>
      </c>
      <c r="M1143" s="161">
        <f t="shared" si="208"/>
        <v>0</v>
      </c>
      <c r="N1143" s="161">
        <f t="shared" si="208"/>
        <v>0</v>
      </c>
      <c r="O1143" s="161">
        <f t="shared" si="208"/>
        <v>0</v>
      </c>
      <c r="P1143" s="161">
        <f t="shared" si="208"/>
        <v>0</v>
      </c>
      <c r="Q1143" s="161">
        <f t="shared" si="208"/>
        <v>0</v>
      </c>
      <c r="R1143" s="161">
        <f t="shared" si="208"/>
        <v>0</v>
      </c>
      <c r="S1143" s="161">
        <f t="shared" si="208"/>
        <v>0</v>
      </c>
      <c r="T1143" s="161">
        <f t="shared" si="208"/>
        <v>0</v>
      </c>
    </row>
    <row r="1144" spans="2:20" x14ac:dyDescent="0.25">
      <c r="B1144" s="23" t="s">
        <v>4241</v>
      </c>
      <c r="C1144" s="28" t="s">
        <v>493</v>
      </c>
      <c r="H1144" s="30">
        <f>'Source Data'!H1086</f>
        <v>0</v>
      </c>
      <c r="I1144" s="30">
        <f>'Source Data'!I1086</f>
        <v>0</v>
      </c>
      <c r="J1144" s="30">
        <f>'Source Data'!J1086</f>
        <v>0</v>
      </c>
      <c r="K1144" s="30">
        <f>'Source Data'!K1086</f>
        <v>0</v>
      </c>
      <c r="L1144" s="30">
        <f>'Source Data'!L1086</f>
        <v>0.21341579999999999</v>
      </c>
      <c r="M1144" s="30">
        <f>'Source Data'!M1086</f>
        <v>0.24236940000000001</v>
      </c>
      <c r="N1144" s="30">
        <f>'Source Data'!N1086</f>
        <v>0.27421835999999999</v>
      </c>
      <c r="O1144" s="30">
        <f>'Source Data'!O1086</f>
        <v>0.30925221600000002</v>
      </c>
      <c r="P1144" s="30">
        <f>'Source Data'!P1086</f>
        <v>0.33237456096000001</v>
      </c>
      <c r="Q1144" s="30">
        <f>'Source Data'!Q1086</f>
        <v>0.35688424661759999</v>
      </c>
      <c r="R1144" s="30">
        <f>'Source Data'!R1086</f>
        <v>0.38286451341465599</v>
      </c>
      <c r="S1144" s="30">
        <f>'Source Data'!S1086</f>
        <v>0.41040359621953598</v>
      </c>
      <c r="T1144" s="30">
        <f>'Source Data'!T1086</f>
        <v>0.439595023992708</v>
      </c>
    </row>
    <row r="1145" spans="2:20" x14ac:dyDescent="0.25">
      <c r="B1145" s="23" t="s">
        <v>4141</v>
      </c>
      <c r="C1145" s="28" t="s">
        <v>493</v>
      </c>
      <c r="H1145" s="30">
        <f>'FSL Output - With BUMN'!H146</f>
        <v>0</v>
      </c>
      <c r="I1145" s="30">
        <f>'FSL Output - With BUMN'!I146</f>
        <v>0</v>
      </c>
      <c r="J1145" s="30">
        <f>'FSL Output - With BUMN'!J146</f>
        <v>0</v>
      </c>
      <c r="K1145" s="30">
        <f>'FSL Output - With BUMN'!K146</f>
        <v>0</v>
      </c>
      <c r="L1145" s="30">
        <f>'FSL Output - With BUMN'!L146</f>
        <v>0.21341580000000002</v>
      </c>
      <c r="M1145" s="30">
        <f>'FSL Output - With BUMN'!M146</f>
        <v>0.24236940000000007</v>
      </c>
      <c r="N1145" s="30">
        <f>'FSL Output - With BUMN'!N146</f>
        <v>0.27421836000000011</v>
      </c>
      <c r="O1145" s="30">
        <f>'FSL Output - With BUMN'!O146</f>
        <v>0.30925221600000008</v>
      </c>
      <c r="P1145" s="30">
        <f>'FSL Output - With BUMN'!P146</f>
        <v>0.33237456096000018</v>
      </c>
      <c r="Q1145" s="30">
        <f>'FSL Output - With BUMN'!Q146</f>
        <v>0.35688424661760015</v>
      </c>
      <c r="R1145" s="30">
        <f>'FSL Output - With BUMN'!R146</f>
        <v>0.38286451341465622</v>
      </c>
      <c r="S1145" s="30">
        <f>'FSL Output - With BUMN'!S146</f>
        <v>0.41040359621953565</v>
      </c>
      <c r="T1145" s="30">
        <f>'FSL Output - With BUMN'!T146</f>
        <v>0.43959502399270783</v>
      </c>
    </row>
    <row r="1146" spans="2:20" x14ac:dyDescent="0.25">
      <c r="B1146" s="23" t="s">
        <v>4142</v>
      </c>
      <c r="C1146" s="28" t="s">
        <v>493</v>
      </c>
      <c r="H1146" s="161">
        <f t="shared" ref="H1146:T1146" si="209">ROUND(H1145-H1144,9)</f>
        <v>0</v>
      </c>
      <c r="I1146" s="161">
        <f t="shared" si="209"/>
        <v>0</v>
      </c>
      <c r="J1146" s="161">
        <f t="shared" si="209"/>
        <v>0</v>
      </c>
      <c r="K1146" s="161">
        <f t="shared" si="209"/>
        <v>0</v>
      </c>
      <c r="L1146" s="161">
        <f t="shared" si="209"/>
        <v>0</v>
      </c>
      <c r="M1146" s="161">
        <f t="shared" si="209"/>
        <v>0</v>
      </c>
      <c r="N1146" s="161">
        <f t="shared" si="209"/>
        <v>0</v>
      </c>
      <c r="O1146" s="161">
        <f t="shared" si="209"/>
        <v>0</v>
      </c>
      <c r="P1146" s="161">
        <f t="shared" si="209"/>
        <v>0</v>
      </c>
      <c r="Q1146" s="161">
        <f t="shared" si="209"/>
        <v>0</v>
      </c>
      <c r="R1146" s="161">
        <f t="shared" si="209"/>
        <v>0</v>
      </c>
      <c r="S1146" s="161">
        <f t="shared" si="209"/>
        <v>0</v>
      </c>
      <c r="T1146" s="161">
        <f t="shared" si="209"/>
        <v>0</v>
      </c>
    </row>
    <row r="1148" spans="2:20" x14ac:dyDescent="0.25">
      <c r="B1148" s="221" t="s">
        <v>4242</v>
      </c>
      <c r="C1148" s="235"/>
      <c r="D1148" s="235"/>
      <c r="E1148" s="224" t="str">
        <f>IF(F1148&lt;=Inputs!$E$50,"Matches v29",IF($E$21&gt;0,"Differs - inputs changed","UNEXPLAINED"))</f>
        <v>Matches v29</v>
      </c>
      <c r="F1148" s="225">
        <f>MAX(MAX(H1151:T1151),-MIN(H1151:T1151),MAX(H1154:T1154),-MIN(H1154:T1154),MAX(H1157:T1157),-MIN(H1157:T1157),MAX(H1160:T1160),-MIN(H1160:T1160),MAX(H1163:T1163),-MIN(H1163:T1163),MAX(H1166:T1166),-MIN(H1166:T1166),MAX(H1169:T1169),-MIN(H1169:T1169),MAX(H1172:T1172),-MIN(H1172:T1172))</f>
        <v>0</v>
      </c>
      <c r="G1148" s="226">
        <f>MAX(MAX(H1151:T1151),-MIN(H1151:T1151),MAX(H1154:T1154),-MIN(H1154:T1154),MAX(H1157:T1157),-MIN(H1157:T1157),MAX(H1160:T1160),-MIN(H1160:T1160),MAX(H1163:T1163),-MIN(H1163:T1163),MAX(H1166:T1166),-MIN(H1166:T1166),MAX(H1169:T1169),-MIN(H1169:T1169),MAX(H1172:T1172),-MIN(H1172:T1172))</f>
        <v>0</v>
      </c>
    </row>
    <row r="1149" spans="2:20" x14ac:dyDescent="0.25">
      <c r="B1149" s="23" t="s">
        <v>4243</v>
      </c>
      <c r="C1149" s="28" t="s">
        <v>493</v>
      </c>
      <c r="H1149" s="30">
        <f>'Source Data'!H1088</f>
        <v>22.243500000000001</v>
      </c>
      <c r="I1149" s="30">
        <f>'Source Data'!I1088</f>
        <v>22.910805</v>
      </c>
      <c r="J1149" s="30">
        <f>'Source Data'!J1088</f>
        <v>34.967927062500003</v>
      </c>
      <c r="K1149" s="30">
        <f>'Source Data'!K1088</f>
        <v>44.806464874375003</v>
      </c>
      <c r="L1149" s="30">
        <f>'Source Data'!L1088</f>
        <v>49.526879285224403</v>
      </c>
      <c r="M1149" s="30">
        <f>'Source Data'!M1088</f>
        <v>54.524582100569603</v>
      </c>
      <c r="N1149" s="30">
        <f>'Source Data'!N1088</f>
        <v>59.814056563626799</v>
      </c>
      <c r="O1149" s="30">
        <f>'Source Data'!O1088</f>
        <v>65.410532896236901</v>
      </c>
      <c r="P1149" s="30">
        <f>'Source Data'!P1088</f>
        <v>71.3300278500692</v>
      </c>
      <c r="Q1149" s="30">
        <f>'Source Data'!Q1088</f>
        <v>77.589386431650695</v>
      </c>
      <c r="R1149" s="30">
        <f>'Source Data'!R1088</f>
        <v>84.2063259248648</v>
      </c>
      <c r="S1149" s="30">
        <f>'Source Data'!S1088</f>
        <v>57.796655450704399</v>
      </c>
      <c r="T1149" s="30">
        <f>'Source Data'!T1088</f>
        <v>61.316471767652402</v>
      </c>
    </row>
    <row r="1150" spans="2:20" x14ac:dyDescent="0.25">
      <c r="B1150" s="23" t="s">
        <v>4120</v>
      </c>
      <c r="C1150" s="28" t="s">
        <v>493</v>
      </c>
      <c r="H1150" s="161">
        <f>'Revenue Calculation'!H53+'Revenue Calculation'!H133</f>
        <v>22.243500000000001</v>
      </c>
      <c r="I1150" s="161">
        <f>'Revenue Calculation'!I53+'Revenue Calculation'!I133</f>
        <v>22.910805</v>
      </c>
      <c r="J1150" s="161">
        <f>'Revenue Calculation'!J53+'Revenue Calculation'!J133</f>
        <v>34.967927062500003</v>
      </c>
      <c r="K1150" s="161">
        <f>'Revenue Calculation'!K53+'Revenue Calculation'!K133</f>
        <v>44.806464874374996</v>
      </c>
      <c r="L1150" s="161">
        <f>'Revenue Calculation'!L53+'Revenue Calculation'!L133</f>
        <v>49.526879285224453</v>
      </c>
      <c r="M1150" s="161">
        <f>'Revenue Calculation'!M53+'Revenue Calculation'!M133</f>
        <v>54.52458210056961</v>
      </c>
      <c r="N1150" s="161">
        <f>'Revenue Calculation'!N53+'Revenue Calculation'!N133</f>
        <v>59.814056563626806</v>
      </c>
      <c r="O1150" s="161">
        <f>'Revenue Calculation'!O53+'Revenue Calculation'!O133</f>
        <v>65.41053289623693</v>
      </c>
      <c r="P1150" s="161">
        <f>'Revenue Calculation'!P53+'Revenue Calculation'!P133</f>
        <v>71.330027850069214</v>
      </c>
      <c r="Q1150" s="161">
        <f>'Revenue Calculation'!Q53+'Revenue Calculation'!Q133</f>
        <v>77.589386431650667</v>
      </c>
      <c r="R1150" s="161">
        <f>'Revenue Calculation'!R53+'Revenue Calculation'!R133</f>
        <v>84.206325924864842</v>
      </c>
      <c r="S1150" s="161">
        <f>'Revenue Calculation'!S53+'Revenue Calculation'!S133</f>
        <v>57.796655450704478</v>
      </c>
      <c r="T1150" s="161">
        <f>'Revenue Calculation'!T53+'Revenue Calculation'!T133</f>
        <v>61.316471767652303</v>
      </c>
    </row>
    <row r="1151" spans="2:20" x14ac:dyDescent="0.25">
      <c r="B1151" s="23" t="s">
        <v>4121</v>
      </c>
      <c r="C1151" s="28" t="s">
        <v>493</v>
      </c>
      <c r="H1151" s="161">
        <f t="shared" ref="H1151:T1151" si="210">ROUND(H1150-H1149,9)</f>
        <v>0</v>
      </c>
      <c r="I1151" s="161">
        <f t="shared" si="210"/>
        <v>0</v>
      </c>
      <c r="J1151" s="161">
        <f t="shared" si="210"/>
        <v>0</v>
      </c>
      <c r="K1151" s="161">
        <f t="shared" si="210"/>
        <v>0</v>
      </c>
      <c r="L1151" s="161">
        <f t="shared" si="210"/>
        <v>0</v>
      </c>
      <c r="M1151" s="161">
        <f t="shared" si="210"/>
        <v>0</v>
      </c>
      <c r="N1151" s="161">
        <f t="shared" si="210"/>
        <v>0</v>
      </c>
      <c r="O1151" s="161">
        <f t="shared" si="210"/>
        <v>0</v>
      </c>
      <c r="P1151" s="161">
        <f t="shared" si="210"/>
        <v>0</v>
      </c>
      <c r="Q1151" s="161">
        <f t="shared" si="210"/>
        <v>0</v>
      </c>
      <c r="R1151" s="161">
        <f t="shared" si="210"/>
        <v>0</v>
      </c>
      <c r="S1151" s="161">
        <f t="shared" si="210"/>
        <v>0</v>
      </c>
      <c r="T1151" s="161">
        <f t="shared" si="210"/>
        <v>0</v>
      </c>
    </row>
    <row r="1152" spans="2:20" x14ac:dyDescent="0.25">
      <c r="B1152" s="23" t="s">
        <v>4244</v>
      </c>
      <c r="C1152" s="28" t="s">
        <v>493</v>
      </c>
      <c r="H1152" s="30">
        <f>'Source Data'!H1089</f>
        <v>-8.0261410826860793</v>
      </c>
      <c r="I1152" s="30">
        <f>'Source Data'!I1089</f>
        <v>-8.3557264915943001</v>
      </c>
      <c r="J1152" s="30">
        <f>'Source Data'!J1089</f>
        <v>-9.4119430636882608</v>
      </c>
      <c r="K1152" s="30">
        <f>'Source Data'!K1089</f>
        <v>-10.5611769254179</v>
      </c>
      <c r="L1152" s="30">
        <f>'Source Data'!L1089</f>
        <v>-11.206909748880101</v>
      </c>
      <c r="M1152" s="30">
        <f>'Source Data'!M1089</f>
        <v>-11.885866054783801</v>
      </c>
      <c r="N1152" s="30">
        <f>'Source Data'!N1089</f>
        <v>-12.599669717917299</v>
      </c>
      <c r="O1152" s="30">
        <f>'Source Data'!O1089</f>
        <v>-13.350024865096501</v>
      </c>
      <c r="P1152" s="30">
        <f>'Source Data'!P1089</f>
        <v>-14.1387200008527</v>
      </c>
      <c r="Q1152" s="30">
        <f>'Source Data'!Q1089</f>
        <v>-14.9676323555856</v>
      </c>
      <c r="R1152" s="30">
        <f>'Source Data'!R1089</f>
        <v>-15.838732468706899</v>
      </c>
      <c r="S1152" s="30">
        <f>'Source Data'!S1089</f>
        <v>-13.6681533075036</v>
      </c>
      <c r="T1152" s="30">
        <f>'Source Data'!T1089</f>
        <v>-14.271116133757801</v>
      </c>
    </row>
    <row r="1153" spans="2:20" x14ac:dyDescent="0.25">
      <c r="B1153" s="23" t="s">
        <v>4123</v>
      </c>
      <c r="C1153" s="28" t="s">
        <v>493</v>
      </c>
      <c r="H1153" s="161">
        <f>-('Cost Calculation'!H92+'Cost Calculation'!H159)</f>
        <v>-8.0261410826860775</v>
      </c>
      <c r="I1153" s="161">
        <f>-('Cost Calculation'!I92+'Cost Calculation'!I159)</f>
        <v>-8.3557264915942984</v>
      </c>
      <c r="J1153" s="161">
        <f>-('Cost Calculation'!J92+'Cost Calculation'!J159)</f>
        <v>-9.4119430636882626</v>
      </c>
      <c r="K1153" s="161">
        <f>-('Cost Calculation'!K92+'Cost Calculation'!K159)</f>
        <v>-10.561176925417943</v>
      </c>
      <c r="L1153" s="161">
        <f>-('Cost Calculation'!L92+'Cost Calculation'!L159)</f>
        <v>-11.206909748880113</v>
      </c>
      <c r="M1153" s="161">
        <f>-('Cost Calculation'!M92+'Cost Calculation'!M159)</f>
        <v>-11.885866054783763</v>
      </c>
      <c r="N1153" s="161">
        <f>-('Cost Calculation'!N92+'Cost Calculation'!N159)</f>
        <v>-12.599669717917291</v>
      </c>
      <c r="O1153" s="161">
        <f>-('Cost Calculation'!O92+'Cost Calculation'!O159)</f>
        <v>-13.35002486509649</v>
      </c>
      <c r="P1153" s="161">
        <f>-('Cost Calculation'!P92+'Cost Calculation'!P159)</f>
        <v>-14.1387200008527</v>
      </c>
      <c r="Q1153" s="161">
        <f>-('Cost Calculation'!Q92+'Cost Calculation'!Q159)</f>
        <v>-14.967632355585611</v>
      </c>
      <c r="R1153" s="161">
        <f>-('Cost Calculation'!R92+'Cost Calculation'!R159)</f>
        <v>-15.838732468706862</v>
      </c>
      <c r="S1153" s="161">
        <f>-('Cost Calculation'!S92+'Cost Calculation'!S159)</f>
        <v>-13.668153307503625</v>
      </c>
      <c r="T1153" s="161">
        <f>-('Cost Calculation'!T92+'Cost Calculation'!T159)</f>
        <v>-14.271116133757834</v>
      </c>
    </row>
    <row r="1154" spans="2:20" x14ac:dyDescent="0.25">
      <c r="B1154" s="23" t="s">
        <v>4124</v>
      </c>
      <c r="C1154" s="28" t="s">
        <v>493</v>
      </c>
      <c r="H1154" s="161">
        <f t="shared" ref="H1154:T1154" si="211">ROUND(H1153-H1152,9)</f>
        <v>0</v>
      </c>
      <c r="I1154" s="161">
        <f t="shared" si="211"/>
        <v>0</v>
      </c>
      <c r="J1154" s="161">
        <f t="shared" si="211"/>
        <v>0</v>
      </c>
      <c r="K1154" s="161">
        <f t="shared" si="211"/>
        <v>0</v>
      </c>
      <c r="L1154" s="161">
        <f t="shared" si="211"/>
        <v>0</v>
      </c>
      <c r="M1154" s="161">
        <f t="shared" si="211"/>
        <v>0</v>
      </c>
      <c r="N1154" s="161">
        <f t="shared" si="211"/>
        <v>0</v>
      </c>
      <c r="O1154" s="161">
        <f t="shared" si="211"/>
        <v>0</v>
      </c>
      <c r="P1154" s="161">
        <f t="shared" si="211"/>
        <v>0</v>
      </c>
      <c r="Q1154" s="161">
        <f t="shared" si="211"/>
        <v>0</v>
      </c>
      <c r="R1154" s="161">
        <f t="shared" si="211"/>
        <v>0</v>
      </c>
      <c r="S1154" s="161">
        <f t="shared" si="211"/>
        <v>0</v>
      </c>
      <c r="T1154" s="161">
        <f t="shared" si="211"/>
        <v>0</v>
      </c>
    </row>
    <row r="1155" spans="2:20" x14ac:dyDescent="0.25">
      <c r="B1155" s="23" t="s">
        <v>4245</v>
      </c>
      <c r="C1155" s="28" t="s">
        <v>493</v>
      </c>
      <c r="H1155" s="30">
        <f>'Source Data'!H1090</f>
        <v>-3.0717537533632</v>
      </c>
      <c r="I1155" s="30">
        <f>'Source Data'!I1090</f>
        <v>-3.1589970459708701</v>
      </c>
      <c r="J1155" s="30">
        <f>'Source Data'!J1090</f>
        <v>-3.24877039555507</v>
      </c>
      <c r="K1155" s="30">
        <f>'Source Data'!K1090</f>
        <v>-3.3411483420499901</v>
      </c>
      <c r="L1155" s="30">
        <f>'Source Data'!L1090</f>
        <v>-3.4362076477594901</v>
      </c>
      <c r="M1155" s="30">
        <f>'Source Data'!M1090</f>
        <v>-3.5340273642208402</v>
      </c>
      <c r="N1155" s="30">
        <f>'Source Data'!N1090</f>
        <v>-3.6346889010947301</v>
      </c>
      <c r="O1155" s="30">
        <f>'Source Data'!O1090</f>
        <v>-3.7382760971431299</v>
      </c>
      <c r="P1155" s="30">
        <f>'Source Data'!P1090</f>
        <v>-3.8448752933588799</v>
      </c>
      <c r="Q1155" s="30">
        <f>'Source Data'!Q1090</f>
        <v>-3.9545754083124098</v>
      </c>
      <c r="R1155" s="30">
        <f>'Source Data'!R1090</f>
        <v>-4.0674680157833603</v>
      </c>
      <c r="S1155" s="30">
        <f>'Source Data'!S1090</f>
        <v>-4.1836474247467299</v>
      </c>
      <c r="T1155" s="30">
        <f>'Source Data'!T1090</f>
        <v>-4.3032107617854001</v>
      </c>
    </row>
    <row r="1156" spans="2:20" x14ac:dyDescent="0.25">
      <c r="B1156" s="23" t="s">
        <v>4126</v>
      </c>
      <c r="C1156" s="28" t="s">
        <v>493</v>
      </c>
      <c r="H1156" s="161">
        <f>-('Cost Calculation'!H93+'Cost Calculation'!H160)</f>
        <v>-3.0717537533632</v>
      </c>
      <c r="I1156" s="161">
        <f>-('Cost Calculation'!I93+'Cost Calculation'!I160)</f>
        <v>-3.1589970459708732</v>
      </c>
      <c r="J1156" s="161">
        <f>-('Cost Calculation'!J93+'Cost Calculation'!J160)</f>
        <v>-3.2487703955550713</v>
      </c>
      <c r="K1156" s="161">
        <f>-('Cost Calculation'!K93+'Cost Calculation'!K160)</f>
        <v>-3.341148342049991</v>
      </c>
      <c r="L1156" s="161">
        <f>-('Cost Calculation'!L93+'Cost Calculation'!L160)</f>
        <v>-3.4362076477594869</v>
      </c>
      <c r="M1156" s="161">
        <f>-('Cost Calculation'!M93+'Cost Calculation'!M160)</f>
        <v>-3.5340273642208411</v>
      </c>
      <c r="N1156" s="161">
        <f>-('Cost Calculation'!N93+'Cost Calculation'!N160)</f>
        <v>-3.6346889010947288</v>
      </c>
      <c r="O1156" s="161">
        <f>-('Cost Calculation'!O93+'Cost Calculation'!O160)</f>
        <v>-3.7382760971431312</v>
      </c>
      <c r="P1156" s="161">
        <f>-('Cost Calculation'!P93+'Cost Calculation'!P160)</f>
        <v>-3.8448752933588799</v>
      </c>
      <c r="Q1156" s="161">
        <f>-('Cost Calculation'!Q93+'Cost Calculation'!Q160)</f>
        <v>-3.9545754083124063</v>
      </c>
      <c r="R1156" s="161">
        <f>-('Cost Calculation'!R93+'Cost Calculation'!R160)</f>
        <v>-4.0674680157833558</v>
      </c>
      <c r="S1156" s="161">
        <f>-('Cost Calculation'!S93+'Cost Calculation'!S160)</f>
        <v>-4.183647424746729</v>
      </c>
      <c r="T1156" s="161">
        <f>-('Cost Calculation'!T93+'Cost Calculation'!T160)</f>
        <v>-4.3032107617854001</v>
      </c>
    </row>
    <row r="1157" spans="2:20" x14ac:dyDescent="0.25">
      <c r="B1157" s="23" t="s">
        <v>4127</v>
      </c>
      <c r="C1157" s="28" t="s">
        <v>493</v>
      </c>
      <c r="H1157" s="161">
        <f t="shared" ref="H1157:T1157" si="212">ROUND(H1156-H1155,9)</f>
        <v>0</v>
      </c>
      <c r="I1157" s="161">
        <f t="shared" si="212"/>
        <v>0</v>
      </c>
      <c r="J1157" s="161">
        <f t="shared" si="212"/>
        <v>0</v>
      </c>
      <c r="K1157" s="161">
        <f t="shared" si="212"/>
        <v>0</v>
      </c>
      <c r="L1157" s="161">
        <f t="shared" si="212"/>
        <v>0</v>
      </c>
      <c r="M1157" s="161">
        <f t="shared" si="212"/>
        <v>0</v>
      </c>
      <c r="N1157" s="161">
        <f t="shared" si="212"/>
        <v>0</v>
      </c>
      <c r="O1157" s="161">
        <f t="shared" si="212"/>
        <v>0</v>
      </c>
      <c r="P1157" s="161">
        <f t="shared" si="212"/>
        <v>0</v>
      </c>
      <c r="Q1157" s="161">
        <f t="shared" si="212"/>
        <v>0</v>
      </c>
      <c r="R1157" s="161">
        <f t="shared" si="212"/>
        <v>0</v>
      </c>
      <c r="S1157" s="161">
        <f t="shared" si="212"/>
        <v>0</v>
      </c>
      <c r="T1157" s="161">
        <f t="shared" si="212"/>
        <v>0</v>
      </c>
    </row>
    <row r="1158" spans="2:20" x14ac:dyDescent="0.25">
      <c r="B1158" s="23" t="s">
        <v>4246</v>
      </c>
      <c r="C1158" s="28" t="s">
        <v>493</v>
      </c>
      <c r="H1158" s="30">
        <f>'Source Data'!H1091</f>
        <v>-5.2339742134299998</v>
      </c>
      <c r="I1158" s="30">
        <f>'Source Data'!I1091</f>
        <v>-5.2339742134299998</v>
      </c>
      <c r="J1158" s="30">
        <f>'Source Data'!J1091</f>
        <v>-15.733312106714999</v>
      </c>
      <c r="K1158" s="30">
        <f>'Source Data'!K1091</f>
        <v>-13.116325</v>
      </c>
      <c r="L1158" s="30">
        <f>'Source Data'!L1091</f>
        <v>-13.116325</v>
      </c>
      <c r="M1158" s="30">
        <f>'Source Data'!M1091</f>
        <v>-13.116325</v>
      </c>
      <c r="N1158" s="30">
        <f>'Source Data'!N1091</f>
        <v>-13.116325</v>
      </c>
      <c r="O1158" s="30">
        <f>'Source Data'!O1091</f>
        <v>-13.116325</v>
      </c>
      <c r="P1158" s="30">
        <f>'Source Data'!P1091</f>
        <v>-13.116325</v>
      </c>
      <c r="Q1158" s="30">
        <f>'Source Data'!Q1091</f>
        <v>-13.116325</v>
      </c>
      <c r="R1158" s="30">
        <f>'Source Data'!R1091</f>
        <v>-13.116325</v>
      </c>
      <c r="S1158" s="30">
        <f>'Source Data'!S1091</f>
        <v>-13.116325</v>
      </c>
      <c r="T1158" s="30">
        <f>'Source Data'!T1091</f>
        <v>-13.116325</v>
      </c>
    </row>
    <row r="1159" spans="2:20" x14ac:dyDescent="0.25">
      <c r="B1159" s="23" t="s">
        <v>4129</v>
      </c>
      <c r="C1159" s="28" t="s">
        <v>493</v>
      </c>
      <c r="H1159" s="161">
        <f>-('Capex &amp; Depreciation'!H233+'Capex &amp; Depreciation'!H241)</f>
        <v>-5.2339742134299998</v>
      </c>
      <c r="I1159" s="161">
        <f>-('Capex &amp; Depreciation'!I233+'Capex &amp; Depreciation'!I241)</f>
        <v>-5.2339742134299998</v>
      </c>
      <c r="J1159" s="161">
        <f>-('Capex &amp; Depreciation'!J233+'Capex &amp; Depreciation'!J241)</f>
        <v>-15.73331210671499</v>
      </c>
      <c r="K1159" s="161">
        <f>-('Capex &amp; Depreciation'!K233+'Capex &amp; Depreciation'!K241)</f>
        <v>-13.116324999999991</v>
      </c>
      <c r="L1159" s="161">
        <f>-('Capex &amp; Depreciation'!L233+'Capex &amp; Depreciation'!L241)</f>
        <v>-13.116324999999991</v>
      </c>
      <c r="M1159" s="161">
        <f>-('Capex &amp; Depreciation'!M233+'Capex &amp; Depreciation'!M241)</f>
        <v>-13.116324999999991</v>
      </c>
      <c r="N1159" s="161">
        <f>-('Capex &amp; Depreciation'!N233+'Capex &amp; Depreciation'!N241)</f>
        <v>-13.116324999999991</v>
      </c>
      <c r="O1159" s="161">
        <f>-('Capex &amp; Depreciation'!O233+'Capex &amp; Depreciation'!O241)</f>
        <v>-13.116324999999991</v>
      </c>
      <c r="P1159" s="161">
        <f>-('Capex &amp; Depreciation'!P233+'Capex &amp; Depreciation'!P241)</f>
        <v>-13.116324999999991</v>
      </c>
      <c r="Q1159" s="161">
        <f>-('Capex &amp; Depreciation'!Q233+'Capex &amp; Depreciation'!Q241)</f>
        <v>-13.116324999999991</v>
      </c>
      <c r="R1159" s="161">
        <f>-('Capex &amp; Depreciation'!R233+'Capex &amp; Depreciation'!R241)</f>
        <v>-13.116324999999991</v>
      </c>
      <c r="S1159" s="161">
        <f>-('Capex &amp; Depreciation'!S233+'Capex &amp; Depreciation'!S241)</f>
        <v>-13.116324999999991</v>
      </c>
      <c r="T1159" s="161">
        <f>-('Capex &amp; Depreciation'!T233+'Capex &amp; Depreciation'!T241)</f>
        <v>-13.116324999999991</v>
      </c>
    </row>
    <row r="1160" spans="2:20" x14ac:dyDescent="0.25">
      <c r="B1160" s="23" t="s">
        <v>4130</v>
      </c>
      <c r="C1160" s="28" t="s">
        <v>493</v>
      </c>
      <c r="H1160" s="161">
        <f t="shared" ref="H1160:T1160" si="213">ROUND(H1159-H1158,9)</f>
        <v>0</v>
      </c>
      <c r="I1160" s="161">
        <f t="shared" si="213"/>
        <v>0</v>
      </c>
      <c r="J1160" s="161">
        <f t="shared" si="213"/>
        <v>0</v>
      </c>
      <c r="K1160" s="161">
        <f t="shared" si="213"/>
        <v>0</v>
      </c>
      <c r="L1160" s="161">
        <f t="shared" si="213"/>
        <v>0</v>
      </c>
      <c r="M1160" s="161">
        <f t="shared" si="213"/>
        <v>0</v>
      </c>
      <c r="N1160" s="161">
        <f t="shared" si="213"/>
        <v>0</v>
      </c>
      <c r="O1160" s="161">
        <f t="shared" si="213"/>
        <v>0</v>
      </c>
      <c r="P1160" s="161">
        <f t="shared" si="213"/>
        <v>0</v>
      </c>
      <c r="Q1160" s="161">
        <f t="shared" si="213"/>
        <v>0</v>
      </c>
      <c r="R1160" s="161">
        <f t="shared" si="213"/>
        <v>0</v>
      </c>
      <c r="S1160" s="161">
        <f t="shared" si="213"/>
        <v>0</v>
      </c>
      <c r="T1160" s="161">
        <f t="shared" si="213"/>
        <v>0</v>
      </c>
    </row>
    <row r="1161" spans="2:20" x14ac:dyDescent="0.25">
      <c r="B1161" s="23" t="s">
        <v>4247</v>
      </c>
      <c r="C1161" s="28" t="s">
        <v>493</v>
      </c>
      <c r="H1161" s="30">
        <f>'Source Data'!H1092</f>
        <v>0</v>
      </c>
      <c r="I1161" s="30">
        <f>'Source Data'!I1092</f>
        <v>0</v>
      </c>
      <c r="J1161" s="30">
        <f>'Source Data'!J1092</f>
        <v>0</v>
      </c>
      <c r="K1161" s="30">
        <f>'Source Data'!K1092</f>
        <v>0</v>
      </c>
      <c r="L1161" s="30">
        <f>'Source Data'!L1092</f>
        <v>0</v>
      </c>
      <c r="M1161" s="30">
        <f>'Source Data'!M1092</f>
        <v>0</v>
      </c>
      <c r="N1161" s="30">
        <f>'Source Data'!N1092</f>
        <v>0</v>
      </c>
      <c r="O1161" s="30">
        <f>'Source Data'!O1092</f>
        <v>0</v>
      </c>
      <c r="P1161" s="30">
        <f>'Source Data'!P1092</f>
        <v>0</v>
      </c>
      <c r="Q1161" s="30">
        <f>'Source Data'!Q1092</f>
        <v>0</v>
      </c>
      <c r="R1161" s="30">
        <f>'Source Data'!R1092</f>
        <v>0</v>
      </c>
      <c r="S1161" s="30">
        <f>'Source Data'!S1092</f>
        <v>0</v>
      </c>
      <c r="T1161" s="30">
        <f>'Source Data'!T1092</f>
        <v>0</v>
      </c>
    </row>
    <row r="1162" spans="2:20" x14ac:dyDescent="0.25">
      <c r="B1162" s="23" t="s">
        <v>4132</v>
      </c>
      <c r="C1162" s="28" t="s">
        <v>493</v>
      </c>
      <c r="H1162" s="161">
        <f>0</f>
        <v>0</v>
      </c>
      <c r="I1162" s="161">
        <f>0</f>
        <v>0</v>
      </c>
      <c r="J1162" s="161">
        <f>0</f>
        <v>0</v>
      </c>
      <c r="K1162" s="161">
        <f>0</f>
        <v>0</v>
      </c>
      <c r="L1162" s="161">
        <f>0</f>
        <v>0</v>
      </c>
      <c r="M1162" s="161">
        <f>0</f>
        <v>0</v>
      </c>
      <c r="N1162" s="161">
        <f>0</f>
        <v>0</v>
      </c>
      <c r="O1162" s="161">
        <f>0</f>
        <v>0</v>
      </c>
      <c r="P1162" s="161">
        <f>0</f>
        <v>0</v>
      </c>
      <c r="Q1162" s="161">
        <f>0</f>
        <v>0</v>
      </c>
      <c r="R1162" s="161">
        <f>0</f>
        <v>0</v>
      </c>
      <c r="S1162" s="161">
        <f>0</f>
        <v>0</v>
      </c>
      <c r="T1162" s="161">
        <f>0</f>
        <v>0</v>
      </c>
    </row>
    <row r="1163" spans="2:20" x14ac:dyDescent="0.25">
      <c r="B1163" s="23" t="s">
        <v>4133</v>
      </c>
      <c r="C1163" s="28" t="s">
        <v>493</v>
      </c>
      <c r="H1163" s="161">
        <f t="shared" ref="H1163:T1163" si="214">ROUND(H1162-H1161,9)</f>
        <v>0</v>
      </c>
      <c r="I1163" s="161">
        <f t="shared" si="214"/>
        <v>0</v>
      </c>
      <c r="J1163" s="161">
        <f t="shared" si="214"/>
        <v>0</v>
      </c>
      <c r="K1163" s="161">
        <f t="shared" si="214"/>
        <v>0</v>
      </c>
      <c r="L1163" s="161">
        <f t="shared" si="214"/>
        <v>0</v>
      </c>
      <c r="M1163" s="161">
        <f t="shared" si="214"/>
        <v>0</v>
      </c>
      <c r="N1163" s="161">
        <f t="shared" si="214"/>
        <v>0</v>
      </c>
      <c r="O1163" s="161">
        <f t="shared" si="214"/>
        <v>0</v>
      </c>
      <c r="P1163" s="161">
        <f t="shared" si="214"/>
        <v>0</v>
      </c>
      <c r="Q1163" s="161">
        <f t="shared" si="214"/>
        <v>0</v>
      </c>
      <c r="R1163" s="161">
        <f t="shared" si="214"/>
        <v>0</v>
      </c>
      <c r="S1163" s="161">
        <f t="shared" si="214"/>
        <v>0</v>
      </c>
      <c r="T1163" s="161">
        <f t="shared" si="214"/>
        <v>0</v>
      </c>
    </row>
    <row r="1164" spans="2:20" x14ac:dyDescent="0.25">
      <c r="B1164" s="23" t="s">
        <v>4248</v>
      </c>
      <c r="C1164" s="28" t="s">
        <v>493</v>
      </c>
      <c r="H1164" s="30">
        <f>'Source Data'!H1093</f>
        <v>5.9116309505207196</v>
      </c>
      <c r="I1164" s="30">
        <f>'Source Data'!I1093</f>
        <v>6.1621072490048299</v>
      </c>
      <c r="J1164" s="30">
        <f>'Source Data'!J1093</f>
        <v>6.5739014965416702</v>
      </c>
      <c r="K1164" s="30">
        <f>'Source Data'!K1093</f>
        <v>17.787814606907101</v>
      </c>
      <c r="L1164" s="30">
        <f>'Source Data'!L1093</f>
        <v>21.7674368885848</v>
      </c>
      <c r="M1164" s="30">
        <f>'Source Data'!M1093</f>
        <v>25.988363681565001</v>
      </c>
      <c r="N1164" s="30">
        <f>'Source Data'!N1093</f>
        <v>30.4633729446148</v>
      </c>
      <c r="O1164" s="30">
        <f>'Source Data'!O1093</f>
        <v>35.205906933997298</v>
      </c>
      <c r="P1164" s="30">
        <f>'Source Data'!P1093</f>
        <v>40.2301075558576</v>
      </c>
      <c r="Q1164" s="30">
        <f>'Source Data'!Q1093</f>
        <v>45.550853667752698</v>
      </c>
      <c r="R1164" s="30">
        <f>'Source Data'!R1093</f>
        <v>51.183800440374597</v>
      </c>
      <c r="S1164" s="30">
        <f>'Source Data'!S1093</f>
        <v>26.828529718454099</v>
      </c>
      <c r="T1164" s="30">
        <f>'Source Data'!T1093</f>
        <v>29.625819872109101</v>
      </c>
    </row>
    <row r="1165" spans="2:20" x14ac:dyDescent="0.25">
      <c r="B1165" s="23" t="s">
        <v>4135</v>
      </c>
      <c r="C1165" s="28" t="s">
        <v>493</v>
      </c>
      <c r="H1165" s="30">
        <f>'FSL Output - With BUMN'!H148</f>
        <v>5.9116309505207232</v>
      </c>
      <c r="I1165" s="30">
        <f>'FSL Output - With BUMN'!I148</f>
        <v>6.162107249004829</v>
      </c>
      <c r="J1165" s="30">
        <f>'FSL Output - With BUMN'!J148</f>
        <v>6.57390149654168</v>
      </c>
      <c r="K1165" s="30">
        <f>'FSL Output - With BUMN'!K148</f>
        <v>17.787814606907077</v>
      </c>
      <c r="L1165" s="30">
        <f>'FSL Output - With BUMN'!L148</f>
        <v>21.767436888584861</v>
      </c>
      <c r="M1165" s="30">
        <f>'FSL Output - With BUMN'!M148</f>
        <v>25.988363681565016</v>
      </c>
      <c r="N1165" s="30">
        <f>'FSL Output - With BUMN'!N148</f>
        <v>30.46337294461479</v>
      </c>
      <c r="O1165" s="30">
        <f>'FSL Output - With BUMN'!O148</f>
        <v>35.205906933997319</v>
      </c>
      <c r="P1165" s="30">
        <f>'FSL Output - With BUMN'!P148</f>
        <v>40.230107555857636</v>
      </c>
      <c r="Q1165" s="30">
        <f>'FSL Output - With BUMN'!Q148</f>
        <v>45.550853667752655</v>
      </c>
      <c r="R1165" s="30">
        <f>'FSL Output - With BUMN'!R148</f>
        <v>51.18380044037464</v>
      </c>
      <c r="S1165" s="30">
        <f>'FSL Output - With BUMN'!S148</f>
        <v>26.828529718454128</v>
      </c>
      <c r="T1165" s="30">
        <f>'FSL Output - With BUMN'!T148</f>
        <v>29.625819872109076</v>
      </c>
    </row>
    <row r="1166" spans="2:20" x14ac:dyDescent="0.25">
      <c r="B1166" s="23" t="s">
        <v>4136</v>
      </c>
      <c r="C1166" s="28" t="s">
        <v>493</v>
      </c>
      <c r="H1166" s="161">
        <f t="shared" ref="H1166:T1166" si="215">ROUND(H1165-H1164,9)</f>
        <v>0</v>
      </c>
      <c r="I1166" s="161">
        <f t="shared" si="215"/>
        <v>0</v>
      </c>
      <c r="J1166" s="161">
        <f t="shared" si="215"/>
        <v>0</v>
      </c>
      <c r="K1166" s="161">
        <f t="shared" si="215"/>
        <v>0</v>
      </c>
      <c r="L1166" s="161">
        <f t="shared" si="215"/>
        <v>0</v>
      </c>
      <c r="M1166" s="161">
        <f t="shared" si="215"/>
        <v>0</v>
      </c>
      <c r="N1166" s="161">
        <f t="shared" si="215"/>
        <v>0</v>
      </c>
      <c r="O1166" s="161">
        <f t="shared" si="215"/>
        <v>0</v>
      </c>
      <c r="P1166" s="161">
        <f t="shared" si="215"/>
        <v>0</v>
      </c>
      <c r="Q1166" s="161">
        <f t="shared" si="215"/>
        <v>0</v>
      </c>
      <c r="R1166" s="161">
        <f t="shared" si="215"/>
        <v>0</v>
      </c>
      <c r="S1166" s="161">
        <f t="shared" si="215"/>
        <v>0</v>
      </c>
      <c r="T1166" s="161">
        <f t="shared" si="215"/>
        <v>0</v>
      </c>
    </row>
    <row r="1167" spans="2:20" x14ac:dyDescent="0.25">
      <c r="B1167" s="23" t="s">
        <v>4249</v>
      </c>
      <c r="C1167" s="28" t="s">
        <v>493</v>
      </c>
      <c r="H1167" s="30">
        <f>'Source Data'!H1094</f>
        <v>-1.3005588091145599</v>
      </c>
      <c r="I1167" s="30">
        <f>'Source Data'!I1094</f>
        <v>-1.35566359478106</v>
      </c>
      <c r="J1167" s="30">
        <f>'Source Data'!J1094</f>
        <v>-1.44625832923917</v>
      </c>
      <c r="K1167" s="30">
        <f>'Source Data'!K1094</f>
        <v>-3.9133192135195598</v>
      </c>
      <c r="L1167" s="30">
        <f>'Source Data'!L1094</f>
        <v>-4.7888361154886701</v>
      </c>
      <c r="M1167" s="30">
        <f>'Source Data'!M1094</f>
        <v>-5.7174400099443003</v>
      </c>
      <c r="N1167" s="30">
        <f>'Source Data'!N1094</f>
        <v>-6.7019420478152503</v>
      </c>
      <c r="O1167" s="30">
        <f>'Source Data'!O1094</f>
        <v>-7.7452995254794104</v>
      </c>
      <c r="P1167" s="30">
        <f>'Source Data'!P1094</f>
        <v>-8.8506236622886707</v>
      </c>
      <c r="Q1167" s="30">
        <f>'Source Data'!Q1094</f>
        <v>-10.0211878069056</v>
      </c>
      <c r="R1167" s="30">
        <f>'Source Data'!R1094</f>
        <v>-11.260436096882399</v>
      </c>
      <c r="S1167" s="30">
        <f>'Source Data'!S1094</f>
        <v>-5.9022765380599003</v>
      </c>
      <c r="T1167" s="30">
        <f>'Source Data'!T1094</f>
        <v>-6.5176803718640102</v>
      </c>
    </row>
    <row r="1168" spans="2:20" x14ac:dyDescent="0.25">
      <c r="B1168" s="23" t="s">
        <v>4138</v>
      </c>
      <c r="C1168" s="28" t="s">
        <v>493</v>
      </c>
      <c r="H1168" s="161">
        <f>-'FSL Output - With BUMN'!H149</f>
        <v>-1.300558809114559</v>
      </c>
      <c r="I1168" s="161">
        <f>-'FSL Output - With BUMN'!I149</f>
        <v>-1.3556635947810625</v>
      </c>
      <c r="J1168" s="161">
        <f>-'FSL Output - With BUMN'!J149</f>
        <v>-1.4462583292391695</v>
      </c>
      <c r="K1168" s="161">
        <f>-'FSL Output - With BUMN'!K149</f>
        <v>-3.9133192135195567</v>
      </c>
      <c r="L1168" s="161">
        <f>-'FSL Output - With BUMN'!L149</f>
        <v>-4.7888361154886692</v>
      </c>
      <c r="M1168" s="161">
        <f>-'FSL Output - With BUMN'!M149</f>
        <v>-5.7174400099443039</v>
      </c>
      <c r="N1168" s="161">
        <f>-'FSL Output - With BUMN'!N149</f>
        <v>-6.7019420478152538</v>
      </c>
      <c r="O1168" s="161">
        <f>-'FSL Output - With BUMN'!O149</f>
        <v>-7.7452995254794104</v>
      </c>
      <c r="P1168" s="161">
        <f>-'FSL Output - With BUMN'!P149</f>
        <v>-8.8506236622886796</v>
      </c>
      <c r="Q1168" s="161">
        <f>-'FSL Output - With BUMN'!Q149</f>
        <v>-10.021187806905584</v>
      </c>
      <c r="R1168" s="161">
        <f>-'FSL Output - With BUMN'!R149</f>
        <v>-11.260436096882421</v>
      </c>
      <c r="S1168" s="161">
        <f>-'FSL Output - With BUMN'!S149</f>
        <v>-5.9022765380599083</v>
      </c>
      <c r="T1168" s="161">
        <f>-'FSL Output - With BUMN'!T149</f>
        <v>-6.5176803718639968</v>
      </c>
    </row>
    <row r="1169" spans="2:20" x14ac:dyDescent="0.25">
      <c r="B1169" s="23" t="s">
        <v>4139</v>
      </c>
      <c r="C1169" s="28" t="s">
        <v>493</v>
      </c>
      <c r="H1169" s="161">
        <f t="shared" ref="H1169:T1169" si="216">ROUND(H1168-H1167,9)</f>
        <v>0</v>
      </c>
      <c r="I1169" s="161">
        <f t="shared" si="216"/>
        <v>0</v>
      </c>
      <c r="J1169" s="161">
        <f t="shared" si="216"/>
        <v>0</v>
      </c>
      <c r="K1169" s="161">
        <f t="shared" si="216"/>
        <v>0</v>
      </c>
      <c r="L1169" s="161">
        <f t="shared" si="216"/>
        <v>0</v>
      </c>
      <c r="M1169" s="161">
        <f t="shared" si="216"/>
        <v>0</v>
      </c>
      <c r="N1169" s="161">
        <f t="shared" si="216"/>
        <v>0</v>
      </c>
      <c r="O1169" s="161">
        <f t="shared" si="216"/>
        <v>0</v>
      </c>
      <c r="P1169" s="161">
        <f t="shared" si="216"/>
        <v>0</v>
      </c>
      <c r="Q1169" s="161">
        <f t="shared" si="216"/>
        <v>0</v>
      </c>
      <c r="R1169" s="161">
        <f t="shared" si="216"/>
        <v>0</v>
      </c>
      <c r="S1169" s="161">
        <f t="shared" si="216"/>
        <v>0</v>
      </c>
      <c r="T1169" s="161">
        <f t="shared" si="216"/>
        <v>0</v>
      </c>
    </row>
    <row r="1170" spans="2:20" x14ac:dyDescent="0.25">
      <c r="B1170" s="23" t="s">
        <v>4250</v>
      </c>
      <c r="C1170" s="28" t="s">
        <v>493</v>
      </c>
      <c r="H1170" s="30">
        <f>'Source Data'!H1095</f>
        <v>4.6110721414061597</v>
      </c>
      <c r="I1170" s="30">
        <f>'Source Data'!I1095</f>
        <v>4.8064436542237701</v>
      </c>
      <c r="J1170" s="30">
        <f>'Source Data'!J1095</f>
        <v>5.1276431673025096</v>
      </c>
      <c r="K1170" s="30">
        <f>'Source Data'!K1095</f>
        <v>13.8744953933875</v>
      </c>
      <c r="L1170" s="30">
        <f>'Source Data'!L1095</f>
        <v>16.978600773096201</v>
      </c>
      <c r="M1170" s="30">
        <f>'Source Data'!M1095</f>
        <v>20.2709236716207</v>
      </c>
      <c r="N1170" s="30">
        <f>'Source Data'!N1095</f>
        <v>23.761430896799499</v>
      </c>
      <c r="O1170" s="30">
        <f>'Source Data'!O1095</f>
        <v>27.460607408517902</v>
      </c>
      <c r="P1170" s="30">
        <f>'Source Data'!P1095</f>
        <v>31.379483893568899</v>
      </c>
      <c r="Q1170" s="30">
        <f>'Source Data'!Q1095</f>
        <v>35.529665860847103</v>
      </c>
      <c r="R1170" s="30">
        <f>'Source Data'!R1095</f>
        <v>39.923364343492203</v>
      </c>
      <c r="S1170" s="30">
        <f>'Source Data'!S1095</f>
        <v>20.926253180394198</v>
      </c>
      <c r="T1170" s="30">
        <f>'Source Data'!T1095</f>
        <v>23.108139500245102</v>
      </c>
    </row>
    <row r="1171" spans="2:20" x14ac:dyDescent="0.25">
      <c r="B1171" s="23" t="s">
        <v>4141</v>
      </c>
      <c r="C1171" s="28" t="s">
        <v>493</v>
      </c>
      <c r="H1171" s="30">
        <f>'FSL Output - With BUMN'!H151</f>
        <v>4.6110721414061642</v>
      </c>
      <c r="I1171" s="30">
        <f>'FSL Output - With BUMN'!I151</f>
        <v>4.8064436542237665</v>
      </c>
      <c r="J1171" s="30">
        <f>'FSL Output - With BUMN'!J151</f>
        <v>5.1276431673025105</v>
      </c>
      <c r="K1171" s="30">
        <f>'FSL Output - With BUMN'!K151</f>
        <v>13.874495393387519</v>
      </c>
      <c r="L1171" s="30">
        <f>'FSL Output - With BUMN'!L151</f>
        <v>16.97860077309619</v>
      </c>
      <c r="M1171" s="30">
        <f>'FSL Output - With BUMN'!M151</f>
        <v>20.270923671620711</v>
      </c>
      <c r="N1171" s="30">
        <f>'FSL Output - With BUMN'!N151</f>
        <v>23.761430896799535</v>
      </c>
      <c r="O1171" s="30">
        <f>'FSL Output - With BUMN'!O151</f>
        <v>27.460607408517909</v>
      </c>
      <c r="P1171" s="30">
        <f>'FSL Output - With BUMN'!P151</f>
        <v>31.379483893568956</v>
      </c>
      <c r="Q1171" s="30">
        <f>'FSL Output - With BUMN'!Q151</f>
        <v>35.529665860847075</v>
      </c>
      <c r="R1171" s="30">
        <f>'FSL Output - With BUMN'!R151</f>
        <v>39.923364343492217</v>
      </c>
      <c r="S1171" s="30">
        <f>'FSL Output - With BUMN'!S151</f>
        <v>20.92625318039422</v>
      </c>
      <c r="T1171" s="30">
        <f>'FSL Output - With BUMN'!T151</f>
        <v>23.10813950024508</v>
      </c>
    </row>
    <row r="1172" spans="2:20" x14ac:dyDescent="0.25">
      <c r="B1172" s="23" t="s">
        <v>4142</v>
      </c>
      <c r="C1172" s="28" t="s">
        <v>493</v>
      </c>
      <c r="H1172" s="161">
        <f t="shared" ref="H1172:T1172" si="217">ROUND(H1171-H1170,9)</f>
        <v>0</v>
      </c>
      <c r="I1172" s="161">
        <f t="shared" si="217"/>
        <v>0</v>
      </c>
      <c r="J1172" s="161">
        <f t="shared" si="217"/>
        <v>0</v>
      </c>
      <c r="K1172" s="161">
        <f t="shared" si="217"/>
        <v>0</v>
      </c>
      <c r="L1172" s="161">
        <f t="shared" si="217"/>
        <v>0</v>
      </c>
      <c r="M1172" s="161">
        <f t="shared" si="217"/>
        <v>0</v>
      </c>
      <c r="N1172" s="161">
        <f t="shared" si="217"/>
        <v>0</v>
      </c>
      <c r="O1172" s="161">
        <f t="shared" si="217"/>
        <v>0</v>
      </c>
      <c r="P1172" s="161">
        <f t="shared" si="217"/>
        <v>0</v>
      </c>
      <c r="Q1172" s="161">
        <f t="shared" si="217"/>
        <v>0</v>
      </c>
      <c r="R1172" s="161">
        <f t="shared" si="217"/>
        <v>0</v>
      </c>
      <c r="S1172" s="161">
        <f t="shared" si="217"/>
        <v>0</v>
      </c>
      <c r="T1172" s="161">
        <f t="shared" si="217"/>
        <v>0</v>
      </c>
    </row>
    <row r="1174" spans="2:20" x14ac:dyDescent="0.25">
      <c r="B1174" s="221" t="s">
        <v>4251</v>
      </c>
      <c r="C1174" s="235"/>
      <c r="D1174" s="235"/>
      <c r="E1174" s="224" t="str">
        <f>IF(F1174&lt;=Inputs!$E$50,"Matches v29",IF($E$21&gt;0,"Differs - inputs changed","UNEXPLAINED"))</f>
        <v>Matches v29</v>
      </c>
      <c r="F1174" s="225">
        <f>MAX(MAX(H1177:T1177),-MIN(H1177:T1177),MAX(H1180:T1180),-MIN(H1180:T1180),MAX(H1183:T1183),-MIN(H1183:T1183),MAX(H1186:T1186),-MIN(H1186:T1186),MAX(H1189:T1189),-MIN(H1189:T1189),MAX(H1192:T1192),-MIN(H1192:T1192),MAX(H1195:T1195),-MIN(H1195:T1195),MAX(H1198:T1198),-MIN(H1198:T1198))</f>
        <v>0</v>
      </c>
      <c r="G1174" s="226">
        <f>MAX(MAX(H1177:T1177),-MIN(H1177:T1177),MAX(H1180:T1180),-MIN(H1180:T1180),MAX(H1183:T1183),-MIN(H1183:T1183),MAX(H1186:T1186),-MIN(H1186:T1186),MAX(H1189:T1189),-MIN(H1189:T1189),MAX(H1192:T1192),-MIN(H1192:T1192),MAX(H1195:T1195),-MIN(H1195:T1195),MAX(H1198:T1198),-MIN(H1198:T1198))</f>
        <v>0</v>
      </c>
    </row>
    <row r="1175" spans="2:20" x14ac:dyDescent="0.25">
      <c r="B1175" s="23" t="s">
        <v>4252</v>
      </c>
      <c r="C1175" s="28" t="s">
        <v>493</v>
      </c>
      <c r="H1175" s="30">
        <f>'Source Data'!H1097</f>
        <v>0</v>
      </c>
      <c r="I1175" s="30">
        <f>'Source Data'!I1097</f>
        <v>0</v>
      </c>
      <c r="J1175" s="30">
        <f>'Source Data'!J1097</f>
        <v>0</v>
      </c>
      <c r="K1175" s="30">
        <f>'Source Data'!K1097</f>
        <v>0.4507498875</v>
      </c>
      <c r="L1175" s="30">
        <f>'Source Data'!L1097</f>
        <v>0.46427238412499999</v>
      </c>
      <c r="M1175" s="30">
        <f>'Source Data'!M1097</f>
        <v>0.47820055564875003</v>
      </c>
      <c r="N1175" s="30">
        <f>'Source Data'!N1097</f>
        <v>0.49254657231821303</v>
      </c>
      <c r="O1175" s="30">
        <f>'Source Data'!O1097</f>
        <v>0.50732296948775901</v>
      </c>
      <c r="P1175" s="30">
        <f>'Source Data'!P1097</f>
        <v>0.52254265857239202</v>
      </c>
      <c r="Q1175" s="30">
        <f>'Source Data'!Q1097</f>
        <v>0.53821893832956402</v>
      </c>
      <c r="R1175" s="30">
        <f>'Source Data'!R1097</f>
        <v>0.55436550647945004</v>
      </c>
      <c r="S1175" s="30">
        <f>'Source Data'!S1097</f>
        <v>0.57099647167383405</v>
      </c>
      <c r="T1175" s="30">
        <f>'Source Data'!T1097</f>
        <v>0.58812636582404898</v>
      </c>
    </row>
    <row r="1176" spans="2:20" x14ac:dyDescent="0.25">
      <c r="B1176" s="23" t="s">
        <v>4120</v>
      </c>
      <c r="C1176" s="28" t="s">
        <v>493</v>
      </c>
      <c r="H1176" s="30">
        <f>'Revenue Calculation'!H146</f>
        <v>0</v>
      </c>
      <c r="I1176" s="30">
        <f>'Revenue Calculation'!I146</f>
        <v>0</v>
      </c>
      <c r="J1176" s="30">
        <f>'Revenue Calculation'!J146</f>
        <v>0</v>
      </c>
      <c r="K1176" s="30">
        <f>'Revenue Calculation'!K146</f>
        <v>0.45074988749999995</v>
      </c>
      <c r="L1176" s="30">
        <f>'Revenue Calculation'!L146</f>
        <v>0.4642723841250001</v>
      </c>
      <c r="M1176" s="30">
        <f>'Revenue Calculation'!M146</f>
        <v>0.47820055564875008</v>
      </c>
      <c r="N1176" s="30">
        <f>'Revenue Calculation'!N146</f>
        <v>0.49254657231821258</v>
      </c>
      <c r="O1176" s="30">
        <f>'Revenue Calculation'!O146</f>
        <v>0.50732296948775901</v>
      </c>
      <c r="P1176" s="30">
        <f>'Revenue Calculation'!P146</f>
        <v>0.52254265857239179</v>
      </c>
      <c r="Q1176" s="30">
        <f>'Revenue Calculation'!Q146</f>
        <v>0.53821893832956347</v>
      </c>
      <c r="R1176" s="30">
        <f>'Revenue Calculation'!R146</f>
        <v>0.55436550647945038</v>
      </c>
      <c r="S1176" s="30">
        <f>'Revenue Calculation'!S146</f>
        <v>0.57099647167383394</v>
      </c>
      <c r="T1176" s="30">
        <f>'Revenue Calculation'!T146</f>
        <v>0.58812636582404909</v>
      </c>
    </row>
    <row r="1177" spans="2:20" x14ac:dyDescent="0.25">
      <c r="B1177" s="23" t="s">
        <v>4121</v>
      </c>
      <c r="C1177" s="28" t="s">
        <v>493</v>
      </c>
      <c r="H1177" s="161">
        <f t="shared" ref="H1177:T1177" si="218">ROUND(H1176-H1175,9)</f>
        <v>0</v>
      </c>
      <c r="I1177" s="161">
        <f t="shared" si="218"/>
        <v>0</v>
      </c>
      <c r="J1177" s="161">
        <f t="shared" si="218"/>
        <v>0</v>
      </c>
      <c r="K1177" s="161">
        <f t="shared" si="218"/>
        <v>0</v>
      </c>
      <c r="L1177" s="161">
        <f t="shared" si="218"/>
        <v>0</v>
      </c>
      <c r="M1177" s="161">
        <f t="shared" si="218"/>
        <v>0</v>
      </c>
      <c r="N1177" s="161">
        <f t="shared" si="218"/>
        <v>0</v>
      </c>
      <c r="O1177" s="161">
        <f t="shared" si="218"/>
        <v>0</v>
      </c>
      <c r="P1177" s="161">
        <f t="shared" si="218"/>
        <v>0</v>
      </c>
      <c r="Q1177" s="161">
        <f t="shared" si="218"/>
        <v>0</v>
      </c>
      <c r="R1177" s="161">
        <f t="shared" si="218"/>
        <v>0</v>
      </c>
      <c r="S1177" s="161">
        <f t="shared" si="218"/>
        <v>0</v>
      </c>
      <c r="T1177" s="161">
        <f t="shared" si="218"/>
        <v>0</v>
      </c>
    </row>
    <row r="1178" spans="2:20" x14ac:dyDescent="0.25">
      <c r="B1178" s="23" t="s">
        <v>4253</v>
      </c>
      <c r="C1178" s="28" t="s">
        <v>493</v>
      </c>
      <c r="H1178" s="30">
        <f>'Source Data'!H1098</f>
        <v>0</v>
      </c>
      <c r="I1178" s="30">
        <f>'Source Data'!I1098</f>
        <v>0</v>
      </c>
      <c r="J1178" s="30">
        <f>'Source Data'!J1098</f>
        <v>0</v>
      </c>
      <c r="K1178" s="30">
        <f>'Source Data'!K1098</f>
        <v>0</v>
      </c>
      <c r="L1178" s="30">
        <f>'Source Data'!L1098</f>
        <v>0</v>
      </c>
      <c r="M1178" s="30">
        <f>'Source Data'!M1098</f>
        <v>0</v>
      </c>
      <c r="N1178" s="30">
        <f>'Source Data'!N1098</f>
        <v>0</v>
      </c>
      <c r="O1178" s="30">
        <f>'Source Data'!O1098</f>
        <v>0</v>
      </c>
      <c r="P1178" s="30">
        <f>'Source Data'!P1098</f>
        <v>0</v>
      </c>
      <c r="Q1178" s="30">
        <f>'Source Data'!Q1098</f>
        <v>0</v>
      </c>
      <c r="R1178" s="30">
        <f>'Source Data'!R1098</f>
        <v>0</v>
      </c>
      <c r="S1178" s="30">
        <f>'Source Data'!S1098</f>
        <v>0</v>
      </c>
      <c r="T1178" s="30">
        <f>'Source Data'!T1098</f>
        <v>0</v>
      </c>
    </row>
    <row r="1179" spans="2:20" x14ac:dyDescent="0.25">
      <c r="B1179" s="23" t="s">
        <v>4123</v>
      </c>
      <c r="C1179" s="28" t="s">
        <v>493</v>
      </c>
      <c r="H1179" s="161">
        <f>-('Cost Calculation'!H172)</f>
        <v>0</v>
      </c>
      <c r="I1179" s="161">
        <f>-('Cost Calculation'!I172)</f>
        <v>0</v>
      </c>
      <c r="J1179" s="161">
        <f>-('Cost Calculation'!J172)</f>
        <v>0</v>
      </c>
      <c r="K1179" s="161">
        <f>-('Cost Calculation'!K172)</f>
        <v>0</v>
      </c>
      <c r="L1179" s="161">
        <f>-('Cost Calculation'!L172)</f>
        <v>0</v>
      </c>
      <c r="M1179" s="161">
        <f>-('Cost Calculation'!M172)</f>
        <v>0</v>
      </c>
      <c r="N1179" s="161">
        <f>-('Cost Calculation'!N172)</f>
        <v>0</v>
      </c>
      <c r="O1179" s="161">
        <f>-('Cost Calculation'!O172)</f>
        <v>0</v>
      </c>
      <c r="P1179" s="161">
        <f>-('Cost Calculation'!P172)</f>
        <v>0</v>
      </c>
      <c r="Q1179" s="161">
        <f>-('Cost Calculation'!Q172)</f>
        <v>0</v>
      </c>
      <c r="R1179" s="161">
        <f>-('Cost Calculation'!R172)</f>
        <v>0</v>
      </c>
      <c r="S1179" s="161">
        <f>-('Cost Calculation'!S172)</f>
        <v>0</v>
      </c>
      <c r="T1179" s="161">
        <f>-('Cost Calculation'!T172)</f>
        <v>0</v>
      </c>
    </row>
    <row r="1180" spans="2:20" x14ac:dyDescent="0.25">
      <c r="B1180" s="23" t="s">
        <v>4124</v>
      </c>
      <c r="C1180" s="28" t="s">
        <v>493</v>
      </c>
      <c r="H1180" s="161">
        <f t="shared" ref="H1180:T1180" si="219">ROUND(H1179-H1178,9)</f>
        <v>0</v>
      </c>
      <c r="I1180" s="161">
        <f t="shared" si="219"/>
        <v>0</v>
      </c>
      <c r="J1180" s="161">
        <f t="shared" si="219"/>
        <v>0</v>
      </c>
      <c r="K1180" s="161">
        <f t="shared" si="219"/>
        <v>0</v>
      </c>
      <c r="L1180" s="161">
        <f t="shared" si="219"/>
        <v>0</v>
      </c>
      <c r="M1180" s="161">
        <f t="shared" si="219"/>
        <v>0</v>
      </c>
      <c r="N1180" s="161">
        <f t="shared" si="219"/>
        <v>0</v>
      </c>
      <c r="O1180" s="161">
        <f t="shared" si="219"/>
        <v>0</v>
      </c>
      <c r="P1180" s="161">
        <f t="shared" si="219"/>
        <v>0</v>
      </c>
      <c r="Q1180" s="161">
        <f t="shared" si="219"/>
        <v>0</v>
      </c>
      <c r="R1180" s="161">
        <f t="shared" si="219"/>
        <v>0</v>
      </c>
      <c r="S1180" s="161">
        <f t="shared" si="219"/>
        <v>0</v>
      </c>
      <c r="T1180" s="161">
        <f t="shared" si="219"/>
        <v>0</v>
      </c>
    </row>
    <row r="1181" spans="2:20" x14ac:dyDescent="0.25">
      <c r="B1181" s="23" t="s">
        <v>4254</v>
      </c>
      <c r="C1181" s="28" t="s">
        <v>493</v>
      </c>
      <c r="H1181" s="30">
        <f>'Source Data'!H1099</f>
        <v>0</v>
      </c>
      <c r="I1181" s="30">
        <f>'Source Data'!I1099</f>
        <v>0</v>
      </c>
      <c r="J1181" s="30">
        <f>'Source Data'!J1099</f>
        <v>0</v>
      </c>
      <c r="K1181" s="30">
        <f>'Source Data'!K1099</f>
        <v>-9.0149977500000006E-2</v>
      </c>
      <c r="L1181" s="30">
        <f>'Source Data'!L1099</f>
        <v>-9.2854476825000004E-2</v>
      </c>
      <c r="M1181" s="30">
        <f>'Source Data'!M1099</f>
        <v>-9.5640111129750002E-2</v>
      </c>
      <c r="N1181" s="30">
        <f>'Source Data'!N1099</f>
        <v>-9.85093144636425E-2</v>
      </c>
      <c r="O1181" s="30">
        <f>'Source Data'!O1099</f>
        <v>-0.101464593897552</v>
      </c>
      <c r="P1181" s="30">
        <f>'Source Data'!P1099</f>
        <v>-0.10450853171447801</v>
      </c>
      <c r="Q1181" s="30">
        <f>'Source Data'!Q1099</f>
        <v>-0.107643787665913</v>
      </c>
      <c r="R1181" s="30">
        <f>'Source Data'!R1099</f>
        <v>-0.11087310129588999</v>
      </c>
      <c r="S1181" s="30">
        <f>'Source Data'!S1099</f>
        <v>-0.114199294334767</v>
      </c>
      <c r="T1181" s="30">
        <f>'Source Data'!T1099</f>
        <v>-0.11762527316481</v>
      </c>
    </row>
    <row r="1182" spans="2:20" x14ac:dyDescent="0.25">
      <c r="B1182" s="23" t="s">
        <v>4126</v>
      </c>
      <c r="C1182" s="28" t="s">
        <v>493</v>
      </c>
      <c r="H1182" s="161">
        <f>-('Cost Calculation'!H173)</f>
        <v>0</v>
      </c>
      <c r="I1182" s="161">
        <f>-('Cost Calculation'!I173)</f>
        <v>0</v>
      </c>
      <c r="J1182" s="161">
        <f>-('Cost Calculation'!J173)</f>
        <v>0</v>
      </c>
      <c r="K1182" s="161">
        <f>-('Cost Calculation'!K173)</f>
        <v>-9.0149977499999992E-2</v>
      </c>
      <c r="L1182" s="161">
        <f>-('Cost Calculation'!L173)</f>
        <v>-9.2854476825000032E-2</v>
      </c>
      <c r="M1182" s="161">
        <f>-('Cost Calculation'!M173)</f>
        <v>-9.5640111129750016E-2</v>
      </c>
      <c r="N1182" s="161">
        <f>-('Cost Calculation'!N173)</f>
        <v>-9.8509314463642528E-2</v>
      </c>
      <c r="O1182" s="161">
        <f>-('Cost Calculation'!O173)</f>
        <v>-0.1014645938975518</v>
      </c>
      <c r="P1182" s="161">
        <f>-('Cost Calculation'!P173)</f>
        <v>-0.10450853171447837</v>
      </c>
      <c r="Q1182" s="161">
        <f>-('Cost Calculation'!Q173)</f>
        <v>-0.1076437876659127</v>
      </c>
      <c r="R1182" s="161">
        <f>-('Cost Calculation'!R173)</f>
        <v>-0.11087310129589008</v>
      </c>
      <c r="S1182" s="161">
        <f>-('Cost Calculation'!S173)</f>
        <v>-0.11419929433476679</v>
      </c>
      <c r="T1182" s="161">
        <f>-('Cost Calculation'!T173)</f>
        <v>-0.11762527316480982</v>
      </c>
    </row>
    <row r="1183" spans="2:20" x14ac:dyDescent="0.25">
      <c r="B1183" s="23" t="s">
        <v>4127</v>
      </c>
      <c r="C1183" s="28" t="s">
        <v>493</v>
      </c>
      <c r="H1183" s="161">
        <f t="shared" ref="H1183:T1183" si="220">ROUND(H1182-H1181,9)</f>
        <v>0</v>
      </c>
      <c r="I1183" s="161">
        <f t="shared" si="220"/>
        <v>0</v>
      </c>
      <c r="J1183" s="161">
        <f t="shared" si="220"/>
        <v>0</v>
      </c>
      <c r="K1183" s="161">
        <f t="shared" si="220"/>
        <v>0</v>
      </c>
      <c r="L1183" s="161">
        <f t="shared" si="220"/>
        <v>0</v>
      </c>
      <c r="M1183" s="161">
        <f t="shared" si="220"/>
        <v>0</v>
      </c>
      <c r="N1183" s="161">
        <f t="shared" si="220"/>
        <v>0</v>
      </c>
      <c r="O1183" s="161">
        <f t="shared" si="220"/>
        <v>0</v>
      </c>
      <c r="P1183" s="161">
        <f t="shared" si="220"/>
        <v>0</v>
      </c>
      <c r="Q1183" s="161">
        <f t="shared" si="220"/>
        <v>0</v>
      </c>
      <c r="R1183" s="161">
        <f t="shared" si="220"/>
        <v>0</v>
      </c>
      <c r="S1183" s="161">
        <f t="shared" si="220"/>
        <v>0</v>
      </c>
      <c r="T1183" s="161">
        <f t="shared" si="220"/>
        <v>0</v>
      </c>
    </row>
    <row r="1184" spans="2:20" x14ac:dyDescent="0.25">
      <c r="B1184" s="23" t="s">
        <v>4255</v>
      </c>
      <c r="C1184" s="28" t="s">
        <v>493</v>
      </c>
      <c r="H1184" s="30">
        <f>'Source Data'!H1100</f>
        <v>0</v>
      </c>
      <c r="I1184" s="30">
        <f>'Source Data'!I1100</f>
        <v>0</v>
      </c>
      <c r="J1184" s="30">
        <f>'Source Data'!J1100</f>
        <v>0</v>
      </c>
      <c r="K1184" s="30">
        <f>'Source Data'!K1100</f>
        <v>-0.13012000000000001</v>
      </c>
      <c r="L1184" s="30">
        <f>'Source Data'!L1100</f>
        <v>-0.13012000000000001</v>
      </c>
      <c r="M1184" s="30">
        <f>'Source Data'!M1100</f>
        <v>-0.13012000000000001</v>
      </c>
      <c r="N1184" s="30">
        <f>'Source Data'!N1100</f>
        <v>-0.13012000000000001</v>
      </c>
      <c r="O1184" s="30">
        <f>'Source Data'!O1100</f>
        <v>-0.13012000000000001</v>
      </c>
      <c r="P1184" s="30">
        <f>'Source Data'!P1100</f>
        <v>-0.13012000000000001</v>
      </c>
      <c r="Q1184" s="30">
        <f>'Source Data'!Q1100</f>
        <v>-0.13012000000000001</v>
      </c>
      <c r="R1184" s="30">
        <f>'Source Data'!R1100</f>
        <v>-0.13012000000000001</v>
      </c>
      <c r="S1184" s="30">
        <f>'Source Data'!S1100</f>
        <v>-0.13012000000000001</v>
      </c>
      <c r="T1184" s="30">
        <f>'Source Data'!T1100</f>
        <v>-0.13012000000000001</v>
      </c>
    </row>
    <row r="1185" spans="2:20" x14ac:dyDescent="0.25">
      <c r="B1185" s="23" t="s">
        <v>4129</v>
      </c>
      <c r="C1185" s="28" t="s">
        <v>493</v>
      </c>
      <c r="H1185" s="161">
        <f>-('Capex &amp; Depreciation'!H245)</f>
        <v>0</v>
      </c>
      <c r="I1185" s="161">
        <f>-('Capex &amp; Depreciation'!I245)</f>
        <v>0</v>
      </c>
      <c r="J1185" s="161">
        <f>-('Capex &amp; Depreciation'!J245)</f>
        <v>0</v>
      </c>
      <c r="K1185" s="161">
        <f>-('Capex &amp; Depreciation'!K245)</f>
        <v>-0.13012000000000001</v>
      </c>
      <c r="L1185" s="161">
        <f>-('Capex &amp; Depreciation'!L245)</f>
        <v>-0.13012000000000001</v>
      </c>
      <c r="M1185" s="161">
        <f>-('Capex &amp; Depreciation'!M245)</f>
        <v>-0.13012000000000001</v>
      </c>
      <c r="N1185" s="161">
        <f>-('Capex &amp; Depreciation'!N245)</f>
        <v>-0.13012000000000001</v>
      </c>
      <c r="O1185" s="161">
        <f>-('Capex &amp; Depreciation'!O245)</f>
        <v>-0.13012000000000001</v>
      </c>
      <c r="P1185" s="161">
        <f>-('Capex &amp; Depreciation'!P245)</f>
        <v>-0.13012000000000001</v>
      </c>
      <c r="Q1185" s="161">
        <f>-('Capex &amp; Depreciation'!Q245)</f>
        <v>-0.13012000000000001</v>
      </c>
      <c r="R1185" s="161">
        <f>-('Capex &amp; Depreciation'!R245)</f>
        <v>-0.13012000000000001</v>
      </c>
      <c r="S1185" s="161">
        <f>-('Capex &amp; Depreciation'!S245)</f>
        <v>-0.13012000000000001</v>
      </c>
      <c r="T1185" s="161">
        <f>-('Capex &amp; Depreciation'!T245)</f>
        <v>-0.13012000000000001</v>
      </c>
    </row>
    <row r="1186" spans="2:20" x14ac:dyDescent="0.25">
      <c r="B1186" s="23" t="s">
        <v>4130</v>
      </c>
      <c r="C1186" s="28" t="s">
        <v>493</v>
      </c>
      <c r="H1186" s="161">
        <f t="shared" ref="H1186:T1186" si="221">ROUND(H1185-H1184,9)</f>
        <v>0</v>
      </c>
      <c r="I1186" s="161">
        <f t="shared" si="221"/>
        <v>0</v>
      </c>
      <c r="J1186" s="161">
        <f t="shared" si="221"/>
        <v>0</v>
      </c>
      <c r="K1186" s="161">
        <f t="shared" si="221"/>
        <v>0</v>
      </c>
      <c r="L1186" s="161">
        <f t="shared" si="221"/>
        <v>0</v>
      </c>
      <c r="M1186" s="161">
        <f t="shared" si="221"/>
        <v>0</v>
      </c>
      <c r="N1186" s="161">
        <f t="shared" si="221"/>
        <v>0</v>
      </c>
      <c r="O1186" s="161">
        <f t="shared" si="221"/>
        <v>0</v>
      </c>
      <c r="P1186" s="161">
        <f t="shared" si="221"/>
        <v>0</v>
      </c>
      <c r="Q1186" s="161">
        <f t="shared" si="221"/>
        <v>0</v>
      </c>
      <c r="R1186" s="161">
        <f t="shared" si="221"/>
        <v>0</v>
      </c>
      <c r="S1186" s="161">
        <f t="shared" si="221"/>
        <v>0</v>
      </c>
      <c r="T1186" s="161">
        <f t="shared" si="221"/>
        <v>0</v>
      </c>
    </row>
    <row r="1187" spans="2:20" x14ac:dyDescent="0.25">
      <c r="B1187" s="23" t="s">
        <v>4256</v>
      </c>
      <c r="C1187" s="28" t="s">
        <v>493</v>
      </c>
      <c r="H1187" s="30">
        <f>'Source Data'!H1101</f>
        <v>0</v>
      </c>
      <c r="I1187" s="30">
        <f>'Source Data'!I1101</f>
        <v>0</v>
      </c>
      <c r="J1187" s="30">
        <f>'Source Data'!J1101</f>
        <v>0</v>
      </c>
      <c r="K1187" s="30">
        <f>'Source Data'!K1101</f>
        <v>0</v>
      </c>
      <c r="L1187" s="30">
        <f>'Source Data'!L1101</f>
        <v>0</v>
      </c>
      <c r="M1187" s="30">
        <f>'Source Data'!M1101</f>
        <v>0</v>
      </c>
      <c r="N1187" s="30">
        <f>'Source Data'!N1101</f>
        <v>0</v>
      </c>
      <c r="O1187" s="30">
        <f>'Source Data'!O1101</f>
        <v>0</v>
      </c>
      <c r="P1187" s="30">
        <f>'Source Data'!P1101</f>
        <v>0</v>
      </c>
      <c r="Q1187" s="30">
        <f>'Source Data'!Q1101</f>
        <v>0</v>
      </c>
      <c r="R1187" s="30">
        <f>'Source Data'!R1101</f>
        <v>0</v>
      </c>
      <c r="S1187" s="30">
        <f>'Source Data'!S1101</f>
        <v>0</v>
      </c>
      <c r="T1187" s="30">
        <f>'Source Data'!T1101</f>
        <v>0</v>
      </c>
    </row>
    <row r="1188" spans="2:20" x14ac:dyDescent="0.25">
      <c r="B1188" s="23" t="s">
        <v>4132</v>
      </c>
      <c r="C1188" s="28" t="s">
        <v>493</v>
      </c>
      <c r="H1188" s="161">
        <f>0</f>
        <v>0</v>
      </c>
      <c r="I1188" s="161">
        <f>0</f>
        <v>0</v>
      </c>
      <c r="J1188" s="161">
        <f>0</f>
        <v>0</v>
      </c>
      <c r="K1188" s="161">
        <f>0</f>
        <v>0</v>
      </c>
      <c r="L1188" s="161">
        <f>0</f>
        <v>0</v>
      </c>
      <c r="M1188" s="161">
        <f>0</f>
        <v>0</v>
      </c>
      <c r="N1188" s="161">
        <f>0</f>
        <v>0</v>
      </c>
      <c r="O1188" s="161">
        <f>0</f>
        <v>0</v>
      </c>
      <c r="P1188" s="161">
        <f>0</f>
        <v>0</v>
      </c>
      <c r="Q1188" s="161">
        <f>0</f>
        <v>0</v>
      </c>
      <c r="R1188" s="161">
        <f>0</f>
        <v>0</v>
      </c>
      <c r="S1188" s="161">
        <f>0</f>
        <v>0</v>
      </c>
      <c r="T1188" s="161">
        <f>0</f>
        <v>0</v>
      </c>
    </row>
    <row r="1189" spans="2:20" x14ac:dyDescent="0.25">
      <c r="B1189" s="23" t="s">
        <v>4133</v>
      </c>
      <c r="C1189" s="28" t="s">
        <v>493</v>
      </c>
      <c r="H1189" s="161">
        <f t="shared" ref="H1189:T1189" si="222">ROUND(H1188-H1187,9)</f>
        <v>0</v>
      </c>
      <c r="I1189" s="161">
        <f t="shared" si="222"/>
        <v>0</v>
      </c>
      <c r="J1189" s="161">
        <f t="shared" si="222"/>
        <v>0</v>
      </c>
      <c r="K1189" s="161">
        <f t="shared" si="222"/>
        <v>0</v>
      </c>
      <c r="L1189" s="161">
        <f t="shared" si="222"/>
        <v>0</v>
      </c>
      <c r="M1189" s="161">
        <f t="shared" si="222"/>
        <v>0</v>
      </c>
      <c r="N1189" s="161">
        <f t="shared" si="222"/>
        <v>0</v>
      </c>
      <c r="O1189" s="161">
        <f t="shared" si="222"/>
        <v>0</v>
      </c>
      <c r="P1189" s="161">
        <f t="shared" si="222"/>
        <v>0</v>
      </c>
      <c r="Q1189" s="161">
        <f t="shared" si="222"/>
        <v>0</v>
      </c>
      <c r="R1189" s="161">
        <f t="shared" si="222"/>
        <v>0</v>
      </c>
      <c r="S1189" s="161">
        <f t="shared" si="222"/>
        <v>0</v>
      </c>
      <c r="T1189" s="161">
        <f t="shared" si="222"/>
        <v>0</v>
      </c>
    </row>
    <row r="1190" spans="2:20" x14ac:dyDescent="0.25">
      <c r="B1190" s="23" t="s">
        <v>4257</v>
      </c>
      <c r="C1190" s="28" t="s">
        <v>493</v>
      </c>
      <c r="H1190" s="30">
        <f>'Source Data'!H1102</f>
        <v>0</v>
      </c>
      <c r="I1190" s="30">
        <f>'Source Data'!I1102</f>
        <v>0</v>
      </c>
      <c r="J1190" s="30">
        <f>'Source Data'!J1102</f>
        <v>0</v>
      </c>
      <c r="K1190" s="30">
        <f>'Source Data'!K1102</f>
        <v>0.23047991000000001</v>
      </c>
      <c r="L1190" s="30">
        <f>'Source Data'!L1102</f>
        <v>0.2412979073</v>
      </c>
      <c r="M1190" s="30">
        <f>'Source Data'!M1102</f>
        <v>0.252440444519</v>
      </c>
      <c r="N1190" s="30">
        <f>'Source Data'!N1102</f>
        <v>0.26391725785456999</v>
      </c>
      <c r="O1190" s="30">
        <f>'Source Data'!O1102</f>
        <v>0.27573837559020697</v>
      </c>
      <c r="P1190" s="30">
        <f>'Source Data'!P1102</f>
        <v>0.28791412685791301</v>
      </c>
      <c r="Q1190" s="30">
        <f>'Source Data'!Q1102</f>
        <v>0.30045515066365103</v>
      </c>
      <c r="R1190" s="30">
        <f>'Source Data'!R1102</f>
        <v>0.31337240518356002</v>
      </c>
      <c r="S1190" s="30">
        <f>'Source Data'!S1102</f>
        <v>0.32667717733906698</v>
      </c>
      <c r="T1190" s="30">
        <f>'Source Data'!T1102</f>
        <v>0.34038109265923899</v>
      </c>
    </row>
    <row r="1191" spans="2:20" x14ac:dyDescent="0.25">
      <c r="B1191" s="23" t="s">
        <v>4135</v>
      </c>
      <c r="C1191" s="28" t="s">
        <v>493</v>
      </c>
      <c r="H1191" s="30">
        <f>'FSL Output - With BUMN'!H153</f>
        <v>0</v>
      </c>
      <c r="I1191" s="30">
        <f>'FSL Output - With BUMN'!I153</f>
        <v>0</v>
      </c>
      <c r="J1191" s="30">
        <f>'FSL Output - With BUMN'!J153</f>
        <v>0</v>
      </c>
      <c r="K1191" s="30">
        <f>'FSL Output - With BUMN'!K153</f>
        <v>0.23047990999999995</v>
      </c>
      <c r="L1191" s="30">
        <f>'FSL Output - With BUMN'!L153</f>
        <v>0.24129790730000006</v>
      </c>
      <c r="M1191" s="30">
        <f>'FSL Output - With BUMN'!M153</f>
        <v>0.25244044451900005</v>
      </c>
      <c r="N1191" s="30">
        <f>'FSL Output - With BUMN'!N153</f>
        <v>0.26391725785457004</v>
      </c>
      <c r="O1191" s="30">
        <f>'FSL Output - With BUMN'!O153</f>
        <v>0.2757383755902072</v>
      </c>
      <c r="P1191" s="30">
        <f>'FSL Output - With BUMN'!P153</f>
        <v>0.2879141268579134</v>
      </c>
      <c r="Q1191" s="30">
        <f>'FSL Output - With BUMN'!Q153</f>
        <v>0.30045515066365075</v>
      </c>
      <c r="R1191" s="30">
        <f>'FSL Output - With BUMN'!R153</f>
        <v>0.3133724051835603</v>
      </c>
      <c r="S1191" s="30">
        <f>'FSL Output - With BUMN'!S153</f>
        <v>0.32667717733906715</v>
      </c>
      <c r="T1191" s="30">
        <f>'FSL Output - With BUMN'!T153</f>
        <v>0.34038109265923927</v>
      </c>
    </row>
    <row r="1192" spans="2:20" x14ac:dyDescent="0.25">
      <c r="B1192" s="23" t="s">
        <v>4136</v>
      </c>
      <c r="C1192" s="28" t="s">
        <v>493</v>
      </c>
      <c r="H1192" s="161">
        <f t="shared" ref="H1192:T1192" si="223">ROUND(H1191-H1190,9)</f>
        <v>0</v>
      </c>
      <c r="I1192" s="161">
        <f t="shared" si="223"/>
        <v>0</v>
      </c>
      <c r="J1192" s="161">
        <f t="shared" si="223"/>
        <v>0</v>
      </c>
      <c r="K1192" s="161">
        <f t="shared" si="223"/>
        <v>0</v>
      </c>
      <c r="L1192" s="161">
        <f t="shared" si="223"/>
        <v>0</v>
      </c>
      <c r="M1192" s="161">
        <f t="shared" si="223"/>
        <v>0</v>
      </c>
      <c r="N1192" s="161">
        <f t="shared" si="223"/>
        <v>0</v>
      </c>
      <c r="O1192" s="161">
        <f t="shared" si="223"/>
        <v>0</v>
      </c>
      <c r="P1192" s="161">
        <f t="shared" si="223"/>
        <v>0</v>
      </c>
      <c r="Q1192" s="161">
        <f t="shared" si="223"/>
        <v>0</v>
      </c>
      <c r="R1192" s="161">
        <f t="shared" si="223"/>
        <v>0</v>
      </c>
      <c r="S1192" s="161">
        <f t="shared" si="223"/>
        <v>0</v>
      </c>
      <c r="T1192" s="161">
        <f t="shared" si="223"/>
        <v>0</v>
      </c>
    </row>
    <row r="1193" spans="2:20" x14ac:dyDescent="0.25">
      <c r="B1193" s="23" t="s">
        <v>4258</v>
      </c>
      <c r="C1193" s="28" t="s">
        <v>493</v>
      </c>
      <c r="H1193" s="30">
        <f>'Source Data'!H1103</f>
        <v>0</v>
      </c>
      <c r="I1193" s="30">
        <f>'Source Data'!I1103</f>
        <v>0</v>
      </c>
      <c r="J1193" s="30">
        <f>'Source Data'!J1103</f>
        <v>0</v>
      </c>
      <c r="K1193" s="30">
        <f>'Source Data'!K1103</f>
        <v>-5.0705580200000003E-2</v>
      </c>
      <c r="L1193" s="30">
        <f>'Source Data'!L1103</f>
        <v>-5.3085539606000001E-2</v>
      </c>
      <c r="M1193" s="30">
        <f>'Source Data'!M1103</f>
        <v>-5.5536897794180001E-2</v>
      </c>
      <c r="N1193" s="30">
        <f>'Source Data'!N1103</f>
        <v>-5.8061796728005398E-2</v>
      </c>
      <c r="O1193" s="30">
        <f>'Source Data'!O1103</f>
        <v>-6.0662442629845603E-2</v>
      </c>
      <c r="P1193" s="30">
        <f>'Source Data'!P1103</f>
        <v>-6.3341107908741007E-2</v>
      </c>
      <c r="Q1193" s="30">
        <f>'Source Data'!Q1103</f>
        <v>-6.6100133146003201E-2</v>
      </c>
      <c r="R1193" s="30">
        <f>'Source Data'!R1103</f>
        <v>-6.8941929140383301E-2</v>
      </c>
      <c r="S1193" s="30">
        <f>'Source Data'!S1103</f>
        <v>-7.1868979014594797E-2</v>
      </c>
      <c r="T1193" s="30">
        <f>'Source Data'!T1103</f>
        <v>-7.4883840385032596E-2</v>
      </c>
    </row>
    <row r="1194" spans="2:20" x14ac:dyDescent="0.25">
      <c r="B1194" s="23" t="s">
        <v>4138</v>
      </c>
      <c r="C1194" s="28" t="s">
        <v>493</v>
      </c>
      <c r="H1194" s="161">
        <f>-'FSL Output - With BUMN'!H154</f>
        <v>0</v>
      </c>
      <c r="I1194" s="161">
        <f>-'FSL Output - With BUMN'!I154</f>
        <v>0</v>
      </c>
      <c r="J1194" s="161">
        <f>-'FSL Output - With BUMN'!J154</f>
        <v>0</v>
      </c>
      <c r="K1194" s="161">
        <f>-'FSL Output - With BUMN'!K154</f>
        <v>-5.0705580199999989E-2</v>
      </c>
      <c r="L1194" s="161">
        <f>-'FSL Output - With BUMN'!L154</f>
        <v>-5.3085539606000015E-2</v>
      </c>
      <c r="M1194" s="161">
        <f>-'FSL Output - With BUMN'!M154</f>
        <v>-5.5536897794180008E-2</v>
      </c>
      <c r="N1194" s="161">
        <f>-'FSL Output - With BUMN'!N154</f>
        <v>-5.8061796728005412E-2</v>
      </c>
      <c r="O1194" s="161">
        <f>-'FSL Output - With BUMN'!O154</f>
        <v>-6.0662442629845582E-2</v>
      </c>
      <c r="P1194" s="161">
        <f>-'FSL Output - With BUMN'!P154</f>
        <v>-6.3341107908740951E-2</v>
      </c>
      <c r="Q1194" s="161">
        <f>-'FSL Output - With BUMN'!Q154</f>
        <v>-6.6100133146003159E-2</v>
      </c>
      <c r="R1194" s="161">
        <f>-'FSL Output - With BUMN'!R154</f>
        <v>-6.894192914038326E-2</v>
      </c>
      <c r="S1194" s="161">
        <f>-'FSL Output - With BUMN'!S154</f>
        <v>-7.1868979014594769E-2</v>
      </c>
      <c r="T1194" s="161">
        <f>-'FSL Output - With BUMN'!T154</f>
        <v>-7.4883840385032638E-2</v>
      </c>
    </row>
    <row r="1195" spans="2:20" x14ac:dyDescent="0.25">
      <c r="B1195" s="23" t="s">
        <v>4139</v>
      </c>
      <c r="C1195" s="28" t="s">
        <v>493</v>
      </c>
      <c r="H1195" s="161">
        <f t="shared" ref="H1195:T1195" si="224">ROUND(H1194-H1193,9)</f>
        <v>0</v>
      </c>
      <c r="I1195" s="161">
        <f t="shared" si="224"/>
        <v>0</v>
      </c>
      <c r="J1195" s="161">
        <f t="shared" si="224"/>
        <v>0</v>
      </c>
      <c r="K1195" s="161">
        <f t="shared" si="224"/>
        <v>0</v>
      </c>
      <c r="L1195" s="161">
        <f t="shared" si="224"/>
        <v>0</v>
      </c>
      <c r="M1195" s="161">
        <f t="shared" si="224"/>
        <v>0</v>
      </c>
      <c r="N1195" s="161">
        <f t="shared" si="224"/>
        <v>0</v>
      </c>
      <c r="O1195" s="161">
        <f t="shared" si="224"/>
        <v>0</v>
      </c>
      <c r="P1195" s="161">
        <f t="shared" si="224"/>
        <v>0</v>
      </c>
      <c r="Q1195" s="161">
        <f t="shared" si="224"/>
        <v>0</v>
      </c>
      <c r="R1195" s="161">
        <f t="shared" si="224"/>
        <v>0</v>
      </c>
      <c r="S1195" s="161">
        <f t="shared" si="224"/>
        <v>0</v>
      </c>
      <c r="T1195" s="161">
        <f t="shared" si="224"/>
        <v>0</v>
      </c>
    </row>
    <row r="1196" spans="2:20" x14ac:dyDescent="0.25">
      <c r="B1196" s="23" t="s">
        <v>4259</v>
      </c>
      <c r="C1196" s="28" t="s">
        <v>493</v>
      </c>
      <c r="H1196" s="30">
        <f>'Source Data'!H1104</f>
        <v>0</v>
      </c>
      <c r="I1196" s="30">
        <f>'Source Data'!I1104</f>
        <v>0</v>
      </c>
      <c r="J1196" s="30">
        <f>'Source Data'!J1104</f>
        <v>0</v>
      </c>
      <c r="K1196" s="30">
        <f>'Source Data'!K1104</f>
        <v>0.17977432979999999</v>
      </c>
      <c r="L1196" s="30">
        <f>'Source Data'!L1104</f>
        <v>0.18821236769399999</v>
      </c>
      <c r="M1196" s="30">
        <f>'Source Data'!M1104</f>
        <v>0.19690354672481999</v>
      </c>
      <c r="N1196" s="30">
        <f>'Source Data'!N1104</f>
        <v>0.205855461126565</v>
      </c>
      <c r="O1196" s="30">
        <f>'Source Data'!O1104</f>
        <v>0.21507593296036201</v>
      </c>
      <c r="P1196" s="30">
        <f>'Source Data'!P1104</f>
        <v>0.224573018949172</v>
      </c>
      <c r="Q1196" s="30">
        <f>'Source Data'!Q1104</f>
        <v>0.23435501751764801</v>
      </c>
      <c r="R1196" s="30">
        <f>'Source Data'!R1104</f>
        <v>0.244430476043177</v>
      </c>
      <c r="S1196" s="30">
        <f>'Source Data'!S1104</f>
        <v>0.25480819832447199</v>
      </c>
      <c r="T1196" s="30">
        <f>'Source Data'!T1104</f>
        <v>0.26549725227420701</v>
      </c>
    </row>
    <row r="1197" spans="2:20" x14ac:dyDescent="0.25">
      <c r="B1197" s="23" t="s">
        <v>4141</v>
      </c>
      <c r="C1197" s="28" t="s">
        <v>493</v>
      </c>
      <c r="H1197" s="30">
        <f>'FSL Output - With BUMN'!H156</f>
        <v>0</v>
      </c>
      <c r="I1197" s="30">
        <f>'FSL Output - With BUMN'!I156</f>
        <v>0</v>
      </c>
      <c r="J1197" s="30">
        <f>'FSL Output - With BUMN'!J156</f>
        <v>0</v>
      </c>
      <c r="K1197" s="30">
        <f>'FSL Output - With BUMN'!K156</f>
        <v>0.17977432979999997</v>
      </c>
      <c r="L1197" s="30">
        <f>'FSL Output - With BUMN'!L156</f>
        <v>0.18821236769400004</v>
      </c>
      <c r="M1197" s="30">
        <f>'FSL Output - With BUMN'!M156</f>
        <v>0.19690354672482005</v>
      </c>
      <c r="N1197" s="30">
        <f>'FSL Output - With BUMN'!N156</f>
        <v>0.20585546112656464</v>
      </c>
      <c r="O1197" s="30">
        <f>'FSL Output - With BUMN'!O156</f>
        <v>0.21507593296036162</v>
      </c>
      <c r="P1197" s="30">
        <f>'FSL Output - With BUMN'!P156</f>
        <v>0.22457301894917245</v>
      </c>
      <c r="Q1197" s="30">
        <f>'FSL Output - With BUMN'!Q156</f>
        <v>0.23435501751764759</v>
      </c>
      <c r="R1197" s="30">
        <f>'FSL Output - With BUMN'!R156</f>
        <v>0.24443047604317703</v>
      </c>
      <c r="S1197" s="30">
        <f>'FSL Output - With BUMN'!S156</f>
        <v>0.25480819832447238</v>
      </c>
      <c r="T1197" s="30">
        <f>'FSL Output - With BUMN'!T156</f>
        <v>0.26549725227420662</v>
      </c>
    </row>
    <row r="1198" spans="2:20" x14ac:dyDescent="0.25">
      <c r="B1198" s="23" t="s">
        <v>4142</v>
      </c>
      <c r="C1198" s="28" t="s">
        <v>493</v>
      </c>
      <c r="H1198" s="161">
        <f t="shared" ref="H1198:T1198" si="225">ROUND(H1197-H1196,9)</f>
        <v>0</v>
      </c>
      <c r="I1198" s="161">
        <f t="shared" si="225"/>
        <v>0</v>
      </c>
      <c r="J1198" s="161">
        <f t="shared" si="225"/>
        <v>0</v>
      </c>
      <c r="K1198" s="161">
        <f t="shared" si="225"/>
        <v>0</v>
      </c>
      <c r="L1198" s="161">
        <f t="shared" si="225"/>
        <v>0</v>
      </c>
      <c r="M1198" s="161">
        <f t="shared" si="225"/>
        <v>0</v>
      </c>
      <c r="N1198" s="161">
        <f t="shared" si="225"/>
        <v>0</v>
      </c>
      <c r="O1198" s="161">
        <f t="shared" si="225"/>
        <v>0</v>
      </c>
      <c r="P1198" s="161">
        <f t="shared" si="225"/>
        <v>0</v>
      </c>
      <c r="Q1198" s="161">
        <f t="shared" si="225"/>
        <v>0</v>
      </c>
      <c r="R1198" s="161">
        <f t="shared" si="225"/>
        <v>0</v>
      </c>
      <c r="S1198" s="161">
        <f t="shared" si="225"/>
        <v>0</v>
      </c>
      <c r="T1198" s="161">
        <f t="shared" si="225"/>
        <v>0</v>
      </c>
    </row>
    <row r="1200" spans="2:20" x14ac:dyDescent="0.25">
      <c r="B1200" s="221" t="s">
        <v>4260</v>
      </c>
      <c r="C1200" s="235"/>
      <c r="D1200" s="235"/>
      <c r="E1200" s="224" t="str">
        <f>IF(F1200&lt;=Inputs!$E$50,"Matches v29",IF($E$21&gt;0,"Differs - inputs changed","UNEXPLAINED"))</f>
        <v>Matches v29</v>
      </c>
      <c r="F1200" s="225">
        <f>MAX(MAX(H1203:T1203),-MIN(H1203:T1203),MAX(H1206:T1206),-MIN(H1206:T1206),MAX(H1209:T1209),-MIN(H1209:T1209),MAX(H1212:T1212),-MIN(H1212:T1212),MAX(H1215:T1215),-MIN(H1215:T1215),MAX(H1218:T1218),-MIN(H1218:T1218),MAX(H1221:T1221),-MIN(H1221:T1221),MAX(H1224:T1224),-MIN(H1224:T1224))</f>
        <v>0</v>
      </c>
      <c r="G1200" s="226">
        <f>MAX(MAX(H1203:T1203),-MIN(H1203:T1203),MAX(H1206:T1206),-MIN(H1206:T1206),MAX(H1209:T1209),-MIN(H1209:T1209),MAX(H1212:T1212),-MIN(H1212:T1212),MAX(H1215:T1215),-MIN(H1215:T1215),MAX(H1218:T1218),-MIN(H1218:T1218),MAX(H1221:T1221),-MIN(H1221:T1221),MAX(H1224:T1224),-MIN(H1224:T1224))</f>
        <v>0</v>
      </c>
    </row>
    <row r="1201" spans="2:20" x14ac:dyDescent="0.25">
      <c r="B1201" s="23" t="s">
        <v>4261</v>
      </c>
      <c r="C1201" s="28" t="s">
        <v>493</v>
      </c>
      <c r="H1201" s="30">
        <f>'Source Data'!H1106</f>
        <v>87.948672360753903</v>
      </c>
      <c r="I1201" s="30">
        <f>'Source Data'!I1106</f>
        <v>65.358641033127597</v>
      </c>
      <c r="J1201" s="30">
        <f>'Source Data'!J1106</f>
        <v>61.989728825535103</v>
      </c>
      <c r="K1201" s="30">
        <f>'Source Data'!K1106</f>
        <v>66.857705438160806</v>
      </c>
      <c r="L1201" s="30">
        <f>'Source Data'!L1106</f>
        <v>72.109308081105496</v>
      </c>
      <c r="M1201" s="30">
        <f>'Source Data'!M1106</f>
        <v>77.774868554511301</v>
      </c>
      <c r="N1201" s="30">
        <f>'Source Data'!N1106</f>
        <v>83.887124219273204</v>
      </c>
      <c r="O1201" s="30">
        <f>'Source Data'!O1106</f>
        <v>90.481409316796103</v>
      </c>
      <c r="P1201" s="30">
        <f>'Source Data'!P1106</f>
        <v>97.595861544291097</v>
      </c>
      <c r="Q1201" s="30">
        <f>'Source Data'!Q1106</f>
        <v>105.271645104941</v>
      </c>
      <c r="R1201" s="30">
        <f>'Source Data'!R1106</f>
        <v>93.187841954612907</v>
      </c>
      <c r="S1201" s="30">
        <f>'Source Data'!S1106</f>
        <v>97.716827068910305</v>
      </c>
      <c r="T1201" s="30">
        <f>'Source Data'!T1106</f>
        <v>102.467045159585</v>
      </c>
    </row>
    <row r="1202" spans="2:20" x14ac:dyDescent="0.25">
      <c r="B1202" s="23" t="s">
        <v>4120</v>
      </c>
      <c r="C1202" s="28" t="s">
        <v>493</v>
      </c>
      <c r="H1202" s="30">
        <f>'Revenue Calculation'!H92</f>
        <v>87.948672360753903</v>
      </c>
      <c r="I1202" s="30">
        <f>'Revenue Calculation'!I92</f>
        <v>65.358641033127611</v>
      </c>
      <c r="J1202" s="30">
        <f>'Revenue Calculation'!J92</f>
        <v>61.989728825535103</v>
      </c>
      <c r="K1202" s="30">
        <f>'Revenue Calculation'!K92</f>
        <v>66.857705438160764</v>
      </c>
      <c r="L1202" s="30">
        <f>'Revenue Calculation'!L92</f>
        <v>72.109308081105468</v>
      </c>
      <c r="M1202" s="30">
        <f>'Revenue Calculation'!M92</f>
        <v>77.774868554511315</v>
      </c>
      <c r="N1202" s="30">
        <f>'Revenue Calculation'!N92</f>
        <v>83.887124219273204</v>
      </c>
      <c r="O1202" s="30">
        <f>'Revenue Calculation'!O92</f>
        <v>90.481409316796075</v>
      </c>
      <c r="P1202" s="30">
        <f>'Revenue Calculation'!P92</f>
        <v>97.595861544291125</v>
      </c>
      <c r="Q1202" s="30">
        <f>'Revenue Calculation'!Q92</f>
        <v>105.27164510494116</v>
      </c>
      <c r="R1202" s="30">
        <f>'Revenue Calculation'!R92</f>
        <v>93.187841954612864</v>
      </c>
      <c r="S1202" s="30">
        <f>'Revenue Calculation'!S92</f>
        <v>97.716827068910291</v>
      </c>
      <c r="T1202" s="30">
        <f>'Revenue Calculation'!T92</f>
        <v>102.46704515958524</v>
      </c>
    </row>
    <row r="1203" spans="2:20" x14ac:dyDescent="0.25">
      <c r="B1203" s="23" t="s">
        <v>4121</v>
      </c>
      <c r="C1203" s="28" t="s">
        <v>493</v>
      </c>
      <c r="H1203" s="161">
        <f t="shared" ref="H1203:T1203" si="226">ROUND(H1202-H1201,9)</f>
        <v>0</v>
      </c>
      <c r="I1203" s="161">
        <f t="shared" si="226"/>
        <v>0</v>
      </c>
      <c r="J1203" s="161">
        <f t="shared" si="226"/>
        <v>0</v>
      </c>
      <c r="K1203" s="161">
        <f t="shared" si="226"/>
        <v>0</v>
      </c>
      <c r="L1203" s="161">
        <f t="shared" si="226"/>
        <v>0</v>
      </c>
      <c r="M1203" s="161">
        <f t="shared" si="226"/>
        <v>0</v>
      </c>
      <c r="N1203" s="161">
        <f t="shared" si="226"/>
        <v>0</v>
      </c>
      <c r="O1203" s="161">
        <f t="shared" si="226"/>
        <v>0</v>
      </c>
      <c r="P1203" s="161">
        <f t="shared" si="226"/>
        <v>0</v>
      </c>
      <c r="Q1203" s="161">
        <f t="shared" si="226"/>
        <v>0</v>
      </c>
      <c r="R1203" s="161">
        <f t="shared" si="226"/>
        <v>0</v>
      </c>
      <c r="S1203" s="161">
        <f t="shared" si="226"/>
        <v>0</v>
      </c>
      <c r="T1203" s="161">
        <f t="shared" si="226"/>
        <v>0</v>
      </c>
    </row>
    <row r="1204" spans="2:20" x14ac:dyDescent="0.25">
      <c r="B1204" s="23" t="s">
        <v>4262</v>
      </c>
      <c r="C1204" s="28" t="s">
        <v>493</v>
      </c>
      <c r="H1204" s="30">
        <f>'Source Data'!H1107</f>
        <v>-71.161406516197303</v>
      </c>
      <c r="I1204" s="30">
        <f>'Source Data'!I1107</f>
        <v>-49.098182223433199</v>
      </c>
      <c r="J1204" s="30">
        <f>'Source Data'!J1107</f>
        <v>-42.926614256655803</v>
      </c>
      <c r="K1204" s="30">
        <f>'Source Data'!K1107</f>
        <v>-46.065397044757603</v>
      </c>
      <c r="L1204" s="30">
        <f>'Source Data'!L1107</f>
        <v>-49.441834180436103</v>
      </c>
      <c r="M1204" s="30">
        <f>'Source Data'!M1107</f>
        <v>-53.0742603339529</v>
      </c>
      <c r="N1204" s="30">
        <f>'Source Data'!N1107</f>
        <v>-56.982439859772299</v>
      </c>
      <c r="O1204" s="30">
        <f>'Source Data'!O1107</f>
        <v>-61.187679033243697</v>
      </c>
      <c r="P1204" s="30">
        <f>'Source Data'!P1107</f>
        <v>-65.712947140723301</v>
      </c>
      <c r="Q1204" s="30">
        <f>'Source Data'!Q1107</f>
        <v>-70.583007124157504</v>
      </c>
      <c r="R1204" s="30">
        <f>'Source Data'!R1107</f>
        <v>-59.453507794507097</v>
      </c>
      <c r="S1204" s="30">
        <f>'Source Data'!S1107</f>
        <v>-62.229322986933802</v>
      </c>
      <c r="T1204" s="30">
        <f>'Source Data'!T1107</f>
        <v>-65.136512999981207</v>
      </c>
    </row>
    <row r="1205" spans="2:20" x14ac:dyDescent="0.25">
      <c r="B1205" s="23" t="s">
        <v>4123</v>
      </c>
      <c r="C1205" s="28" t="s">
        <v>493</v>
      </c>
      <c r="H1205" s="161">
        <f>-('Cost Calculation'!H129)</f>
        <v>-71.161406516197346</v>
      </c>
      <c r="I1205" s="161">
        <f>-('Cost Calculation'!I129)</f>
        <v>-49.098182223433184</v>
      </c>
      <c r="J1205" s="161">
        <f>-('Cost Calculation'!J129)</f>
        <v>-42.926614256655796</v>
      </c>
      <c r="K1205" s="161">
        <f>-('Cost Calculation'!K129)</f>
        <v>-46.065397044757553</v>
      </c>
      <c r="L1205" s="161">
        <f>-('Cost Calculation'!L129)</f>
        <v>-49.441834180436111</v>
      </c>
      <c r="M1205" s="161">
        <f>-('Cost Calculation'!M129)</f>
        <v>-53.074260333952886</v>
      </c>
      <c r="N1205" s="161">
        <f>-('Cost Calculation'!N129)</f>
        <v>-56.982439859772299</v>
      </c>
      <c r="O1205" s="161">
        <f>-('Cost Calculation'!O129)</f>
        <v>-61.187679033243683</v>
      </c>
      <c r="P1205" s="161">
        <f>-('Cost Calculation'!P129)</f>
        <v>-65.712947140723287</v>
      </c>
      <c r="Q1205" s="161">
        <f>-('Cost Calculation'!Q129)</f>
        <v>-70.583007124157533</v>
      </c>
      <c r="R1205" s="161">
        <f>-('Cost Calculation'!R129)</f>
        <v>-59.453507794507047</v>
      </c>
      <c r="S1205" s="161">
        <f>-('Cost Calculation'!S129)</f>
        <v>-62.229322986933809</v>
      </c>
      <c r="T1205" s="161">
        <f>-('Cost Calculation'!T129)</f>
        <v>-65.13651299998125</v>
      </c>
    </row>
    <row r="1206" spans="2:20" x14ac:dyDescent="0.25">
      <c r="B1206" s="23" t="s">
        <v>4124</v>
      </c>
      <c r="C1206" s="28" t="s">
        <v>493</v>
      </c>
      <c r="H1206" s="161">
        <f t="shared" ref="H1206:T1206" si="227">ROUND(H1205-H1204,9)</f>
        <v>0</v>
      </c>
      <c r="I1206" s="161">
        <f t="shared" si="227"/>
        <v>0</v>
      </c>
      <c r="J1206" s="161">
        <f t="shared" si="227"/>
        <v>0</v>
      </c>
      <c r="K1206" s="161">
        <f t="shared" si="227"/>
        <v>0</v>
      </c>
      <c r="L1206" s="161">
        <f t="shared" si="227"/>
        <v>0</v>
      </c>
      <c r="M1206" s="161">
        <f t="shared" si="227"/>
        <v>0</v>
      </c>
      <c r="N1206" s="161">
        <f t="shared" si="227"/>
        <v>0</v>
      </c>
      <c r="O1206" s="161">
        <f t="shared" si="227"/>
        <v>0</v>
      </c>
      <c r="P1206" s="161">
        <f t="shared" si="227"/>
        <v>0</v>
      </c>
      <c r="Q1206" s="161">
        <f t="shared" si="227"/>
        <v>0</v>
      </c>
      <c r="R1206" s="161">
        <f t="shared" si="227"/>
        <v>0</v>
      </c>
      <c r="S1206" s="161">
        <f t="shared" si="227"/>
        <v>0</v>
      </c>
      <c r="T1206" s="161">
        <f t="shared" si="227"/>
        <v>0</v>
      </c>
    </row>
    <row r="1207" spans="2:20" x14ac:dyDescent="0.25">
      <c r="B1207" s="23" t="s">
        <v>4263</v>
      </c>
      <c r="C1207" s="28" t="s">
        <v>493</v>
      </c>
      <c r="H1207" s="30">
        <f>'Source Data'!H1108</f>
        <v>-2.2917843231526001</v>
      </c>
      <c r="I1207" s="30">
        <f>'Source Data'!I1108</f>
        <v>-2.3147021663841301</v>
      </c>
      <c r="J1207" s="30">
        <f>'Source Data'!J1108</f>
        <v>-2.3378491880479699</v>
      </c>
      <c r="K1207" s="30">
        <f>'Source Data'!K1108</f>
        <v>-2.36122767992845</v>
      </c>
      <c r="L1207" s="30">
        <f>'Source Data'!L1108</f>
        <v>-2.3848399567277299</v>
      </c>
      <c r="M1207" s="30">
        <f>'Source Data'!M1108</f>
        <v>-2.4086883562950101</v>
      </c>
      <c r="N1207" s="30">
        <f>'Source Data'!N1108</f>
        <v>-2.4327752398579601</v>
      </c>
      <c r="O1207" s="30">
        <f>'Source Data'!O1108</f>
        <v>-2.4571029922565399</v>
      </c>
      <c r="P1207" s="30">
        <f>'Source Data'!P1108</f>
        <v>-2.4816740221790998</v>
      </c>
      <c r="Q1207" s="30">
        <f>'Source Data'!Q1108</f>
        <v>-2.5064907624008899</v>
      </c>
      <c r="R1207" s="30">
        <f>'Source Data'!R1108</f>
        <v>-2.5315556700249</v>
      </c>
      <c r="S1207" s="30">
        <f>'Source Data'!S1108</f>
        <v>-2.5568712267251499</v>
      </c>
      <c r="T1207" s="30">
        <f>'Source Data'!T1108</f>
        <v>-2.5824399389924002</v>
      </c>
    </row>
    <row r="1208" spans="2:20" x14ac:dyDescent="0.25">
      <c r="B1208" s="23" t="s">
        <v>4126</v>
      </c>
      <c r="C1208" s="28" t="s">
        <v>493</v>
      </c>
      <c r="H1208" s="161">
        <f>-('Cost Calculation'!H130)</f>
        <v>-2.2917843231525996</v>
      </c>
      <c r="I1208" s="161">
        <f>-('Cost Calculation'!I130)</f>
        <v>-2.3147021663841261</v>
      </c>
      <c r="J1208" s="161">
        <f>-('Cost Calculation'!J130)</f>
        <v>-2.3378491880479673</v>
      </c>
      <c r="K1208" s="161">
        <f>-('Cost Calculation'!K130)</f>
        <v>-2.3612276799284464</v>
      </c>
      <c r="L1208" s="161">
        <f>-('Cost Calculation'!L130)</f>
        <v>-2.3848399567277312</v>
      </c>
      <c r="M1208" s="161">
        <f>-('Cost Calculation'!M130)</f>
        <v>-2.4086883562950097</v>
      </c>
      <c r="N1208" s="161">
        <f>-('Cost Calculation'!N130)</f>
        <v>-2.4327752398579596</v>
      </c>
      <c r="O1208" s="161">
        <f>-('Cost Calculation'!O130)</f>
        <v>-2.4571029922565391</v>
      </c>
      <c r="P1208" s="161">
        <f>-('Cost Calculation'!P130)</f>
        <v>-2.4816740221791038</v>
      </c>
      <c r="Q1208" s="161">
        <f>-('Cost Calculation'!Q130)</f>
        <v>-2.5064907624008939</v>
      </c>
      <c r="R1208" s="161">
        <f>-('Cost Calculation'!R130)</f>
        <v>-2.531555670024904</v>
      </c>
      <c r="S1208" s="161">
        <f>-('Cost Calculation'!S130)</f>
        <v>-2.5568712267251534</v>
      </c>
      <c r="T1208" s="161">
        <f>-('Cost Calculation'!T130)</f>
        <v>-2.5824399389924042</v>
      </c>
    </row>
    <row r="1209" spans="2:20" x14ac:dyDescent="0.25">
      <c r="B1209" s="23" t="s">
        <v>4127</v>
      </c>
      <c r="C1209" s="28" t="s">
        <v>493</v>
      </c>
      <c r="H1209" s="161">
        <f t="shared" ref="H1209:T1209" si="228">ROUND(H1208-H1207,9)</f>
        <v>0</v>
      </c>
      <c r="I1209" s="161">
        <f t="shared" si="228"/>
        <v>0</v>
      </c>
      <c r="J1209" s="161">
        <f t="shared" si="228"/>
        <v>0</v>
      </c>
      <c r="K1209" s="161">
        <f t="shared" si="228"/>
        <v>0</v>
      </c>
      <c r="L1209" s="161">
        <f t="shared" si="228"/>
        <v>0</v>
      </c>
      <c r="M1209" s="161">
        <f t="shared" si="228"/>
        <v>0</v>
      </c>
      <c r="N1209" s="161">
        <f t="shared" si="228"/>
        <v>0</v>
      </c>
      <c r="O1209" s="161">
        <f t="shared" si="228"/>
        <v>0</v>
      </c>
      <c r="P1209" s="161">
        <f t="shared" si="228"/>
        <v>0</v>
      </c>
      <c r="Q1209" s="161">
        <f t="shared" si="228"/>
        <v>0</v>
      </c>
      <c r="R1209" s="161">
        <f t="shared" si="228"/>
        <v>0</v>
      </c>
      <c r="S1209" s="161">
        <f t="shared" si="228"/>
        <v>0</v>
      </c>
      <c r="T1209" s="161">
        <f t="shared" si="228"/>
        <v>0</v>
      </c>
    </row>
    <row r="1210" spans="2:20" x14ac:dyDescent="0.25">
      <c r="B1210" s="23" t="s">
        <v>4264</v>
      </c>
      <c r="C1210" s="28" t="s">
        <v>493</v>
      </c>
      <c r="H1210" s="30">
        <f>'Source Data'!H1109</f>
        <v>-0.43948041534999999</v>
      </c>
      <c r="I1210" s="30">
        <f>'Source Data'!I1109</f>
        <v>-0.43948041534999999</v>
      </c>
      <c r="J1210" s="30">
        <f>'Source Data'!J1109</f>
        <v>-0.43948041534999999</v>
      </c>
      <c r="K1210" s="30">
        <f>'Source Data'!K1109</f>
        <v>-0.43948041534999999</v>
      </c>
      <c r="L1210" s="30">
        <f>'Source Data'!L1109</f>
        <v>-0.43948041534999999</v>
      </c>
      <c r="M1210" s="30">
        <f>'Source Data'!M1109</f>
        <v>-0.43948041534999999</v>
      </c>
      <c r="N1210" s="30">
        <f>'Source Data'!N1109</f>
        <v>-0.43948041534999999</v>
      </c>
      <c r="O1210" s="30">
        <f>'Source Data'!O1109</f>
        <v>-0.43948041534999999</v>
      </c>
      <c r="P1210" s="30">
        <f>'Source Data'!P1109</f>
        <v>-0.43948041534999999</v>
      </c>
      <c r="Q1210" s="30">
        <f>'Source Data'!Q1109</f>
        <v>-0.43948041534999999</v>
      </c>
      <c r="R1210" s="30">
        <f>'Source Data'!R1109</f>
        <v>-0.43948041534999999</v>
      </c>
      <c r="S1210" s="30">
        <f>'Source Data'!S1109</f>
        <v>-0.43948041534999999</v>
      </c>
      <c r="T1210" s="30">
        <f>'Source Data'!T1109</f>
        <v>-0.43948041534999999</v>
      </c>
    </row>
    <row r="1211" spans="2:20" x14ac:dyDescent="0.25">
      <c r="B1211" s="23" t="s">
        <v>4129</v>
      </c>
      <c r="C1211" s="28" t="s">
        <v>493</v>
      </c>
      <c r="H1211" s="161">
        <f>-('Capex &amp; Depreciation'!H234)</f>
        <v>-0.43948041534999999</v>
      </c>
      <c r="I1211" s="161">
        <f>-('Capex &amp; Depreciation'!I234)</f>
        <v>-0.43948041534999999</v>
      </c>
      <c r="J1211" s="161">
        <f>-('Capex &amp; Depreciation'!J234)</f>
        <v>-0.43948041534999999</v>
      </c>
      <c r="K1211" s="161">
        <f>-('Capex &amp; Depreciation'!K234)</f>
        <v>-0.43948041534999999</v>
      </c>
      <c r="L1211" s="161">
        <f>-('Capex &amp; Depreciation'!L234)</f>
        <v>-0.43948041534999999</v>
      </c>
      <c r="M1211" s="161">
        <f>-('Capex &amp; Depreciation'!M234)</f>
        <v>-0.43948041534999999</v>
      </c>
      <c r="N1211" s="161">
        <f>-('Capex &amp; Depreciation'!N234)</f>
        <v>-0.43948041534999999</v>
      </c>
      <c r="O1211" s="161">
        <f>-('Capex &amp; Depreciation'!O234)</f>
        <v>-0.43948041534999999</v>
      </c>
      <c r="P1211" s="161">
        <f>-('Capex &amp; Depreciation'!P234)</f>
        <v>-0.43948041534999999</v>
      </c>
      <c r="Q1211" s="161">
        <f>-('Capex &amp; Depreciation'!Q234)</f>
        <v>-0.43948041534999999</v>
      </c>
      <c r="R1211" s="161">
        <f>-('Capex &amp; Depreciation'!R234)</f>
        <v>-0.43948041534999999</v>
      </c>
      <c r="S1211" s="161">
        <f>-('Capex &amp; Depreciation'!S234)</f>
        <v>-0.43948041534999999</v>
      </c>
      <c r="T1211" s="161">
        <f>-('Capex &amp; Depreciation'!T234)</f>
        <v>-0.43948041534999999</v>
      </c>
    </row>
    <row r="1212" spans="2:20" x14ac:dyDescent="0.25">
      <c r="B1212" s="23" t="s">
        <v>4130</v>
      </c>
      <c r="C1212" s="28" t="s">
        <v>493</v>
      </c>
      <c r="H1212" s="161">
        <f t="shared" ref="H1212:T1212" si="229">ROUND(H1211-H1210,9)</f>
        <v>0</v>
      </c>
      <c r="I1212" s="161">
        <f t="shared" si="229"/>
        <v>0</v>
      </c>
      <c r="J1212" s="161">
        <f t="shared" si="229"/>
        <v>0</v>
      </c>
      <c r="K1212" s="161">
        <f t="shared" si="229"/>
        <v>0</v>
      </c>
      <c r="L1212" s="161">
        <f t="shared" si="229"/>
        <v>0</v>
      </c>
      <c r="M1212" s="161">
        <f t="shared" si="229"/>
        <v>0</v>
      </c>
      <c r="N1212" s="161">
        <f t="shared" si="229"/>
        <v>0</v>
      </c>
      <c r="O1212" s="161">
        <f t="shared" si="229"/>
        <v>0</v>
      </c>
      <c r="P1212" s="161">
        <f t="shared" si="229"/>
        <v>0</v>
      </c>
      <c r="Q1212" s="161">
        <f t="shared" si="229"/>
        <v>0</v>
      </c>
      <c r="R1212" s="161">
        <f t="shared" si="229"/>
        <v>0</v>
      </c>
      <c r="S1212" s="161">
        <f t="shared" si="229"/>
        <v>0</v>
      </c>
      <c r="T1212" s="161">
        <f t="shared" si="229"/>
        <v>0</v>
      </c>
    </row>
    <row r="1213" spans="2:20" x14ac:dyDescent="0.25">
      <c r="B1213" s="23" t="s">
        <v>4265</v>
      </c>
      <c r="C1213" s="28" t="s">
        <v>493</v>
      </c>
      <c r="H1213" s="30">
        <f>'Source Data'!H1110</f>
        <v>0</v>
      </c>
      <c r="I1213" s="30">
        <f>'Source Data'!I1110</f>
        <v>0</v>
      </c>
      <c r="J1213" s="30">
        <f>'Source Data'!J1110</f>
        <v>0</v>
      </c>
      <c r="K1213" s="30">
        <f>'Source Data'!K1110</f>
        <v>0</v>
      </c>
      <c r="L1213" s="30">
        <f>'Source Data'!L1110</f>
        <v>0</v>
      </c>
      <c r="M1213" s="30">
        <f>'Source Data'!M1110</f>
        <v>0</v>
      </c>
      <c r="N1213" s="30">
        <f>'Source Data'!N1110</f>
        <v>0</v>
      </c>
      <c r="O1213" s="30">
        <f>'Source Data'!O1110</f>
        <v>0</v>
      </c>
      <c r="P1213" s="30">
        <f>'Source Data'!P1110</f>
        <v>0</v>
      </c>
      <c r="Q1213" s="30">
        <f>'Source Data'!Q1110</f>
        <v>0</v>
      </c>
      <c r="R1213" s="30">
        <f>'Source Data'!R1110</f>
        <v>0</v>
      </c>
      <c r="S1213" s="30">
        <f>'Source Data'!S1110</f>
        <v>0</v>
      </c>
      <c r="T1213" s="30">
        <f>'Source Data'!T1110</f>
        <v>0</v>
      </c>
    </row>
    <row r="1214" spans="2:20" x14ac:dyDescent="0.25">
      <c r="B1214" s="23" t="s">
        <v>4132</v>
      </c>
      <c r="C1214" s="28" t="s">
        <v>493</v>
      </c>
      <c r="H1214" s="161">
        <f>0</f>
        <v>0</v>
      </c>
      <c r="I1214" s="161">
        <f>0</f>
        <v>0</v>
      </c>
      <c r="J1214" s="161">
        <f>0</f>
        <v>0</v>
      </c>
      <c r="K1214" s="161">
        <f>0</f>
        <v>0</v>
      </c>
      <c r="L1214" s="161">
        <f>0</f>
        <v>0</v>
      </c>
      <c r="M1214" s="161">
        <f>0</f>
        <v>0</v>
      </c>
      <c r="N1214" s="161">
        <f>0</f>
        <v>0</v>
      </c>
      <c r="O1214" s="161">
        <f>0</f>
        <v>0</v>
      </c>
      <c r="P1214" s="161">
        <f>0</f>
        <v>0</v>
      </c>
      <c r="Q1214" s="161">
        <f>0</f>
        <v>0</v>
      </c>
      <c r="R1214" s="161">
        <f>0</f>
        <v>0</v>
      </c>
      <c r="S1214" s="161">
        <f>0</f>
        <v>0</v>
      </c>
      <c r="T1214" s="161">
        <f>0</f>
        <v>0</v>
      </c>
    </row>
    <row r="1215" spans="2:20" x14ac:dyDescent="0.25">
      <c r="B1215" s="23" t="s">
        <v>4133</v>
      </c>
      <c r="C1215" s="28" t="s">
        <v>493</v>
      </c>
      <c r="H1215" s="161">
        <f t="shared" ref="H1215:T1215" si="230">ROUND(H1214-H1213,9)</f>
        <v>0</v>
      </c>
      <c r="I1215" s="161">
        <f t="shared" si="230"/>
        <v>0</v>
      </c>
      <c r="J1215" s="161">
        <f t="shared" si="230"/>
        <v>0</v>
      </c>
      <c r="K1215" s="161">
        <f t="shared" si="230"/>
        <v>0</v>
      </c>
      <c r="L1215" s="161">
        <f t="shared" si="230"/>
        <v>0</v>
      </c>
      <c r="M1215" s="161">
        <f t="shared" si="230"/>
        <v>0</v>
      </c>
      <c r="N1215" s="161">
        <f t="shared" si="230"/>
        <v>0</v>
      </c>
      <c r="O1215" s="161">
        <f t="shared" si="230"/>
        <v>0</v>
      </c>
      <c r="P1215" s="161">
        <f t="shared" si="230"/>
        <v>0</v>
      </c>
      <c r="Q1215" s="161">
        <f t="shared" si="230"/>
        <v>0</v>
      </c>
      <c r="R1215" s="161">
        <f t="shared" si="230"/>
        <v>0</v>
      </c>
      <c r="S1215" s="161">
        <f t="shared" si="230"/>
        <v>0</v>
      </c>
      <c r="T1215" s="161">
        <f t="shared" si="230"/>
        <v>0</v>
      </c>
    </row>
    <row r="1216" spans="2:20" x14ac:dyDescent="0.25">
      <c r="B1216" s="23" t="s">
        <v>4266</v>
      </c>
      <c r="C1216" s="28" t="s">
        <v>493</v>
      </c>
      <c r="H1216" s="30">
        <f>'Source Data'!H1111</f>
        <v>14.0560011060539</v>
      </c>
      <c r="I1216" s="30">
        <f>'Source Data'!I1111</f>
        <v>13.506276227960299</v>
      </c>
      <c r="J1216" s="30">
        <f>'Source Data'!J1111</f>
        <v>16.285784965481401</v>
      </c>
      <c r="K1216" s="30">
        <f>'Source Data'!K1111</f>
        <v>17.991600298124801</v>
      </c>
      <c r="L1216" s="30">
        <f>'Source Data'!L1111</f>
        <v>19.8431535285916</v>
      </c>
      <c r="M1216" s="30">
        <f>'Source Data'!M1111</f>
        <v>21.852439448913401</v>
      </c>
      <c r="N1216" s="30">
        <f>'Source Data'!N1111</f>
        <v>24.032428704292901</v>
      </c>
      <c r="O1216" s="30">
        <f>'Source Data'!O1111</f>
        <v>26.397146875945801</v>
      </c>
      <c r="P1216" s="30">
        <f>'Source Data'!P1111</f>
        <v>28.961759966038802</v>
      </c>
      <c r="Q1216" s="30">
        <f>'Source Data'!Q1111</f>
        <v>31.742666803032701</v>
      </c>
      <c r="R1216" s="30">
        <f>'Source Data'!R1111</f>
        <v>30.763298074730901</v>
      </c>
      <c r="S1216" s="30">
        <f>'Source Data'!S1111</f>
        <v>32.491152439901299</v>
      </c>
      <c r="T1216" s="30">
        <f>'Source Data'!T1111</f>
        <v>34.308611805261599</v>
      </c>
    </row>
    <row r="1217" spans="2:20" x14ac:dyDescent="0.25">
      <c r="B1217" s="23" t="s">
        <v>4135</v>
      </c>
      <c r="C1217" s="28" t="s">
        <v>493</v>
      </c>
      <c r="H1217" s="30">
        <f>'FSL Output - With BUMN'!H158</f>
        <v>14.056001106053959</v>
      </c>
      <c r="I1217" s="30">
        <f>'FSL Output - With BUMN'!I158</f>
        <v>13.506276227960301</v>
      </c>
      <c r="J1217" s="30">
        <f>'FSL Output - With BUMN'!J158</f>
        <v>16.285784965481337</v>
      </c>
      <c r="K1217" s="30">
        <f>'FSL Output - With BUMN'!K158</f>
        <v>17.991600298124762</v>
      </c>
      <c r="L1217" s="30">
        <f>'FSL Output - With BUMN'!L158</f>
        <v>19.843153528591625</v>
      </c>
      <c r="M1217" s="30">
        <f>'FSL Output - With BUMN'!M158</f>
        <v>21.852439448913419</v>
      </c>
      <c r="N1217" s="30">
        <f>'FSL Output - With BUMN'!N158</f>
        <v>24.032428704292943</v>
      </c>
      <c r="O1217" s="30">
        <f>'FSL Output - With BUMN'!O158</f>
        <v>26.397146875945854</v>
      </c>
      <c r="P1217" s="30">
        <f>'FSL Output - With BUMN'!P158</f>
        <v>28.961759966038734</v>
      </c>
      <c r="Q1217" s="30">
        <f>'FSL Output - With BUMN'!Q158</f>
        <v>31.74266680303273</v>
      </c>
      <c r="R1217" s="30">
        <f>'FSL Output - With BUMN'!R158</f>
        <v>30.763298074730912</v>
      </c>
      <c r="S1217" s="30">
        <f>'FSL Output - With BUMN'!S158</f>
        <v>32.491152439901335</v>
      </c>
      <c r="T1217" s="30">
        <f>'FSL Output - With BUMN'!T158</f>
        <v>34.308611805261592</v>
      </c>
    </row>
    <row r="1218" spans="2:20" x14ac:dyDescent="0.25">
      <c r="B1218" s="23" t="s">
        <v>4136</v>
      </c>
      <c r="C1218" s="28" t="s">
        <v>493</v>
      </c>
      <c r="H1218" s="161">
        <f t="shared" ref="H1218:T1218" si="231">ROUND(H1217-H1216,9)</f>
        <v>0</v>
      </c>
      <c r="I1218" s="161">
        <f t="shared" si="231"/>
        <v>0</v>
      </c>
      <c r="J1218" s="161">
        <f t="shared" si="231"/>
        <v>0</v>
      </c>
      <c r="K1218" s="161">
        <f t="shared" si="231"/>
        <v>0</v>
      </c>
      <c r="L1218" s="161">
        <f t="shared" si="231"/>
        <v>0</v>
      </c>
      <c r="M1218" s="161">
        <f t="shared" si="231"/>
        <v>0</v>
      </c>
      <c r="N1218" s="161">
        <f t="shared" si="231"/>
        <v>0</v>
      </c>
      <c r="O1218" s="161">
        <f t="shared" si="231"/>
        <v>0</v>
      </c>
      <c r="P1218" s="161">
        <f t="shared" si="231"/>
        <v>0</v>
      </c>
      <c r="Q1218" s="161">
        <f t="shared" si="231"/>
        <v>0</v>
      </c>
      <c r="R1218" s="161">
        <f t="shared" si="231"/>
        <v>0</v>
      </c>
      <c r="S1218" s="161">
        <f t="shared" si="231"/>
        <v>0</v>
      </c>
      <c r="T1218" s="161">
        <f t="shared" si="231"/>
        <v>0</v>
      </c>
    </row>
    <row r="1219" spans="2:20" x14ac:dyDescent="0.25">
      <c r="B1219" s="23" t="s">
        <v>4267</v>
      </c>
      <c r="C1219" s="28" t="s">
        <v>493</v>
      </c>
      <c r="H1219" s="30">
        <f>'Source Data'!H1112</f>
        <v>-3.0923202433318702</v>
      </c>
      <c r="I1219" s="30">
        <f>'Source Data'!I1112</f>
        <v>-2.9713807701512698</v>
      </c>
      <c r="J1219" s="30">
        <f>'Source Data'!J1112</f>
        <v>-3.5828726924058998</v>
      </c>
      <c r="K1219" s="30">
        <f>'Source Data'!K1112</f>
        <v>-3.9581520655874498</v>
      </c>
      <c r="L1219" s="30">
        <f>'Source Data'!L1112</f>
        <v>-4.36549377629016</v>
      </c>
      <c r="M1219" s="30">
        <f>'Source Data'!M1112</f>
        <v>-4.8075366787609504</v>
      </c>
      <c r="N1219" s="30">
        <f>'Source Data'!N1112</f>
        <v>-5.2871343149444501</v>
      </c>
      <c r="O1219" s="30">
        <f>'Source Data'!O1112</f>
        <v>-5.8073723127080896</v>
      </c>
      <c r="P1219" s="30">
        <f>'Source Data'!P1112</f>
        <v>-6.3715871925285299</v>
      </c>
      <c r="Q1219" s="30">
        <f>'Source Data'!Q1112</f>
        <v>-6.9833866966671998</v>
      </c>
      <c r="R1219" s="30">
        <f>'Source Data'!R1112</f>
        <v>-6.7679255764408</v>
      </c>
      <c r="S1219" s="30">
        <f>'Source Data'!S1112</f>
        <v>-7.1480535367782903</v>
      </c>
      <c r="T1219" s="30">
        <f>'Source Data'!T1112</f>
        <v>-7.5478945971575504</v>
      </c>
    </row>
    <row r="1220" spans="2:20" x14ac:dyDescent="0.25">
      <c r="B1220" s="23" t="s">
        <v>4138</v>
      </c>
      <c r="C1220" s="28" t="s">
        <v>493</v>
      </c>
      <c r="H1220" s="161">
        <f>-'FSL Output - With BUMN'!H159</f>
        <v>-3.0923202433318711</v>
      </c>
      <c r="I1220" s="161">
        <f>-'FSL Output - With BUMN'!I159</f>
        <v>-2.9713807701512662</v>
      </c>
      <c r="J1220" s="161">
        <f>-'FSL Output - With BUMN'!J159</f>
        <v>-3.582872692405894</v>
      </c>
      <c r="K1220" s="161">
        <f>-'FSL Output - With BUMN'!K159</f>
        <v>-3.9581520655874476</v>
      </c>
      <c r="L1220" s="161">
        <f>-'FSL Output - With BUMN'!L159</f>
        <v>-4.3654937762901573</v>
      </c>
      <c r="M1220" s="161">
        <f>-'FSL Output - With BUMN'!M159</f>
        <v>-4.8075366787609521</v>
      </c>
      <c r="N1220" s="161">
        <f>-'FSL Output - With BUMN'!N159</f>
        <v>-5.2871343149444474</v>
      </c>
      <c r="O1220" s="161">
        <f>-'FSL Output - With BUMN'!O159</f>
        <v>-5.8073723127080878</v>
      </c>
      <c r="P1220" s="161">
        <f>-'FSL Output - With BUMN'!P159</f>
        <v>-6.3715871925285219</v>
      </c>
      <c r="Q1220" s="161">
        <f>-'FSL Output - With BUMN'!Q159</f>
        <v>-6.9833866966672007</v>
      </c>
      <c r="R1220" s="161">
        <f>-'FSL Output - With BUMN'!R159</f>
        <v>-6.7679255764408008</v>
      </c>
      <c r="S1220" s="161">
        <f>-'FSL Output - With BUMN'!S159</f>
        <v>-7.1480535367782938</v>
      </c>
      <c r="T1220" s="161">
        <f>-'FSL Output - With BUMN'!T159</f>
        <v>-7.5478945971575504</v>
      </c>
    </row>
    <row r="1221" spans="2:20" x14ac:dyDescent="0.25">
      <c r="B1221" s="23" t="s">
        <v>4139</v>
      </c>
      <c r="C1221" s="28" t="s">
        <v>493</v>
      </c>
      <c r="H1221" s="161">
        <f t="shared" ref="H1221:T1221" si="232">ROUND(H1220-H1219,9)</f>
        <v>0</v>
      </c>
      <c r="I1221" s="161">
        <f t="shared" si="232"/>
        <v>0</v>
      </c>
      <c r="J1221" s="161">
        <f t="shared" si="232"/>
        <v>0</v>
      </c>
      <c r="K1221" s="161">
        <f t="shared" si="232"/>
        <v>0</v>
      </c>
      <c r="L1221" s="161">
        <f t="shared" si="232"/>
        <v>0</v>
      </c>
      <c r="M1221" s="161">
        <f t="shared" si="232"/>
        <v>0</v>
      </c>
      <c r="N1221" s="161">
        <f t="shared" si="232"/>
        <v>0</v>
      </c>
      <c r="O1221" s="161">
        <f t="shared" si="232"/>
        <v>0</v>
      </c>
      <c r="P1221" s="161">
        <f t="shared" si="232"/>
        <v>0</v>
      </c>
      <c r="Q1221" s="161">
        <f t="shared" si="232"/>
        <v>0</v>
      </c>
      <c r="R1221" s="161">
        <f t="shared" si="232"/>
        <v>0</v>
      </c>
      <c r="S1221" s="161">
        <f t="shared" si="232"/>
        <v>0</v>
      </c>
      <c r="T1221" s="161">
        <f t="shared" si="232"/>
        <v>0</v>
      </c>
    </row>
    <row r="1222" spans="2:20" x14ac:dyDescent="0.25">
      <c r="B1222" s="23" t="s">
        <v>4268</v>
      </c>
      <c r="C1222" s="28" t="s">
        <v>493</v>
      </c>
      <c r="H1222" s="30">
        <f>'Source Data'!H1113</f>
        <v>10.9636808627221</v>
      </c>
      <c r="I1222" s="30">
        <f>'Source Data'!I1113</f>
        <v>10.534895457809</v>
      </c>
      <c r="J1222" s="30">
        <f>'Source Data'!J1113</f>
        <v>12.7029122730755</v>
      </c>
      <c r="K1222" s="30">
        <f>'Source Data'!K1113</f>
        <v>14.0334482325373</v>
      </c>
      <c r="L1222" s="30">
        <f>'Source Data'!L1113</f>
        <v>15.4776597523015</v>
      </c>
      <c r="M1222" s="30">
        <f>'Source Data'!M1113</f>
        <v>17.0449027701525</v>
      </c>
      <c r="N1222" s="30">
        <f>'Source Data'!N1113</f>
        <v>18.745294389348501</v>
      </c>
      <c r="O1222" s="30">
        <f>'Source Data'!O1113</f>
        <v>20.5897745632378</v>
      </c>
      <c r="P1222" s="30">
        <f>'Source Data'!P1113</f>
        <v>22.590172773510201</v>
      </c>
      <c r="Q1222" s="30">
        <f>'Source Data'!Q1113</f>
        <v>24.759280106365502</v>
      </c>
      <c r="R1222" s="30">
        <f>'Source Data'!R1113</f>
        <v>23.995372498290099</v>
      </c>
      <c r="S1222" s="30">
        <f>'Source Data'!S1113</f>
        <v>25.343098903123</v>
      </c>
      <c r="T1222" s="30">
        <f>'Source Data'!T1113</f>
        <v>26.760717208104001</v>
      </c>
    </row>
    <row r="1223" spans="2:20" x14ac:dyDescent="0.25">
      <c r="B1223" s="23" t="s">
        <v>4141</v>
      </c>
      <c r="C1223" s="28" t="s">
        <v>493</v>
      </c>
      <c r="H1223" s="30">
        <f>'FSL Output - With BUMN'!H161</f>
        <v>10.963680862722088</v>
      </c>
      <c r="I1223" s="30">
        <f>'FSL Output - With BUMN'!I161</f>
        <v>10.534895457809036</v>
      </c>
      <c r="J1223" s="30">
        <f>'FSL Output - With BUMN'!J161</f>
        <v>12.702912273075443</v>
      </c>
      <c r="K1223" s="30">
        <f>'FSL Output - With BUMN'!K161</f>
        <v>14.033448232537314</v>
      </c>
      <c r="L1223" s="30">
        <f>'FSL Output - With BUMN'!L161</f>
        <v>15.477659752301467</v>
      </c>
      <c r="M1223" s="30">
        <f>'FSL Output - With BUMN'!M161</f>
        <v>17.044902770152468</v>
      </c>
      <c r="N1223" s="30">
        <f>'FSL Output - With BUMN'!N161</f>
        <v>18.745294389348494</v>
      </c>
      <c r="O1223" s="30">
        <f>'FSL Output - With BUMN'!O161</f>
        <v>20.589774563237768</v>
      </c>
      <c r="P1223" s="30">
        <f>'FSL Output - With BUMN'!P161</f>
        <v>22.590172773510211</v>
      </c>
      <c r="Q1223" s="30">
        <f>'FSL Output - With BUMN'!Q161</f>
        <v>24.75928010636553</v>
      </c>
      <c r="R1223" s="30">
        <f>'FSL Output - With BUMN'!R161</f>
        <v>23.995372498290109</v>
      </c>
      <c r="S1223" s="30">
        <f>'FSL Output - With BUMN'!S161</f>
        <v>25.343098903123042</v>
      </c>
      <c r="T1223" s="30">
        <f>'FSL Output - With BUMN'!T161</f>
        <v>26.76071720810404</v>
      </c>
    </row>
    <row r="1224" spans="2:20" x14ac:dyDescent="0.25">
      <c r="B1224" s="23" t="s">
        <v>4142</v>
      </c>
      <c r="C1224" s="28" t="s">
        <v>493</v>
      </c>
      <c r="H1224" s="161">
        <f t="shared" ref="H1224:T1224" si="233">ROUND(H1223-H1222,9)</f>
        <v>0</v>
      </c>
      <c r="I1224" s="161">
        <f t="shared" si="233"/>
        <v>0</v>
      </c>
      <c r="J1224" s="161">
        <f t="shared" si="233"/>
        <v>0</v>
      </c>
      <c r="K1224" s="161">
        <f t="shared" si="233"/>
        <v>0</v>
      </c>
      <c r="L1224" s="161">
        <f t="shared" si="233"/>
        <v>0</v>
      </c>
      <c r="M1224" s="161">
        <f t="shared" si="233"/>
        <v>0</v>
      </c>
      <c r="N1224" s="161">
        <f t="shared" si="233"/>
        <v>0</v>
      </c>
      <c r="O1224" s="161">
        <f t="shared" si="233"/>
        <v>0</v>
      </c>
      <c r="P1224" s="161">
        <f t="shared" si="233"/>
        <v>0</v>
      </c>
      <c r="Q1224" s="161">
        <f t="shared" si="233"/>
        <v>0</v>
      </c>
      <c r="R1224" s="161">
        <f t="shared" si="233"/>
        <v>0</v>
      </c>
      <c r="S1224" s="161">
        <f t="shared" si="233"/>
        <v>0</v>
      </c>
      <c r="T1224" s="161">
        <f t="shared" si="233"/>
        <v>0</v>
      </c>
    </row>
    <row r="1226" spans="2:20" x14ac:dyDescent="0.25">
      <c r="B1226" s="221" t="s">
        <v>4269</v>
      </c>
      <c r="C1226" s="235"/>
      <c r="D1226" s="235"/>
      <c r="E1226" s="224" t="str">
        <f>IF(F1226&lt;=Inputs!$E$50,"Matches v29",IF($E$21&gt;0,"Differs - inputs changed","UNEXPLAINED"))</f>
        <v>Matches v29</v>
      </c>
      <c r="F1226" s="225">
        <f>MAX(MAX(H1229:T1229),-MIN(H1229:T1229),MAX(H1232:T1232),-MIN(H1232:T1232),MAX(H1235:T1235),-MIN(H1235:T1235),MAX(H1238:T1238),-MIN(H1238:T1238),MAX(H1241:T1241),-MIN(H1241:T1241),MAX(H1244:T1244),-MIN(H1244:T1244),MAX(H1247:T1247),-MIN(H1247:T1247),MAX(H1250:T1250),-MIN(H1250:T1250))</f>
        <v>0</v>
      </c>
      <c r="G1226" s="226">
        <f>MAX(MAX(H1229:T1229),-MIN(H1229:T1229),MAX(H1232:T1232),-MIN(H1232:T1232),MAX(H1235:T1235),-MIN(H1235:T1235),MAX(H1238:T1238),-MIN(H1238:T1238),MAX(H1241:T1241),-MIN(H1241:T1241),MAX(H1244:T1244),-MIN(H1244:T1244),MAX(H1247:T1247),-MIN(H1247:T1247),MAX(H1250:T1250),-MIN(H1250:T1250))</f>
        <v>0</v>
      </c>
    </row>
    <row r="1227" spans="2:20" x14ac:dyDescent="0.25">
      <c r="B1227" s="23" t="s">
        <v>4270</v>
      </c>
      <c r="C1227" s="28" t="s">
        <v>493</v>
      </c>
      <c r="H1227" s="30">
        <f>'Source Data'!H1115</f>
        <v>0</v>
      </c>
      <c r="I1227" s="30">
        <f>'Source Data'!I1115</f>
        <v>0</v>
      </c>
      <c r="J1227" s="30">
        <f>'Source Data'!J1115</f>
        <v>0</v>
      </c>
      <c r="K1227" s="30">
        <f>'Source Data'!K1115</f>
        <v>0</v>
      </c>
      <c r="L1227" s="30">
        <f>'Source Data'!L1115</f>
        <v>0</v>
      </c>
      <c r="M1227" s="30">
        <f>'Source Data'!M1115</f>
        <v>0</v>
      </c>
      <c r="N1227" s="30">
        <f>'Source Data'!N1115</f>
        <v>0</v>
      </c>
      <c r="O1227" s="30">
        <f>'Source Data'!O1115</f>
        <v>0</v>
      </c>
      <c r="P1227" s="30">
        <f>'Source Data'!P1115</f>
        <v>0</v>
      </c>
      <c r="Q1227" s="30">
        <f>'Source Data'!Q1115</f>
        <v>0</v>
      </c>
      <c r="R1227" s="30">
        <f>'Source Data'!R1115</f>
        <v>0</v>
      </c>
      <c r="S1227" s="30">
        <f>'Source Data'!S1115</f>
        <v>0</v>
      </c>
      <c r="T1227" s="30">
        <f>'Source Data'!T1115</f>
        <v>0</v>
      </c>
    </row>
    <row r="1228" spans="2:20" x14ac:dyDescent="0.25">
      <c r="B1228" s="23" t="s">
        <v>4120</v>
      </c>
      <c r="C1228" s="28" t="s">
        <v>493</v>
      </c>
      <c r="H1228" s="30">
        <f>'Revenue Calculation'!H157</f>
        <v>0</v>
      </c>
      <c r="I1228" s="30">
        <f>'Revenue Calculation'!I157</f>
        <v>0</v>
      </c>
      <c r="J1228" s="30">
        <f>'Revenue Calculation'!J157</f>
        <v>0</v>
      </c>
      <c r="K1228" s="30">
        <f>'Revenue Calculation'!K157</f>
        <v>0</v>
      </c>
      <c r="L1228" s="30">
        <f>'Revenue Calculation'!L157</f>
        <v>0</v>
      </c>
      <c r="M1228" s="30">
        <f>'Revenue Calculation'!M157</f>
        <v>0</v>
      </c>
      <c r="N1228" s="30">
        <f>'Revenue Calculation'!N157</f>
        <v>0</v>
      </c>
      <c r="O1228" s="30">
        <f>'Revenue Calculation'!O157</f>
        <v>0</v>
      </c>
      <c r="P1228" s="30">
        <f>'Revenue Calculation'!P157</f>
        <v>0</v>
      </c>
      <c r="Q1228" s="30">
        <f>'Revenue Calculation'!Q157</f>
        <v>0</v>
      </c>
      <c r="R1228" s="30">
        <f>'Revenue Calculation'!R157</f>
        <v>0</v>
      </c>
      <c r="S1228" s="30">
        <f>'Revenue Calculation'!S157</f>
        <v>0</v>
      </c>
      <c r="T1228" s="30">
        <f>'Revenue Calculation'!T157</f>
        <v>0</v>
      </c>
    </row>
    <row r="1229" spans="2:20" x14ac:dyDescent="0.25">
      <c r="B1229" s="23" t="s">
        <v>4121</v>
      </c>
      <c r="C1229" s="28" t="s">
        <v>493</v>
      </c>
      <c r="H1229" s="161">
        <f t="shared" ref="H1229:T1229" si="234">ROUND(H1228-H1227,9)</f>
        <v>0</v>
      </c>
      <c r="I1229" s="161">
        <f t="shared" si="234"/>
        <v>0</v>
      </c>
      <c r="J1229" s="161">
        <f t="shared" si="234"/>
        <v>0</v>
      </c>
      <c r="K1229" s="161">
        <f t="shared" si="234"/>
        <v>0</v>
      </c>
      <c r="L1229" s="161">
        <f t="shared" si="234"/>
        <v>0</v>
      </c>
      <c r="M1229" s="161">
        <f t="shared" si="234"/>
        <v>0</v>
      </c>
      <c r="N1229" s="161">
        <f t="shared" si="234"/>
        <v>0</v>
      </c>
      <c r="O1229" s="161">
        <f t="shared" si="234"/>
        <v>0</v>
      </c>
      <c r="P1229" s="161">
        <f t="shared" si="234"/>
        <v>0</v>
      </c>
      <c r="Q1229" s="161">
        <f t="shared" si="234"/>
        <v>0</v>
      </c>
      <c r="R1229" s="161">
        <f t="shared" si="234"/>
        <v>0</v>
      </c>
      <c r="S1229" s="161">
        <f t="shared" si="234"/>
        <v>0</v>
      </c>
      <c r="T1229" s="161">
        <f t="shared" si="234"/>
        <v>0</v>
      </c>
    </row>
    <row r="1230" spans="2:20" x14ac:dyDescent="0.25">
      <c r="B1230" s="23" t="s">
        <v>4271</v>
      </c>
      <c r="C1230" s="28" t="s">
        <v>493</v>
      </c>
      <c r="H1230" s="30">
        <f>'Source Data'!H1116</f>
        <v>0</v>
      </c>
      <c r="I1230" s="30">
        <f>'Source Data'!I1116</f>
        <v>0</v>
      </c>
      <c r="J1230" s="30">
        <f>'Source Data'!J1116</f>
        <v>0</v>
      </c>
      <c r="K1230" s="30">
        <f>'Source Data'!K1116</f>
        <v>0</v>
      </c>
      <c r="L1230" s="30">
        <f>'Source Data'!L1116</f>
        <v>0</v>
      </c>
      <c r="M1230" s="30">
        <f>'Source Data'!M1116</f>
        <v>0</v>
      </c>
      <c r="N1230" s="30">
        <f>'Source Data'!N1116</f>
        <v>0</v>
      </c>
      <c r="O1230" s="30">
        <f>'Source Data'!O1116</f>
        <v>0</v>
      </c>
      <c r="P1230" s="30">
        <f>'Source Data'!P1116</f>
        <v>0</v>
      </c>
      <c r="Q1230" s="30">
        <f>'Source Data'!Q1116</f>
        <v>0</v>
      </c>
      <c r="R1230" s="30">
        <f>'Source Data'!R1116</f>
        <v>0</v>
      </c>
      <c r="S1230" s="30">
        <f>'Source Data'!S1116</f>
        <v>0</v>
      </c>
      <c r="T1230" s="30">
        <f>'Source Data'!T1116</f>
        <v>0</v>
      </c>
    </row>
    <row r="1231" spans="2:20" x14ac:dyDescent="0.25">
      <c r="B1231" s="23" t="s">
        <v>4123</v>
      </c>
      <c r="C1231" s="28" t="s">
        <v>493</v>
      </c>
      <c r="H1231" s="161">
        <f>-('Cost Calculation'!H176)</f>
        <v>0</v>
      </c>
      <c r="I1231" s="161">
        <f>-('Cost Calculation'!I176)</f>
        <v>0</v>
      </c>
      <c r="J1231" s="161">
        <f>-('Cost Calculation'!J176)</f>
        <v>0</v>
      </c>
      <c r="K1231" s="161">
        <f>-('Cost Calculation'!K176)</f>
        <v>0</v>
      </c>
      <c r="L1231" s="161">
        <f>-('Cost Calculation'!L176)</f>
        <v>0</v>
      </c>
      <c r="M1231" s="161">
        <f>-('Cost Calculation'!M176)</f>
        <v>0</v>
      </c>
      <c r="N1231" s="161">
        <f>-('Cost Calculation'!N176)</f>
        <v>0</v>
      </c>
      <c r="O1231" s="161">
        <f>-('Cost Calculation'!O176)</f>
        <v>0</v>
      </c>
      <c r="P1231" s="161">
        <f>-('Cost Calculation'!P176)</f>
        <v>0</v>
      </c>
      <c r="Q1231" s="161">
        <f>-('Cost Calculation'!Q176)</f>
        <v>0</v>
      </c>
      <c r="R1231" s="161">
        <f>-('Cost Calculation'!R176)</f>
        <v>0</v>
      </c>
      <c r="S1231" s="161">
        <f>-('Cost Calculation'!S176)</f>
        <v>0</v>
      </c>
      <c r="T1231" s="161">
        <f>-('Cost Calculation'!T176)</f>
        <v>0</v>
      </c>
    </row>
    <row r="1232" spans="2:20" x14ac:dyDescent="0.25">
      <c r="B1232" s="23" t="s">
        <v>4124</v>
      </c>
      <c r="C1232" s="28" t="s">
        <v>493</v>
      </c>
      <c r="H1232" s="161">
        <f t="shared" ref="H1232:T1232" si="235">ROUND(H1231-H1230,9)</f>
        <v>0</v>
      </c>
      <c r="I1232" s="161">
        <f t="shared" si="235"/>
        <v>0</v>
      </c>
      <c r="J1232" s="161">
        <f t="shared" si="235"/>
        <v>0</v>
      </c>
      <c r="K1232" s="161">
        <f t="shared" si="235"/>
        <v>0</v>
      </c>
      <c r="L1232" s="161">
        <f t="shared" si="235"/>
        <v>0</v>
      </c>
      <c r="M1232" s="161">
        <f t="shared" si="235"/>
        <v>0</v>
      </c>
      <c r="N1232" s="161">
        <f t="shared" si="235"/>
        <v>0</v>
      </c>
      <c r="O1232" s="161">
        <f t="shared" si="235"/>
        <v>0</v>
      </c>
      <c r="P1232" s="161">
        <f t="shared" si="235"/>
        <v>0</v>
      </c>
      <c r="Q1232" s="161">
        <f t="shared" si="235"/>
        <v>0</v>
      </c>
      <c r="R1232" s="161">
        <f t="shared" si="235"/>
        <v>0</v>
      </c>
      <c r="S1232" s="161">
        <f t="shared" si="235"/>
        <v>0</v>
      </c>
      <c r="T1232" s="161">
        <f t="shared" si="235"/>
        <v>0</v>
      </c>
    </row>
    <row r="1233" spans="2:20" x14ac:dyDescent="0.25">
      <c r="B1233" s="23" t="s">
        <v>4272</v>
      </c>
      <c r="C1233" s="28" t="s">
        <v>493</v>
      </c>
      <c r="H1233" s="30">
        <f>'Source Data'!H1117</f>
        <v>0</v>
      </c>
      <c r="I1233" s="30">
        <f>'Source Data'!I1117</f>
        <v>0</v>
      </c>
      <c r="J1233" s="30">
        <f>'Source Data'!J1117</f>
        <v>0</v>
      </c>
      <c r="K1233" s="30">
        <f>'Source Data'!K1117</f>
        <v>0</v>
      </c>
      <c r="L1233" s="30">
        <f>'Source Data'!L1117</f>
        <v>0</v>
      </c>
      <c r="M1233" s="30">
        <f>'Source Data'!M1117</f>
        <v>0</v>
      </c>
      <c r="N1233" s="30">
        <f>'Source Data'!N1117</f>
        <v>0</v>
      </c>
      <c r="O1233" s="30">
        <f>'Source Data'!O1117</f>
        <v>0</v>
      </c>
      <c r="P1233" s="30">
        <f>'Source Data'!P1117</f>
        <v>0</v>
      </c>
      <c r="Q1233" s="30">
        <f>'Source Data'!Q1117</f>
        <v>0</v>
      </c>
      <c r="R1233" s="30">
        <f>'Source Data'!R1117</f>
        <v>0</v>
      </c>
      <c r="S1233" s="30">
        <f>'Source Data'!S1117</f>
        <v>0</v>
      </c>
      <c r="T1233" s="30">
        <f>'Source Data'!T1117</f>
        <v>0</v>
      </c>
    </row>
    <row r="1234" spans="2:20" x14ac:dyDescent="0.25">
      <c r="B1234" s="23" t="s">
        <v>4126</v>
      </c>
      <c r="C1234" s="28" t="s">
        <v>493</v>
      </c>
      <c r="H1234" s="161">
        <f>-('Cost Calculation'!H177)</f>
        <v>0</v>
      </c>
      <c r="I1234" s="161">
        <f>-('Cost Calculation'!I177)</f>
        <v>0</v>
      </c>
      <c r="J1234" s="161">
        <f>-('Cost Calculation'!J177)</f>
        <v>0</v>
      </c>
      <c r="K1234" s="161">
        <f>-('Cost Calculation'!K177)</f>
        <v>0</v>
      </c>
      <c r="L1234" s="161">
        <f>-('Cost Calculation'!L177)</f>
        <v>0</v>
      </c>
      <c r="M1234" s="161">
        <f>-('Cost Calculation'!M177)</f>
        <v>0</v>
      </c>
      <c r="N1234" s="161">
        <f>-('Cost Calculation'!N177)</f>
        <v>0</v>
      </c>
      <c r="O1234" s="161">
        <f>-('Cost Calculation'!O177)</f>
        <v>0</v>
      </c>
      <c r="P1234" s="161">
        <f>-('Cost Calculation'!P177)</f>
        <v>0</v>
      </c>
      <c r="Q1234" s="161">
        <f>-('Cost Calculation'!Q177)</f>
        <v>0</v>
      </c>
      <c r="R1234" s="161">
        <f>-('Cost Calculation'!R177)</f>
        <v>0</v>
      </c>
      <c r="S1234" s="161">
        <f>-('Cost Calculation'!S177)</f>
        <v>0</v>
      </c>
      <c r="T1234" s="161">
        <f>-('Cost Calculation'!T177)</f>
        <v>0</v>
      </c>
    </row>
    <row r="1235" spans="2:20" x14ac:dyDescent="0.25">
      <c r="B1235" s="23" t="s">
        <v>4127</v>
      </c>
      <c r="C1235" s="28" t="s">
        <v>493</v>
      </c>
      <c r="H1235" s="161">
        <f t="shared" ref="H1235:T1235" si="236">ROUND(H1234-H1233,9)</f>
        <v>0</v>
      </c>
      <c r="I1235" s="161">
        <f t="shared" si="236"/>
        <v>0</v>
      </c>
      <c r="J1235" s="161">
        <f t="shared" si="236"/>
        <v>0</v>
      </c>
      <c r="K1235" s="161">
        <f t="shared" si="236"/>
        <v>0</v>
      </c>
      <c r="L1235" s="161">
        <f t="shared" si="236"/>
        <v>0</v>
      </c>
      <c r="M1235" s="161">
        <f t="shared" si="236"/>
        <v>0</v>
      </c>
      <c r="N1235" s="161">
        <f t="shared" si="236"/>
        <v>0</v>
      </c>
      <c r="O1235" s="161">
        <f t="shared" si="236"/>
        <v>0</v>
      </c>
      <c r="P1235" s="161">
        <f t="shared" si="236"/>
        <v>0</v>
      </c>
      <c r="Q1235" s="161">
        <f t="shared" si="236"/>
        <v>0</v>
      </c>
      <c r="R1235" s="161">
        <f t="shared" si="236"/>
        <v>0</v>
      </c>
      <c r="S1235" s="161">
        <f t="shared" si="236"/>
        <v>0</v>
      </c>
      <c r="T1235" s="161">
        <f t="shared" si="236"/>
        <v>0</v>
      </c>
    </row>
    <row r="1236" spans="2:20" x14ac:dyDescent="0.25">
      <c r="B1236" s="23" t="s">
        <v>4273</v>
      </c>
      <c r="C1236" s="28" t="s">
        <v>493</v>
      </c>
      <c r="H1236" s="30">
        <f>'Source Data'!H1118</f>
        <v>0</v>
      </c>
      <c r="I1236" s="30">
        <f>'Source Data'!I1118</f>
        <v>0</v>
      </c>
      <c r="J1236" s="30">
        <f>'Source Data'!J1118</f>
        <v>0</v>
      </c>
      <c r="K1236" s="30">
        <f>'Source Data'!K1118</f>
        <v>0</v>
      </c>
      <c r="L1236" s="30">
        <f>'Source Data'!L1118</f>
        <v>0</v>
      </c>
      <c r="M1236" s="30">
        <f>'Source Data'!M1118</f>
        <v>0</v>
      </c>
      <c r="N1236" s="30">
        <f>'Source Data'!N1118</f>
        <v>0</v>
      </c>
      <c r="O1236" s="30">
        <f>'Source Data'!O1118</f>
        <v>0</v>
      </c>
      <c r="P1236" s="30">
        <f>'Source Data'!P1118</f>
        <v>0</v>
      </c>
      <c r="Q1236" s="30">
        <f>'Source Data'!Q1118</f>
        <v>0</v>
      </c>
      <c r="R1236" s="30">
        <f>'Source Data'!R1118</f>
        <v>0</v>
      </c>
      <c r="S1236" s="30">
        <f>'Source Data'!S1118</f>
        <v>0</v>
      </c>
      <c r="T1236" s="30">
        <f>'Source Data'!T1118</f>
        <v>0</v>
      </c>
    </row>
    <row r="1237" spans="2:20" x14ac:dyDescent="0.25">
      <c r="B1237" s="23" t="s">
        <v>4129</v>
      </c>
      <c r="C1237" s="28" t="s">
        <v>493</v>
      </c>
      <c r="H1237" s="161">
        <f>-('Capex &amp; Depreciation'!H249)</f>
        <v>0</v>
      </c>
      <c r="I1237" s="161">
        <f>-('Capex &amp; Depreciation'!I249)</f>
        <v>0</v>
      </c>
      <c r="J1237" s="161">
        <f>-('Capex &amp; Depreciation'!J249)</f>
        <v>0</v>
      </c>
      <c r="K1237" s="161">
        <f>-('Capex &amp; Depreciation'!K249)</f>
        <v>0</v>
      </c>
      <c r="L1237" s="161">
        <f>-('Capex &amp; Depreciation'!L249)</f>
        <v>0</v>
      </c>
      <c r="M1237" s="161">
        <f>-('Capex &amp; Depreciation'!M249)</f>
        <v>0</v>
      </c>
      <c r="N1237" s="161">
        <f>-('Capex &amp; Depreciation'!N249)</f>
        <v>0</v>
      </c>
      <c r="O1237" s="161">
        <f>-('Capex &amp; Depreciation'!O249)</f>
        <v>0</v>
      </c>
      <c r="P1237" s="161">
        <f>-('Capex &amp; Depreciation'!P249)</f>
        <v>0</v>
      </c>
      <c r="Q1237" s="161">
        <f>-('Capex &amp; Depreciation'!Q249)</f>
        <v>0</v>
      </c>
      <c r="R1237" s="161">
        <f>-('Capex &amp; Depreciation'!R249)</f>
        <v>0</v>
      </c>
      <c r="S1237" s="161">
        <f>-('Capex &amp; Depreciation'!S249)</f>
        <v>0</v>
      </c>
      <c r="T1237" s="161">
        <f>-('Capex &amp; Depreciation'!T249)</f>
        <v>0</v>
      </c>
    </row>
    <row r="1238" spans="2:20" x14ac:dyDescent="0.25">
      <c r="B1238" s="23" t="s">
        <v>4130</v>
      </c>
      <c r="C1238" s="28" t="s">
        <v>493</v>
      </c>
      <c r="H1238" s="161">
        <f t="shared" ref="H1238:T1238" si="237">ROUND(H1237-H1236,9)</f>
        <v>0</v>
      </c>
      <c r="I1238" s="161">
        <f t="shared" si="237"/>
        <v>0</v>
      </c>
      <c r="J1238" s="161">
        <f t="shared" si="237"/>
        <v>0</v>
      </c>
      <c r="K1238" s="161">
        <f t="shared" si="237"/>
        <v>0</v>
      </c>
      <c r="L1238" s="161">
        <f t="shared" si="237"/>
        <v>0</v>
      </c>
      <c r="M1238" s="161">
        <f t="shared" si="237"/>
        <v>0</v>
      </c>
      <c r="N1238" s="161">
        <f t="shared" si="237"/>
        <v>0</v>
      </c>
      <c r="O1238" s="161">
        <f t="shared" si="237"/>
        <v>0</v>
      </c>
      <c r="P1238" s="161">
        <f t="shared" si="237"/>
        <v>0</v>
      </c>
      <c r="Q1238" s="161">
        <f t="shared" si="237"/>
        <v>0</v>
      </c>
      <c r="R1238" s="161">
        <f t="shared" si="237"/>
        <v>0</v>
      </c>
      <c r="S1238" s="161">
        <f t="shared" si="237"/>
        <v>0</v>
      </c>
      <c r="T1238" s="161">
        <f t="shared" si="237"/>
        <v>0</v>
      </c>
    </row>
    <row r="1239" spans="2:20" x14ac:dyDescent="0.25">
      <c r="B1239" s="23" t="s">
        <v>4274</v>
      </c>
      <c r="C1239" s="28" t="s">
        <v>493</v>
      </c>
      <c r="H1239" s="30">
        <f>'Source Data'!H1119</f>
        <v>0</v>
      </c>
      <c r="I1239" s="30">
        <f>'Source Data'!I1119</f>
        <v>0</v>
      </c>
      <c r="J1239" s="30">
        <f>'Source Data'!J1119</f>
        <v>0</v>
      </c>
      <c r="K1239" s="30">
        <f>'Source Data'!K1119</f>
        <v>0</v>
      </c>
      <c r="L1239" s="30">
        <f>'Source Data'!L1119</f>
        <v>0</v>
      </c>
      <c r="M1239" s="30">
        <f>'Source Data'!M1119</f>
        <v>0</v>
      </c>
      <c r="N1239" s="30">
        <f>'Source Data'!N1119</f>
        <v>0</v>
      </c>
      <c r="O1239" s="30">
        <f>'Source Data'!O1119</f>
        <v>0</v>
      </c>
      <c r="P1239" s="30">
        <f>'Source Data'!P1119</f>
        <v>0</v>
      </c>
      <c r="Q1239" s="30">
        <f>'Source Data'!Q1119</f>
        <v>0</v>
      </c>
      <c r="R1239" s="30">
        <f>'Source Data'!R1119</f>
        <v>0</v>
      </c>
      <c r="S1239" s="30">
        <f>'Source Data'!S1119</f>
        <v>0</v>
      </c>
      <c r="T1239" s="30">
        <f>'Source Data'!T1119</f>
        <v>0</v>
      </c>
    </row>
    <row r="1240" spans="2:20" x14ac:dyDescent="0.25">
      <c r="B1240" s="23" t="s">
        <v>4132</v>
      </c>
      <c r="C1240" s="28" t="s">
        <v>493</v>
      </c>
      <c r="H1240" s="161">
        <f>0</f>
        <v>0</v>
      </c>
      <c r="I1240" s="161">
        <f>0</f>
        <v>0</v>
      </c>
      <c r="J1240" s="161">
        <f>0</f>
        <v>0</v>
      </c>
      <c r="K1240" s="161">
        <f>0</f>
        <v>0</v>
      </c>
      <c r="L1240" s="161">
        <f>0</f>
        <v>0</v>
      </c>
      <c r="M1240" s="161">
        <f>0</f>
        <v>0</v>
      </c>
      <c r="N1240" s="161">
        <f>0</f>
        <v>0</v>
      </c>
      <c r="O1240" s="161">
        <f>0</f>
        <v>0</v>
      </c>
      <c r="P1240" s="161">
        <f>0</f>
        <v>0</v>
      </c>
      <c r="Q1240" s="161">
        <f>0</f>
        <v>0</v>
      </c>
      <c r="R1240" s="161">
        <f>0</f>
        <v>0</v>
      </c>
      <c r="S1240" s="161">
        <f>0</f>
        <v>0</v>
      </c>
      <c r="T1240" s="161">
        <f>0</f>
        <v>0</v>
      </c>
    </row>
    <row r="1241" spans="2:20" x14ac:dyDescent="0.25">
      <c r="B1241" s="23" t="s">
        <v>4133</v>
      </c>
      <c r="C1241" s="28" t="s">
        <v>493</v>
      </c>
      <c r="H1241" s="161">
        <f t="shared" ref="H1241:T1241" si="238">ROUND(H1240-H1239,9)</f>
        <v>0</v>
      </c>
      <c r="I1241" s="161">
        <f t="shared" si="238"/>
        <v>0</v>
      </c>
      <c r="J1241" s="161">
        <f t="shared" si="238"/>
        <v>0</v>
      </c>
      <c r="K1241" s="161">
        <f t="shared" si="238"/>
        <v>0</v>
      </c>
      <c r="L1241" s="161">
        <f t="shared" si="238"/>
        <v>0</v>
      </c>
      <c r="M1241" s="161">
        <f t="shared" si="238"/>
        <v>0</v>
      </c>
      <c r="N1241" s="161">
        <f t="shared" si="238"/>
        <v>0</v>
      </c>
      <c r="O1241" s="161">
        <f t="shared" si="238"/>
        <v>0</v>
      </c>
      <c r="P1241" s="161">
        <f t="shared" si="238"/>
        <v>0</v>
      </c>
      <c r="Q1241" s="161">
        <f t="shared" si="238"/>
        <v>0</v>
      </c>
      <c r="R1241" s="161">
        <f t="shared" si="238"/>
        <v>0</v>
      </c>
      <c r="S1241" s="161">
        <f t="shared" si="238"/>
        <v>0</v>
      </c>
      <c r="T1241" s="161">
        <f t="shared" si="238"/>
        <v>0</v>
      </c>
    </row>
    <row r="1242" spans="2:20" x14ac:dyDescent="0.25">
      <c r="B1242" s="23" t="s">
        <v>4275</v>
      </c>
      <c r="C1242" s="28" t="s">
        <v>493</v>
      </c>
      <c r="H1242" s="30">
        <f>'Source Data'!H1120</f>
        <v>0</v>
      </c>
      <c r="I1242" s="30">
        <f>'Source Data'!I1120</f>
        <v>0</v>
      </c>
      <c r="J1242" s="30">
        <f>'Source Data'!J1120</f>
        <v>0</v>
      </c>
      <c r="K1242" s="30">
        <f>'Source Data'!K1120</f>
        <v>0</v>
      </c>
      <c r="L1242" s="30">
        <f>'Source Data'!L1120</f>
        <v>0</v>
      </c>
      <c r="M1242" s="30">
        <f>'Source Data'!M1120</f>
        <v>0</v>
      </c>
      <c r="N1242" s="30">
        <f>'Source Data'!N1120</f>
        <v>0</v>
      </c>
      <c r="O1242" s="30">
        <f>'Source Data'!O1120</f>
        <v>0</v>
      </c>
      <c r="P1242" s="30">
        <f>'Source Data'!P1120</f>
        <v>0</v>
      </c>
      <c r="Q1242" s="30">
        <f>'Source Data'!Q1120</f>
        <v>0</v>
      </c>
      <c r="R1242" s="30">
        <f>'Source Data'!R1120</f>
        <v>0</v>
      </c>
      <c r="S1242" s="30">
        <f>'Source Data'!S1120</f>
        <v>0</v>
      </c>
      <c r="T1242" s="30">
        <f>'Source Data'!T1120</f>
        <v>0</v>
      </c>
    </row>
    <row r="1243" spans="2:20" x14ac:dyDescent="0.25">
      <c r="B1243" s="23" t="s">
        <v>4135</v>
      </c>
      <c r="C1243" s="28" t="s">
        <v>493</v>
      </c>
      <c r="H1243" s="30">
        <f>'FSL Output - With BUMN'!H163</f>
        <v>0</v>
      </c>
      <c r="I1243" s="30">
        <f>'FSL Output - With BUMN'!I163</f>
        <v>0</v>
      </c>
      <c r="J1243" s="30">
        <f>'FSL Output - With BUMN'!J163</f>
        <v>0</v>
      </c>
      <c r="K1243" s="30">
        <f>'FSL Output - With BUMN'!K163</f>
        <v>0</v>
      </c>
      <c r="L1243" s="30">
        <f>'FSL Output - With BUMN'!L163</f>
        <v>0</v>
      </c>
      <c r="M1243" s="30">
        <f>'FSL Output - With BUMN'!M163</f>
        <v>0</v>
      </c>
      <c r="N1243" s="30">
        <f>'FSL Output - With BUMN'!N163</f>
        <v>0</v>
      </c>
      <c r="O1243" s="30">
        <f>'FSL Output - With BUMN'!O163</f>
        <v>0</v>
      </c>
      <c r="P1243" s="30">
        <f>'FSL Output - With BUMN'!P163</f>
        <v>0</v>
      </c>
      <c r="Q1243" s="30">
        <f>'FSL Output - With BUMN'!Q163</f>
        <v>0</v>
      </c>
      <c r="R1243" s="30">
        <f>'FSL Output - With BUMN'!R163</f>
        <v>0</v>
      </c>
      <c r="S1243" s="30">
        <f>'FSL Output - With BUMN'!S163</f>
        <v>0</v>
      </c>
      <c r="T1243" s="30">
        <f>'FSL Output - With BUMN'!T163</f>
        <v>0</v>
      </c>
    </row>
    <row r="1244" spans="2:20" x14ac:dyDescent="0.25">
      <c r="B1244" s="23" t="s">
        <v>4136</v>
      </c>
      <c r="C1244" s="28" t="s">
        <v>493</v>
      </c>
      <c r="H1244" s="161">
        <f t="shared" ref="H1244:T1244" si="239">ROUND(H1243-H1242,9)</f>
        <v>0</v>
      </c>
      <c r="I1244" s="161">
        <f t="shared" si="239"/>
        <v>0</v>
      </c>
      <c r="J1244" s="161">
        <f t="shared" si="239"/>
        <v>0</v>
      </c>
      <c r="K1244" s="161">
        <f t="shared" si="239"/>
        <v>0</v>
      </c>
      <c r="L1244" s="161">
        <f t="shared" si="239"/>
        <v>0</v>
      </c>
      <c r="M1244" s="161">
        <f t="shared" si="239"/>
        <v>0</v>
      </c>
      <c r="N1244" s="161">
        <f t="shared" si="239"/>
        <v>0</v>
      </c>
      <c r="O1244" s="161">
        <f t="shared" si="239"/>
        <v>0</v>
      </c>
      <c r="P1244" s="161">
        <f t="shared" si="239"/>
        <v>0</v>
      </c>
      <c r="Q1244" s="161">
        <f t="shared" si="239"/>
        <v>0</v>
      </c>
      <c r="R1244" s="161">
        <f t="shared" si="239"/>
        <v>0</v>
      </c>
      <c r="S1244" s="161">
        <f t="shared" si="239"/>
        <v>0</v>
      </c>
      <c r="T1244" s="161">
        <f t="shared" si="239"/>
        <v>0</v>
      </c>
    </row>
    <row r="1245" spans="2:20" x14ac:dyDescent="0.25">
      <c r="B1245" s="23" t="s">
        <v>4276</v>
      </c>
      <c r="C1245" s="28" t="s">
        <v>493</v>
      </c>
      <c r="H1245" s="30">
        <f>'Source Data'!H1121</f>
        <v>0</v>
      </c>
      <c r="I1245" s="30">
        <f>'Source Data'!I1121</f>
        <v>0</v>
      </c>
      <c r="J1245" s="30">
        <f>'Source Data'!J1121</f>
        <v>0</v>
      </c>
      <c r="K1245" s="30">
        <f>'Source Data'!K1121</f>
        <v>0</v>
      </c>
      <c r="L1245" s="30">
        <f>'Source Data'!L1121</f>
        <v>0</v>
      </c>
      <c r="M1245" s="30">
        <f>'Source Data'!M1121</f>
        <v>0</v>
      </c>
      <c r="N1245" s="30">
        <f>'Source Data'!N1121</f>
        <v>0</v>
      </c>
      <c r="O1245" s="30">
        <f>'Source Data'!O1121</f>
        <v>0</v>
      </c>
      <c r="P1245" s="30">
        <f>'Source Data'!P1121</f>
        <v>0</v>
      </c>
      <c r="Q1245" s="30">
        <f>'Source Data'!Q1121</f>
        <v>0</v>
      </c>
      <c r="R1245" s="30">
        <f>'Source Data'!R1121</f>
        <v>0</v>
      </c>
      <c r="S1245" s="30">
        <f>'Source Data'!S1121</f>
        <v>0</v>
      </c>
      <c r="T1245" s="30">
        <f>'Source Data'!T1121</f>
        <v>0</v>
      </c>
    </row>
    <row r="1246" spans="2:20" x14ac:dyDescent="0.25">
      <c r="B1246" s="23" t="s">
        <v>4138</v>
      </c>
      <c r="C1246" s="28" t="s">
        <v>493</v>
      </c>
      <c r="H1246" s="161">
        <f>-'FSL Output - With BUMN'!H164</f>
        <v>0</v>
      </c>
      <c r="I1246" s="161">
        <f>-'FSL Output - With BUMN'!I164</f>
        <v>0</v>
      </c>
      <c r="J1246" s="161">
        <f>-'FSL Output - With BUMN'!J164</f>
        <v>0</v>
      </c>
      <c r="K1246" s="161">
        <f>-'FSL Output - With BUMN'!K164</f>
        <v>0</v>
      </c>
      <c r="L1246" s="161">
        <f>-'FSL Output - With BUMN'!L164</f>
        <v>0</v>
      </c>
      <c r="M1246" s="161">
        <f>-'FSL Output - With BUMN'!M164</f>
        <v>0</v>
      </c>
      <c r="N1246" s="161">
        <f>-'FSL Output - With BUMN'!N164</f>
        <v>0</v>
      </c>
      <c r="O1246" s="161">
        <f>-'FSL Output - With BUMN'!O164</f>
        <v>0</v>
      </c>
      <c r="P1246" s="161">
        <f>-'FSL Output - With BUMN'!P164</f>
        <v>0</v>
      </c>
      <c r="Q1246" s="161">
        <f>-'FSL Output - With BUMN'!Q164</f>
        <v>0</v>
      </c>
      <c r="R1246" s="161">
        <f>-'FSL Output - With BUMN'!R164</f>
        <v>0</v>
      </c>
      <c r="S1246" s="161">
        <f>-'FSL Output - With BUMN'!S164</f>
        <v>0</v>
      </c>
      <c r="T1246" s="161">
        <f>-'FSL Output - With BUMN'!T164</f>
        <v>0</v>
      </c>
    </row>
    <row r="1247" spans="2:20" x14ac:dyDescent="0.25">
      <c r="B1247" s="23" t="s">
        <v>4139</v>
      </c>
      <c r="C1247" s="28" t="s">
        <v>493</v>
      </c>
      <c r="H1247" s="161">
        <f t="shared" ref="H1247:T1247" si="240">ROUND(H1246-H1245,9)</f>
        <v>0</v>
      </c>
      <c r="I1247" s="161">
        <f t="shared" si="240"/>
        <v>0</v>
      </c>
      <c r="J1247" s="161">
        <f t="shared" si="240"/>
        <v>0</v>
      </c>
      <c r="K1247" s="161">
        <f t="shared" si="240"/>
        <v>0</v>
      </c>
      <c r="L1247" s="161">
        <f t="shared" si="240"/>
        <v>0</v>
      </c>
      <c r="M1247" s="161">
        <f t="shared" si="240"/>
        <v>0</v>
      </c>
      <c r="N1247" s="161">
        <f t="shared" si="240"/>
        <v>0</v>
      </c>
      <c r="O1247" s="161">
        <f t="shared" si="240"/>
        <v>0</v>
      </c>
      <c r="P1247" s="161">
        <f t="shared" si="240"/>
        <v>0</v>
      </c>
      <c r="Q1247" s="161">
        <f t="shared" si="240"/>
        <v>0</v>
      </c>
      <c r="R1247" s="161">
        <f t="shared" si="240"/>
        <v>0</v>
      </c>
      <c r="S1247" s="161">
        <f t="shared" si="240"/>
        <v>0</v>
      </c>
      <c r="T1247" s="161">
        <f t="shared" si="240"/>
        <v>0</v>
      </c>
    </row>
    <row r="1248" spans="2:20" x14ac:dyDescent="0.25">
      <c r="B1248" s="23" t="s">
        <v>4277</v>
      </c>
      <c r="C1248" s="28" t="s">
        <v>493</v>
      </c>
      <c r="H1248" s="30">
        <f>'Source Data'!H1122</f>
        <v>0</v>
      </c>
      <c r="I1248" s="30">
        <f>'Source Data'!I1122</f>
        <v>0</v>
      </c>
      <c r="J1248" s="30">
        <f>'Source Data'!J1122</f>
        <v>0</v>
      </c>
      <c r="K1248" s="30">
        <f>'Source Data'!K1122</f>
        <v>0</v>
      </c>
      <c r="L1248" s="30">
        <f>'Source Data'!L1122</f>
        <v>0</v>
      </c>
      <c r="M1248" s="30">
        <f>'Source Data'!M1122</f>
        <v>0</v>
      </c>
      <c r="N1248" s="30">
        <f>'Source Data'!N1122</f>
        <v>0</v>
      </c>
      <c r="O1248" s="30">
        <f>'Source Data'!O1122</f>
        <v>0</v>
      </c>
      <c r="P1248" s="30">
        <f>'Source Data'!P1122</f>
        <v>0</v>
      </c>
      <c r="Q1248" s="30">
        <f>'Source Data'!Q1122</f>
        <v>0</v>
      </c>
      <c r="R1248" s="30">
        <f>'Source Data'!R1122</f>
        <v>0</v>
      </c>
      <c r="S1248" s="30">
        <f>'Source Data'!S1122</f>
        <v>0</v>
      </c>
      <c r="T1248" s="30">
        <f>'Source Data'!T1122</f>
        <v>0</v>
      </c>
    </row>
    <row r="1249" spans="2:20" x14ac:dyDescent="0.25">
      <c r="B1249" s="23" t="s">
        <v>4141</v>
      </c>
      <c r="C1249" s="28" t="s">
        <v>493</v>
      </c>
      <c r="H1249" s="30">
        <f>'FSL Output - With BUMN'!H166</f>
        <v>0</v>
      </c>
      <c r="I1249" s="30">
        <f>'FSL Output - With BUMN'!I166</f>
        <v>0</v>
      </c>
      <c r="J1249" s="30">
        <f>'FSL Output - With BUMN'!J166</f>
        <v>0</v>
      </c>
      <c r="K1249" s="30">
        <f>'FSL Output - With BUMN'!K166</f>
        <v>0</v>
      </c>
      <c r="L1249" s="30">
        <f>'FSL Output - With BUMN'!L166</f>
        <v>0</v>
      </c>
      <c r="M1249" s="30">
        <f>'FSL Output - With BUMN'!M166</f>
        <v>0</v>
      </c>
      <c r="N1249" s="30">
        <f>'FSL Output - With BUMN'!N166</f>
        <v>0</v>
      </c>
      <c r="O1249" s="30">
        <f>'FSL Output - With BUMN'!O166</f>
        <v>0</v>
      </c>
      <c r="P1249" s="30">
        <f>'FSL Output - With BUMN'!P166</f>
        <v>0</v>
      </c>
      <c r="Q1249" s="30">
        <f>'FSL Output - With BUMN'!Q166</f>
        <v>0</v>
      </c>
      <c r="R1249" s="30">
        <f>'FSL Output - With BUMN'!R166</f>
        <v>0</v>
      </c>
      <c r="S1249" s="30">
        <f>'FSL Output - With BUMN'!S166</f>
        <v>0</v>
      </c>
      <c r="T1249" s="30">
        <f>'FSL Output - With BUMN'!T166</f>
        <v>0</v>
      </c>
    </row>
    <row r="1250" spans="2:20" x14ac:dyDescent="0.25">
      <c r="B1250" s="23" t="s">
        <v>4142</v>
      </c>
      <c r="C1250" s="28" t="s">
        <v>493</v>
      </c>
      <c r="H1250" s="161">
        <f t="shared" ref="H1250:T1250" si="241">ROUND(H1249-H1248,9)</f>
        <v>0</v>
      </c>
      <c r="I1250" s="161">
        <f t="shared" si="241"/>
        <v>0</v>
      </c>
      <c r="J1250" s="161">
        <f t="shared" si="241"/>
        <v>0</v>
      </c>
      <c r="K1250" s="161">
        <f t="shared" si="241"/>
        <v>0</v>
      </c>
      <c r="L1250" s="161">
        <f t="shared" si="241"/>
        <v>0</v>
      </c>
      <c r="M1250" s="161">
        <f t="shared" si="241"/>
        <v>0</v>
      </c>
      <c r="N1250" s="161">
        <f t="shared" si="241"/>
        <v>0</v>
      </c>
      <c r="O1250" s="161">
        <f t="shared" si="241"/>
        <v>0</v>
      </c>
      <c r="P1250" s="161">
        <f t="shared" si="241"/>
        <v>0</v>
      </c>
      <c r="Q1250" s="161">
        <f t="shared" si="241"/>
        <v>0</v>
      </c>
      <c r="R1250" s="161">
        <f t="shared" si="241"/>
        <v>0</v>
      </c>
      <c r="S1250" s="161">
        <f t="shared" si="241"/>
        <v>0</v>
      </c>
      <c r="T1250" s="161">
        <f t="shared" si="241"/>
        <v>0</v>
      </c>
    </row>
    <row r="1252" spans="2:20" x14ac:dyDescent="0.25">
      <c r="B1252" s="154" t="s">
        <v>4278</v>
      </c>
    </row>
    <row r="1253" spans="2:20" x14ac:dyDescent="0.25">
      <c r="B1253" s="23" t="s">
        <v>4279</v>
      </c>
      <c r="C1253" s="28" t="s">
        <v>493</v>
      </c>
      <c r="H1253" s="30">
        <f>'Source Data'!H1124</f>
        <v>44.658039417583701</v>
      </c>
      <c r="I1253" s="30">
        <f>'Source Data'!I1124</f>
        <v>18.700336705089001</v>
      </c>
      <c r="J1253" s="30">
        <f>'Source Data'!J1124</f>
        <v>6.8439630915925003</v>
      </c>
      <c r="K1253" s="30">
        <f>'Source Data'!K1124</f>
        <v>7.4017460835572901</v>
      </c>
      <c r="L1253" s="30">
        <f>'Source Data'!L1124</f>
        <v>8.0049883893672096</v>
      </c>
      <c r="M1253" s="30">
        <f>'Source Data'!M1124</f>
        <v>8.6573949431006394</v>
      </c>
      <c r="N1253" s="30">
        <f>'Source Data'!N1124</f>
        <v>9.3629726309633501</v>
      </c>
      <c r="O1253" s="30">
        <f>'Source Data'!O1124</f>
        <v>10.126054900386899</v>
      </c>
      <c r="P1253" s="30">
        <f>'Source Data'!P1124</f>
        <v>10.9513283747684</v>
      </c>
      <c r="Q1253" s="30">
        <f>'Source Data'!Q1124</f>
        <v>11.843861637311999</v>
      </c>
      <c r="R1253" s="30">
        <f>'Source Data'!R1124</f>
        <v>12.4360547191776</v>
      </c>
      <c r="S1253" s="30">
        <f>'Source Data'!S1124</f>
        <v>13.057857455136499</v>
      </c>
      <c r="T1253" s="30">
        <f>'Source Data'!T1124</f>
        <v>13.710750327893299</v>
      </c>
    </row>
    <row r="1254" spans="2:20" x14ac:dyDescent="0.25">
      <c r="B1254" s="23" t="s">
        <v>4280</v>
      </c>
      <c r="C1254" s="28" t="s">
        <v>493</v>
      </c>
      <c r="H1254" s="30">
        <f>'Revenue Calculation'!H88</f>
        <v>44.658039417583652</v>
      </c>
      <c r="I1254" s="30">
        <f>'Revenue Calculation'!I88</f>
        <v>18.700336705088997</v>
      </c>
      <c r="J1254" s="30">
        <f>'Revenue Calculation'!J88</f>
        <v>6.8439630915925038</v>
      </c>
      <c r="K1254" s="30">
        <f>'Revenue Calculation'!K88</f>
        <v>7.4017460835572937</v>
      </c>
      <c r="L1254" s="30">
        <f>'Revenue Calculation'!L88</f>
        <v>8.0049883893672131</v>
      </c>
      <c r="M1254" s="30">
        <f>'Revenue Calculation'!M88</f>
        <v>8.6573949431006412</v>
      </c>
      <c r="N1254" s="30">
        <f>'Revenue Calculation'!N88</f>
        <v>9.3629726309633448</v>
      </c>
      <c r="O1254" s="30">
        <f>'Revenue Calculation'!O88</f>
        <v>10.126054900386873</v>
      </c>
      <c r="P1254" s="30">
        <f>'Revenue Calculation'!P88</f>
        <v>10.951328374768391</v>
      </c>
      <c r="Q1254" s="30">
        <f>'Revenue Calculation'!Q88</f>
        <v>11.84386163731201</v>
      </c>
      <c r="R1254" s="30">
        <f>'Revenue Calculation'!R88</f>
        <v>12.436054719177612</v>
      </c>
      <c r="S1254" s="30">
        <f>'Revenue Calculation'!S88</f>
        <v>13.057857455136494</v>
      </c>
      <c r="T1254" s="30">
        <f>'Revenue Calculation'!T88</f>
        <v>13.710750327893319</v>
      </c>
    </row>
    <row r="1255" spans="2:20" x14ac:dyDescent="0.25">
      <c r="B1255" s="23" t="s">
        <v>4281</v>
      </c>
      <c r="C1255" s="28" t="s">
        <v>493</v>
      </c>
      <c r="H1255" s="161">
        <f t="shared" ref="H1255:T1255" si="242">ROUND(H1254-H1253,9)</f>
        <v>0</v>
      </c>
      <c r="I1255" s="161">
        <f t="shared" si="242"/>
        <v>0</v>
      </c>
      <c r="J1255" s="161">
        <f t="shared" si="242"/>
        <v>0</v>
      </c>
      <c r="K1255" s="161">
        <f t="shared" si="242"/>
        <v>0</v>
      </c>
      <c r="L1255" s="161">
        <f t="shared" si="242"/>
        <v>0</v>
      </c>
      <c r="M1255" s="161">
        <f t="shared" si="242"/>
        <v>0</v>
      </c>
      <c r="N1255" s="161">
        <f t="shared" si="242"/>
        <v>0</v>
      </c>
      <c r="O1255" s="161">
        <f t="shared" si="242"/>
        <v>0</v>
      </c>
      <c r="P1255" s="161">
        <f t="shared" si="242"/>
        <v>0</v>
      </c>
      <c r="Q1255" s="161">
        <f t="shared" si="242"/>
        <v>0</v>
      </c>
      <c r="R1255" s="161">
        <f t="shared" si="242"/>
        <v>0</v>
      </c>
      <c r="S1255" s="161">
        <f t="shared" si="242"/>
        <v>0</v>
      </c>
      <c r="T1255" s="161">
        <f t="shared" si="242"/>
        <v>0</v>
      </c>
    </row>
    <row r="1256" spans="2:20" x14ac:dyDescent="0.25">
      <c r="B1256" s="23" t="s">
        <v>4282</v>
      </c>
      <c r="C1256" s="28" t="s">
        <v>493</v>
      </c>
      <c r="H1256" s="30">
        <f>'Source Data'!H1125</f>
        <v>15.584</v>
      </c>
      <c r="I1256" s="30">
        <f>'Source Data'!I1125</f>
        <v>16.693580799999999</v>
      </c>
      <c r="J1256" s="30">
        <f>'Source Data'!J1125</f>
        <v>17.88216375296</v>
      </c>
      <c r="K1256" s="30">
        <f>'Source Data'!K1125</f>
        <v>19.155373812170801</v>
      </c>
      <c r="L1256" s="30">
        <f>'Source Data'!L1125</f>
        <v>20.519236427597299</v>
      </c>
      <c r="M1256" s="30">
        <f>'Source Data'!M1125</f>
        <v>21.9802060612422</v>
      </c>
      <c r="N1256" s="30">
        <f>'Source Data'!N1125</f>
        <v>23.545196732802701</v>
      </c>
      <c r="O1256" s="30">
        <f>'Source Data'!O1125</f>
        <v>25.2216147401783</v>
      </c>
      <c r="P1256" s="30">
        <f>'Source Data'!P1125</f>
        <v>27.017393709678998</v>
      </c>
      <c r="Q1256" s="30">
        <f>'Source Data'!Q1125</f>
        <v>28.941032141808002</v>
      </c>
      <c r="R1256" s="30">
        <f>'Source Data'!R1125</f>
        <v>13.040698343323101</v>
      </c>
      <c r="S1256" s="30">
        <f>'Source Data'!S1125</f>
        <v>13.562326277056</v>
      </c>
      <c r="T1256" s="30">
        <f>'Source Data'!T1125</f>
        <v>14.1048193281383</v>
      </c>
    </row>
    <row r="1257" spans="2:20" x14ac:dyDescent="0.25">
      <c r="B1257" s="23" t="s">
        <v>4283</v>
      </c>
      <c r="C1257" s="28" t="s">
        <v>493</v>
      </c>
      <c r="H1257" s="30">
        <f>'Revenue Calculation'!H89</f>
        <v>15.584</v>
      </c>
      <c r="I1257" s="30">
        <f>'Revenue Calculation'!I89</f>
        <v>16.693580799999999</v>
      </c>
      <c r="J1257" s="30">
        <f>'Revenue Calculation'!J89</f>
        <v>17.882163752960004</v>
      </c>
      <c r="K1257" s="30">
        <f>'Revenue Calculation'!K89</f>
        <v>19.155373812170758</v>
      </c>
      <c r="L1257" s="30">
        <f>'Revenue Calculation'!L89</f>
        <v>20.519236427597313</v>
      </c>
      <c r="M1257" s="30">
        <f>'Revenue Calculation'!M89</f>
        <v>21.980206061242242</v>
      </c>
      <c r="N1257" s="30">
        <f>'Revenue Calculation'!N89</f>
        <v>23.545196732802729</v>
      </c>
      <c r="O1257" s="30">
        <f>'Revenue Calculation'!O89</f>
        <v>25.221614740178268</v>
      </c>
      <c r="P1257" s="30">
        <f>'Revenue Calculation'!P89</f>
        <v>27.017393709678952</v>
      </c>
      <c r="Q1257" s="30">
        <f>'Revenue Calculation'!Q89</f>
        <v>28.941032141808044</v>
      </c>
      <c r="R1257" s="30">
        <f>'Revenue Calculation'!R89</f>
        <v>13.040698343323102</v>
      </c>
      <c r="S1257" s="30">
        <f>'Revenue Calculation'!S89</f>
        <v>13.562326277056028</v>
      </c>
      <c r="T1257" s="30">
        <f>'Revenue Calculation'!T89</f>
        <v>14.104819328138269</v>
      </c>
    </row>
    <row r="1258" spans="2:20" x14ac:dyDescent="0.25">
      <c r="B1258" s="23" t="s">
        <v>4284</v>
      </c>
      <c r="C1258" s="28" t="s">
        <v>493</v>
      </c>
      <c r="H1258" s="161">
        <f t="shared" ref="H1258:T1258" si="243">ROUND(H1257-H1256,9)</f>
        <v>0</v>
      </c>
      <c r="I1258" s="161">
        <f t="shared" si="243"/>
        <v>0</v>
      </c>
      <c r="J1258" s="161">
        <f t="shared" si="243"/>
        <v>0</v>
      </c>
      <c r="K1258" s="161">
        <f t="shared" si="243"/>
        <v>0</v>
      </c>
      <c r="L1258" s="161">
        <f t="shared" si="243"/>
        <v>0</v>
      </c>
      <c r="M1258" s="161">
        <f t="shared" si="243"/>
        <v>0</v>
      </c>
      <c r="N1258" s="161">
        <f t="shared" si="243"/>
        <v>0</v>
      </c>
      <c r="O1258" s="161">
        <f t="shared" si="243"/>
        <v>0</v>
      </c>
      <c r="P1258" s="161">
        <f t="shared" si="243"/>
        <v>0</v>
      </c>
      <c r="Q1258" s="161">
        <f t="shared" si="243"/>
        <v>0</v>
      </c>
      <c r="R1258" s="161">
        <f t="shared" si="243"/>
        <v>0</v>
      </c>
      <c r="S1258" s="161">
        <f t="shared" si="243"/>
        <v>0</v>
      </c>
      <c r="T1258" s="161">
        <f t="shared" si="243"/>
        <v>0</v>
      </c>
    </row>
    <row r="1259" spans="2:20" x14ac:dyDescent="0.25">
      <c r="B1259" s="23" t="s">
        <v>4285</v>
      </c>
      <c r="C1259" s="28" t="s">
        <v>493</v>
      </c>
      <c r="H1259" s="30">
        <f>'Source Data'!H1126</f>
        <v>9.1948593189207006</v>
      </c>
      <c r="I1259" s="30">
        <f>'Source Data'!I1126</f>
        <v>9.9442403534127504</v>
      </c>
      <c r="J1259" s="30">
        <f>'Source Data'!J1126</f>
        <v>10.7546959422159</v>
      </c>
      <c r="K1259" s="30">
        <f>'Source Data'!K1126</f>
        <v>11.631203661506399</v>
      </c>
      <c r="L1259" s="30">
        <f>'Source Data'!L1126</f>
        <v>12.579146759919199</v>
      </c>
      <c r="M1259" s="30">
        <f>'Source Data'!M1126</f>
        <v>13.6043472208527</v>
      </c>
      <c r="N1259" s="30">
        <f>'Source Data'!N1126</f>
        <v>14.713101519352101</v>
      </c>
      <c r="O1259" s="30">
        <f>'Source Data'!O1126</f>
        <v>15.912219293179399</v>
      </c>
      <c r="P1259" s="30">
        <f>'Source Data'!P1126</f>
        <v>17.209065165573499</v>
      </c>
      <c r="Q1259" s="30">
        <f>'Source Data'!Q1126</f>
        <v>18.6116039765677</v>
      </c>
      <c r="R1259" s="30">
        <f>'Source Data'!R1126</f>
        <v>19.542184175395999</v>
      </c>
      <c r="S1259" s="30">
        <f>'Source Data'!S1126</f>
        <v>20.519293384165799</v>
      </c>
      <c r="T1259" s="30">
        <f>'Source Data'!T1126</f>
        <v>21.545258053374098</v>
      </c>
    </row>
    <row r="1260" spans="2:20" x14ac:dyDescent="0.25">
      <c r="B1260" s="23" t="s">
        <v>4286</v>
      </c>
      <c r="C1260" s="28" t="s">
        <v>493</v>
      </c>
      <c r="H1260" s="30">
        <f>'Revenue Calculation'!H90</f>
        <v>9.1948593189207042</v>
      </c>
      <c r="I1260" s="30">
        <f>'Revenue Calculation'!I90</f>
        <v>9.9442403534127504</v>
      </c>
      <c r="J1260" s="30">
        <f>'Revenue Calculation'!J90</f>
        <v>10.754695942215854</v>
      </c>
      <c r="K1260" s="30">
        <f>'Revenue Calculation'!K90</f>
        <v>11.631203661506447</v>
      </c>
      <c r="L1260" s="30">
        <f>'Revenue Calculation'!L90</f>
        <v>12.579146759919238</v>
      </c>
      <c r="M1260" s="30">
        <f>'Revenue Calculation'!M90</f>
        <v>13.604347220852683</v>
      </c>
      <c r="N1260" s="30">
        <f>'Revenue Calculation'!N90</f>
        <v>14.713101519352149</v>
      </c>
      <c r="O1260" s="30">
        <f>'Revenue Calculation'!O90</f>
        <v>15.912219293179366</v>
      </c>
      <c r="P1260" s="30">
        <f>'Revenue Calculation'!P90</f>
        <v>17.209065165573474</v>
      </c>
      <c r="Q1260" s="30">
        <f>'Revenue Calculation'!Q90</f>
        <v>18.611603976567661</v>
      </c>
      <c r="R1260" s="30">
        <f>'Revenue Calculation'!R90</f>
        <v>19.542184175396041</v>
      </c>
      <c r="S1260" s="30">
        <f>'Revenue Calculation'!S90</f>
        <v>20.519293384165845</v>
      </c>
      <c r="T1260" s="30">
        <f>'Revenue Calculation'!T90</f>
        <v>21.545258053374138</v>
      </c>
    </row>
    <row r="1261" spans="2:20" x14ac:dyDescent="0.25">
      <c r="B1261" s="23" t="s">
        <v>4287</v>
      </c>
      <c r="C1261" s="28" t="s">
        <v>493</v>
      </c>
      <c r="H1261" s="161">
        <f t="shared" ref="H1261:T1261" si="244">ROUND(H1260-H1259,9)</f>
        <v>0</v>
      </c>
      <c r="I1261" s="161">
        <f t="shared" si="244"/>
        <v>0</v>
      </c>
      <c r="J1261" s="161">
        <f t="shared" si="244"/>
        <v>0</v>
      </c>
      <c r="K1261" s="161">
        <f t="shared" si="244"/>
        <v>0</v>
      </c>
      <c r="L1261" s="161">
        <f t="shared" si="244"/>
        <v>0</v>
      </c>
      <c r="M1261" s="161">
        <f t="shared" si="244"/>
        <v>0</v>
      </c>
      <c r="N1261" s="161">
        <f t="shared" si="244"/>
        <v>0</v>
      </c>
      <c r="O1261" s="161">
        <f t="shared" si="244"/>
        <v>0</v>
      </c>
      <c r="P1261" s="161">
        <f t="shared" si="244"/>
        <v>0</v>
      </c>
      <c r="Q1261" s="161">
        <f t="shared" si="244"/>
        <v>0</v>
      </c>
      <c r="R1261" s="161">
        <f t="shared" si="244"/>
        <v>0</v>
      </c>
      <c r="S1261" s="161">
        <f t="shared" si="244"/>
        <v>0</v>
      </c>
      <c r="T1261" s="161">
        <f t="shared" si="244"/>
        <v>0</v>
      </c>
    </row>
    <row r="1262" spans="2:20" x14ac:dyDescent="0.25">
      <c r="B1262" s="23" t="s">
        <v>4288</v>
      </c>
      <c r="C1262" s="28" t="s">
        <v>493</v>
      </c>
      <c r="H1262" s="30">
        <f>'Source Data'!H1127</f>
        <v>18.5117736242495</v>
      </c>
      <c r="I1262" s="30">
        <f>'Source Data'!I1127</f>
        <v>20.020483174625902</v>
      </c>
      <c r="J1262" s="30">
        <f>'Source Data'!J1127</f>
        <v>26.5089060387667</v>
      </c>
      <c r="K1262" s="30">
        <f>'Source Data'!K1127</f>
        <v>28.669381880926299</v>
      </c>
      <c r="L1262" s="30">
        <f>'Source Data'!L1127</f>
        <v>31.005936504221701</v>
      </c>
      <c r="M1262" s="30">
        <f>'Source Data'!M1127</f>
        <v>33.5329203293158</v>
      </c>
      <c r="N1262" s="30">
        <f>'Source Data'!N1127</f>
        <v>36.265853336154997</v>
      </c>
      <c r="O1262" s="30">
        <f>'Source Data'!O1127</f>
        <v>39.221520383051597</v>
      </c>
      <c r="P1262" s="30">
        <f>'Source Data'!P1127</f>
        <v>42.418074294270298</v>
      </c>
      <c r="Q1262" s="30">
        <f>'Source Data'!Q1127</f>
        <v>45.875147349253403</v>
      </c>
      <c r="R1262" s="30">
        <f>'Source Data'!R1127</f>
        <v>48.168904716716099</v>
      </c>
      <c r="S1262" s="30">
        <f>'Source Data'!S1127</f>
        <v>50.577349952551899</v>
      </c>
      <c r="T1262" s="30">
        <f>'Source Data'!T1127</f>
        <v>53.1062174501795</v>
      </c>
    </row>
    <row r="1263" spans="2:20" x14ac:dyDescent="0.25">
      <c r="B1263" s="23" t="s">
        <v>4289</v>
      </c>
      <c r="C1263" s="28" t="s">
        <v>493</v>
      </c>
      <c r="H1263" s="30">
        <f>'Revenue Calculation'!H91</f>
        <v>18.511773624249539</v>
      </c>
      <c r="I1263" s="30">
        <f>'Revenue Calculation'!I91</f>
        <v>20.020483174625859</v>
      </c>
      <c r="J1263" s="30">
        <f>'Revenue Calculation'!J91</f>
        <v>26.508906038766746</v>
      </c>
      <c r="K1263" s="30">
        <f>'Revenue Calculation'!K91</f>
        <v>28.669381880926259</v>
      </c>
      <c r="L1263" s="30">
        <f>'Revenue Calculation'!L91</f>
        <v>31.005936504221701</v>
      </c>
      <c r="M1263" s="30">
        <f>'Revenue Calculation'!M91</f>
        <v>33.532920329315751</v>
      </c>
      <c r="N1263" s="30">
        <f>'Revenue Calculation'!N91</f>
        <v>36.265853336154976</v>
      </c>
      <c r="O1263" s="30">
        <f>'Revenue Calculation'!O91</f>
        <v>39.221520383051569</v>
      </c>
      <c r="P1263" s="30">
        <f>'Revenue Calculation'!P91</f>
        <v>42.418074294270312</v>
      </c>
      <c r="Q1263" s="30">
        <f>'Revenue Calculation'!Q91</f>
        <v>45.875147349253439</v>
      </c>
      <c r="R1263" s="30">
        <f>'Revenue Calculation'!R91</f>
        <v>48.168904716716114</v>
      </c>
      <c r="S1263" s="30">
        <f>'Revenue Calculation'!S91</f>
        <v>50.577349952551927</v>
      </c>
      <c r="T1263" s="30">
        <f>'Revenue Calculation'!T91</f>
        <v>53.106217450179521</v>
      </c>
    </row>
    <row r="1264" spans="2:20" x14ac:dyDescent="0.25">
      <c r="B1264" s="23" t="s">
        <v>4290</v>
      </c>
      <c r="C1264" s="28" t="s">
        <v>493</v>
      </c>
      <c r="H1264" s="161">
        <f t="shared" ref="H1264:T1264" si="245">ROUND(H1263-H1262,9)</f>
        <v>0</v>
      </c>
      <c r="I1264" s="161">
        <f t="shared" si="245"/>
        <v>0</v>
      </c>
      <c r="J1264" s="161">
        <f t="shared" si="245"/>
        <v>0</v>
      </c>
      <c r="K1264" s="161">
        <f t="shared" si="245"/>
        <v>0</v>
      </c>
      <c r="L1264" s="161">
        <f t="shared" si="245"/>
        <v>0</v>
      </c>
      <c r="M1264" s="161">
        <f t="shared" si="245"/>
        <v>0</v>
      </c>
      <c r="N1264" s="161">
        <f t="shared" si="245"/>
        <v>0</v>
      </c>
      <c r="O1264" s="161">
        <f t="shared" si="245"/>
        <v>0</v>
      </c>
      <c r="P1264" s="161">
        <f t="shared" si="245"/>
        <v>0</v>
      </c>
      <c r="Q1264" s="161">
        <f t="shared" si="245"/>
        <v>0</v>
      </c>
      <c r="R1264" s="161">
        <f t="shared" si="245"/>
        <v>0</v>
      </c>
      <c r="S1264" s="161">
        <f t="shared" si="245"/>
        <v>0</v>
      </c>
      <c r="T1264" s="161">
        <f t="shared" si="245"/>
        <v>0</v>
      </c>
    </row>
    <row r="1265" spans="2:8" x14ac:dyDescent="0.25">
      <c r="B1265" s="70" t="s">
        <v>4291</v>
      </c>
      <c r="F1265" s="178">
        <f>MAX(MAX(H1255:T1255),-MIN(H1255:T1255),MAX(H1258:T1258),-MIN(H1258:T1258),MAX(H1261:T1261),-MIN(H1261:T1261),MAX(H1264:T1264),-MIN(H1264:T1264))</f>
        <v>0</v>
      </c>
    </row>
    <row r="1266" spans="2:8" x14ac:dyDescent="0.25">
      <c r="B1266" s="154" t="s">
        <v>4292</v>
      </c>
    </row>
    <row r="1267" spans="2:8" x14ac:dyDescent="0.25">
      <c r="B1267" s="70" t="str">
        <f>B836</f>
        <v>E1  NPLOG - Teluk Lamong existing  (Output_Standalone (IDR) title row 18; model E1)</v>
      </c>
      <c r="E1267" s="135" t="str">
        <f>E836</f>
        <v>Matches v29</v>
      </c>
      <c r="F1267" s="178">
        <f>F836</f>
        <v>0</v>
      </c>
      <c r="G1267" s="234">
        <f>G836</f>
        <v>0</v>
      </c>
      <c r="H1267" s="22" t="s">
        <v>4293</v>
      </c>
    </row>
    <row r="1268" spans="2:8" x14ac:dyDescent="0.25">
      <c r="B1268" s="70" t="str">
        <f>B862</f>
        <v>P04  TTL Silo  (Output_Standalone (IDR) title row 42; model P04)</v>
      </c>
      <c r="E1268" s="135" t="str">
        <f>E862</f>
        <v>Matches v29</v>
      </c>
      <c r="F1268" s="178">
        <f>F862</f>
        <v>0</v>
      </c>
      <c r="G1268" s="234">
        <f>G862</f>
        <v>0</v>
      </c>
      <c r="H1268" s="22" t="s">
        <v>4293</v>
      </c>
    </row>
    <row r="1269" spans="2:8" x14ac:dyDescent="0.25">
      <c r="B1269" s="70" t="str">
        <f>B888</f>
        <v>P05  Dumai  (Output_Standalone (IDR) title row 66; model P05)</v>
      </c>
      <c r="E1269" s="135" t="str">
        <f>E888</f>
        <v>Matches v29</v>
      </c>
      <c r="F1269" s="178">
        <f>F888</f>
        <v>0</v>
      </c>
      <c r="G1269" s="234">
        <f>G888</f>
        <v>0</v>
      </c>
      <c r="H1269" s="22" t="s">
        <v>4293</v>
      </c>
    </row>
    <row r="1270" spans="2:8" x14ac:dyDescent="0.25">
      <c r="B1270" s="70" t="str">
        <f>B914</f>
        <v>P08  Trucking DMS Teluk Lamong  (Output_Standalone (IDR) title row 90; model P08)</v>
      </c>
      <c r="E1270" s="135" t="str">
        <f>E914</f>
        <v>Matches v29</v>
      </c>
      <c r="F1270" s="178">
        <f>F914</f>
        <v>0</v>
      </c>
      <c r="G1270" s="234">
        <f>G914</f>
        <v>0</v>
      </c>
      <c r="H1270" s="22" t="s">
        <v>4293</v>
      </c>
    </row>
    <row r="1271" spans="2:8" ht="24.75" customHeight="1" x14ac:dyDescent="0.25">
      <c r="B1271" s="70" t="str">
        <f>B940</f>
        <v>E2  Cigading Existing  (Output_Standalone (IDR) title row 113; model E2)</v>
      </c>
      <c r="E1271" s="212" t="str">
        <f>E940</f>
        <v>Differs - requested change: LT loan repaid in 2027 (not 2025)</v>
      </c>
      <c r="F1271" s="178">
        <f>F940</f>
        <v>1.9421714590000001</v>
      </c>
      <c r="G1271" s="234">
        <f>G940</f>
        <v>0</v>
      </c>
      <c r="H1271" s="22" t="s">
        <v>4293</v>
      </c>
    </row>
    <row r="1272" spans="2:8" ht="24.75" customHeight="1" x14ac:dyDescent="0.25">
      <c r="B1272" s="70" t="str">
        <f>B966</f>
        <v>P01  Cigading Expansion: Wharf 2  (Output_Standalone (IDR) title row 137; model P01)</v>
      </c>
      <c r="E1272" s="212" t="str">
        <f>E966</f>
        <v>Differs - requested change: LT loan repaid in 2027 (not 2025)</v>
      </c>
      <c r="F1272" s="178">
        <f>F966</f>
        <v>13.331278719</v>
      </c>
      <c r="G1272" s="234">
        <f>G966</f>
        <v>0</v>
      </c>
      <c r="H1272" s="22" t="s">
        <v>4293</v>
      </c>
    </row>
    <row r="1273" spans="2:8" x14ac:dyDescent="0.25">
      <c r="B1273" s="70" t="str">
        <f>B992</f>
        <v>P02  Cigading Extended Conveyor  (Output_Standalone (IDR) title row 160; model P02)</v>
      </c>
      <c r="E1273" s="135" t="str">
        <f>E992</f>
        <v>Matches v29</v>
      </c>
      <c r="F1273" s="178">
        <f>F992</f>
        <v>0</v>
      </c>
      <c r="G1273" s="234">
        <f>G992</f>
        <v>0</v>
      </c>
      <c r="H1273" s="22" t="s">
        <v>4293</v>
      </c>
    </row>
    <row r="1274" spans="2:8" x14ac:dyDescent="0.25">
      <c r="B1274" s="70" t="str">
        <f>B1018</f>
        <v>OP  Operatorship with BUMN (P12-P14)  (Output_Standalone (IDR) title row 183; model P12, P13, P14)</v>
      </c>
      <c r="E1274" s="135" t="str">
        <f>E1018</f>
        <v>Matches v29</v>
      </c>
      <c r="F1274" s="178">
        <f>F1018</f>
        <v>0</v>
      </c>
      <c r="G1274" s="234">
        <f>G1018</f>
        <v>0</v>
      </c>
      <c r="H1274" s="22" t="s">
        <v>4293</v>
      </c>
    </row>
    <row r="1275" spans="2:8" x14ac:dyDescent="0.25">
      <c r="B1275" s="70" t="str">
        <f>B1044</f>
        <v>P03  KBS Warehouse Revitalization  (Output_Standalone (IDR) title row 206; model P03)</v>
      </c>
      <c r="E1275" s="135" t="str">
        <f>E1044</f>
        <v>Matches v29</v>
      </c>
      <c r="F1275" s="178">
        <f>F1044</f>
        <v>0</v>
      </c>
      <c r="G1275" s="234">
        <f>G1044</f>
        <v>0</v>
      </c>
      <c r="H1275" s="22" t="s">
        <v>4293</v>
      </c>
    </row>
    <row r="1276" spans="2:8" x14ac:dyDescent="0.25">
      <c r="B1276" s="70" t="str">
        <f>B1070</f>
        <v>P09  Trucking DMS Cigading  (Output_Standalone (IDR) title row 229; model P09)</v>
      </c>
      <c r="E1276" s="135" t="str">
        <f>E1070</f>
        <v>Matches v29</v>
      </c>
      <c r="F1276" s="178">
        <f>F1070</f>
        <v>0</v>
      </c>
      <c r="G1276" s="234">
        <f>G1070</f>
        <v>0</v>
      </c>
      <c r="H1276" s="22" t="s">
        <v>4293</v>
      </c>
    </row>
    <row r="1277" spans="2:8" x14ac:dyDescent="0.25">
      <c r="B1277" s="70" t="str">
        <f>B1096</f>
        <v>P06  Ciwandan Expansion  (Output_Standalone (IDR) title row 275; model P06)</v>
      </c>
      <c r="E1277" s="135" t="str">
        <f>E1096</f>
        <v>Matches v29</v>
      </c>
      <c r="F1277" s="178">
        <f>F1096</f>
        <v>0</v>
      </c>
      <c r="G1277" s="234">
        <f>G1096</f>
        <v>0</v>
      </c>
      <c r="H1277" s="22" t="s">
        <v>4293</v>
      </c>
    </row>
    <row r="1278" spans="2:8" x14ac:dyDescent="0.25">
      <c r="B1278" s="70" t="str">
        <f>B1122</f>
        <v>P10  Trucking DMS Ciwandan  (Output_Standalone (IDR) title row 298; model P10)</v>
      </c>
      <c r="E1278" s="135" t="str">
        <f>E1122</f>
        <v>Matches v29</v>
      </c>
      <c r="F1278" s="178">
        <f>F1122</f>
        <v>0</v>
      </c>
      <c r="G1278" s="234">
        <f>G1122</f>
        <v>0</v>
      </c>
      <c r="H1278" s="22" t="s">
        <v>4293</v>
      </c>
    </row>
    <row r="1279" spans="2:8" x14ac:dyDescent="0.25">
      <c r="B1279" s="70" t="str">
        <f>B1148</f>
        <v>BLW  Belawan incl. expansion (E3 + P07)  (Output_Standalone (IDR) title row 321; model E3, P07)</v>
      </c>
      <c r="E1279" s="135" t="str">
        <f>E1148</f>
        <v>Matches v29</v>
      </c>
      <c r="F1279" s="178">
        <f>F1148</f>
        <v>0</v>
      </c>
      <c r="G1279" s="234">
        <f>G1148</f>
        <v>0</v>
      </c>
      <c r="H1279" s="22" t="s">
        <v>4293</v>
      </c>
    </row>
    <row r="1280" spans="2:8" x14ac:dyDescent="0.25">
      <c r="B1280" s="70" t="str">
        <f>B1174</f>
        <v>P11  Trucking DMS Belawan  (Output_Standalone (IDR) title row 344; model P11)</v>
      </c>
      <c r="E1280" s="135" t="str">
        <f>E1174</f>
        <v>Matches v29</v>
      </c>
      <c r="F1280" s="178">
        <f>F1174</f>
        <v>0</v>
      </c>
      <c r="G1280" s="234">
        <f>G1174</f>
        <v>0</v>
      </c>
      <c r="H1280" s="22" t="s">
        <v>4293</v>
      </c>
    </row>
    <row r="1281" spans="2:21" x14ac:dyDescent="0.25">
      <c r="B1281" s="70" t="str">
        <f>B1200</f>
        <v>E4  Stevedoring WIN combine  (Output_Standalone (IDR) title row 459; model E4)</v>
      </c>
      <c r="E1281" s="135" t="str">
        <f>E1200</f>
        <v>Matches v29</v>
      </c>
      <c r="F1281" s="178">
        <f>F1200</f>
        <v>0</v>
      </c>
      <c r="G1281" s="234">
        <f>G1200</f>
        <v>0</v>
      </c>
      <c r="H1281" s="22" t="s">
        <v>4293</v>
      </c>
    </row>
    <row r="1282" spans="2:21" x14ac:dyDescent="0.25">
      <c r="B1282" s="70" t="str">
        <f>B1226</f>
        <v>P15  TBM  (Output_Standalone (IDR) title row 482; model P15)</v>
      </c>
      <c r="E1282" s="135" t="str">
        <f>E1226</f>
        <v>Matches v29</v>
      </c>
      <c r="F1282" s="178">
        <f>F1226</f>
        <v>0</v>
      </c>
      <c r="G1282" s="234">
        <f>G1226</f>
        <v>0</v>
      </c>
      <c r="H1282" s="22" t="s">
        <v>4293</v>
      </c>
    </row>
    <row r="1283" spans="2:21" ht="26.25" customHeight="1" x14ac:dyDescent="0.25">
      <c r="B1283" s="64" t="s">
        <v>4294</v>
      </c>
      <c r="C1283" s="28" t="s">
        <v>493</v>
      </c>
      <c r="E1283" s="161">
        <f>MAX(F1267:F1282,F1265)</f>
        <v>13.331278719</v>
      </c>
    </row>
    <row r="1284" spans="2:21" ht="26.25" customHeight="1" x14ac:dyDescent="0.25">
      <c r="B1284" s="133" t="s">
        <v>4295</v>
      </c>
      <c r="C1284" s="28" t="s">
        <v>493</v>
      </c>
      <c r="E1284" s="229">
        <f>MAX(G1267:G1282,F1265)</f>
        <v>0</v>
      </c>
    </row>
    <row r="1285" spans="2:21" x14ac:dyDescent="0.25">
      <c r="B1285" s="23" t="s">
        <v>4296</v>
      </c>
      <c r="C1285" s="28" t="s">
        <v>4297</v>
      </c>
      <c r="E1285" s="45">
        <f>COUNTIF(E1267:E1282,"Matches v29")</f>
        <v>14</v>
      </c>
    </row>
    <row r="1286" spans="2:21" x14ac:dyDescent="0.25">
      <c r="B1286" s="23" t="s">
        <v>4298</v>
      </c>
      <c r="C1286" s="28" t="s">
        <v>4297</v>
      </c>
      <c r="E1286" s="45">
        <f>COUNTIF(E1267:E1282,"Differs - requested*")</f>
        <v>2</v>
      </c>
    </row>
    <row r="1288" spans="2:21" x14ac:dyDescent="0.25">
      <c r="B1288" s="58" t="s">
        <v>4299</v>
      </c>
      <c r="C1288" s="19"/>
      <c r="D1288" s="19"/>
      <c r="E1288" s="19"/>
      <c r="F1288" s="19"/>
      <c r="G1288" s="19"/>
      <c r="H1288" s="19"/>
      <c r="I1288" s="19"/>
      <c r="J1288" s="19"/>
      <c r="K1288" s="19"/>
      <c r="L1288" s="19"/>
      <c r="M1288" s="19"/>
      <c r="N1288" s="19"/>
      <c r="O1288" s="19"/>
      <c r="P1288" s="19"/>
      <c r="Q1288" s="19"/>
      <c r="R1288" s="19"/>
      <c r="S1288" s="19"/>
      <c r="T1288" s="19"/>
    </row>
    <row r="1289" spans="2:21" x14ac:dyDescent="0.25">
      <c r="G1289" s="77" t="s">
        <v>1878</v>
      </c>
      <c r="H1289" s="77" t="s">
        <v>1879</v>
      </c>
      <c r="I1289" s="77" t="s">
        <v>1879</v>
      </c>
      <c r="J1289" s="77" t="s">
        <v>1879</v>
      </c>
      <c r="K1289" s="77" t="s">
        <v>1879</v>
      </c>
      <c r="L1289" s="77" t="s">
        <v>1879</v>
      </c>
      <c r="M1289" s="77" t="s">
        <v>1879</v>
      </c>
      <c r="N1289" s="77" t="s">
        <v>1879</v>
      </c>
      <c r="O1289" s="77" t="s">
        <v>1879</v>
      </c>
      <c r="P1289" s="77" t="s">
        <v>1879</v>
      </c>
      <c r="Q1289" s="77" t="s">
        <v>1879</v>
      </c>
      <c r="R1289" s="77" t="s">
        <v>1879</v>
      </c>
      <c r="S1289" s="77" t="s">
        <v>1879</v>
      </c>
      <c r="T1289" s="77" t="s">
        <v>1879</v>
      </c>
    </row>
    <row r="1290" spans="2:21" x14ac:dyDescent="0.25">
      <c r="B1290" s="150" t="s">
        <v>4300</v>
      </c>
      <c r="C1290" s="150" t="s">
        <v>466</v>
      </c>
      <c r="D1290" s="59" t="s">
        <v>1881</v>
      </c>
      <c r="E1290" s="59" t="s">
        <v>468</v>
      </c>
      <c r="F1290" s="60"/>
      <c r="G1290" s="151">
        <v>2023</v>
      </c>
      <c r="H1290" s="152">
        <v>2024</v>
      </c>
      <c r="I1290" s="152">
        <v>2025</v>
      </c>
      <c r="J1290" s="152">
        <v>2026</v>
      </c>
      <c r="K1290" s="152">
        <v>2027</v>
      </c>
      <c r="L1290" s="152">
        <v>2028</v>
      </c>
      <c r="M1290" s="152">
        <v>2029</v>
      </c>
      <c r="N1290" s="152">
        <v>2030</v>
      </c>
      <c r="O1290" s="152">
        <v>2031</v>
      </c>
      <c r="P1290" s="152">
        <v>2032</v>
      </c>
      <c r="Q1290" s="152">
        <v>2033</v>
      </c>
      <c r="R1290" s="152">
        <v>2034</v>
      </c>
      <c r="S1290" s="152">
        <v>2035</v>
      </c>
      <c r="T1290" s="152">
        <v>2036</v>
      </c>
      <c r="U1290" s="59" t="s">
        <v>1882</v>
      </c>
    </row>
    <row r="1291" spans="2:21" x14ac:dyDescent="0.25">
      <c r="B1291" s="154" t="s">
        <v>4301</v>
      </c>
    </row>
    <row r="1292" spans="2:21" ht="26.25" customHeight="1" x14ac:dyDescent="0.25">
      <c r="B1292" s="64" t="s">
        <v>4302</v>
      </c>
      <c r="C1292" s="28" t="s">
        <v>493</v>
      </c>
      <c r="H1292" s="161">
        <f>'Source Data'!H985+'Source Data'!H994+'Source Data'!H1003+'Source Data'!H1012+'Source Data'!H1021+'Source Data'!H1030+'Source Data'!H1039+'Source Data'!H1048+'Source Data'!H1057+'Source Data'!H1066+'Source Data'!H1075+'Source Data'!H1084+'Source Data'!H1093+'Source Data'!H1102+'Source Data'!H1111+'Source Data'!H1120-'Source Data'!H836</f>
        <v>-9.2370555648813024E-14</v>
      </c>
      <c r="I1292" s="161">
        <f>'Source Data'!I985+'Source Data'!I994+'Source Data'!I1003+'Source Data'!I1012+'Source Data'!I1021+'Source Data'!I1030+'Source Data'!I1039+'Source Data'!I1048+'Source Data'!I1057+'Source Data'!I1066+'Source Data'!I1075+'Source Data'!I1084+'Source Data'!I1093+'Source Data'!I1102+'Source Data'!I1111+'Source Data'!I1120-'Source Data'!I836</f>
        <v>0</v>
      </c>
      <c r="J1292" s="161">
        <f>'Source Data'!J985+'Source Data'!J994+'Source Data'!J1003+'Source Data'!J1012+'Source Data'!J1021+'Source Data'!J1030+'Source Data'!J1039+'Source Data'!J1048+'Source Data'!J1057+'Source Data'!J1066+'Source Data'!J1075+'Source Data'!J1084+'Source Data'!J1093+'Source Data'!J1102+'Source Data'!J1111+'Source Data'!J1120-'Source Data'!J836</f>
        <v>3.1263880373444408E-13</v>
      </c>
      <c r="K1292" s="161">
        <f>'Source Data'!K985+'Source Data'!K994+'Source Data'!K1003+'Source Data'!K1012+'Source Data'!K1021+'Source Data'!K1030+'Source Data'!K1039+'Source Data'!K1048+'Source Data'!K1057+'Source Data'!K1066+'Source Data'!K1075+'Source Data'!K1084+'Source Data'!K1093+'Source Data'!K1102+'Source Data'!K1111+'Source Data'!K1120-'Source Data'!K836</f>
        <v>0</v>
      </c>
      <c r="L1292" s="161">
        <f>'Source Data'!L985+'Source Data'!L994+'Source Data'!L1003+'Source Data'!L1012+'Source Data'!L1021+'Source Data'!L1030+'Source Data'!L1039+'Source Data'!L1048+'Source Data'!L1057+'Source Data'!L1066+'Source Data'!L1075+'Source Data'!L1084+'Source Data'!L1093+'Source Data'!L1102+'Source Data'!L1111+'Source Data'!L1120-'Source Data'!L836</f>
        <v>0</v>
      </c>
      <c r="M1292" s="161">
        <f>'Source Data'!M985+'Source Data'!M994+'Source Data'!M1003+'Source Data'!M1012+'Source Data'!M1021+'Source Data'!M1030+'Source Data'!M1039+'Source Data'!M1048+'Source Data'!M1057+'Source Data'!M1066+'Source Data'!M1075+'Source Data'!M1084+'Source Data'!M1093+'Source Data'!M1102+'Source Data'!M1111+'Source Data'!M1120-'Source Data'!M836</f>
        <v>0</v>
      </c>
      <c r="N1292" s="161">
        <f>'Source Data'!N985+'Source Data'!N994+'Source Data'!N1003+'Source Data'!N1012+'Source Data'!N1021+'Source Data'!N1030+'Source Data'!N1039+'Source Data'!N1048+'Source Data'!N1057+'Source Data'!N1066+'Source Data'!N1075+'Source Data'!N1084+'Source Data'!N1093+'Source Data'!N1102+'Source Data'!N1111+'Source Data'!N1120-'Source Data'!N836</f>
        <v>0</v>
      </c>
      <c r="O1292" s="161">
        <f>'Source Data'!O985+'Source Data'!O994+'Source Data'!O1003+'Source Data'!O1012+'Source Data'!O1021+'Source Data'!O1030+'Source Data'!O1039+'Source Data'!O1048+'Source Data'!O1057+'Source Data'!O1066+'Source Data'!O1075+'Source Data'!O1084+'Source Data'!O1093+'Source Data'!O1102+'Source Data'!O1111+'Source Data'!O1120-'Source Data'!O836</f>
        <v>0</v>
      </c>
      <c r="P1292" s="161">
        <f>'Source Data'!P985+'Source Data'!P994+'Source Data'!P1003+'Source Data'!P1012+'Source Data'!P1021+'Source Data'!P1030+'Source Data'!P1039+'Source Data'!P1048+'Source Data'!P1057+'Source Data'!P1066+'Source Data'!P1075+'Source Data'!P1084+'Source Data'!P1093+'Source Data'!P1102+'Source Data'!P1111+'Source Data'!P1120-'Source Data'!P836</f>
        <v>4.5474735088646412E-13</v>
      </c>
      <c r="Q1292" s="161">
        <f>'Source Data'!Q985+'Source Data'!Q994+'Source Data'!Q1003+'Source Data'!Q1012+'Source Data'!Q1021+'Source Data'!Q1030+'Source Data'!Q1039+'Source Data'!Q1048+'Source Data'!Q1057+'Source Data'!Q1066+'Source Data'!Q1075+'Source Data'!Q1084+'Source Data'!Q1093+'Source Data'!Q1102+'Source Data'!Q1111+'Source Data'!Q1120-'Source Data'!Q836</f>
        <v>0</v>
      </c>
      <c r="R1292" s="161">
        <f>'Source Data'!R985+'Source Data'!R994+'Source Data'!R1003+'Source Data'!R1012+'Source Data'!R1021+'Source Data'!R1030+'Source Data'!R1039+'Source Data'!R1048+'Source Data'!R1057+'Source Data'!R1066+'Source Data'!R1075+'Source Data'!R1084+'Source Data'!R1093+'Source Data'!R1102+'Source Data'!R1111+'Source Data'!R1120-'Source Data'!R836</f>
        <v>0</v>
      </c>
      <c r="S1292" s="161">
        <f>'Source Data'!S985+'Source Data'!S994+'Source Data'!S1003+'Source Data'!S1012+'Source Data'!S1021+'Source Data'!S1030+'Source Data'!S1039+'Source Data'!S1048+'Source Data'!S1057+'Source Data'!S1066+'Source Data'!S1075+'Source Data'!S1084+'Source Data'!S1093+'Source Data'!S1102+'Source Data'!S1111+'Source Data'!S1120-'Source Data'!S836</f>
        <v>0</v>
      </c>
      <c r="T1292" s="161">
        <f>'Source Data'!T985+'Source Data'!T994+'Source Data'!T1003+'Source Data'!T1012+'Source Data'!T1021+'Source Data'!T1030+'Source Data'!T1039+'Source Data'!T1048+'Source Data'!T1057+'Source Data'!T1066+'Source Data'!T1075+'Source Data'!T1084+'Source Data'!T1093+'Source Data'!T1102+'Source Data'!T1111+'Source Data'!T1120-'Source Data'!T836</f>
        <v>0</v>
      </c>
    </row>
    <row r="1293" spans="2:21" ht="26.25" customHeight="1" x14ac:dyDescent="0.25">
      <c r="B1293" s="64" t="s">
        <v>4303</v>
      </c>
      <c r="C1293" s="28" t="s">
        <v>493</v>
      </c>
      <c r="H1293" s="161">
        <f>'Source Data'!H828-'Source Data'!H1043-'Source Data'!H893</f>
        <v>0</v>
      </c>
      <c r="I1293" s="161">
        <f>'Source Data'!I828-'Source Data'!I1043-'Source Data'!I893</f>
        <v>0</v>
      </c>
      <c r="J1293" s="161">
        <f>'Source Data'!J828-'Source Data'!J1043-'Source Data'!J893</f>
        <v>0</v>
      </c>
      <c r="K1293" s="161">
        <f>'Source Data'!K828-'Source Data'!K1043-'Source Data'!K893</f>
        <v>0</v>
      </c>
      <c r="L1293" s="161">
        <f>'Source Data'!L828-'Source Data'!L1043-'Source Data'!L893</f>
        <v>0</v>
      </c>
      <c r="M1293" s="161">
        <f>'Source Data'!M828-'Source Data'!M1043-'Source Data'!M893</f>
        <v>0</v>
      </c>
      <c r="N1293" s="161">
        <f>'Source Data'!N828-'Source Data'!N1043-'Source Data'!N893</f>
        <v>0</v>
      </c>
      <c r="O1293" s="161">
        <f>'Source Data'!O828-'Source Data'!O1043-'Source Data'!O893</f>
        <v>2.9558577807620168E-12</v>
      </c>
      <c r="P1293" s="161">
        <f>'Source Data'!P828-'Source Data'!P1043-'Source Data'!P893</f>
        <v>-4.0927261579781771E-12</v>
      </c>
      <c r="Q1293" s="161">
        <f>'Source Data'!Q828-'Source Data'!Q1043-'Source Data'!Q893</f>
        <v>-3.0695446184836328E-12</v>
      </c>
      <c r="R1293" s="161">
        <f>'Source Data'!R828-'Source Data'!R1043-'Source Data'!R893</f>
        <v>3.0695446184836328E-12</v>
      </c>
      <c r="S1293" s="161">
        <f>'Source Data'!S828-'Source Data'!S1043-'Source Data'!S893</f>
        <v>9.0949470177292824E-13</v>
      </c>
      <c r="T1293" s="161">
        <f>'Source Data'!T828-'Source Data'!T1043-'Source Data'!T893</f>
        <v>3.865352482534945E-12</v>
      </c>
    </row>
    <row r="1294" spans="2:21" ht="26.25" customHeight="1" x14ac:dyDescent="0.25">
      <c r="B1294" s="64" t="s">
        <v>4304</v>
      </c>
      <c r="C1294" s="28" t="s">
        <v>493</v>
      </c>
      <c r="H1294" s="161">
        <f>'Source Data'!H832-('Source Data'!H1043+'Source Data'!H1044+'Source Data'!H1045)-'Source Data'!H897</f>
        <v>0</v>
      </c>
      <c r="I1294" s="161">
        <f>'Source Data'!I832-('Source Data'!I1043+'Source Data'!I1044+'Source Data'!I1045)-'Source Data'!I897</f>
        <v>0</v>
      </c>
      <c r="J1294" s="161">
        <f>'Source Data'!J832-('Source Data'!J1043+'Source Data'!J1044+'Source Data'!J1045)-'Source Data'!J897</f>
        <v>9.0949470177292824E-13</v>
      </c>
      <c r="K1294" s="161">
        <f>'Source Data'!K832-('Source Data'!K1043+'Source Data'!K1044+'Source Data'!K1045)-'Source Data'!K897</f>
        <v>-5.1159076974727213E-13</v>
      </c>
      <c r="L1294" s="161">
        <f>'Source Data'!L832-('Source Data'!L1043+'Source Data'!L1044+'Source Data'!L1045)-'Source Data'!L897</f>
        <v>0</v>
      </c>
      <c r="M1294" s="161">
        <f>'Source Data'!M832-('Source Data'!M1043+'Source Data'!M1044+'Source Data'!M1045)-'Source Data'!M897</f>
        <v>-6.8212102632969618E-13</v>
      </c>
      <c r="N1294" s="161">
        <f>'Source Data'!N832-('Source Data'!N1043+'Source Data'!N1044+'Source Data'!N1045)-'Source Data'!N897</f>
        <v>-6.8212102632969618E-13</v>
      </c>
      <c r="O1294" s="161">
        <f>'Source Data'!O832-('Source Data'!O1043+'Source Data'!O1044+'Source Data'!O1045)-'Source Data'!O897</f>
        <v>0</v>
      </c>
      <c r="P1294" s="161">
        <f>'Source Data'!P832-('Source Data'!P1043+'Source Data'!P1044+'Source Data'!P1045)-'Source Data'!P897</f>
        <v>0</v>
      </c>
      <c r="Q1294" s="161">
        <f>'Source Data'!Q832-('Source Data'!Q1043+'Source Data'!Q1044+'Source Data'!Q1045)-'Source Data'!Q897</f>
        <v>0</v>
      </c>
      <c r="R1294" s="161">
        <f>'Source Data'!R832-('Source Data'!R1043+'Source Data'!R1044+'Source Data'!R1045)-'Source Data'!R897</f>
        <v>0</v>
      </c>
      <c r="S1294" s="161">
        <f>'Source Data'!S832-('Source Data'!S1043+'Source Data'!S1044+'Source Data'!S1045)-'Source Data'!S897</f>
        <v>0</v>
      </c>
      <c r="T1294" s="161">
        <f>'Source Data'!T832-('Source Data'!T1043+'Source Data'!T1044+'Source Data'!T1045)-'Source Data'!T897</f>
        <v>0</v>
      </c>
    </row>
    <row r="1295" spans="2:21" ht="26.25" customHeight="1" x14ac:dyDescent="0.25">
      <c r="B1295" s="64" t="s">
        <v>4305</v>
      </c>
      <c r="C1295" s="28" t="s">
        <v>493</v>
      </c>
      <c r="H1295" s="161">
        <f>'Source Data'!H838-'Source Data'!H1050-'Source Data'!H903</f>
        <v>0</v>
      </c>
      <c r="I1295" s="161">
        <f>'Source Data'!I838-'Source Data'!I1050-'Source Data'!I903</f>
        <v>0</v>
      </c>
      <c r="J1295" s="161">
        <f>'Source Data'!J838-'Source Data'!J1050-'Source Data'!J903</f>
        <v>0</v>
      </c>
      <c r="K1295" s="161">
        <f>'Source Data'!K838-'Source Data'!K1050-'Source Data'!K903</f>
        <v>0</v>
      </c>
      <c r="L1295" s="161">
        <f>'Source Data'!L838-'Source Data'!L1050-'Source Data'!L903</f>
        <v>0</v>
      </c>
      <c r="M1295" s="161">
        <f>'Source Data'!M838-'Source Data'!M1050-'Source Data'!M903</f>
        <v>0</v>
      </c>
      <c r="N1295" s="161">
        <f>'Source Data'!N838-'Source Data'!N1050-'Source Data'!N903</f>
        <v>0</v>
      </c>
      <c r="O1295" s="161">
        <f>'Source Data'!O838-'Source Data'!O1050-'Source Data'!O903</f>
        <v>0</v>
      </c>
      <c r="P1295" s="161">
        <f>'Source Data'!P838-'Source Data'!P1050-'Source Data'!P903</f>
        <v>-6.8212102632969618E-13</v>
      </c>
      <c r="Q1295" s="161">
        <f>'Source Data'!Q838-'Source Data'!Q1050-'Source Data'!Q903</f>
        <v>-5.6843418860808015E-13</v>
      </c>
      <c r="R1295" s="161">
        <f>'Source Data'!R838-'Source Data'!R1050-'Source Data'!R903</f>
        <v>0</v>
      </c>
      <c r="S1295" s="161">
        <f>'Source Data'!S838-'Source Data'!S1050-'Source Data'!S903</f>
        <v>0</v>
      </c>
      <c r="T1295" s="161">
        <f>'Source Data'!T838-'Source Data'!T1050-'Source Data'!T903</f>
        <v>4.5474735088646412E-13</v>
      </c>
    </row>
    <row r="1297" spans="2:20" x14ac:dyDescent="0.25">
      <c r="B1297" s="154" t="s">
        <v>4306</v>
      </c>
    </row>
    <row r="1298" spans="2:20" x14ac:dyDescent="0.25">
      <c r="B1298" s="145" t="s">
        <v>4307</v>
      </c>
    </row>
    <row r="1299" spans="2:20" x14ac:dyDescent="0.25">
      <c r="B1299" s="23" t="s">
        <v>4308</v>
      </c>
      <c r="C1299" s="28" t="s">
        <v>493</v>
      </c>
      <c r="H1299" s="159">
        <f>Inputs!$E$140*'Revenue Calculation'!H61*Inputs!$E$52*'Source Data'!H958*Inputs!$E$53/1000000000</f>
        <v>0</v>
      </c>
      <c r="I1299" s="159">
        <f>Inputs!$E$140*'Revenue Calculation'!I61*Inputs!$E$52*'Source Data'!I958*Inputs!$E$53/1000000000</f>
        <v>0</v>
      </c>
      <c r="J1299" s="159">
        <f>Inputs!$E$140*'Revenue Calculation'!J61*Inputs!$E$52*'Source Data'!J958*Inputs!$E$53/1000000000</f>
        <v>0</v>
      </c>
      <c r="K1299" s="159">
        <f>Inputs!$E$140*'Revenue Calculation'!K61*Inputs!$E$52*'Source Data'!K958*Inputs!$E$53/1000000000</f>
        <v>0</v>
      </c>
      <c r="L1299" s="159">
        <f>Inputs!$E$140*'Revenue Calculation'!L61*Inputs!$E$52*'Source Data'!L958*Inputs!$E$53/1000000000</f>
        <v>0</v>
      </c>
      <c r="M1299" s="159">
        <f>Inputs!$E$140*'Revenue Calculation'!M61*Inputs!$E$52*'Source Data'!M958*Inputs!$E$53/1000000000</f>
        <v>0</v>
      </c>
      <c r="N1299" s="159">
        <f>Inputs!$E$140*'Revenue Calculation'!N61*Inputs!$E$52*'Source Data'!N958*Inputs!$E$53/1000000000</f>
        <v>0</v>
      </c>
      <c r="O1299" s="159">
        <f>Inputs!$E$140*'Revenue Calculation'!O61*Inputs!$E$52*'Source Data'!O958*Inputs!$E$53/1000000000</f>
        <v>0</v>
      </c>
      <c r="P1299" s="159">
        <f>Inputs!$E$140*'Revenue Calculation'!P61*Inputs!$E$52*'Source Data'!P958*Inputs!$E$53/1000000000</f>
        <v>0</v>
      </c>
      <c r="Q1299" s="159">
        <f>Inputs!$E$140*'Revenue Calculation'!Q61*Inputs!$E$52*'Source Data'!Q958*Inputs!$E$53/1000000000</f>
        <v>0</v>
      </c>
      <c r="R1299" s="159">
        <f>Inputs!$E$140*'Revenue Calculation'!R61*Inputs!$E$52*'Source Data'!R958*Inputs!$E$53/1000000000</f>
        <v>17.05797508415726</v>
      </c>
      <c r="S1299" s="159">
        <f>Inputs!$E$140*'Revenue Calculation'!S61*Inputs!$E$52*'Source Data'!S958*Inputs!$E$53/1000000000</f>
        <v>17.740294087523552</v>
      </c>
      <c r="T1299" s="159">
        <f>Inputs!$E$140*'Revenue Calculation'!T61*Inputs!$E$52*'Source Data'!T958*Inputs!$E$53/1000000000</f>
        <v>18.449905851024496</v>
      </c>
    </row>
    <row r="1300" spans="2:20" x14ac:dyDescent="0.25">
      <c r="B1300" s="23" t="s">
        <v>4309</v>
      </c>
      <c r="C1300" s="28" t="s">
        <v>493</v>
      </c>
      <c r="H1300" s="159">
        <f>H1299*(1-(Inputs!H417+Inputs!H414)*Inputs!$E$54)</f>
        <v>0</v>
      </c>
      <c r="I1300" s="159">
        <f>I1299*(1-(Inputs!I417+Inputs!I414)*Inputs!$E$54)</f>
        <v>0</v>
      </c>
      <c r="J1300" s="159">
        <f>J1299*(1-(Inputs!J417+Inputs!J414)*Inputs!$E$54)</f>
        <v>0</v>
      </c>
      <c r="K1300" s="159">
        <f>K1299*(1-(Inputs!K417+Inputs!K414)*Inputs!$E$54)</f>
        <v>0</v>
      </c>
      <c r="L1300" s="159">
        <f>L1299*(1-(Inputs!L417+Inputs!L414)*Inputs!$E$54)</f>
        <v>0</v>
      </c>
      <c r="M1300" s="159">
        <f>M1299*(1-(Inputs!M417+Inputs!M414)*Inputs!$E$54)</f>
        <v>0</v>
      </c>
      <c r="N1300" s="159">
        <f>N1299*(1-(Inputs!N417+Inputs!N414)*Inputs!$E$54)</f>
        <v>0</v>
      </c>
      <c r="O1300" s="159">
        <f>O1299*(1-(Inputs!O417+Inputs!O414)*Inputs!$E$54)</f>
        <v>0</v>
      </c>
      <c r="P1300" s="159">
        <f>P1299*(1-(Inputs!P417+Inputs!P414)*Inputs!$E$54)</f>
        <v>0</v>
      </c>
      <c r="Q1300" s="159">
        <f>Q1299*(1-(Inputs!Q417+Inputs!Q414)*Inputs!$E$54)</f>
        <v>0</v>
      </c>
      <c r="R1300" s="159">
        <f>R1299*(1-(Inputs!R417+Inputs!R414)*Inputs!$E$54)</f>
        <v>2.7268400781045359</v>
      </c>
      <c r="S1300" s="159">
        <f>S1299*(1-(Inputs!S417+Inputs!S414)*Inputs!$E$54)</f>
        <v>2.8359136812287176</v>
      </c>
      <c r="T1300" s="159">
        <f>T1299*(1-(Inputs!T417+Inputs!T414)*Inputs!$E$54)</f>
        <v>2.9493502284778663</v>
      </c>
    </row>
    <row r="1301" spans="2:20" ht="26.25" customHeight="1" x14ac:dyDescent="0.25">
      <c r="B1301" s="64" t="s">
        <v>4310</v>
      </c>
      <c r="C1301" s="28" t="s">
        <v>493</v>
      </c>
      <c r="H1301" s="159">
        <f>-'Revenue Calculation'!H12*'Capex &amp; Depreciation'!$E$100*(Inputs!$E$227/Inputs!$E$228+(1-Inputs!$E$227)/Inputs!$E$229)</f>
        <v>0</v>
      </c>
      <c r="I1301" s="159">
        <f>-'Revenue Calculation'!I12*'Capex &amp; Depreciation'!$E$100*(Inputs!$E$227/Inputs!$E$228+(1-Inputs!$E$227)/Inputs!$E$229)</f>
        <v>0</v>
      </c>
      <c r="J1301" s="159">
        <f>-'Revenue Calculation'!J12*'Capex &amp; Depreciation'!$E$100*(Inputs!$E$227/Inputs!$E$228+(1-Inputs!$E$227)/Inputs!$E$229)</f>
        <v>0</v>
      </c>
      <c r="K1301" s="159">
        <f>-'Revenue Calculation'!K12*'Capex &amp; Depreciation'!$E$100*(Inputs!$E$227/Inputs!$E$228+(1-Inputs!$E$227)/Inputs!$E$229)</f>
        <v>-4.8995000000000033</v>
      </c>
      <c r="L1301" s="159">
        <f>-'Revenue Calculation'!L12*'Capex &amp; Depreciation'!$E$100*(Inputs!$E$227/Inputs!$E$228+(1-Inputs!$E$227)/Inputs!$E$229)</f>
        <v>-4.8995000000000033</v>
      </c>
      <c r="M1301" s="159">
        <f>-'Revenue Calculation'!M12*'Capex &amp; Depreciation'!$E$100*(Inputs!$E$227/Inputs!$E$228+(1-Inputs!$E$227)/Inputs!$E$229)</f>
        <v>-4.8995000000000033</v>
      </c>
      <c r="N1301" s="159">
        <f>-'Revenue Calculation'!N12*'Capex &amp; Depreciation'!$E$100*(Inputs!$E$227/Inputs!$E$228+(1-Inputs!$E$227)/Inputs!$E$229)</f>
        <v>-4.8995000000000033</v>
      </c>
      <c r="O1301" s="159">
        <f>-'Revenue Calculation'!O12*'Capex &amp; Depreciation'!$E$100*(Inputs!$E$227/Inputs!$E$228+(1-Inputs!$E$227)/Inputs!$E$229)</f>
        <v>-4.8995000000000033</v>
      </c>
      <c r="P1301" s="159">
        <f>-'Revenue Calculation'!P12*'Capex &amp; Depreciation'!$E$100*(Inputs!$E$227/Inputs!$E$228+(1-Inputs!$E$227)/Inputs!$E$229)</f>
        <v>-4.8995000000000033</v>
      </c>
      <c r="Q1301" s="159">
        <f>-'Revenue Calculation'!Q12*'Capex &amp; Depreciation'!$E$100*(Inputs!$E$227/Inputs!$E$228+(1-Inputs!$E$227)/Inputs!$E$229)</f>
        <v>-4.8995000000000033</v>
      </c>
      <c r="R1301" s="159">
        <f>-'Revenue Calculation'!R12*'Capex &amp; Depreciation'!$E$100*(Inputs!$E$227/Inputs!$E$228+(1-Inputs!$E$227)/Inputs!$E$229)</f>
        <v>-4.8995000000000033</v>
      </c>
      <c r="S1301" s="159">
        <f>-'Revenue Calculation'!S12*'Capex &amp; Depreciation'!$E$100*(Inputs!$E$227/Inputs!$E$228+(1-Inputs!$E$227)/Inputs!$E$229)</f>
        <v>-4.8995000000000033</v>
      </c>
      <c r="T1301" s="159">
        <f>-'Revenue Calculation'!T12*'Capex &amp; Depreciation'!$E$100*(Inputs!$E$227/Inputs!$E$228+(1-Inputs!$E$227)/Inputs!$E$229)</f>
        <v>-4.8995000000000033</v>
      </c>
    </row>
    <row r="1302" spans="2:20" ht="26.25" customHeight="1" x14ac:dyDescent="0.25">
      <c r="B1302" s="64" t="s">
        <v>4311</v>
      </c>
      <c r="C1302" s="28" t="s">
        <v>493</v>
      </c>
      <c r="H1302" s="159">
        <f>-('Capex &amp; Depreciation'!H150-'Capex &amp; Depreciation'!H149)</f>
        <v>0</v>
      </c>
      <c r="I1302" s="159">
        <f>-('Capex &amp; Depreciation'!I150-'Capex &amp; Depreciation'!I149)</f>
        <v>8.2170977448715377E-2</v>
      </c>
      <c r="J1302" s="159">
        <f>-('Capex &amp; Depreciation'!J150-'Capex &amp; Depreciation'!J149)</f>
        <v>7.0517234774487108</v>
      </c>
      <c r="K1302" s="159">
        <f>-('Capex &amp; Depreciation'!K150-'Capex &amp; Depreciation'!K149)</f>
        <v>8.2170977448704718E-2</v>
      </c>
      <c r="L1302" s="159">
        <f>-('Capex &amp; Depreciation'!L150-'Capex &amp; Depreciation'!L149)</f>
        <v>8.2170977448711824E-2</v>
      </c>
      <c r="M1302" s="159">
        <f>-('Capex &amp; Depreciation'!M150-'Capex &amp; Depreciation'!M149)</f>
        <v>8.2170977448711824E-2</v>
      </c>
      <c r="N1302" s="159">
        <f>-('Capex &amp; Depreciation'!N150-'Capex &amp; Depreciation'!N149)</f>
        <v>8.2170977448711824E-2</v>
      </c>
      <c r="O1302" s="159">
        <f>-('Capex &amp; Depreciation'!O150-'Capex &amp; Depreciation'!O149)</f>
        <v>8.2170977448711824E-2</v>
      </c>
      <c r="P1302" s="159">
        <f>-('Capex &amp; Depreciation'!P150-'Capex &amp; Depreciation'!P149)</f>
        <v>0.47253097744870587</v>
      </c>
      <c r="Q1302" s="159">
        <f>-('Capex &amp; Depreciation'!Q150-'Capex &amp; Depreciation'!Q149)</f>
        <v>14.356642593871975</v>
      </c>
      <c r="R1302" s="159">
        <f>-('Capex &amp; Depreciation'!R150-'Capex &amp; Depreciation'!R149)</f>
        <v>15.52052384387197</v>
      </c>
      <c r="S1302" s="159">
        <f>-('Capex &amp; Depreciation'!S150-'Capex &amp; Depreciation'!S149)</f>
        <v>17.208017593871972</v>
      </c>
      <c r="T1302" s="159">
        <f>-('Capex &amp; Depreciation'!T150-'Capex &amp; Depreciation'!T149)</f>
        <v>22.315830093871977</v>
      </c>
    </row>
    <row r="1303" spans="2:20" ht="26.25" customHeight="1" x14ac:dyDescent="0.25">
      <c r="B1303" s="64" t="s">
        <v>4312</v>
      </c>
      <c r="C1303" s="28" t="s">
        <v>493</v>
      </c>
      <c r="H1303" s="159">
        <f>MIN('Capex &amp; Depreciation'!H177,MAX(0,G1304))</f>
        <v>41.740782175912301</v>
      </c>
      <c r="I1303" s="159">
        <f>MIN('Capex &amp; Depreciation'!I177,MAX(0,H1304))</f>
        <v>41.746256305782097</v>
      </c>
      <c r="J1303" s="159">
        <f>MIN('Capex &amp; Depreciation'!J177,MAX(0,I1304))</f>
        <v>42.751839918249296</v>
      </c>
      <c r="K1303" s="159">
        <f>MIN('Capex &amp; Depreciation'!K177,MAX(0,J1304))</f>
        <v>42.757535202965833</v>
      </c>
      <c r="L1303" s="159">
        <f>MIN('Capex &amp; Depreciation'!L177,MAX(0,K1304))</f>
        <v>42.763344393376705</v>
      </c>
      <c r="M1303" s="159">
        <f>MIN('Capex &amp; Depreciation'!M177,MAX(0,L1304))</f>
        <v>43.769269767595794</v>
      </c>
      <c r="N1303" s="159">
        <f>MIN('Capex &amp; Depreciation'!N177,MAX(0,M1304))</f>
        <v>43.775313649299264</v>
      </c>
      <c r="O1303" s="159">
        <f>MIN('Capex &amp; Depreciation'!O177,MAX(0,N1304))</f>
        <v>28.02149874624574</v>
      </c>
      <c r="P1303" s="159">
        <f>MIN('Capex &amp; Depreciation'!P177,MAX(0,O1304))</f>
        <v>0</v>
      </c>
      <c r="Q1303" s="159">
        <f>MIN('Capex &amp; Depreciation'!Q177,MAX(0,P1304))</f>
        <v>0</v>
      </c>
      <c r="R1303" s="159">
        <f>MIN('Capex &amp; Depreciation'!R177,MAX(0,Q1304))</f>
        <v>0</v>
      </c>
      <c r="S1303" s="159">
        <f>MIN('Capex &amp; Depreciation'!S177,MAX(0,R1304))</f>
        <v>0</v>
      </c>
      <c r="T1303" s="159">
        <f>MIN('Capex &amp; Depreciation'!T177,MAX(0,S1304))</f>
        <v>0</v>
      </c>
    </row>
    <row r="1304" spans="2:20" x14ac:dyDescent="0.25">
      <c r="B1304" s="23" t="s">
        <v>4313</v>
      </c>
      <c r="C1304" s="28" t="s">
        <v>493</v>
      </c>
      <c r="G1304" s="29">
        <f>'Source Data'!$E$814</f>
        <v>327.325840159427</v>
      </c>
      <c r="H1304" s="159">
        <f t="shared" ref="H1304:T1304" si="246">G1304-H1303</f>
        <v>285.58505798351473</v>
      </c>
      <c r="I1304" s="159">
        <f t="shared" si="246"/>
        <v>243.83880167773265</v>
      </c>
      <c r="J1304" s="159">
        <f t="shared" si="246"/>
        <v>201.08696175948336</v>
      </c>
      <c r="K1304" s="159">
        <f t="shared" si="246"/>
        <v>158.32942655651752</v>
      </c>
      <c r="L1304" s="159">
        <f t="shared" si="246"/>
        <v>115.56608216314081</v>
      </c>
      <c r="M1304" s="159">
        <f t="shared" si="246"/>
        <v>71.796812395545004</v>
      </c>
      <c r="N1304" s="159">
        <f t="shared" si="246"/>
        <v>28.02149874624574</v>
      </c>
      <c r="O1304" s="159">
        <f t="shared" si="246"/>
        <v>0</v>
      </c>
      <c r="P1304" s="159">
        <f t="shared" si="246"/>
        <v>0</v>
      </c>
      <c r="Q1304" s="159">
        <f t="shared" si="246"/>
        <v>0</v>
      </c>
      <c r="R1304" s="159">
        <f t="shared" si="246"/>
        <v>0</v>
      </c>
      <c r="S1304" s="159">
        <f t="shared" si="246"/>
        <v>0</v>
      </c>
      <c r="T1304" s="159">
        <f t="shared" si="246"/>
        <v>0</v>
      </c>
    </row>
    <row r="1305" spans="2:20" ht="26.25" customHeight="1" x14ac:dyDescent="0.25">
      <c r="B1305" s="64" t="s">
        <v>4314</v>
      </c>
      <c r="C1305" s="28" t="s">
        <v>493</v>
      </c>
      <c r="H1305" s="159">
        <f>MIN('Capex &amp; Depreciation'!H181,MAX(0,G1306))</f>
        <v>40.958825604243003</v>
      </c>
      <c r="I1305" s="159">
        <f>MIN('Capex &amp; Depreciation'!I181,MAX(0,H1306))</f>
        <v>40.961418579151264</v>
      </c>
      <c r="J1305" s="159">
        <f>MIN('Capex &amp; Depreciation'!J181,MAX(0,I1306))</f>
        <v>41.964063413557689</v>
      </c>
      <c r="K1305" s="159">
        <f>MIN('Capex &amp; Depreciation'!K181,MAX(0,J1306))</f>
        <v>41.966761144652239</v>
      </c>
      <c r="L1305" s="159">
        <f>MIN('Capex &amp; Depreciation'!L181,MAX(0,K1306))</f>
        <v>41.969512830368686</v>
      </c>
      <c r="M1305" s="159">
        <f>MIN('Capex &amp; Depreciation'!M181,MAX(0,L1306))</f>
        <v>42.972319549799458</v>
      </c>
      <c r="N1305" s="159">
        <f>MIN('Capex &amp; Depreciation'!N181,MAX(0,M1306))</f>
        <v>42.975182403618852</v>
      </c>
      <c r="O1305" s="159">
        <f>MIN('Capex &amp; Depreciation'!O181,MAX(0,N1306))</f>
        <v>42.978102514514624</v>
      </c>
      <c r="P1305" s="159">
        <f>MIN('Capex &amp; Depreciation'!P181,MAX(0,O1306))</f>
        <v>43.981081027628321</v>
      </c>
      <c r="Q1305" s="159">
        <f>MIN('Capex &amp; Depreciation'!Q181,MAX(0,P1306))</f>
        <v>43.984119111004283</v>
      </c>
      <c r="R1305" s="159">
        <f>MIN('Capex &amp; Depreciation'!R181,MAX(0,Q1306))</f>
        <v>43.987217956047772</v>
      </c>
      <c r="S1305" s="159">
        <f>MIN('Capex &amp; Depreciation'!S181,MAX(0,R1306))</f>
        <v>25.744237049363818</v>
      </c>
      <c r="T1305" s="159">
        <f>MIN('Capex &amp; Depreciation'!T181,MAX(0,S1306))</f>
        <v>0</v>
      </c>
    </row>
    <row r="1306" spans="2:20" x14ac:dyDescent="0.25">
      <c r="B1306" s="23" t="s">
        <v>4315</v>
      </c>
      <c r="C1306" s="28" t="s">
        <v>493</v>
      </c>
      <c r="G1306" s="29">
        <f>'Source Data'!$E$815</f>
        <v>494.44284118395001</v>
      </c>
      <c r="H1306" s="159">
        <f t="shared" ref="H1306:T1306" si="247">G1306-H1305</f>
        <v>453.48401557970703</v>
      </c>
      <c r="I1306" s="159">
        <f t="shared" si="247"/>
        <v>412.52259700055578</v>
      </c>
      <c r="J1306" s="159">
        <f t="shared" si="247"/>
        <v>370.55853358699807</v>
      </c>
      <c r="K1306" s="159">
        <f t="shared" si="247"/>
        <v>328.59177244234581</v>
      </c>
      <c r="L1306" s="159">
        <f t="shared" si="247"/>
        <v>286.62225961197714</v>
      </c>
      <c r="M1306" s="159">
        <f t="shared" si="247"/>
        <v>243.64994006217768</v>
      </c>
      <c r="N1306" s="159">
        <f t="shared" si="247"/>
        <v>200.67475765855883</v>
      </c>
      <c r="O1306" s="159">
        <f t="shared" si="247"/>
        <v>157.6966551440442</v>
      </c>
      <c r="P1306" s="159">
        <f t="shared" si="247"/>
        <v>113.71557411641588</v>
      </c>
      <c r="Q1306" s="159">
        <f t="shared" si="247"/>
        <v>69.73145500541159</v>
      </c>
      <c r="R1306" s="159">
        <f t="shared" si="247"/>
        <v>25.744237049363818</v>
      </c>
      <c r="S1306" s="159">
        <f t="shared" si="247"/>
        <v>0</v>
      </c>
      <c r="T1306" s="159">
        <f t="shared" si="247"/>
        <v>0</v>
      </c>
    </row>
    <row r="1307" spans="2:20" x14ac:dyDescent="0.25">
      <c r="B1307" s="23" t="s">
        <v>4316</v>
      </c>
      <c r="C1307" s="28" t="s">
        <v>493</v>
      </c>
      <c r="H1307" s="159">
        <f>MIN('Capex &amp; Depreciation'!H185,MAX(0,G1308))</f>
        <v>3.04885373796</v>
      </c>
      <c r="I1307" s="159">
        <f>MIN('Capex &amp; Depreciation'!I185,MAX(0,H1308))</f>
        <v>0</v>
      </c>
      <c r="J1307" s="159">
        <f>MIN('Capex &amp; Depreciation'!J185,MAX(0,I1308))</f>
        <v>0</v>
      </c>
      <c r="K1307" s="159">
        <f>MIN('Capex &amp; Depreciation'!K185,MAX(0,J1308))</f>
        <v>0</v>
      </c>
      <c r="L1307" s="159">
        <f>MIN('Capex &amp; Depreciation'!L185,MAX(0,K1308))</f>
        <v>0</v>
      </c>
      <c r="M1307" s="159">
        <f>MIN('Capex &amp; Depreciation'!M185,MAX(0,L1308))</f>
        <v>0</v>
      </c>
      <c r="N1307" s="159">
        <f>MIN('Capex &amp; Depreciation'!N185,MAX(0,M1308))</f>
        <v>0</v>
      </c>
      <c r="O1307" s="159">
        <f>MIN('Capex &amp; Depreciation'!O185,MAX(0,N1308))</f>
        <v>0</v>
      </c>
      <c r="P1307" s="159">
        <f>MIN('Capex &amp; Depreciation'!P185,MAX(0,O1308))</f>
        <v>0</v>
      </c>
      <c r="Q1307" s="159">
        <f>MIN('Capex &amp; Depreciation'!Q185,MAX(0,P1308))</f>
        <v>0</v>
      </c>
      <c r="R1307" s="159">
        <f>MIN('Capex &amp; Depreciation'!R185,MAX(0,Q1308))</f>
        <v>0</v>
      </c>
      <c r="S1307" s="159">
        <f>MIN('Capex &amp; Depreciation'!S185,MAX(0,R1308))</f>
        <v>0</v>
      </c>
      <c r="T1307" s="159">
        <f>MIN('Capex &amp; Depreciation'!T185,MAX(0,S1308))</f>
        <v>0</v>
      </c>
    </row>
    <row r="1308" spans="2:20" x14ac:dyDescent="0.25">
      <c r="B1308" s="23" t="s">
        <v>4317</v>
      </c>
      <c r="C1308" s="28" t="s">
        <v>493</v>
      </c>
      <c r="G1308" s="29">
        <f>'Source Data'!$E$816</f>
        <v>3.04885373796</v>
      </c>
      <c r="H1308" s="159">
        <f t="shared" ref="H1308:T1308" si="248">G1308-H1307</f>
        <v>0</v>
      </c>
      <c r="I1308" s="159">
        <f t="shared" si="248"/>
        <v>0</v>
      </c>
      <c r="J1308" s="159">
        <f t="shared" si="248"/>
        <v>0</v>
      </c>
      <c r="K1308" s="159">
        <f t="shared" si="248"/>
        <v>0</v>
      </c>
      <c r="L1308" s="159">
        <f t="shared" si="248"/>
        <v>0</v>
      </c>
      <c r="M1308" s="159">
        <f t="shared" si="248"/>
        <v>0</v>
      </c>
      <c r="N1308" s="159">
        <f t="shared" si="248"/>
        <v>0</v>
      </c>
      <c r="O1308" s="159">
        <f t="shared" si="248"/>
        <v>0</v>
      </c>
      <c r="P1308" s="159">
        <f t="shared" si="248"/>
        <v>0</v>
      </c>
      <c r="Q1308" s="159">
        <f t="shared" si="248"/>
        <v>0</v>
      </c>
      <c r="R1308" s="159">
        <f t="shared" si="248"/>
        <v>0</v>
      </c>
      <c r="S1308" s="159">
        <f t="shared" si="248"/>
        <v>0</v>
      </c>
      <c r="T1308" s="159">
        <f t="shared" si="248"/>
        <v>0</v>
      </c>
    </row>
    <row r="1309" spans="2:20" x14ac:dyDescent="0.25">
      <c r="B1309" s="23" t="s">
        <v>4318</v>
      </c>
      <c r="C1309" s="28" t="s">
        <v>493</v>
      </c>
      <c r="H1309" s="159">
        <f>MIN('Capex &amp; Depreciation'!H189,MAX(0,G1310))</f>
        <v>0.43948041534999999</v>
      </c>
      <c r="I1309" s="159">
        <f>MIN('Capex &amp; Depreciation'!I189,MAX(0,H1310))</f>
        <v>0.43948041534999999</v>
      </c>
      <c r="J1309" s="159">
        <f>MIN('Capex &amp; Depreciation'!J189,MAX(0,I1310))</f>
        <v>0.32582302095999999</v>
      </c>
      <c r="K1309" s="159">
        <f>MIN('Capex &amp; Depreciation'!K189,MAX(0,J1310))</f>
        <v>0</v>
      </c>
      <c r="L1309" s="159">
        <f>MIN('Capex &amp; Depreciation'!L189,MAX(0,K1310))</f>
        <v>0</v>
      </c>
      <c r="M1309" s="159">
        <f>MIN('Capex &amp; Depreciation'!M189,MAX(0,L1310))</f>
        <v>0</v>
      </c>
      <c r="N1309" s="159">
        <f>MIN('Capex &amp; Depreciation'!N189,MAX(0,M1310))</f>
        <v>0</v>
      </c>
      <c r="O1309" s="159">
        <f>MIN('Capex &amp; Depreciation'!O189,MAX(0,N1310))</f>
        <v>0</v>
      </c>
      <c r="P1309" s="159">
        <f>MIN('Capex &amp; Depreciation'!P189,MAX(0,O1310))</f>
        <v>0</v>
      </c>
      <c r="Q1309" s="159">
        <f>MIN('Capex &amp; Depreciation'!Q189,MAX(0,P1310))</f>
        <v>0</v>
      </c>
      <c r="R1309" s="159">
        <f>MIN('Capex &amp; Depreciation'!R189,MAX(0,Q1310))</f>
        <v>0</v>
      </c>
      <c r="S1309" s="159">
        <f>MIN('Capex &amp; Depreciation'!S189,MAX(0,R1310))</f>
        <v>0</v>
      </c>
      <c r="T1309" s="159">
        <f>MIN('Capex &amp; Depreciation'!T189,MAX(0,S1310))</f>
        <v>0</v>
      </c>
    </row>
    <row r="1310" spans="2:20" x14ac:dyDescent="0.25">
      <c r="B1310" s="23" t="s">
        <v>4319</v>
      </c>
      <c r="C1310" s="28" t="s">
        <v>493</v>
      </c>
      <c r="G1310" s="29">
        <f>'Source Data'!$E$817</f>
        <v>1.20478385166</v>
      </c>
      <c r="H1310" s="159">
        <f t="shared" ref="H1310:T1310" si="249">G1310-H1309</f>
        <v>0.76530343630999997</v>
      </c>
      <c r="I1310" s="159">
        <f t="shared" si="249"/>
        <v>0.32582302095999999</v>
      </c>
      <c r="J1310" s="159">
        <f t="shared" si="249"/>
        <v>0</v>
      </c>
      <c r="K1310" s="159">
        <f t="shared" si="249"/>
        <v>0</v>
      </c>
      <c r="L1310" s="159">
        <f t="shared" si="249"/>
        <v>0</v>
      </c>
      <c r="M1310" s="159">
        <f t="shared" si="249"/>
        <v>0</v>
      </c>
      <c r="N1310" s="159">
        <f t="shared" si="249"/>
        <v>0</v>
      </c>
      <c r="O1310" s="159">
        <f t="shared" si="249"/>
        <v>0</v>
      </c>
      <c r="P1310" s="159">
        <f t="shared" si="249"/>
        <v>0</v>
      </c>
      <c r="Q1310" s="159">
        <f t="shared" si="249"/>
        <v>0</v>
      </c>
      <c r="R1310" s="159">
        <f t="shared" si="249"/>
        <v>0</v>
      </c>
      <c r="S1310" s="159">
        <f t="shared" si="249"/>
        <v>0</v>
      </c>
      <c r="T1310" s="159">
        <f t="shared" si="249"/>
        <v>0</v>
      </c>
    </row>
    <row r="1311" spans="2:20" ht="26.25" customHeight="1" x14ac:dyDescent="0.25">
      <c r="B1311" s="64" t="s">
        <v>4320</v>
      </c>
      <c r="C1311" s="28" t="s">
        <v>493</v>
      </c>
      <c r="H1311" s="159">
        <f>('Capex &amp; Depreciation'!H177-H1303)+('Capex &amp; Depreciation'!H181-H1305)+('Capex &amp; Depreciation'!H185-H1307)+('Capex &amp; Depreciation'!H189-H1309)</f>
        <v>2.1851204754699998</v>
      </c>
      <c r="I1311" s="159">
        <f>('Capex &amp; Depreciation'!I177-I1303)+('Capex &amp; Depreciation'!I181-I1305)+('Capex &amp; Depreciation'!I185-I1307)+('Capex &amp; Depreciation'!I189-I1309)</f>
        <v>5.2339742134299998</v>
      </c>
      <c r="J1311" s="159">
        <f>('Capex &amp; Depreciation'!J177-J1303)+('Capex &amp; Depreciation'!J181-J1305)+('Capex &amp; Depreciation'!J185-J1307)+('Capex &amp; Depreciation'!J189-J1309)</f>
        <v>2.730644501105</v>
      </c>
      <c r="K1311" s="159">
        <f>('Capex &amp; Depreciation'!K177-K1303)+('Capex &amp; Depreciation'!K181-K1305)+('Capex &amp; Depreciation'!K185-K1307)+('Capex &amp; Depreciation'!K189-K1309)</f>
        <v>0.43948041534999999</v>
      </c>
      <c r="L1311" s="159">
        <f>('Capex &amp; Depreciation'!L177-L1303)+('Capex &amp; Depreciation'!L181-L1305)+('Capex &amp; Depreciation'!L185-L1307)+('Capex &amp; Depreciation'!L189-L1309)</f>
        <v>0.43948041534999999</v>
      </c>
      <c r="M1311" s="159">
        <f>('Capex &amp; Depreciation'!M177-M1303)+('Capex &amp; Depreciation'!M181-M1305)+('Capex &amp; Depreciation'!M185-M1307)+('Capex &amp; Depreciation'!M189-M1309)</f>
        <v>0.43948041534999999</v>
      </c>
      <c r="N1311" s="159">
        <f>('Capex &amp; Depreciation'!N177-N1303)+('Capex &amp; Depreciation'!N181-N1305)+('Capex &amp; Depreciation'!N185-N1307)+('Capex &amp; Depreciation'!N189-N1309)</f>
        <v>0.43948041534999999</v>
      </c>
      <c r="O1311" s="159">
        <f>('Capex &amp; Depreciation'!O177-O1303)+('Capex &amp; Depreciation'!O181-O1305)+('Capex &amp; Depreciation'!O185-O1307)+('Capex &amp; Depreciation'!O189-O1309)</f>
        <v>16.199460077741062</v>
      </c>
      <c r="P1311" s="159">
        <f>('Capex &amp; Depreciation'!P177-P1303)+('Capex &amp; Depreciation'!P181-P1305)+('Capex &amp; Depreciation'!P185-P1307)+('Capex &amp; Depreciation'!P189-P1309)</f>
        <v>45.227246878511089</v>
      </c>
      <c r="Q1311" s="159">
        <f>('Capex &amp; Depreciation'!Q177-Q1303)+('Capex &amp; Depreciation'!Q181-Q1305)+('Capex &amp; Depreciation'!Q185-Q1307)+('Capex &amp; Depreciation'!Q189-Q1309)</f>
        <v>45.233660694125867</v>
      </c>
      <c r="R1311" s="159">
        <f>('Capex &amp; Depreciation'!R177-R1303)+('Capex &amp; Depreciation'!R181-R1305)+('Capex &amp; Depreciation'!R185-R1307)+('Capex &amp; Depreciation'!R189-R1309)</f>
        <v>45.24020278605294</v>
      </c>
      <c r="S1311" s="159">
        <f>('Capex &amp; Depreciation'!S177-S1303)+('Capex &amp; Depreciation'!S181-S1305)+('Capex &amp; Depreciation'!S185-S1307)+('Capex &amp; Depreciation'!S189-S1309)</f>
        <v>63.493017448446857</v>
      </c>
      <c r="T1311" s="159">
        <f>('Capex &amp; Depreciation'!T177-T1303)+('Capex &amp; Depreciation'!T181-T1305)+('Capex &amp; Depreciation'!T185-T1307)+('Capex &amp; Depreciation'!T189-T1309)</f>
        <v>89.247284928634855</v>
      </c>
    </row>
    <row r="1312" spans="2:20" ht="26.25" customHeight="1" x14ac:dyDescent="0.25">
      <c r="B1312" s="64" t="s">
        <v>4321</v>
      </c>
      <c r="C1312" s="28" t="s">
        <v>493</v>
      </c>
      <c r="G1312" s="29">
        <f>'Source Data'!$E$803</f>
        <v>197.41043441970999</v>
      </c>
      <c r="H1312" s="29">
        <f>'Source Data'!$E$803</f>
        <v>197.41043441970999</v>
      </c>
      <c r="I1312" s="29">
        <f>'Source Data'!$E$803</f>
        <v>197.41043441970999</v>
      </c>
      <c r="J1312" s="29">
        <f>'Source Data'!$E$803</f>
        <v>197.41043441970999</v>
      </c>
      <c r="K1312" s="29">
        <f>'Source Data'!$E$803</f>
        <v>197.41043441970999</v>
      </c>
      <c r="L1312" s="29">
        <f>'Source Data'!$E$803</f>
        <v>197.41043441970999</v>
      </c>
      <c r="M1312" s="29">
        <f>'Source Data'!$E$803</f>
        <v>197.41043441970999</v>
      </c>
      <c r="N1312" s="29">
        <f>'Source Data'!$E$803</f>
        <v>197.41043441970999</v>
      </c>
      <c r="O1312" s="29">
        <f>'Source Data'!$E$803</f>
        <v>197.41043441970999</v>
      </c>
      <c r="P1312" s="29">
        <f>'Source Data'!$E$803</f>
        <v>197.41043441970999</v>
      </c>
      <c r="Q1312" s="29">
        <f>'Source Data'!$E$803</f>
        <v>197.41043441970999</v>
      </c>
      <c r="R1312" s="29">
        <f>'Source Data'!$E$803</f>
        <v>197.41043441970999</v>
      </c>
      <c r="S1312" s="29">
        <f>'Source Data'!$E$803</f>
        <v>197.41043441970999</v>
      </c>
      <c r="T1312" s="29">
        <f>'Source Data'!$E$803</f>
        <v>197.41043441970999</v>
      </c>
    </row>
    <row r="1313" spans="2:20" ht="26.25" customHeight="1" x14ac:dyDescent="0.25">
      <c r="B1313" s="64" t="s">
        <v>4322</v>
      </c>
      <c r="C1313" s="28" t="s">
        <v>493</v>
      </c>
      <c r="H1313" s="159">
        <f>-('FSL Output - With BUMN'!H228-'FSL Output - With BUMN'!H189)</f>
        <v>1.2035992138854184</v>
      </c>
      <c r="I1313" s="159">
        <f>-('FSL Output - With BUMN'!I228-'FSL Output - With BUMN'!I189)</f>
        <v>9.8535073405042191</v>
      </c>
      <c r="J1313" s="159">
        <f>-('FSL Output - With BUMN'!J228-'FSL Output - With BUMN'!J189)</f>
        <v>4.4917808042785978</v>
      </c>
      <c r="K1313" s="159">
        <f>-('FSL Output - With BUMN'!K228-'FSL Output - With BUMN'!K189)</f>
        <v>1.9932583559645565</v>
      </c>
      <c r="L1313" s="159">
        <f>-('FSL Output - With BUMN'!L228-'FSL Output - With BUMN'!L189)</f>
        <v>2.3490518804126594</v>
      </c>
      <c r="M1313" s="159">
        <f>-('FSL Output - With BUMN'!M228-'FSL Output - With BUMN'!M189)</f>
        <v>2.0679741092873059</v>
      </c>
      <c r="N1313" s="159">
        <f>-('FSL Output - With BUMN'!N228-'FSL Output - With BUMN'!N189)</f>
        <v>2.8769170660851273E-2</v>
      </c>
      <c r="O1313" s="159">
        <f>-('FSL Output - With BUMN'!O228-'FSL Output - With BUMN'!O189)</f>
        <v>1.4210854715202004E-14</v>
      </c>
      <c r="P1313" s="159">
        <f>-('FSL Output - With BUMN'!P228-'FSL Output - With BUMN'!P189)</f>
        <v>-1.4210854715202004E-14</v>
      </c>
      <c r="Q1313" s="159">
        <f>-('FSL Output - With BUMN'!Q228-'FSL Output - With BUMN'!Q189)</f>
        <v>0</v>
      </c>
      <c r="R1313" s="159">
        <f>-('FSL Output - With BUMN'!R228-'FSL Output - With BUMN'!R189)</f>
        <v>0</v>
      </c>
      <c r="S1313" s="159">
        <f>-('FSL Output - With BUMN'!S228-'FSL Output - With BUMN'!S189)</f>
        <v>-2.8421709430404007E-14</v>
      </c>
      <c r="T1313" s="159">
        <f>-('FSL Output - With BUMN'!T228-'FSL Output - With BUMN'!T189)</f>
        <v>-5.6843418860808015E-14</v>
      </c>
    </row>
    <row r="1314" spans="2:20" x14ac:dyDescent="0.25">
      <c r="B1314" s="23" t="s">
        <v>4323</v>
      </c>
      <c r="C1314" s="28" t="s">
        <v>493</v>
      </c>
      <c r="H1314" s="159">
        <f>-('Capex &amp; Depreciation'!H64+'Capex &amp; Depreciation'!H65+'Capex &amp; Depreciation'!H66+'Capex &amp; Depreciation'!H67)</f>
        <v>0</v>
      </c>
      <c r="I1314" s="159">
        <f>-('Capex &amp; Depreciation'!I64+'Capex &amp; Depreciation'!I65+'Capex &amp; Depreciation'!I66+'Capex &amp; Depreciation'!I67)</f>
        <v>0</v>
      </c>
      <c r="J1314" s="159">
        <f>-('Capex &amp; Depreciation'!J64+'Capex &amp; Depreciation'!J65+'Capex &amp; Depreciation'!J66+'Capex &amp; Depreciation'!J67)</f>
        <v>0</v>
      </c>
      <c r="K1314" s="159">
        <f>-('Capex &amp; Depreciation'!K64+'Capex &amp; Depreciation'!K65+'Capex &amp; Depreciation'!K66+'Capex &amp; Depreciation'!K67)</f>
        <v>-1.9518000000000002</v>
      </c>
      <c r="L1314" s="159">
        <f>-('Capex &amp; Depreciation'!L64+'Capex &amp; Depreciation'!L65+'Capex &amp; Depreciation'!L66+'Capex &amp; Depreciation'!L67)</f>
        <v>-0.48794999999999999</v>
      </c>
      <c r="M1314" s="159">
        <f>-('Capex &amp; Depreciation'!M64+'Capex &amp; Depreciation'!M65+'Capex &amp; Depreciation'!M66+'Capex &amp; Depreciation'!M67)</f>
        <v>0</v>
      </c>
      <c r="N1314" s="159">
        <f>-('Capex &amp; Depreciation'!N64+'Capex &amp; Depreciation'!N65+'Capex &amp; Depreciation'!N66+'Capex &amp; Depreciation'!N67)</f>
        <v>0</v>
      </c>
      <c r="O1314" s="159">
        <f>-('Capex &amp; Depreciation'!O64+'Capex &amp; Depreciation'!O65+'Capex &amp; Depreciation'!O66+'Capex &amp; Depreciation'!O67)</f>
        <v>0</v>
      </c>
      <c r="P1314" s="159">
        <f>-('Capex &amp; Depreciation'!P64+'Capex &amp; Depreciation'!P65+'Capex &amp; Depreciation'!P66+'Capex &amp; Depreciation'!P67)</f>
        <v>0</v>
      </c>
      <c r="Q1314" s="159">
        <f>-('Capex &amp; Depreciation'!Q64+'Capex &amp; Depreciation'!Q65+'Capex &amp; Depreciation'!Q66+'Capex &amp; Depreciation'!Q67)</f>
        <v>0</v>
      </c>
      <c r="R1314" s="159">
        <f>-('Capex &amp; Depreciation'!R64+'Capex &amp; Depreciation'!R65+'Capex &amp; Depreciation'!R66+'Capex &amp; Depreciation'!R67)</f>
        <v>0</v>
      </c>
      <c r="S1314" s="159">
        <f>-('Capex &amp; Depreciation'!S64+'Capex &amp; Depreciation'!S65+'Capex &amp; Depreciation'!S66+'Capex &amp; Depreciation'!S67)</f>
        <v>0</v>
      </c>
      <c r="T1314" s="159">
        <f>-('Capex &amp; Depreciation'!T64+'Capex &amp; Depreciation'!T65+'Capex &amp; Depreciation'!T66+'Capex &amp; Depreciation'!T67)</f>
        <v>0</v>
      </c>
    </row>
    <row r="1315" spans="2:20" ht="26.25" customHeight="1" x14ac:dyDescent="0.25">
      <c r="B1315" s="64" t="s">
        <v>4324</v>
      </c>
      <c r="C1315" s="28" t="s">
        <v>493</v>
      </c>
      <c r="H1315" s="159">
        <f>IF('Revenue Calculation'!H7-'Revenue Calculation'!$F$16&lt;2024,0,INDEX('Source Data'!$H$961:$T$961,1,'Revenue Calculation'!H7-'Revenue Calculation'!$F$16-2023))*'Revenue Calculation'!H16*Inputs!$E$52*'Revenue Calculation'!H52/1000000000</f>
        <v>0</v>
      </c>
      <c r="I1315" s="159">
        <f>IF('Revenue Calculation'!I7-'Revenue Calculation'!$F$16&lt;2024,0,INDEX('Source Data'!$H$961:$T$961,1,'Revenue Calculation'!I7-'Revenue Calculation'!$F$16-2023))*'Revenue Calculation'!I16*Inputs!$E$52*'Revenue Calculation'!I52/1000000000</f>
        <v>0</v>
      </c>
      <c r="J1315" s="159">
        <f>IF('Revenue Calculation'!J7-'Revenue Calculation'!$F$16&lt;2024,0,INDEX('Source Data'!$H$961:$T$961,1,'Revenue Calculation'!J7-'Revenue Calculation'!$F$16-2023))*'Revenue Calculation'!J16*Inputs!$E$52*'Revenue Calculation'!J52/1000000000</f>
        <v>0</v>
      </c>
      <c r="K1315" s="159">
        <f>IF('Revenue Calculation'!K7-'Revenue Calculation'!$F$16&lt;2024,0,INDEX('Source Data'!$H$961:$T$961,1,'Revenue Calculation'!K7-'Revenue Calculation'!$F$16-2023))*'Revenue Calculation'!K16*Inputs!$E$52*'Revenue Calculation'!K52/1000000000</f>
        <v>0</v>
      </c>
      <c r="L1315" s="159">
        <f>IF('Revenue Calculation'!L7-'Revenue Calculation'!$F$16&lt;2024,0,INDEX('Source Data'!$H$961:$T$961,1,'Revenue Calculation'!L7-'Revenue Calculation'!$F$16-2023))*'Revenue Calculation'!L16*Inputs!$E$52*'Revenue Calculation'!L52/1000000000</f>
        <v>0</v>
      </c>
      <c r="M1315" s="159">
        <f>IF('Revenue Calculation'!M7-'Revenue Calculation'!$F$16&lt;2024,0,INDEX('Source Data'!$H$961:$T$961,1,'Revenue Calculation'!M7-'Revenue Calculation'!$F$16-2023))*'Revenue Calculation'!M16*Inputs!$E$52*'Revenue Calculation'!M52/1000000000</f>
        <v>0</v>
      </c>
      <c r="N1315" s="159">
        <f>IF('Revenue Calculation'!N7-'Revenue Calculation'!$F$16&lt;2024,0,INDEX('Source Data'!$H$961:$T$961,1,'Revenue Calculation'!N7-'Revenue Calculation'!$F$16-2023))*'Revenue Calculation'!N16*Inputs!$E$52*'Revenue Calculation'!N52/1000000000</f>
        <v>0</v>
      </c>
      <c r="O1315" s="159">
        <f>IF('Revenue Calculation'!O7-'Revenue Calculation'!$F$16&lt;2024,0,INDEX('Source Data'!$H$961:$T$961,1,'Revenue Calculation'!O7-'Revenue Calculation'!$F$16-2023))*'Revenue Calculation'!O16*Inputs!$E$52*'Revenue Calculation'!O52/1000000000</f>
        <v>0</v>
      </c>
      <c r="P1315" s="159">
        <f>IF('Revenue Calculation'!P7-'Revenue Calculation'!$F$16&lt;2024,0,INDEX('Source Data'!$H$961:$T$961,1,'Revenue Calculation'!P7-'Revenue Calculation'!$F$16-2023))*'Revenue Calculation'!P16*Inputs!$E$52*'Revenue Calculation'!P52/1000000000</f>
        <v>0</v>
      </c>
      <c r="Q1315" s="159">
        <f>IF('Revenue Calculation'!Q7-'Revenue Calculation'!$F$16&lt;2024,0,INDEX('Source Data'!$H$961:$T$961,1,'Revenue Calculation'!Q7-'Revenue Calculation'!$F$16-2023))*'Revenue Calculation'!Q16*Inputs!$E$52*'Revenue Calculation'!Q52/1000000000</f>
        <v>0</v>
      </c>
      <c r="R1315" s="159">
        <f>IF('Revenue Calculation'!R7-'Revenue Calculation'!$F$16&lt;2024,0,INDEX('Source Data'!$H$961:$T$961,1,'Revenue Calculation'!R7-'Revenue Calculation'!$F$16-2023))*'Revenue Calculation'!R16*Inputs!$E$52*'Revenue Calculation'!R52/1000000000</f>
        <v>0</v>
      </c>
      <c r="S1315" s="159">
        <f>IF('Revenue Calculation'!S7-'Revenue Calculation'!$F$16&lt;2024,0,INDEX('Source Data'!$H$961:$T$961,1,'Revenue Calculation'!S7-'Revenue Calculation'!$F$16-2023))*'Revenue Calculation'!S16*Inputs!$E$52*'Revenue Calculation'!S52/1000000000</f>
        <v>30.619257983480267</v>
      </c>
      <c r="T1315" s="159">
        <f>IF('Revenue Calculation'!T7-'Revenue Calculation'!$F$16&lt;2024,0,INDEX('Source Data'!$H$961:$T$961,1,'Revenue Calculation'!T7-'Revenue Calculation'!$F$16-2023))*'Revenue Calculation'!T16*Inputs!$E$52*'Revenue Calculation'!T52/1000000000</f>
        <v>31.537835722984635</v>
      </c>
    </row>
    <row r="1316" spans="2:20" x14ac:dyDescent="0.25">
      <c r="B1316" s="23" t="s">
        <v>4325</v>
      </c>
      <c r="C1316" s="28" t="s">
        <v>493</v>
      </c>
      <c r="H1316" s="159">
        <f>IF('Revenue Calculation'!H7-'Revenue Calculation'!$F$16&lt;2024,0,INDEX('Source Data'!$H$961:$T$961,1,'Revenue Calculation'!H7-'Revenue Calculation'!$F$16-2023))*'Revenue Calculation'!H16*Inputs!$E$52*'Revenue Calculation'!H23*'BUMN Synergy Calculation'!H73*Inputs!$E$53/1000000000</f>
        <v>0</v>
      </c>
      <c r="I1316" s="159">
        <f>IF('Revenue Calculation'!I7-'Revenue Calculation'!$F$16&lt;2024,0,INDEX('Source Data'!$H$961:$T$961,1,'Revenue Calculation'!I7-'Revenue Calculation'!$F$16-2023))*'Revenue Calculation'!I16*Inputs!$E$52*'Revenue Calculation'!I23*'BUMN Synergy Calculation'!I73*Inputs!$E$53/1000000000</f>
        <v>0</v>
      </c>
      <c r="J1316" s="159">
        <f>IF('Revenue Calculation'!J7-'Revenue Calculation'!$F$16&lt;2024,0,INDEX('Source Data'!$H$961:$T$961,1,'Revenue Calculation'!J7-'Revenue Calculation'!$F$16-2023))*'Revenue Calculation'!J16*Inputs!$E$52*'Revenue Calculation'!J23*'BUMN Synergy Calculation'!J73*Inputs!$E$53/1000000000</f>
        <v>0</v>
      </c>
      <c r="K1316" s="159">
        <f>IF('Revenue Calculation'!K7-'Revenue Calculation'!$F$16&lt;2024,0,INDEX('Source Data'!$H$961:$T$961,1,'Revenue Calculation'!K7-'Revenue Calculation'!$F$16-2023))*'Revenue Calculation'!K16*Inputs!$E$52*'Revenue Calculation'!K23*'BUMN Synergy Calculation'!K73*Inputs!$E$53/1000000000</f>
        <v>0</v>
      </c>
      <c r="L1316" s="159">
        <f>IF('Revenue Calculation'!L7-'Revenue Calculation'!$F$16&lt;2024,0,INDEX('Source Data'!$H$961:$T$961,1,'Revenue Calculation'!L7-'Revenue Calculation'!$F$16-2023))*'Revenue Calculation'!L16*Inputs!$E$52*'Revenue Calculation'!L23*'BUMN Synergy Calculation'!L73*Inputs!$E$53/1000000000</f>
        <v>0</v>
      </c>
      <c r="M1316" s="159">
        <f>IF('Revenue Calculation'!M7-'Revenue Calculation'!$F$16&lt;2024,0,INDEX('Source Data'!$H$961:$T$961,1,'Revenue Calculation'!M7-'Revenue Calculation'!$F$16-2023))*'Revenue Calculation'!M16*Inputs!$E$52*'Revenue Calculation'!M23*'BUMN Synergy Calculation'!M73*Inputs!$E$53/1000000000</f>
        <v>0</v>
      </c>
      <c r="N1316" s="159">
        <f>IF('Revenue Calculation'!N7-'Revenue Calculation'!$F$16&lt;2024,0,INDEX('Source Data'!$H$961:$T$961,1,'Revenue Calculation'!N7-'Revenue Calculation'!$F$16-2023))*'Revenue Calculation'!N16*Inputs!$E$52*'Revenue Calculation'!N23*'BUMN Synergy Calculation'!N73*Inputs!$E$53/1000000000</f>
        <v>0</v>
      </c>
      <c r="O1316" s="159">
        <f>IF('Revenue Calculation'!O7-'Revenue Calculation'!$F$16&lt;2024,0,INDEX('Source Data'!$H$961:$T$961,1,'Revenue Calculation'!O7-'Revenue Calculation'!$F$16-2023))*'Revenue Calculation'!O16*Inputs!$E$52*'Revenue Calculation'!O23*'BUMN Synergy Calculation'!O73*Inputs!$E$53/1000000000</f>
        <v>0</v>
      </c>
      <c r="P1316" s="159">
        <f>IF('Revenue Calculation'!P7-'Revenue Calculation'!$F$16&lt;2024,0,INDEX('Source Data'!$H$961:$T$961,1,'Revenue Calculation'!P7-'Revenue Calculation'!$F$16-2023))*'Revenue Calculation'!P16*Inputs!$E$52*'Revenue Calculation'!P23*'BUMN Synergy Calculation'!P73*Inputs!$E$53/1000000000</f>
        <v>0</v>
      </c>
      <c r="Q1316" s="159">
        <f>IF('Revenue Calculation'!Q7-'Revenue Calculation'!$F$16&lt;2024,0,INDEX('Source Data'!$H$961:$T$961,1,'Revenue Calculation'!Q7-'Revenue Calculation'!$F$16-2023))*'Revenue Calculation'!Q16*Inputs!$E$52*'Revenue Calculation'!Q23*'BUMN Synergy Calculation'!Q73*Inputs!$E$53/1000000000</f>
        <v>0</v>
      </c>
      <c r="R1316" s="159">
        <f>IF('Revenue Calculation'!R7-'Revenue Calculation'!$F$16&lt;2024,0,INDEX('Source Data'!$H$961:$T$961,1,'Revenue Calculation'!R7-'Revenue Calculation'!$F$16-2023))*'Revenue Calculation'!R16*Inputs!$E$52*'Revenue Calculation'!R23*'BUMN Synergy Calculation'!R73*Inputs!$E$53/1000000000</f>
        <v>0</v>
      </c>
      <c r="S1316" s="159">
        <f>IF('Revenue Calculation'!S7-'Revenue Calculation'!$F$16&lt;2024,0,INDEX('Source Data'!$H$961:$T$961,1,'Revenue Calculation'!S7-'Revenue Calculation'!$F$16-2023))*'Revenue Calculation'!S16*Inputs!$E$52*'Revenue Calculation'!S23*'BUMN Synergy Calculation'!S73*Inputs!$E$53/1000000000</f>
        <v>8.8490953932840792</v>
      </c>
      <c r="T1316" s="159">
        <f>IF('Revenue Calculation'!T7-'Revenue Calculation'!$F$16&lt;2024,0,INDEX('Source Data'!$H$961:$T$961,1,'Revenue Calculation'!T7-'Revenue Calculation'!$F$16-2023))*'Revenue Calculation'!T16*Inputs!$E$52*'Revenue Calculation'!T23*'BUMN Synergy Calculation'!T73*Inputs!$E$53/1000000000</f>
        <v>8.8490953932840792</v>
      </c>
    </row>
    <row r="1317" spans="2:20" ht="26.25" customHeight="1" x14ac:dyDescent="0.25">
      <c r="B1317" s="64" t="s">
        <v>4326</v>
      </c>
      <c r="C1317" s="28" t="s">
        <v>493</v>
      </c>
      <c r="H1317" s="159">
        <f>H1315*(1-Inputs!H412*Inputs!$E$54)-'Cost Calculation'!H88*IF('Revenue Calculation'!H7-'Revenue Calculation'!$F$16&lt;2024,0,INDEX('Source Data'!$H$961:$T$961,1,'Revenue Calculation'!H7-'Revenue Calculation'!$F$16-2023))*'Revenue Calculation'!H16*Inputs!$E$52/1000000000*Inputs!$E$54+H1316*(1-(1-Inputs!H472)*Inputs!$E$54)</f>
        <v>0</v>
      </c>
      <c r="I1317" s="159">
        <f>I1315*(1-Inputs!I412*Inputs!$E$54)-'Cost Calculation'!I88*IF('Revenue Calculation'!I7-'Revenue Calculation'!$F$16&lt;2024,0,INDEX('Source Data'!$H$961:$T$961,1,'Revenue Calculation'!I7-'Revenue Calculation'!$F$16-2023))*'Revenue Calculation'!I16*Inputs!$E$52/1000000000*Inputs!$E$54+I1316*(1-(1-Inputs!I472)*Inputs!$E$54)</f>
        <v>0</v>
      </c>
      <c r="J1317" s="159">
        <f>J1315*(1-Inputs!J412*Inputs!$E$54)-'Cost Calculation'!J88*IF('Revenue Calculation'!J7-'Revenue Calculation'!$F$16&lt;2024,0,INDEX('Source Data'!$H$961:$T$961,1,'Revenue Calculation'!J7-'Revenue Calculation'!$F$16-2023))*'Revenue Calculation'!J16*Inputs!$E$52/1000000000*Inputs!$E$54+J1316*(1-(1-Inputs!J472)*Inputs!$E$54)</f>
        <v>0</v>
      </c>
      <c r="K1317" s="159">
        <f>K1315*(1-Inputs!K412*Inputs!$E$54)-'Cost Calculation'!K88*IF('Revenue Calculation'!K7-'Revenue Calculation'!$F$16&lt;2024,0,INDEX('Source Data'!$H$961:$T$961,1,'Revenue Calculation'!K7-'Revenue Calculation'!$F$16-2023))*'Revenue Calculation'!K16*Inputs!$E$52/1000000000*Inputs!$E$54+K1316*(1-(1-Inputs!K472)*Inputs!$E$54)</f>
        <v>0</v>
      </c>
      <c r="L1317" s="159">
        <f>L1315*(1-Inputs!L412*Inputs!$E$54)-'Cost Calculation'!L88*IF('Revenue Calculation'!L7-'Revenue Calculation'!$F$16&lt;2024,0,INDEX('Source Data'!$H$961:$T$961,1,'Revenue Calculation'!L7-'Revenue Calculation'!$F$16-2023))*'Revenue Calculation'!L16*Inputs!$E$52/1000000000*Inputs!$E$54+L1316*(1-(1-Inputs!L472)*Inputs!$E$54)</f>
        <v>0</v>
      </c>
      <c r="M1317" s="159">
        <f>M1315*(1-Inputs!M412*Inputs!$E$54)-'Cost Calculation'!M88*IF('Revenue Calculation'!M7-'Revenue Calculation'!$F$16&lt;2024,0,INDEX('Source Data'!$H$961:$T$961,1,'Revenue Calculation'!M7-'Revenue Calculation'!$F$16-2023))*'Revenue Calculation'!M16*Inputs!$E$52/1000000000*Inputs!$E$54+M1316*(1-(1-Inputs!M472)*Inputs!$E$54)</f>
        <v>0</v>
      </c>
      <c r="N1317" s="159">
        <f>N1315*(1-Inputs!N412*Inputs!$E$54)-'Cost Calculation'!N88*IF('Revenue Calculation'!N7-'Revenue Calculation'!$F$16&lt;2024,0,INDEX('Source Data'!$H$961:$T$961,1,'Revenue Calculation'!N7-'Revenue Calculation'!$F$16-2023))*'Revenue Calculation'!N16*Inputs!$E$52/1000000000*Inputs!$E$54+N1316*(1-(1-Inputs!N472)*Inputs!$E$54)</f>
        <v>0</v>
      </c>
      <c r="O1317" s="159">
        <f>O1315*(1-Inputs!O412*Inputs!$E$54)-'Cost Calculation'!O88*IF('Revenue Calculation'!O7-'Revenue Calculation'!$F$16&lt;2024,0,INDEX('Source Data'!$H$961:$T$961,1,'Revenue Calculation'!O7-'Revenue Calculation'!$F$16-2023))*'Revenue Calculation'!O16*Inputs!$E$52/1000000000*Inputs!$E$54+O1316*(1-(1-Inputs!O472)*Inputs!$E$54)</f>
        <v>0</v>
      </c>
      <c r="P1317" s="159">
        <f>P1315*(1-Inputs!P412*Inputs!$E$54)-'Cost Calculation'!P88*IF('Revenue Calculation'!P7-'Revenue Calculation'!$F$16&lt;2024,0,INDEX('Source Data'!$H$961:$T$961,1,'Revenue Calculation'!P7-'Revenue Calculation'!$F$16-2023))*'Revenue Calculation'!P16*Inputs!$E$52/1000000000*Inputs!$E$54+P1316*(1-(1-Inputs!P472)*Inputs!$E$54)</f>
        <v>0</v>
      </c>
      <c r="Q1317" s="159">
        <f>Q1315*(1-Inputs!Q412*Inputs!$E$54)-'Cost Calculation'!Q88*IF('Revenue Calculation'!Q7-'Revenue Calculation'!$F$16&lt;2024,0,INDEX('Source Data'!$H$961:$T$961,1,'Revenue Calculation'!Q7-'Revenue Calculation'!$F$16-2023))*'Revenue Calculation'!Q16*Inputs!$E$52/1000000000*Inputs!$E$54+Q1316*(1-(1-Inputs!Q472)*Inputs!$E$54)</f>
        <v>0</v>
      </c>
      <c r="R1317" s="159">
        <f>R1315*(1-Inputs!R412*Inputs!$E$54)-'Cost Calculation'!R88*IF('Revenue Calculation'!R7-'Revenue Calculation'!$F$16&lt;2024,0,INDEX('Source Data'!$H$961:$T$961,1,'Revenue Calculation'!R7-'Revenue Calculation'!$F$16-2023))*'Revenue Calculation'!R16*Inputs!$E$52/1000000000*Inputs!$E$54+R1316*(1-(1-Inputs!R472)*Inputs!$E$54)</f>
        <v>0</v>
      </c>
      <c r="S1317" s="159">
        <f>S1315*(1-Inputs!S412*Inputs!$E$54)-'Cost Calculation'!S88*IF('Revenue Calculation'!S7-'Revenue Calculation'!$F$16&lt;2024,0,INDEX('Source Data'!$H$961:$T$961,1,'Revenue Calculation'!S7-'Revenue Calculation'!$F$16-2023))*'Revenue Calculation'!S16*Inputs!$E$52/1000000000*Inputs!$E$54+S1316*(1-(1-Inputs!S472)*Inputs!$E$54)</f>
        <v>31.595594599443722</v>
      </c>
      <c r="T1317" s="159">
        <f>T1315*(1-Inputs!T412*Inputs!$E$54)-'Cost Calculation'!T88*IF('Revenue Calculation'!T7-'Revenue Calculation'!$F$16&lt;2024,0,INDEX('Source Data'!$H$961:$T$961,1,'Revenue Calculation'!T7-'Revenue Calculation'!$F$16-2023))*'Revenue Calculation'!T16*Inputs!$E$52/1000000000*Inputs!$E$54+T1316*(1-(1-Inputs!T472)*Inputs!$E$54)</f>
        <v>32.42815168929635</v>
      </c>
    </row>
    <row r="1318" spans="2:20" x14ac:dyDescent="0.25">
      <c r="B1318" s="23" t="s">
        <v>4327</v>
      </c>
      <c r="C1318" s="28" t="s">
        <v>493</v>
      </c>
      <c r="G1318" s="159">
        <f>'Source Data'!$H$762-'Source Data'!$E$785</f>
        <v>59.127575633356798</v>
      </c>
    </row>
    <row r="1319" spans="2:20" x14ac:dyDescent="0.25">
      <c r="B1319" s="23" t="s">
        <v>4328</v>
      </c>
      <c r="C1319" s="28" t="s">
        <v>493</v>
      </c>
      <c r="G1319" s="159">
        <f>'Source Data'!$H$768-'Source Data'!$E$789</f>
        <v>8.6237075356563047</v>
      </c>
    </row>
    <row r="1320" spans="2:20" x14ac:dyDescent="0.25">
      <c r="B1320" s="23" t="s">
        <v>4329</v>
      </c>
      <c r="C1320" s="28" t="s">
        <v>493</v>
      </c>
      <c r="G1320" s="159">
        <f>'Source Data'!$H$772+'Source Data'!$H$770+'Source Data'!$H$771-'Source Data'!$E$791</f>
        <v>50.510000000000026</v>
      </c>
    </row>
    <row r="1321" spans="2:20" ht="26.25" customHeight="1" x14ac:dyDescent="0.25">
      <c r="B1321" s="64" t="s">
        <v>4330</v>
      </c>
      <c r="C1321" s="28" t="s">
        <v>493</v>
      </c>
      <c r="H1321" s="159">
        <f>G1318-G1319</f>
        <v>50.50386809770049</v>
      </c>
      <c r="I1321" s="159">
        <f>0</f>
        <v>0</v>
      </c>
      <c r="J1321" s="159">
        <f>0</f>
        <v>0</v>
      </c>
      <c r="K1321" s="159">
        <f>0</f>
        <v>0</v>
      </c>
      <c r="L1321" s="159">
        <f>0</f>
        <v>0</v>
      </c>
      <c r="M1321" s="159">
        <f>0</f>
        <v>0</v>
      </c>
      <c r="N1321" s="159">
        <f>0</f>
        <v>0</v>
      </c>
      <c r="O1321" s="159">
        <f>0</f>
        <v>0</v>
      </c>
      <c r="P1321" s="159">
        <f>0</f>
        <v>0</v>
      </c>
      <c r="Q1321" s="159">
        <f>0</f>
        <v>0</v>
      </c>
      <c r="R1321" s="159">
        <f>0</f>
        <v>0</v>
      </c>
      <c r="S1321" s="159">
        <f>0</f>
        <v>0</v>
      </c>
      <c r="T1321" s="159">
        <f>0</f>
        <v>0</v>
      </c>
    </row>
    <row r="1322" spans="2:20" x14ac:dyDescent="0.25">
      <c r="B1322" s="23" t="s">
        <v>4331</v>
      </c>
      <c r="C1322" s="28" t="s">
        <v>493</v>
      </c>
      <c r="H1322" s="29">
        <f>'Source Data'!H962</f>
        <v>0</v>
      </c>
      <c r="I1322" s="29">
        <f>'Source Data'!I962</f>
        <v>0</v>
      </c>
      <c r="J1322" s="29">
        <f>'Source Data'!J962</f>
        <v>0</v>
      </c>
      <c r="K1322" s="29">
        <f>'Source Data'!K962</f>
        <v>0</v>
      </c>
      <c r="L1322" s="29">
        <f>'Source Data'!L962</f>
        <v>0</v>
      </c>
      <c r="M1322" s="29">
        <f>'Source Data'!M962</f>
        <v>0</v>
      </c>
      <c r="N1322" s="29">
        <f>'Source Data'!N962</f>
        <v>0</v>
      </c>
      <c r="O1322" s="29">
        <f>'Source Data'!O962</f>
        <v>0</v>
      </c>
      <c r="P1322" s="29">
        <f>'Source Data'!P962</f>
        <v>0</v>
      </c>
      <c r="Q1322" s="29">
        <f>'Source Data'!Q962</f>
        <v>0</v>
      </c>
      <c r="R1322" s="29">
        <f>'Source Data'!R962</f>
        <v>0.51981068748259995</v>
      </c>
      <c r="S1322" s="29">
        <f>'Source Data'!S962</f>
        <v>0.51981068748259995</v>
      </c>
      <c r="T1322" s="29">
        <f>'Source Data'!T962</f>
        <v>0.51981068748259995</v>
      </c>
    </row>
    <row r="1323" spans="2:20" ht="26.25" customHeight="1" x14ac:dyDescent="0.25">
      <c r="B1323" s="64" t="s">
        <v>4332</v>
      </c>
      <c r="C1323" s="28" t="s">
        <v>493</v>
      </c>
      <c r="H1323" s="159">
        <f>-(1-Inputs!$E$531)*('FSL Output - With BUMN'!H234-'FSL Output - With BUMN'!H233)</f>
        <v>0</v>
      </c>
      <c r="I1323" s="159">
        <f>-(1-Inputs!$E$531)*('FSL Output - With BUMN'!I234-'FSL Output - With BUMN'!I233)</f>
        <v>0</v>
      </c>
      <c r="J1323" s="159">
        <f>-(1-Inputs!$E$531)*('FSL Output - With BUMN'!J234-'FSL Output - With BUMN'!J233)</f>
        <v>-7.793966117127276</v>
      </c>
      <c r="K1323" s="159">
        <f>-(1-Inputs!$E$531)*('FSL Output - With BUMN'!K234-'FSL Output - With BUMN'!K233)</f>
        <v>-10.48670377876609</v>
      </c>
      <c r="L1323" s="159">
        <f>-(1-Inputs!$E$531)*('FSL Output - With BUMN'!L234-'FSL Output - With BUMN'!L233)</f>
        <v>-10.72753733178533</v>
      </c>
      <c r="M1323" s="159">
        <f>-(1-Inputs!$E$531)*('FSL Output - With BUMN'!M234-'FSL Output - With BUMN'!M233)</f>
        <v>-10.975595891395137</v>
      </c>
      <c r="N1323" s="159">
        <f>-(1-Inputs!$E$531)*('FSL Output - With BUMN'!N234-'FSL Output - With BUMN'!N233)</f>
        <v>-11.231096207793239</v>
      </c>
      <c r="O1323" s="159">
        <f>-(1-Inputs!$E$531)*('FSL Output - With BUMN'!O234-'FSL Output - With BUMN'!O233)</f>
        <v>-11.494261533683293</v>
      </c>
      <c r="P1323" s="159">
        <f>-(1-Inputs!$E$531)*('FSL Output - With BUMN'!P234-'FSL Output - With BUMN'!P233)</f>
        <v>-11.765321819350035</v>
      </c>
      <c r="Q1323" s="159">
        <f>-(1-Inputs!$E$531)*('FSL Output - With BUMN'!Q234-'FSL Output - With BUMN'!Q233)</f>
        <v>-12.04451391358679</v>
      </c>
      <c r="R1323" s="159">
        <f>-(1-Inputs!$E$531)*('FSL Output - With BUMN'!R234-'FSL Output - With BUMN'!R233)</f>
        <v>-12.332081770650646</v>
      </c>
      <c r="S1323" s="159">
        <f>-(1-Inputs!$E$531)*('FSL Output - With BUMN'!S234-'FSL Output - With BUMN'!S233)</f>
        <v>-12.628276663426414</v>
      </c>
      <c r="T1323" s="159">
        <f>-(1-Inputs!$E$531)*('FSL Output - With BUMN'!T234-'FSL Output - With BUMN'!T233)</f>
        <v>-12.933357402985454</v>
      </c>
    </row>
    <row r="1324" spans="2:20" x14ac:dyDescent="0.25">
      <c r="B1324" s="23" t="s">
        <v>4333</v>
      </c>
      <c r="C1324" s="28" t="s">
        <v>493</v>
      </c>
      <c r="H1324" s="159">
        <f>Inputs!H517*H1323</f>
        <v>0</v>
      </c>
      <c r="I1324" s="159">
        <f>Inputs!I517*I1323</f>
        <v>0</v>
      </c>
      <c r="J1324" s="159">
        <f>Inputs!J517*J1323</f>
        <v>-2.3381898351381829</v>
      </c>
      <c r="K1324" s="159">
        <f>Inputs!K517*K1323</f>
        <v>-3.1460111336298269</v>
      </c>
      <c r="L1324" s="159">
        <f>Inputs!L517*L1323</f>
        <v>-3.2182611995355987</v>
      </c>
      <c r="M1324" s="159">
        <f>Inputs!M517*M1323</f>
        <v>-3.2926787674185412</v>
      </c>
      <c r="N1324" s="159">
        <f>Inputs!N517*N1323</f>
        <v>-3.3693288623379716</v>
      </c>
      <c r="O1324" s="159">
        <f>Inputs!O517*O1323</f>
        <v>-3.4482784601049876</v>
      </c>
      <c r="P1324" s="159">
        <f>Inputs!P517*P1323</f>
        <v>-3.5295965458050103</v>
      </c>
      <c r="Q1324" s="159">
        <f>Inputs!Q517*Q1323</f>
        <v>-3.6133541740760369</v>
      </c>
      <c r="R1324" s="159">
        <f>Inputs!R517*R1323</f>
        <v>-3.6996245311951936</v>
      </c>
      <c r="S1324" s="159">
        <f>Inputs!S517*S1323</f>
        <v>-3.7884829990279241</v>
      </c>
      <c r="T1324" s="159">
        <f>Inputs!T517*T1323</f>
        <v>-3.880007220895636</v>
      </c>
    </row>
    <row r="1325" spans="2:20" x14ac:dyDescent="0.25">
      <c r="B1325" s="23" t="s">
        <v>4334</v>
      </c>
      <c r="C1325" s="28" t="s">
        <v>493</v>
      </c>
      <c r="G1325" s="159">
        <f>Inputs!$E$326*Inputs!$F$326</f>
        <v>2.5572850199250001</v>
      </c>
      <c r="H1325" s="159">
        <f>G1325*(1+Inputs!H326+'Source Data'!H960)</f>
        <v>2.6467899956223757</v>
      </c>
      <c r="I1325" s="159">
        <f>H1325*(1+Inputs!I326+'Source Data'!I960)</f>
        <v>2.7394276454691591</v>
      </c>
      <c r="J1325" s="159">
        <f>I1325*(1+Inputs!J326+'Source Data'!J960)</f>
        <v>2.8353076130605799</v>
      </c>
      <c r="K1325" s="159">
        <f>J1325*(1+Inputs!K326+'Source Data'!K960)</f>
        <v>2.9345433795177005</v>
      </c>
      <c r="L1325" s="159">
        <f>K1325*(1+Inputs!L326+'Source Data'!L960)</f>
        <v>3.0372523978008203</v>
      </c>
      <c r="M1325" s="159">
        <f>L1325*(1+Inputs!M326+'Source Data'!M960)</f>
        <v>3.1435562317238497</v>
      </c>
      <c r="N1325" s="159">
        <f>M1325*(1+Inputs!N326+'Source Data'!N960)</f>
        <v>3.2535806998341847</v>
      </c>
      <c r="O1325" s="159">
        <f>N1325*(1+Inputs!O326+'Source Data'!O960)</f>
        <v>3.3674560243283818</v>
      </c>
      <c r="P1325" s="159">
        <f>O1325*(1+Inputs!P326+'Source Data'!P960)</f>
        <v>3.4853169851798755</v>
      </c>
      <c r="Q1325" s="159">
        <f>P1325*(1+Inputs!Q326+'Source Data'!Q960)</f>
        <v>3.6073030796611718</v>
      </c>
      <c r="R1325" s="159">
        <f>Q1325*(1+Inputs!R326+'Source Data'!R960)</f>
        <v>3.7335586874493134</v>
      </c>
      <c r="S1325" s="159">
        <f>R1325*(1+Inputs!S326+'Source Data'!S960)</f>
        <v>3.86423324151004</v>
      </c>
      <c r="T1325" s="159">
        <f>S1325*(1+Inputs!T326+'Source Data'!T960)</f>
        <v>3.999481404962892</v>
      </c>
    </row>
    <row r="1326" spans="2:20" x14ac:dyDescent="0.25">
      <c r="B1326" s="23" t="s">
        <v>4335</v>
      </c>
      <c r="C1326" s="28" t="s">
        <v>493</v>
      </c>
      <c r="G1326" s="159">
        <f>Inputs!$E$326*Inputs!$F$326</f>
        <v>2.5572850199250001</v>
      </c>
      <c r="H1326" s="159">
        <f>G1326*(1+Inputs!H326)</f>
        <v>2.6340035705227502</v>
      </c>
      <c r="I1326" s="159">
        <f>H1326*(1+Inputs!I326)</f>
        <v>2.7130236776384327</v>
      </c>
      <c r="J1326" s="159">
        <f>I1326*(1+Inputs!J326)</f>
        <v>2.7944143879675858</v>
      </c>
      <c r="K1326" s="159">
        <f>J1326*(1+Inputs!K326)</f>
        <v>2.8782468196066135</v>
      </c>
      <c r="L1326" s="159">
        <f>K1326*(1+Inputs!L326)</f>
        <v>2.964594224194812</v>
      </c>
      <c r="M1326" s="159">
        <f>L1326*(1+Inputs!M326)</f>
        <v>3.0535320509206563</v>
      </c>
      <c r="N1326" s="159">
        <f>M1326*(1+Inputs!N326)</f>
        <v>3.145138012448276</v>
      </c>
      <c r="O1326" s="159">
        <f>N1326*(1+Inputs!O326)</f>
        <v>3.2394921528217244</v>
      </c>
      <c r="P1326" s="159">
        <f>O1326*(1+Inputs!P326)</f>
        <v>3.3366769174063764</v>
      </c>
      <c r="Q1326" s="159">
        <f>P1326*(1+Inputs!Q326)</f>
        <v>3.436777224928568</v>
      </c>
      <c r="R1326" s="159">
        <f>Q1326*(1+Inputs!R326)</f>
        <v>3.5398805416764252</v>
      </c>
      <c r="S1326" s="159">
        <f>R1326*(1+Inputs!S326)</f>
        <v>3.6460769579267178</v>
      </c>
      <c r="T1326" s="159">
        <f>S1326*(1+Inputs!T326)</f>
        <v>3.7554592666645195</v>
      </c>
    </row>
    <row r="1327" spans="2:20" ht="26.25" customHeight="1" x14ac:dyDescent="0.25">
      <c r="B1327" s="64" t="s">
        <v>4336</v>
      </c>
      <c r="C1327" s="28" t="s">
        <v>493</v>
      </c>
      <c r="H1327" s="159">
        <f>-(H1325-H1326)*Inputs!$E$54</f>
        <v>-1.2786425099625465E-2</v>
      </c>
      <c r="I1327" s="159">
        <f>-(I1325-I1326)*Inputs!$E$54</f>
        <v>-2.6403967830726405E-2</v>
      </c>
      <c r="J1327" s="159">
        <f>-(J1325-J1326)*Inputs!$E$54</f>
        <v>-4.089322509299409E-2</v>
      </c>
      <c r="K1327" s="159">
        <f>-(K1325-K1326)*Inputs!$E$54</f>
        <v>-5.6296559911086952E-2</v>
      </c>
      <c r="L1327" s="159">
        <f>-(L1325-L1326)*Inputs!$E$54</f>
        <v>-7.2658173606008347E-2</v>
      </c>
      <c r="M1327" s="159">
        <f>-(M1325-M1326)*Inputs!$E$54</f>
        <v>-9.002418080319341E-2</v>
      </c>
      <c r="N1327" s="159">
        <f>-(N1325-N1326)*Inputs!$E$54</f>
        <v>-0.10844268738590879</v>
      </c>
      <c r="O1327" s="159">
        <f>-(O1325-O1326)*Inputs!$E$54</f>
        <v>-0.12796387150665733</v>
      </c>
      <c r="P1327" s="159">
        <f>-(P1325-P1326)*Inputs!$E$54</f>
        <v>-0.14864006777349914</v>
      </c>
      <c r="Q1327" s="159">
        <f>-(Q1325-Q1326)*Inputs!$E$54</f>
        <v>-0.17052585473260384</v>
      </c>
      <c r="R1327" s="159">
        <f>-(R1325-R1326)*Inputs!$E$54</f>
        <v>-0.19367814577288822</v>
      </c>
      <c r="S1327" s="159">
        <f>-(S1325-S1326)*Inputs!$E$54</f>
        <v>-0.21815628358332217</v>
      </c>
      <c r="T1327" s="159">
        <f>-(T1325-T1326)*Inputs!$E$54</f>
        <v>-0.24402213829837249</v>
      </c>
    </row>
    <row r="1328" spans="2:20" x14ac:dyDescent="0.25">
      <c r="B1328" s="23" t="s">
        <v>4337</v>
      </c>
      <c r="C1328" s="28" t="s">
        <v>493</v>
      </c>
      <c r="H1328" s="159">
        <f>MAX(0,Financing!G76+'FSL Output - With BUMN'!H77-Financing!H67)</f>
        <v>272.46723631264888</v>
      </c>
      <c r="I1328" s="159">
        <f>MAX(0,Financing!H76+'FSL Output - With BUMN'!I77-Financing!I67)</f>
        <v>366.80818986386953</v>
      </c>
      <c r="J1328" s="159">
        <f>MAX(0,Financing!I76+'FSL Output - With BUMN'!J77-Financing!J67)</f>
        <v>507.60234296261717</v>
      </c>
      <c r="K1328" s="159">
        <f>MAX(0,Financing!J76+'FSL Output - With BUMN'!K77-Financing!K67)</f>
        <v>700.78457766544591</v>
      </c>
      <c r="L1328" s="159">
        <f>MAX(0,Financing!K76+'FSL Output - With BUMN'!L77-Financing!L67)</f>
        <v>971.14875760850748</v>
      </c>
      <c r="M1328" s="159">
        <f>MAX(0,Financing!L76+'FSL Output - With BUMN'!M77-Financing!M67)</f>
        <v>1207.862880986258</v>
      </c>
      <c r="N1328" s="159">
        <f>MAX(0,Financing!M76+'FSL Output - With BUMN'!N77-Financing!N67)</f>
        <v>1456.661952982822</v>
      </c>
      <c r="O1328" s="159">
        <f>MAX(0,Financing!N76+'FSL Output - With BUMN'!O77-Financing!O67)</f>
        <v>1736.2708274603269</v>
      </c>
      <c r="P1328" s="159">
        <f>MAX(0,Financing!O76+'FSL Output - With BUMN'!P77-Financing!P67)</f>
        <v>2028.762990970703</v>
      </c>
      <c r="Q1328" s="159">
        <f>MAX(0,Financing!P76+'FSL Output - With BUMN'!Q77-Financing!Q67)</f>
        <v>2352.9744878656079</v>
      </c>
      <c r="R1328" s="159">
        <f>MAX(0,Financing!Q76+'FSL Output - With BUMN'!R77-Financing!R67)</f>
        <v>2688.543819470744</v>
      </c>
      <c r="S1328" s="159">
        <f>MAX(0,Financing!R76+'FSL Output - With BUMN'!S77-Financing!S67)</f>
        <v>3015.4380609333862</v>
      </c>
      <c r="T1328" s="159">
        <f>MAX(0,Financing!S76+'FSL Output - With BUMN'!T77-Financing!T67)</f>
        <v>3361.9712694525224</v>
      </c>
    </row>
    <row r="1329" spans="2:21" ht="26.25" customHeight="1" x14ac:dyDescent="0.25">
      <c r="B1329" s="64" t="s">
        <v>4338</v>
      </c>
      <c r="C1329" s="28" t="s">
        <v>493</v>
      </c>
      <c r="H1329" s="159">
        <f>MIN(Financing!H66,H1328,Financing!H70)-MIN(Financing!H66,Financing!H69,Financing!H70)</f>
        <v>0</v>
      </c>
      <c r="I1329" s="159">
        <f>MIN(Financing!I66,I1328,Financing!I70)-MIN(Financing!I66,Financing!I69,Financing!I70)</f>
        <v>0</v>
      </c>
      <c r="J1329" s="159">
        <f>MIN(Financing!J66,J1328,Financing!J70)-MIN(Financing!J66,Financing!J69,Financing!J70)</f>
        <v>0</v>
      </c>
      <c r="K1329" s="159">
        <f>MIN(Financing!K66,K1328,Financing!K70)-MIN(Financing!K66,Financing!K69,Financing!K70)</f>
        <v>0</v>
      </c>
      <c r="L1329" s="159">
        <f>MIN(Financing!L66,L1328,Financing!L70)-MIN(Financing!L66,Financing!L69,Financing!L70)</f>
        <v>0</v>
      </c>
      <c r="M1329" s="159">
        <f>MIN(Financing!M66,M1328,Financing!M70)-MIN(Financing!M66,Financing!M69,Financing!M70)</f>
        <v>0</v>
      </c>
      <c r="N1329" s="159">
        <f>MIN(Financing!N66,N1328,Financing!N70)-MIN(Financing!N66,Financing!N69,Financing!N70)</f>
        <v>0</v>
      </c>
      <c r="O1329" s="159">
        <f>MIN(Financing!O66,O1328,Financing!O70)-MIN(Financing!O66,Financing!O69,Financing!O70)</f>
        <v>0</v>
      </c>
      <c r="P1329" s="159">
        <f>MIN(Financing!P66,P1328,Financing!P70)-MIN(Financing!P66,Financing!P69,Financing!P70)</f>
        <v>0</v>
      </c>
      <c r="Q1329" s="159">
        <f>MIN(Financing!Q66,Q1328,Financing!Q70)-MIN(Financing!Q66,Financing!Q69,Financing!Q70)</f>
        <v>0</v>
      </c>
      <c r="R1329" s="159">
        <f>MIN(Financing!R66,R1328,Financing!R70)-MIN(Financing!R66,Financing!R69,Financing!R70)</f>
        <v>0</v>
      </c>
      <c r="S1329" s="159">
        <f>MIN(Financing!S66,S1328,Financing!S70)-MIN(Financing!S66,Financing!S69,Financing!S70)</f>
        <v>0</v>
      </c>
      <c r="T1329" s="159">
        <f>MIN(Financing!T66,T1328,Financing!T70)-MIN(Financing!T66,Financing!T69,Financing!T70)</f>
        <v>0</v>
      </c>
    </row>
    <row r="1330" spans="2:21" x14ac:dyDescent="0.25">
      <c r="B1330" s="145" t="s">
        <v>4339</v>
      </c>
    </row>
    <row r="1332" spans="2:21" x14ac:dyDescent="0.25">
      <c r="B1332" s="58" t="s">
        <v>4340</v>
      </c>
      <c r="C1332" s="19"/>
      <c r="D1332" s="19"/>
      <c r="E1332" s="19"/>
      <c r="F1332" s="19"/>
      <c r="G1332" s="19"/>
      <c r="H1332" s="19"/>
      <c r="I1332" s="19"/>
      <c r="J1332" s="19"/>
      <c r="K1332" s="19"/>
      <c r="L1332" s="19"/>
      <c r="M1332" s="19"/>
      <c r="N1332" s="19"/>
      <c r="O1332" s="19"/>
      <c r="P1332" s="19"/>
      <c r="Q1332" s="19"/>
      <c r="R1332" s="19"/>
      <c r="S1332" s="19"/>
      <c r="T1332" s="19"/>
    </row>
    <row r="1333" spans="2:21" x14ac:dyDescent="0.25">
      <c r="B1333" s="145" t="s">
        <v>4341</v>
      </c>
    </row>
    <row r="1334" spans="2:21" x14ac:dyDescent="0.25">
      <c r="G1334" s="77" t="s">
        <v>1878</v>
      </c>
      <c r="H1334" s="77" t="s">
        <v>1879</v>
      </c>
      <c r="I1334" s="77" t="s">
        <v>1879</v>
      </c>
      <c r="J1334" s="77" t="s">
        <v>1879</v>
      </c>
      <c r="K1334" s="77" t="s">
        <v>1879</v>
      </c>
      <c r="L1334" s="77" t="s">
        <v>1879</v>
      </c>
      <c r="M1334" s="77" t="s">
        <v>1879</v>
      </c>
      <c r="N1334" s="77" t="s">
        <v>1879</v>
      </c>
      <c r="O1334" s="77" t="s">
        <v>1879</v>
      </c>
      <c r="P1334" s="77" t="s">
        <v>1879</v>
      </c>
      <c r="Q1334" s="77" t="s">
        <v>1879</v>
      </c>
      <c r="R1334" s="77" t="s">
        <v>1879</v>
      </c>
      <c r="S1334" s="77" t="s">
        <v>1879</v>
      </c>
      <c r="T1334" s="77" t="s">
        <v>1879</v>
      </c>
    </row>
    <row r="1335" spans="2:21" x14ac:dyDescent="0.25">
      <c r="B1335" s="150" t="s">
        <v>493</v>
      </c>
      <c r="C1335" s="150" t="s">
        <v>466</v>
      </c>
      <c r="D1335" s="59" t="s">
        <v>1881</v>
      </c>
      <c r="E1335" s="59" t="s">
        <v>468</v>
      </c>
      <c r="F1335" s="60"/>
      <c r="G1335" s="151">
        <v>2023</v>
      </c>
      <c r="H1335" s="152">
        <v>2024</v>
      </c>
      <c r="I1335" s="152">
        <v>2025</v>
      </c>
      <c r="J1335" s="152">
        <v>2026</v>
      </c>
      <c r="K1335" s="152">
        <v>2027</v>
      </c>
      <c r="L1335" s="152">
        <v>2028</v>
      </c>
      <c r="M1335" s="152">
        <v>2029</v>
      </c>
      <c r="N1335" s="152">
        <v>2030</v>
      </c>
      <c r="O1335" s="152">
        <v>2031</v>
      </c>
      <c r="P1335" s="152">
        <v>2032</v>
      </c>
      <c r="Q1335" s="152">
        <v>2033</v>
      </c>
      <c r="R1335" s="152">
        <v>2034</v>
      </c>
      <c r="S1335" s="152">
        <v>2035</v>
      </c>
      <c r="T1335" s="152">
        <v>2036</v>
      </c>
      <c r="U1335" s="59" t="s">
        <v>1882</v>
      </c>
    </row>
    <row r="1336" spans="2:21" x14ac:dyDescent="0.25">
      <c r="B1336" s="154" t="s">
        <v>4342</v>
      </c>
    </row>
    <row r="1337" spans="2:21" x14ac:dyDescent="0.25">
      <c r="B1337" s="23" t="s">
        <v>4343</v>
      </c>
      <c r="C1337" s="28" t="s">
        <v>493</v>
      </c>
      <c r="H1337" s="29">
        <f>'Source Data'!H838</f>
        <v>40.429223963838901</v>
      </c>
      <c r="I1337" s="29">
        <f>'Source Data'!I838</f>
        <v>100.673656080043</v>
      </c>
      <c r="J1337" s="29">
        <f>'Source Data'!J838</f>
        <v>177.30303453656401</v>
      </c>
      <c r="K1337" s="29">
        <f>'Source Data'!K838</f>
        <v>242.59792204986101</v>
      </c>
      <c r="L1337" s="29">
        <f>'Source Data'!L838</f>
        <v>275.279829943062</v>
      </c>
      <c r="M1337" s="29">
        <f>'Source Data'!M838</f>
        <v>317.811102773637</v>
      </c>
      <c r="N1337" s="29">
        <f>'Source Data'!N838</f>
        <v>334.70818928269699</v>
      </c>
      <c r="O1337" s="29">
        <f>'Source Data'!O838</f>
        <v>368.275080623534</v>
      </c>
      <c r="P1337" s="29">
        <f>'Source Data'!P838</f>
        <v>389.091182169349</v>
      </c>
      <c r="Q1337" s="29">
        <f>'Source Data'!Q838</f>
        <v>425.91745082541502</v>
      </c>
      <c r="R1337" s="29">
        <f>'Source Data'!R838</f>
        <v>447.09118548568199</v>
      </c>
      <c r="S1337" s="29">
        <f>'Source Data'!S838</f>
        <v>443.52350993714202</v>
      </c>
      <c r="T1337" s="29">
        <f>'Source Data'!T838</f>
        <v>461.399256861933</v>
      </c>
    </row>
    <row r="1338" spans="2:21" x14ac:dyDescent="0.25">
      <c r="B1338" s="23" t="s">
        <v>4344</v>
      </c>
      <c r="C1338" s="28" t="s">
        <v>493</v>
      </c>
      <c r="H1338" s="159">
        <f>'FSL Output - With BUMN'!H74-'Source Data'!H835</f>
        <v>0</v>
      </c>
      <c r="I1338" s="159">
        <f>'FSL Output - With BUMN'!I74-'Source Data'!I835</f>
        <v>3.907985046680551E-14</v>
      </c>
      <c r="J1338" s="159">
        <f>'FSL Output - With BUMN'!J74-'Source Data'!J835</f>
        <v>-15.273450177769659</v>
      </c>
      <c r="K1338" s="159">
        <f>'FSL Output - With BUMN'!K74-'Source Data'!K835</f>
        <v>-7.5739574854145442</v>
      </c>
      <c r="L1338" s="159">
        <f>'FSL Output - With BUMN'!L74-'Source Data'!L835</f>
        <v>-3.4156499999999999</v>
      </c>
      <c r="M1338" s="159">
        <f>'FSL Output - With BUMN'!M74-'Source Data'!M835</f>
        <v>-8.5391250000000003</v>
      </c>
      <c r="N1338" s="159">
        <f>'FSL Output - With BUMN'!N74-'Source Data'!N835</f>
        <v>-8.5391250000000003</v>
      </c>
      <c r="O1338" s="159">
        <f>'FSL Output - With BUMN'!O74-'Source Data'!O835</f>
        <v>-7.8559950000000001</v>
      </c>
      <c r="P1338" s="159">
        <f>'FSL Output - With BUMN'!P74-'Source Data'!P835</f>
        <v>-6.1481700000000004</v>
      </c>
      <c r="Q1338" s="159">
        <f>'FSL Output - With BUMN'!Q74-'Source Data'!Q835</f>
        <v>-4.4403449999999998</v>
      </c>
      <c r="R1338" s="159">
        <f>'FSL Output - With BUMN'!R74-'Source Data'!R835</f>
        <v>-2.7325200000000001</v>
      </c>
      <c r="S1338" s="159">
        <f>'FSL Output - With BUMN'!S74-'Source Data'!S835</f>
        <v>-1.0246949999999999</v>
      </c>
      <c r="T1338" s="159">
        <f>'FSL Output - With BUMN'!T74-'Source Data'!T835</f>
        <v>0</v>
      </c>
    </row>
    <row r="1339" spans="2:21" x14ac:dyDescent="0.25">
      <c r="B1339" s="23" t="s">
        <v>4345</v>
      </c>
      <c r="C1339" s="28" t="s">
        <v>493</v>
      </c>
      <c r="H1339" s="159">
        <f>'FSL Output - With BUMN'!H76-'Source Data'!H837</f>
        <v>0</v>
      </c>
      <c r="I1339" s="159">
        <f>'FSL Output - With BUMN'!I76-'Source Data'!I837</f>
        <v>0</v>
      </c>
      <c r="J1339" s="159">
        <f>'FSL Output - With BUMN'!J76-'Source Data'!J837</f>
        <v>2.93288131818003</v>
      </c>
      <c r="K1339" s="159">
        <f>'FSL Output - With BUMN'!K76-'Source Data'!K837</f>
        <v>1.4543877221659329</v>
      </c>
      <c r="L1339" s="159">
        <f>'FSL Output - With BUMN'!L76-'Source Data'!L837</f>
        <v>0</v>
      </c>
      <c r="M1339" s="159">
        <f>'FSL Output - With BUMN'!M76-'Source Data'!M837</f>
        <v>0</v>
      </c>
      <c r="N1339" s="159">
        <f>'FSL Output - With BUMN'!N76-'Source Data'!N837</f>
        <v>-1.8846949007510716E-2</v>
      </c>
      <c r="O1339" s="159">
        <f>'FSL Output - With BUMN'!O76-'Source Data'!O837</f>
        <v>-1.1671655490075921</v>
      </c>
      <c r="P1339" s="159">
        <f>'FSL Output - With BUMN'!P76-'Source Data'!P837</f>
        <v>-2.0350442529774142</v>
      </c>
      <c r="Q1339" s="159">
        <f>'FSL Output - With BUMN'!Q76-'Source Data'!Q837</f>
        <v>-2.4176235490077147</v>
      </c>
      <c r="R1339" s="159">
        <f>'FSL Output - With BUMN'!R76-'Source Data'!R837</f>
        <v>-2.7933450490077405</v>
      </c>
      <c r="S1339" s="159">
        <f>'FSL Output - With BUMN'!S76-'Source Data'!S837</f>
        <v>-3.16906654900788</v>
      </c>
      <c r="T1339" s="159">
        <f>'FSL Output - With BUMN'!T76-'Source Data'!T837</f>
        <v>-3.3876416529773792</v>
      </c>
    </row>
    <row r="1340" spans="2:21" x14ac:dyDescent="0.25">
      <c r="B1340" s="23" t="s">
        <v>4346</v>
      </c>
      <c r="C1340" s="28" t="s">
        <v>493</v>
      </c>
      <c r="H1340" s="159">
        <f>'FSL Output - With BUMN'!H77-'Source Data'!H838-H1338-H1339</f>
        <v>7.1054273576010019E-15</v>
      </c>
      <c r="I1340" s="159">
        <f>'FSL Output - With BUMN'!I77-'Source Data'!I838-I1338-I1339</f>
        <v>-1.8118839761882555E-13</v>
      </c>
      <c r="J1340" s="159">
        <f>'FSL Output - With BUMN'!J77-'Source Data'!J838-J1338-J1339</f>
        <v>-6.3415939166588942E-13</v>
      </c>
      <c r="K1340" s="159">
        <f>'FSL Output - With BUMN'!K77-'Source Data'!K838-K1338-K1339</f>
        <v>-8.8817841970012523E-15</v>
      </c>
      <c r="L1340" s="159">
        <f>'FSL Output - With BUMN'!L77-'Source Data'!L838-L1338-L1339</f>
        <v>-1.5000000000004827</v>
      </c>
      <c r="M1340" s="159">
        <f>'FSL Output - With BUMN'!M77-'Source Data'!M838-M1338-M1339</f>
        <v>1.8200429500340523</v>
      </c>
      <c r="N1340" s="159">
        <f>'FSL Output - With BUMN'!N77-'Source Data'!N838-N1338-N1339</f>
        <v>8.6247929500337666</v>
      </c>
      <c r="O1340" s="159">
        <f>'FSL Output - With BUMN'!O77-'Source Data'!O838-O1338-O1339</f>
        <v>13.161292950034259</v>
      </c>
      <c r="P1340" s="159">
        <f>'FSL Output - With BUMN'!P77-'Source Data'!P838-P1338-P1339</f>
        <v>15.39837114989799</v>
      </c>
      <c r="Q1340" s="159">
        <f>'FSL Output - With BUMN'!Q77-'Source Data'!Q838-Q1338-Q1339</f>
        <v>15.429542950034623</v>
      </c>
      <c r="R1340" s="159">
        <f>'FSL Output - With BUMN'!R77-'Source Data'!R838-R1338-R1339</f>
        <v>15.429542950034836</v>
      </c>
      <c r="S1340" s="159">
        <f>'FSL Output - With BUMN'!S77-'Source Data'!S838-S1338-S1339</f>
        <v>15.429542950034479</v>
      </c>
      <c r="T1340" s="159">
        <f>'FSL Output - With BUMN'!T77-'Source Data'!T838-T1338-T1339</f>
        <v>15.398371149897457</v>
      </c>
    </row>
    <row r="1341" spans="2:21" x14ac:dyDescent="0.25">
      <c r="B1341" s="21" t="s">
        <v>4347</v>
      </c>
      <c r="C1341" s="28" t="s">
        <v>493</v>
      </c>
      <c r="H1341" s="26">
        <f>'FSL Output - With BUMN'!H77</f>
        <v>40.429223963838908</v>
      </c>
      <c r="I1341" s="26">
        <f>'FSL Output - With BUMN'!I77</f>
        <v>100.67365608004286</v>
      </c>
      <c r="J1341" s="26">
        <f>'FSL Output - With BUMN'!J77</f>
        <v>164.96246567697375</v>
      </c>
      <c r="K1341" s="26">
        <f>'FSL Output - With BUMN'!K77</f>
        <v>236.47835228661239</v>
      </c>
      <c r="L1341" s="26">
        <f>'FSL Output - With BUMN'!L77</f>
        <v>270.36417994306152</v>
      </c>
      <c r="M1341" s="26">
        <f>'FSL Output - With BUMN'!M77</f>
        <v>311.09202072367106</v>
      </c>
      <c r="N1341" s="26">
        <f>'FSL Output - With BUMN'!N77</f>
        <v>334.77501028372325</v>
      </c>
      <c r="O1341" s="26">
        <f>'FSL Output - With BUMN'!O77</f>
        <v>372.41321302456066</v>
      </c>
      <c r="P1341" s="26">
        <f>'FSL Output - With BUMN'!P77</f>
        <v>396.30633906626957</v>
      </c>
      <c r="Q1341" s="26">
        <f>'FSL Output - With BUMN'!Q77</f>
        <v>434.48902522644192</v>
      </c>
      <c r="R1341" s="26">
        <f>'FSL Output - With BUMN'!R77</f>
        <v>456.99486338670908</v>
      </c>
      <c r="S1341" s="26">
        <f>'FSL Output - With BUMN'!S77</f>
        <v>454.75929133816862</v>
      </c>
      <c r="T1341" s="26">
        <f>'FSL Output - With BUMN'!T77</f>
        <v>473.40998635885308</v>
      </c>
    </row>
    <row r="1342" spans="2:21" x14ac:dyDescent="0.25">
      <c r="B1342" s="23" t="s">
        <v>4348</v>
      </c>
      <c r="C1342" s="28" t="s">
        <v>493</v>
      </c>
      <c r="H1342" s="29">
        <f>'Source Data'!H852</f>
        <v>31.3665625449431</v>
      </c>
      <c r="I1342" s="29">
        <f>'Source Data'!I852</f>
        <v>2.9999999999999898</v>
      </c>
      <c r="J1342" s="29">
        <f>'Source Data'!J852</f>
        <v>244.097742596334</v>
      </c>
      <c r="K1342" s="29">
        <f>'Source Data'!K852</f>
        <v>542.02794862989799</v>
      </c>
      <c r="L1342" s="29">
        <f>'Source Data'!L852</f>
        <v>877.01778754869099</v>
      </c>
      <c r="M1342" s="29">
        <f>'Source Data'!M852</f>
        <v>1244.24051216575</v>
      </c>
      <c r="N1342" s="29">
        <f>'Source Data'!N852</f>
        <v>1628.3854655912501</v>
      </c>
      <c r="O1342" s="29">
        <f>'Source Data'!O852</f>
        <v>2033.32803198944</v>
      </c>
      <c r="P1342" s="29">
        <f>'Source Data'!P852</f>
        <v>2457.9696194316002</v>
      </c>
      <c r="Q1342" s="29">
        <f>'Source Data'!Q852</f>
        <v>2905.40862675477</v>
      </c>
      <c r="R1342" s="29">
        <f>'Source Data'!R852</f>
        <v>3367.37420029246</v>
      </c>
      <c r="S1342" s="29">
        <f>'Source Data'!S852</f>
        <v>3829.7885442290199</v>
      </c>
      <c r="T1342" s="29">
        <f>'Source Data'!T852</f>
        <v>4301.5378345867703</v>
      </c>
    </row>
    <row r="1343" spans="2:21" x14ac:dyDescent="0.25">
      <c r="B1343" s="23" t="s">
        <v>4349</v>
      </c>
      <c r="C1343" s="28" t="s">
        <v>493</v>
      </c>
      <c r="H1343" s="159">
        <f>SUM('FSL Output - With BUMN'!$G$77:H$77)-SUM('Source Data'!$G$838:H$838)</f>
        <v>0</v>
      </c>
      <c r="I1343" s="159">
        <f>SUM('FSL Output - With BUMN'!$G$77:I$77)-SUM('Source Data'!$G$838:I$838)</f>
        <v>0</v>
      </c>
      <c r="J1343" s="159">
        <f>SUM('FSL Output - With BUMN'!$G$77:J$77)-SUM('Source Data'!$G$838:J$838)</f>
        <v>-12.340568859590405</v>
      </c>
      <c r="K1343" s="159">
        <f>SUM('FSL Output - With BUMN'!$G$77:K$77)-SUM('Source Data'!$G$838:K$838)</f>
        <v>-18.460138622839054</v>
      </c>
      <c r="L1343" s="159">
        <f>SUM('FSL Output - With BUMN'!$G$77:L$77)-SUM('Source Data'!$G$838:L$838)</f>
        <v>-23.375788622839536</v>
      </c>
      <c r="M1343" s="159">
        <f>SUM('FSL Output - With BUMN'!$G$77:M$77)-SUM('Source Data'!$G$838:M$838)</f>
        <v>-30.094870672805428</v>
      </c>
      <c r="N1343" s="159">
        <f>SUM('FSL Output - With BUMN'!$G$77:N$77)-SUM('Source Data'!$G$838:N$838)</f>
        <v>-30.028049671779172</v>
      </c>
      <c r="O1343" s="159">
        <f>SUM('FSL Output - With BUMN'!$G$77:O$77)-SUM('Source Data'!$G$838:O$838)</f>
        <v>-25.889917270752449</v>
      </c>
      <c r="P1343" s="159">
        <f>SUM('FSL Output - With BUMN'!$G$77:P$77)-SUM('Source Data'!$G$838:P$838)</f>
        <v>-18.674760373831759</v>
      </c>
      <c r="Q1343" s="159">
        <f>SUM('FSL Output - With BUMN'!$G$77:Q$77)-SUM('Source Data'!$G$838:Q$838)</f>
        <v>-10.103185972805022</v>
      </c>
      <c r="R1343" s="159">
        <f>SUM('FSL Output - With BUMN'!$G$77:R$77)-SUM('Source Data'!$G$838:R$838)</f>
        <v>-0.1995080717779274</v>
      </c>
      <c r="S1343" s="159">
        <f>SUM('FSL Output - With BUMN'!$G$77:S$77)-SUM('Source Data'!$G$838:S$838)</f>
        <v>11.036273329248615</v>
      </c>
      <c r="T1343" s="159">
        <f>SUM('FSL Output - With BUMN'!$G$77:T$77)-SUM('Source Data'!$G$838:T$838)</f>
        <v>23.047002826168864</v>
      </c>
    </row>
    <row r="1344" spans="2:21" ht="26.25" customHeight="1" x14ac:dyDescent="0.25">
      <c r="B1344" s="64" t="s">
        <v>4350</v>
      </c>
      <c r="C1344" s="28" t="s">
        <v>493</v>
      </c>
      <c r="H1344" s="159">
        <f>SUM('FSL Output - With BUMN'!$G$278:H$278)+SUM('FSL Output - With BUMN'!$G$279:H$279)-SUM('Source Data'!$G$848:H$848)</f>
        <v>9.9475983006414026E-14</v>
      </c>
      <c r="I1344" s="159">
        <f>SUM('FSL Output - With BUMN'!$G$278:I$278)+SUM('FSL Output - With BUMN'!$G$279:I$279)-SUM('Source Data'!$G$848:I$848)</f>
        <v>195.18000000000009</v>
      </c>
      <c r="J1344" s="159">
        <f>SUM('FSL Output - With BUMN'!$G$278:J$278)+SUM('FSL Output - With BUMN'!$G$279:J$279)-SUM('Source Data'!$G$848:J$848)</f>
        <v>195.18000000000009</v>
      </c>
      <c r="K1344" s="159">
        <f>SUM('FSL Output - With BUMN'!$G$278:K$278)+SUM('FSL Output - With BUMN'!$G$279:K$279)-SUM('Source Data'!$G$848:K$848)</f>
        <v>32.530000000000086</v>
      </c>
      <c r="L1344" s="159">
        <f>SUM('FSL Output - With BUMN'!$G$278:L$278)+SUM('FSL Output - With BUMN'!$G$279:L$279)-SUM('Source Data'!$G$848:L$848)</f>
        <v>81.325000000000102</v>
      </c>
      <c r="M1344" s="159">
        <f>SUM('FSL Output - With BUMN'!$G$278:M$278)+SUM('FSL Output - With BUMN'!$G$279:M$279)-SUM('Source Data'!$G$848:M$848)</f>
        <v>81.325000000000102</v>
      </c>
      <c r="N1344" s="159">
        <f>SUM('FSL Output - With BUMN'!$G$278:N$278)+SUM('FSL Output - With BUMN'!$G$279:N$279)-SUM('Source Data'!$G$848:N$848)</f>
        <v>74.819000000000074</v>
      </c>
      <c r="O1344" s="159">
        <f>SUM('FSL Output - With BUMN'!$G$278:O$278)+SUM('FSL Output - With BUMN'!$G$279:O$279)-SUM('Source Data'!$G$848:O$848)</f>
        <v>58.554000000000087</v>
      </c>
      <c r="P1344" s="159">
        <f>SUM('FSL Output - With BUMN'!$G$278:P$278)+SUM('FSL Output - With BUMN'!$G$279:P$279)-SUM('Source Data'!$G$848:P$848)</f>
        <v>42.289000000000101</v>
      </c>
      <c r="Q1344" s="159">
        <f>SUM('FSL Output - With BUMN'!$G$278:Q$278)+SUM('FSL Output - With BUMN'!$G$279:Q$279)-SUM('Source Data'!$G$848:Q$848)</f>
        <v>26.024000000000115</v>
      </c>
      <c r="R1344" s="159">
        <f>SUM('FSL Output - With BUMN'!$G$278:R$278)+SUM('FSL Output - With BUMN'!$G$279:R$279)-SUM('Source Data'!$G$848:R$848)</f>
        <v>9.7590000000001282</v>
      </c>
      <c r="S1344" s="159">
        <f>SUM('FSL Output - With BUMN'!$G$278:S$278)+SUM('FSL Output - With BUMN'!$G$279:S$279)-SUM('Source Data'!$G$848:S$848)</f>
        <v>0</v>
      </c>
      <c r="T1344" s="159">
        <f>SUM('FSL Output - With BUMN'!$G$278:T$278)+SUM('FSL Output - With BUMN'!$G$279:T$279)-SUM('Source Data'!$G$848:T$848)</f>
        <v>0</v>
      </c>
    </row>
    <row r="1345" spans="2:20" x14ac:dyDescent="0.25">
      <c r="B1345" s="23" t="s">
        <v>4351</v>
      </c>
      <c r="C1345" s="28" t="s">
        <v>493</v>
      </c>
      <c r="H1345" s="159">
        <f>SUM('FSL Output - With BUMN'!$G$277:H$277)-SUM('Source Data'!$G$847:H$847)</f>
        <v>0</v>
      </c>
      <c r="I1345" s="159">
        <f>SUM('FSL Output - With BUMN'!$G$277:I$277)-SUM('Source Data'!$G$847:I$847)</f>
        <v>0</v>
      </c>
      <c r="J1345" s="159">
        <f>SUM('FSL Output - With BUMN'!$G$277:J$277)-SUM('Source Data'!$G$847:J$847)</f>
        <v>-419.772029761905</v>
      </c>
      <c r="K1345" s="159">
        <f>SUM('FSL Output - With BUMN'!$G$277:K$277)-SUM('Source Data'!$G$847:K$847)</f>
        <v>-550.89149200326347</v>
      </c>
      <c r="L1345" s="159">
        <f>SUM('FSL Output - With BUMN'!$G$277:L$277)-SUM('Source Data'!$G$847:L$847)</f>
        <v>-550.89149200326347</v>
      </c>
      <c r="M1345" s="159">
        <f>SUM('FSL Output - With BUMN'!$G$277:M$277)-SUM('Source Data'!$G$847:M$847)</f>
        <v>-550.89149200326347</v>
      </c>
      <c r="N1345" s="159">
        <f>SUM('FSL Output - With BUMN'!$G$277:N$277)-SUM('Source Data'!$G$847:N$847)</f>
        <v>-550.89149200326347</v>
      </c>
      <c r="O1345" s="159">
        <f>SUM('FSL Output - With BUMN'!$G$277:O$277)-SUM('Source Data'!$G$847:O$847)</f>
        <v>-550.89149200326347</v>
      </c>
      <c r="P1345" s="159">
        <f>SUM('FSL Output - With BUMN'!$G$277:P$277)-SUM('Source Data'!$G$847:P$847)</f>
        <v>-550.89149200326347</v>
      </c>
      <c r="Q1345" s="159">
        <f>SUM('FSL Output - With BUMN'!$G$277:Q$277)-SUM('Source Data'!$G$847:Q$847)</f>
        <v>-550.89149200326347</v>
      </c>
      <c r="R1345" s="159">
        <f>SUM('FSL Output - With BUMN'!$G$277:R$277)-SUM('Source Data'!$G$847:R$847)</f>
        <v>-550.89149200326347</v>
      </c>
      <c r="S1345" s="159">
        <f>SUM('FSL Output - With BUMN'!$G$277:S$277)-SUM('Source Data'!$G$847:S$847)</f>
        <v>-550.89149200326347</v>
      </c>
      <c r="T1345" s="159">
        <f>SUM('FSL Output - With BUMN'!$G$277:T$277)-SUM('Source Data'!$G$847:T$847)</f>
        <v>-550.89149200326347</v>
      </c>
    </row>
    <row r="1346" spans="2:20" x14ac:dyDescent="0.25">
      <c r="B1346" s="23" t="s">
        <v>4352</v>
      </c>
      <c r="C1346" s="28" t="s">
        <v>493</v>
      </c>
      <c r="H1346" s="159">
        <f>SUM('FSL Output - With BUMN'!$G$280:H$280)+SUM('FSL Output - With BUMN'!$G$281:H$281)-SUM('Source Data'!$G$849:H$849)</f>
        <v>-1.4210854715202004E-14</v>
      </c>
      <c r="I1346" s="159">
        <f>SUM('FSL Output - With BUMN'!$G$280:I$280)+SUM('FSL Output - With BUMN'!$G$281:I$281)-SUM('Source Data'!$G$849:I$849)</f>
        <v>-7.1500873698656555</v>
      </c>
      <c r="J1346" s="159">
        <f>SUM('FSL Output - With BUMN'!$G$280:J$280)+SUM('FSL Output - With BUMN'!$G$281:J$281)-SUM('Source Data'!$G$849:J$849)</f>
        <v>-3.4479167119886824</v>
      </c>
      <c r="K1346" s="159">
        <f>SUM('FSL Output - With BUMN'!$G$280:K$280)+SUM('FSL Output - With BUMN'!$G$281:K$281)-SUM('Source Data'!$G$849:K$849)</f>
        <v>62.853681996203619</v>
      </c>
      <c r="L1346" s="159">
        <f>SUM('FSL Output - With BUMN'!$G$280:L$280)+SUM('FSL Output - With BUMN'!$G$281:L$281)-SUM('Source Data'!$G$849:L$849)</f>
        <v>64.328376996203588</v>
      </c>
      <c r="M1346" s="159">
        <f>SUM('FSL Output - With BUMN'!$G$280:M$280)+SUM('FSL Output - With BUMN'!$G$281:M$281)-SUM('Source Data'!$G$849:M$849)</f>
        <v>66.34410161119331</v>
      </c>
      <c r="N1346" s="159">
        <f>SUM('FSL Output - With BUMN'!$G$280:N$280)+SUM('FSL Output - With BUMN'!$G$281:N$281)-SUM('Source Data'!$G$849:N$849)</f>
        <v>66.324055310885228</v>
      </c>
      <c r="O1346" s="159">
        <f>SUM('FSL Output - With BUMN'!$G$280:O$280)+SUM('FSL Output - With BUMN'!$G$281:O$281)-SUM('Source Data'!$G$849:O$849)</f>
        <v>65.082615590577632</v>
      </c>
      <c r="P1346" s="159">
        <f>SUM('FSL Output - With BUMN'!$G$280:P$280)+SUM('FSL Output - With BUMN'!$G$281:P$281)-SUM('Source Data'!$G$849:P$849)</f>
        <v>62.918068521501823</v>
      </c>
      <c r="Q1346" s="159">
        <f>SUM('FSL Output - With BUMN'!$G$280:Q$280)+SUM('FSL Output - With BUMN'!$G$281:Q$281)-SUM('Source Data'!$G$849:Q$849)</f>
        <v>60.34659620119362</v>
      </c>
      <c r="R1346" s="159">
        <f>SUM('FSL Output - With BUMN'!$G$280:R$280)+SUM('FSL Output - With BUMN'!$G$281:R$281)-SUM('Source Data'!$G$849:R$849)</f>
        <v>57.375492830885264</v>
      </c>
      <c r="S1346" s="159">
        <f>SUM('FSL Output - With BUMN'!$G$280:S$280)+SUM('FSL Output - With BUMN'!$G$281:S$281)-SUM('Source Data'!$G$849:S$849)</f>
        <v>54.004758410577551</v>
      </c>
      <c r="T1346" s="159">
        <f>SUM('FSL Output - With BUMN'!$G$280:T$280)+SUM('FSL Output - With BUMN'!$G$281:T$281)-SUM('Source Data'!$G$849:T$849)</f>
        <v>50.40153956150175</v>
      </c>
    </row>
    <row r="1347" spans="2:20" ht="26.25" customHeight="1" x14ac:dyDescent="0.25">
      <c r="B1347" s="64" t="s">
        <v>4353</v>
      </c>
      <c r="C1347" s="28" t="s">
        <v>493</v>
      </c>
      <c r="H1347" s="159">
        <f>'Funding Requirement'!H62-'Source Data'!H852-H1343-H1344-H1345-H1346</f>
        <v>2.4868995751603507E-14</v>
      </c>
      <c r="I1347" s="159">
        <f>'Funding Requirement'!I62-'Source Data'!I852-I1343-I1344-I1345-I1346</f>
        <v>6.7501559897209518E-14</v>
      </c>
      <c r="J1347" s="159">
        <f>'Funding Requirement'!J62-'Source Data'!J852-J1343-J1344-J1345-J1346</f>
        <v>1.1937117960769683E-12</v>
      </c>
      <c r="K1347" s="159">
        <f>'Funding Requirement'!K62-'Source Data'!K852-K1343-K1344-K1345-K1346</f>
        <v>-65.059999999999178</v>
      </c>
      <c r="L1347" s="159">
        <f>'Funding Requirement'!L62-'Source Data'!L852-L1343-L1344-L1345-L1346</f>
        <v>-162.64999999999827</v>
      </c>
      <c r="M1347" s="159">
        <f>'Funding Requirement'!M62-'Source Data'!M852-M1343-M1344-M1345-M1346</f>
        <v>-153.84409431989411</v>
      </c>
      <c r="N1347" s="159">
        <f>'Funding Requirement'!N62-'Source Data'!N852-N1343-N1344-N1345-N1346</f>
        <v>-143.37520233842451</v>
      </c>
      <c r="O1347" s="159">
        <f>'Funding Requirement'!O62-'Source Data'!O852-O1343-O1344-O1345-O1346</f>
        <v>-132.60337200078374</v>
      </c>
      <c r="P1347" s="159">
        <f>'Funding Requirement'!P62-'Source Data'!P852-P1343-P1344-P1345-P1346</f>
        <v>-121.48543852458897</v>
      </c>
      <c r="Q1347" s="159">
        <f>'Funding Requirement'!Q62-'Source Data'!Q852-Q1343-Q1344-Q1345-Q1346</f>
        <v>-110.11972445688127</v>
      </c>
      <c r="R1347" s="159">
        <f>'Funding Requirement'!R62-'Source Data'!R852-R1343-R1344-R1345-R1346</f>
        <v>-98.742017406917512</v>
      </c>
      <c r="S1347" s="159">
        <f>'Funding Requirement'!S62-'Source Data'!S852-S1343-S1344-S1345-S1346</f>
        <v>-87.364310356950909</v>
      </c>
      <c r="T1347" s="159">
        <f>'Funding Requirement'!T62-'Source Data'!T852-T1343-T1344-T1345-T1346</f>
        <v>-75.943438524592011</v>
      </c>
    </row>
    <row r="1348" spans="2:20" x14ac:dyDescent="0.25">
      <c r="B1348" s="21" t="s">
        <v>4354</v>
      </c>
      <c r="C1348" s="28" t="s">
        <v>493</v>
      </c>
      <c r="H1348" s="26">
        <f>'Funding Requirement'!H62</f>
        <v>31.366562544943211</v>
      </c>
      <c r="I1348" s="26">
        <f>'Funding Requirement'!I62</f>
        <v>191.0299126301345</v>
      </c>
      <c r="J1348" s="26">
        <f>'Funding Requirement'!J62</f>
        <v>3.7172272628511678</v>
      </c>
      <c r="K1348" s="26">
        <f>'Funding Requirement'!K62</f>
        <v>3</v>
      </c>
      <c r="L1348" s="26">
        <f>'Funding Requirement'!L62</f>
        <v>285.75388391879335</v>
      </c>
      <c r="M1348" s="26">
        <f>'Funding Requirement'!M62</f>
        <v>657.0791567809805</v>
      </c>
      <c r="N1348" s="26">
        <f>'Funding Requirement'!N62</f>
        <v>1045.2337768886682</v>
      </c>
      <c r="O1348" s="26">
        <f>'Funding Requirement'!O62</f>
        <v>1447.579866305218</v>
      </c>
      <c r="P1348" s="26">
        <f>'Funding Requirement'!P62</f>
        <v>1872.1249970514179</v>
      </c>
      <c r="Q1348" s="26">
        <f>'Funding Requirement'!Q62</f>
        <v>2320.664820523014</v>
      </c>
      <c r="R1348" s="26">
        <f>'Funding Requirement'!R62</f>
        <v>2784.6756756413865</v>
      </c>
      <c r="S1348" s="26">
        <f>'Funding Requirement'!S62</f>
        <v>3256.5737736086317</v>
      </c>
      <c r="T1348" s="26">
        <f>'Funding Requirement'!T62</f>
        <v>3748.1514464465854</v>
      </c>
    </row>
    <row r="1349" spans="2:20" x14ac:dyDescent="0.25">
      <c r="B1349" s="23" t="s">
        <v>4355</v>
      </c>
      <c r="C1349" s="28" t="s">
        <v>493</v>
      </c>
      <c r="H1349" s="29">
        <f>'Source Data'!H861</f>
        <v>195.18</v>
      </c>
      <c r="I1349" s="29">
        <f>'Source Data'!I861</f>
        <v>0</v>
      </c>
      <c r="J1349" s="29">
        <f>'Source Data'!J861</f>
        <v>0</v>
      </c>
      <c r="K1349" s="29">
        <f>'Source Data'!K861</f>
        <v>0</v>
      </c>
      <c r="L1349" s="29">
        <f>'Source Data'!L861</f>
        <v>0</v>
      </c>
      <c r="M1349" s="29">
        <f>'Source Data'!M861</f>
        <v>0</v>
      </c>
      <c r="N1349" s="29">
        <f>'Source Data'!N861</f>
        <v>0</v>
      </c>
      <c r="O1349" s="29">
        <f>'Source Data'!O861</f>
        <v>0</v>
      </c>
      <c r="P1349" s="29">
        <f>'Source Data'!P861</f>
        <v>0</v>
      </c>
      <c r="Q1349" s="29">
        <f>'Source Data'!Q861</f>
        <v>0</v>
      </c>
      <c r="R1349" s="29">
        <f>'Source Data'!R861</f>
        <v>0</v>
      </c>
      <c r="S1349" s="29">
        <f>'Source Data'!S861</f>
        <v>0</v>
      </c>
      <c r="T1349" s="29">
        <f>'Source Data'!T861</f>
        <v>0</v>
      </c>
    </row>
    <row r="1350" spans="2:20" x14ac:dyDescent="0.25">
      <c r="B1350" s="23" t="s">
        <v>4356</v>
      </c>
      <c r="C1350" s="28" t="s">
        <v>493</v>
      </c>
      <c r="H1350" s="159">
        <f t="shared" ref="H1350:T1350" si="250">H1344</f>
        <v>9.9475983006414026E-14</v>
      </c>
      <c r="I1350" s="159">
        <f t="shared" si="250"/>
        <v>195.18000000000009</v>
      </c>
      <c r="J1350" s="159">
        <f t="shared" si="250"/>
        <v>195.18000000000009</v>
      </c>
      <c r="K1350" s="159">
        <f t="shared" si="250"/>
        <v>32.530000000000086</v>
      </c>
      <c r="L1350" s="159">
        <f t="shared" si="250"/>
        <v>81.325000000000102</v>
      </c>
      <c r="M1350" s="159">
        <f t="shared" si="250"/>
        <v>81.325000000000102</v>
      </c>
      <c r="N1350" s="159">
        <f t="shared" si="250"/>
        <v>74.819000000000074</v>
      </c>
      <c r="O1350" s="159">
        <f t="shared" si="250"/>
        <v>58.554000000000087</v>
      </c>
      <c r="P1350" s="159">
        <f t="shared" si="250"/>
        <v>42.289000000000101</v>
      </c>
      <c r="Q1350" s="159">
        <f t="shared" si="250"/>
        <v>26.024000000000115</v>
      </c>
      <c r="R1350" s="159">
        <f t="shared" si="250"/>
        <v>9.7590000000001282</v>
      </c>
      <c r="S1350" s="159">
        <f t="shared" si="250"/>
        <v>0</v>
      </c>
      <c r="T1350" s="159">
        <f t="shared" si="250"/>
        <v>0</v>
      </c>
    </row>
    <row r="1351" spans="2:20" x14ac:dyDescent="0.25">
      <c r="B1351" s="23" t="s">
        <v>4357</v>
      </c>
      <c r="C1351" s="28" t="s">
        <v>493</v>
      </c>
      <c r="H1351" s="159">
        <f>Financing!H79-'Source Data'!H861-H1350</f>
        <v>-9.9475983006414026E-14</v>
      </c>
      <c r="I1351" s="159">
        <f>Financing!I79-'Source Data'!I861-I1350</f>
        <v>0</v>
      </c>
      <c r="J1351" s="159">
        <f>Financing!J79-'Source Data'!J861-J1350</f>
        <v>0</v>
      </c>
      <c r="K1351" s="159">
        <f>Financing!K79-'Source Data'!K861-K1350</f>
        <v>-8.5265128291212022E-14</v>
      </c>
      <c r="L1351" s="159">
        <f>Financing!L79-'Source Data'!L861-L1350</f>
        <v>0</v>
      </c>
      <c r="M1351" s="159">
        <f>Financing!M79-'Source Data'!M861-M1350</f>
        <v>0</v>
      </c>
      <c r="N1351" s="159">
        <f>Financing!N79-'Source Data'!N861-N1350</f>
        <v>0</v>
      </c>
      <c r="O1351" s="159">
        <f>Financing!O79-'Source Data'!O861-O1350</f>
        <v>-8.5265128291212022E-14</v>
      </c>
      <c r="P1351" s="159">
        <f>Financing!P79-'Source Data'!P861-P1350</f>
        <v>-9.9475983006414026E-14</v>
      </c>
      <c r="Q1351" s="159">
        <f>Financing!Q79-'Source Data'!Q861-Q1350</f>
        <v>-1.1368683772161603E-13</v>
      </c>
      <c r="R1351" s="159">
        <f>Financing!R79-'Source Data'!R861-R1350</f>
        <v>-1.2789769243681803E-13</v>
      </c>
      <c r="S1351" s="159">
        <f>Financing!S79-'Source Data'!S861-S1350</f>
        <v>0</v>
      </c>
      <c r="T1351" s="159">
        <f>Financing!T79-'Source Data'!T861-T1350</f>
        <v>0</v>
      </c>
    </row>
    <row r="1352" spans="2:20" x14ac:dyDescent="0.25">
      <c r="B1352" s="21" t="s">
        <v>4358</v>
      </c>
      <c r="C1352" s="28" t="s">
        <v>493</v>
      </c>
      <c r="H1352" s="26">
        <f>Financing!H79</f>
        <v>195.18</v>
      </c>
      <c r="I1352" s="26">
        <f>Financing!I79</f>
        <v>195.18</v>
      </c>
      <c r="J1352" s="26">
        <f>Financing!J79</f>
        <v>195.18</v>
      </c>
      <c r="K1352" s="26">
        <f>Financing!K79</f>
        <v>32.53</v>
      </c>
      <c r="L1352" s="26">
        <f>Financing!L79</f>
        <v>81.325000000000003</v>
      </c>
      <c r="M1352" s="26">
        <f>Financing!M79</f>
        <v>81.325000000000003</v>
      </c>
      <c r="N1352" s="26">
        <f>Financing!N79</f>
        <v>74.819000000000003</v>
      </c>
      <c r="O1352" s="26">
        <f>Financing!O79</f>
        <v>58.554000000000002</v>
      </c>
      <c r="P1352" s="26">
        <f>Financing!P79</f>
        <v>42.289000000000001</v>
      </c>
      <c r="Q1352" s="26">
        <f>Financing!Q79</f>
        <v>26.024000000000001</v>
      </c>
      <c r="R1352" s="26">
        <f>Financing!R79</f>
        <v>9.7590000000000003</v>
      </c>
      <c r="S1352" s="26">
        <f>Financing!S79</f>
        <v>0</v>
      </c>
      <c r="T1352" s="26">
        <f>Financing!T79</f>
        <v>0</v>
      </c>
    </row>
    <row r="1353" spans="2:20" x14ac:dyDescent="0.25">
      <c r="B1353" s="23" t="s">
        <v>4359</v>
      </c>
      <c r="C1353" s="28" t="s">
        <v>493</v>
      </c>
      <c r="H1353" s="29">
        <f>'Source Data'!H866</f>
        <v>1002.41913378383</v>
      </c>
      <c r="I1353" s="29">
        <f>'Source Data'!I866</f>
        <v>1086.0745646555099</v>
      </c>
      <c r="J1353" s="29">
        <f>'Source Data'!J866</f>
        <v>1636.15134071232</v>
      </c>
      <c r="K1353" s="29">
        <f>'Source Data'!K866</f>
        <v>1972.45128905399</v>
      </c>
      <c r="L1353" s="29">
        <f>'Source Data'!L866</f>
        <v>2171.87852665113</v>
      </c>
      <c r="M1353" s="29">
        <f>'Source Data'!M866</f>
        <v>2401.6979665226099</v>
      </c>
      <c r="N1353" s="29">
        <f>'Source Data'!N866</f>
        <v>2643.6218635585601</v>
      </c>
      <c r="O1353" s="29">
        <f>'Source Data'!O866</f>
        <v>2909.3242083465102</v>
      </c>
      <c r="P1353" s="29">
        <f>'Source Data'!P866</f>
        <v>3190.3024092534001</v>
      </c>
      <c r="Q1353" s="29">
        <f>'Source Data'!Q866</f>
        <v>3497.3658006175501</v>
      </c>
      <c r="R1353" s="29">
        <f>'Source Data'!R866</f>
        <v>3819.5630395980102</v>
      </c>
      <c r="S1353" s="29">
        <f>'Source Data'!S866</f>
        <v>4139.5805061157498</v>
      </c>
      <c r="T1353" s="29">
        <f>'Source Data'!T866</f>
        <v>4472.4338833685197</v>
      </c>
    </row>
    <row r="1354" spans="2:20" x14ac:dyDescent="0.25">
      <c r="B1354" s="23" t="s">
        <v>4349</v>
      </c>
      <c r="C1354" s="28" t="s">
        <v>493</v>
      </c>
      <c r="H1354" s="159">
        <f t="shared" ref="H1354:T1354" si="251">H1343</f>
        <v>0</v>
      </c>
      <c r="I1354" s="159">
        <f t="shared" si="251"/>
        <v>0</v>
      </c>
      <c r="J1354" s="159">
        <f t="shared" si="251"/>
        <v>-12.340568859590405</v>
      </c>
      <c r="K1354" s="159">
        <f t="shared" si="251"/>
        <v>-18.460138622839054</v>
      </c>
      <c r="L1354" s="159">
        <f t="shared" si="251"/>
        <v>-23.375788622839536</v>
      </c>
      <c r="M1354" s="159">
        <f t="shared" si="251"/>
        <v>-30.094870672805428</v>
      </c>
      <c r="N1354" s="159">
        <f t="shared" si="251"/>
        <v>-30.028049671779172</v>
      </c>
      <c r="O1354" s="159">
        <f t="shared" si="251"/>
        <v>-25.889917270752449</v>
      </c>
      <c r="P1354" s="159">
        <f t="shared" si="251"/>
        <v>-18.674760373831759</v>
      </c>
      <c r="Q1354" s="159">
        <f t="shared" si="251"/>
        <v>-10.103185972805022</v>
      </c>
      <c r="R1354" s="159">
        <f t="shared" si="251"/>
        <v>-0.1995080717779274</v>
      </c>
      <c r="S1354" s="159">
        <f t="shared" si="251"/>
        <v>11.036273329248615</v>
      </c>
      <c r="T1354" s="159">
        <f t="shared" si="251"/>
        <v>23.047002826168864</v>
      </c>
    </row>
    <row r="1355" spans="2:20" x14ac:dyDescent="0.25">
      <c r="B1355" s="23" t="s">
        <v>4360</v>
      </c>
      <c r="C1355" s="28" t="s">
        <v>493</v>
      </c>
      <c r="H1355" s="159">
        <f t="shared" ref="H1355:T1355" si="252">H1345</f>
        <v>0</v>
      </c>
      <c r="I1355" s="159">
        <f t="shared" si="252"/>
        <v>0</v>
      </c>
      <c r="J1355" s="159">
        <f t="shared" si="252"/>
        <v>-419.772029761905</v>
      </c>
      <c r="K1355" s="159">
        <f t="shared" si="252"/>
        <v>-550.89149200326347</v>
      </c>
      <c r="L1355" s="159">
        <f t="shared" si="252"/>
        <v>-550.89149200326347</v>
      </c>
      <c r="M1355" s="159">
        <f t="shared" si="252"/>
        <v>-550.89149200326347</v>
      </c>
      <c r="N1355" s="159">
        <f t="shared" si="252"/>
        <v>-550.89149200326347</v>
      </c>
      <c r="O1355" s="159">
        <f t="shared" si="252"/>
        <v>-550.89149200326347</v>
      </c>
      <c r="P1355" s="159">
        <f t="shared" si="252"/>
        <v>-550.89149200326347</v>
      </c>
      <c r="Q1355" s="159">
        <f t="shared" si="252"/>
        <v>-550.89149200326347</v>
      </c>
      <c r="R1355" s="159">
        <f t="shared" si="252"/>
        <v>-550.89149200326347</v>
      </c>
      <c r="S1355" s="159">
        <f t="shared" si="252"/>
        <v>-550.89149200326347</v>
      </c>
      <c r="T1355" s="159">
        <f t="shared" si="252"/>
        <v>-550.89149200326347</v>
      </c>
    </row>
    <row r="1356" spans="2:20" x14ac:dyDescent="0.25">
      <c r="B1356" s="23" t="s">
        <v>4361</v>
      </c>
      <c r="C1356" s="28" t="s">
        <v>493</v>
      </c>
      <c r="H1356" s="159">
        <f t="shared" ref="H1356:T1356" si="253">H1346</f>
        <v>-1.4210854715202004E-14</v>
      </c>
      <c r="I1356" s="159">
        <f t="shared" si="253"/>
        <v>-7.1500873698656555</v>
      </c>
      <c r="J1356" s="159">
        <f t="shared" si="253"/>
        <v>-3.4479167119886824</v>
      </c>
      <c r="K1356" s="159">
        <f t="shared" si="253"/>
        <v>62.853681996203619</v>
      </c>
      <c r="L1356" s="159">
        <f t="shared" si="253"/>
        <v>64.328376996203588</v>
      </c>
      <c r="M1356" s="159">
        <f t="shared" si="253"/>
        <v>66.34410161119331</v>
      </c>
      <c r="N1356" s="159">
        <f t="shared" si="253"/>
        <v>66.324055310885228</v>
      </c>
      <c r="O1356" s="159">
        <f t="shared" si="253"/>
        <v>65.082615590577632</v>
      </c>
      <c r="P1356" s="159">
        <f t="shared" si="253"/>
        <v>62.918068521501823</v>
      </c>
      <c r="Q1356" s="159">
        <f t="shared" si="253"/>
        <v>60.34659620119362</v>
      </c>
      <c r="R1356" s="159">
        <f t="shared" si="253"/>
        <v>57.375492830885264</v>
      </c>
      <c r="S1356" s="159">
        <f t="shared" si="253"/>
        <v>54.004758410577551</v>
      </c>
      <c r="T1356" s="159">
        <f t="shared" si="253"/>
        <v>50.40153956150175</v>
      </c>
    </row>
    <row r="1357" spans="2:20" x14ac:dyDescent="0.25">
      <c r="B1357" s="23" t="s">
        <v>4357</v>
      </c>
      <c r="C1357" s="28" t="s">
        <v>493</v>
      </c>
      <c r="H1357" s="159">
        <f>'FSL Output - With BUMN'!H260-'Source Data'!H866-H1354-H1355-H1356</f>
        <v>-3.2827074392116629E-12</v>
      </c>
      <c r="I1357" s="159">
        <f>'FSL Output - With BUMN'!I260-'Source Data'!I866-I1354-I1355-I1356</f>
        <v>-8.1357143244531471E-13</v>
      </c>
      <c r="J1357" s="159">
        <f>'FSL Output - With BUMN'!J260-'Source Data'!J866-J1354-J1355-J1356</f>
        <v>-2.5011104298755527E-12</v>
      </c>
      <c r="K1357" s="159">
        <f>'FSL Output - With BUMN'!K260-'Source Data'!K866-K1354-K1355-K1356</f>
        <v>-3.666400516522117E-12</v>
      </c>
      <c r="L1357" s="159">
        <f>'FSL Output - With BUMN'!L260-'Source Data'!L866-L1354-L1355-L1356</f>
        <v>-2.0463630789890885E-12</v>
      </c>
      <c r="M1357" s="159">
        <f>'FSL Output - With BUMN'!M260-'Source Data'!M866-M1354-M1355-M1356</f>
        <v>5.9117155615240335E-12</v>
      </c>
      <c r="N1357" s="159">
        <f>'FSL Output - With BUMN'!N260-'Source Data'!N866-N1354-N1355-N1356</f>
        <v>5.1159076974727213E-12</v>
      </c>
      <c r="O1357" s="159">
        <f>'FSL Output - With BUMN'!O260-'Source Data'!O866-O1354-O1355-O1356</f>
        <v>3.0127011996228248E-12</v>
      </c>
      <c r="P1357" s="159">
        <f>'FSL Output - With BUMN'!P260-'Source Data'!P866-P1354-P1355-P1356</f>
        <v>1.0231815394945443E-12</v>
      </c>
      <c r="Q1357" s="159">
        <f>'FSL Output - With BUMN'!Q260-'Source Data'!Q866-Q1354-Q1355-Q1356</f>
        <v>1.0231815394945443E-12</v>
      </c>
      <c r="R1357" s="159">
        <f>'FSL Output - With BUMN'!R260-'Source Data'!R866-R1354-R1355-R1356</f>
        <v>5.1159076974727213E-12</v>
      </c>
      <c r="S1357" s="159">
        <f>'FSL Output - With BUMN'!S260-'Source Data'!S866-S1354-S1355-S1356</f>
        <v>-1.5916157281026244E-12</v>
      </c>
      <c r="T1357" s="159">
        <f>'FSL Output - With BUMN'!T260-'Source Data'!T866-T1354-T1355-T1356</f>
        <v>3.4106051316484809E-12</v>
      </c>
    </row>
    <row r="1358" spans="2:20" x14ac:dyDescent="0.25">
      <c r="B1358" s="21" t="s">
        <v>4362</v>
      </c>
      <c r="C1358" s="28" t="s">
        <v>493</v>
      </c>
      <c r="H1358" s="26">
        <f>'FSL Output - With BUMN'!H260</f>
        <v>1002.4191337838267</v>
      </c>
      <c r="I1358" s="26">
        <f>'FSL Output - With BUMN'!I260</f>
        <v>1078.9244772856434</v>
      </c>
      <c r="J1358" s="26">
        <f>'FSL Output - With BUMN'!J260</f>
        <v>1200.5908253788334</v>
      </c>
      <c r="K1358" s="26">
        <f>'FSL Output - With BUMN'!K260</f>
        <v>1465.9533404240874</v>
      </c>
      <c r="L1358" s="26">
        <f>'FSL Output - With BUMN'!L260</f>
        <v>1661.9396230212285</v>
      </c>
      <c r="M1358" s="26">
        <f>'FSL Output - With BUMN'!M260</f>
        <v>1887.0557054577403</v>
      </c>
      <c r="N1358" s="26">
        <f>'FSL Output - With BUMN'!N260</f>
        <v>2129.0263771944078</v>
      </c>
      <c r="O1358" s="26">
        <f>'FSL Output - With BUMN'!O260</f>
        <v>2397.6254146630749</v>
      </c>
      <c r="P1358" s="26">
        <f>'FSL Output - With BUMN'!P260</f>
        <v>2683.6542253978077</v>
      </c>
      <c r="Q1358" s="26">
        <f>'FSL Output - With BUMN'!Q260</f>
        <v>2996.7177188426763</v>
      </c>
      <c r="R1358" s="26">
        <f>'FSL Output - With BUMN'!R260</f>
        <v>3325.8475323538592</v>
      </c>
      <c r="S1358" s="26">
        <f>'FSL Output - With BUMN'!S260</f>
        <v>3653.7300458523109</v>
      </c>
      <c r="T1358" s="26">
        <f>'FSL Output - With BUMN'!T260</f>
        <v>3994.9909337529302</v>
      </c>
    </row>
    <row r="1359" spans="2:20" x14ac:dyDescent="0.25">
      <c r="B1359" s="21" t="s">
        <v>4363</v>
      </c>
      <c r="C1359" s="28" t="s">
        <v>493</v>
      </c>
      <c r="E1359" s="229">
        <f>MAX(MAX($H$1340:$T$1340),-MIN($H$1340:$T$1340),MAX($H$1347:$T$1347),-MIN($H$1347:$T$1347),MAX($H$1351:$T$1351),-MIN($H$1351:$T$1351),MAX($H$1357:$T$1357),-MIN($H$1357:$T$1357))</f>
        <v>162.64999999999827</v>
      </c>
    </row>
    <row r="1361" spans="2:20" x14ac:dyDescent="0.25">
      <c r="B1361" s="154" t="s">
        <v>4364</v>
      </c>
    </row>
    <row r="1362" spans="2:20" x14ac:dyDescent="0.25">
      <c r="B1362" s="23" t="s">
        <v>4343</v>
      </c>
      <c r="C1362" s="28" t="s">
        <v>493</v>
      </c>
      <c r="H1362" s="29">
        <f>'Source Data'!H903</f>
        <v>40.429223963838901</v>
      </c>
      <c r="I1362" s="29">
        <f>'Source Data'!I903</f>
        <v>100.673656080043</v>
      </c>
      <c r="J1362" s="29">
        <f>'Source Data'!J903</f>
        <v>131.814859557651</v>
      </c>
      <c r="K1362" s="29">
        <f>'Source Data'!K903</f>
        <v>194.665833968887</v>
      </c>
      <c r="L1362" s="29">
        <f>'Source Data'!L903</f>
        <v>225.672340292066</v>
      </c>
      <c r="M1362" s="29">
        <f>'Source Data'!M903</f>
        <v>266.48604401441401</v>
      </c>
      <c r="N1362" s="29">
        <f>'Source Data'!N903</f>
        <v>281.62212885089502</v>
      </c>
      <c r="O1362" s="29">
        <f>'Source Data'!O903</f>
        <v>313.38328297787098</v>
      </c>
      <c r="P1362" s="29">
        <f>'Source Data'!P903</f>
        <v>332.34756970230501</v>
      </c>
      <c r="Q1362" s="29">
        <f>'Source Data'!Q903</f>
        <v>367.27456360124302</v>
      </c>
      <c r="R1362" s="29">
        <f>'Source Data'!R903</f>
        <v>386.50013977056301</v>
      </c>
      <c r="S1362" s="29">
        <f>'Source Data'!S903</f>
        <v>384.17175904332402</v>
      </c>
      <c r="T1362" s="29">
        <f>'Source Data'!T903</f>
        <v>400.26695344130002</v>
      </c>
    </row>
    <row r="1363" spans="2:20" x14ac:dyDescent="0.25">
      <c r="B1363" s="23" t="s">
        <v>4344</v>
      </c>
      <c r="C1363" s="28" t="s">
        <v>493</v>
      </c>
      <c r="H1363" s="159">
        <f>'FSL Output - Without BUMN'!H23-'Source Data'!H900</f>
        <v>0</v>
      </c>
      <c r="I1363" s="159">
        <f>'FSL Output - Without BUMN'!I23-'Source Data'!I900</f>
        <v>3.907985046680551E-14</v>
      </c>
      <c r="J1363" s="159">
        <f>'FSL Output - Without BUMN'!J23-'Source Data'!J900</f>
        <v>-15.273450177769659</v>
      </c>
      <c r="K1363" s="159">
        <f>'FSL Output - Without BUMN'!K23-'Source Data'!K900</f>
        <v>-7.5739574854145442</v>
      </c>
      <c r="L1363" s="159">
        <f>'FSL Output - Without BUMN'!L23-'Source Data'!L900</f>
        <v>-3.4156499999999999</v>
      </c>
      <c r="M1363" s="159">
        <f>'FSL Output - Without BUMN'!M23-'Source Data'!M900</f>
        <v>-8.5391250000000003</v>
      </c>
      <c r="N1363" s="159">
        <f>'FSL Output - Without BUMN'!N23-'Source Data'!N900</f>
        <v>-8.5391250000000003</v>
      </c>
      <c r="O1363" s="159">
        <f>'FSL Output - Without BUMN'!O23-'Source Data'!O900</f>
        <v>-7.8559950000000001</v>
      </c>
      <c r="P1363" s="159">
        <f>'FSL Output - Without BUMN'!P23-'Source Data'!P900</f>
        <v>-6.1481700000000004</v>
      </c>
      <c r="Q1363" s="159">
        <f>'FSL Output - Without BUMN'!Q23-'Source Data'!Q900</f>
        <v>-4.4403449999999998</v>
      </c>
      <c r="R1363" s="159">
        <f>'FSL Output - Without BUMN'!R23-'Source Data'!R900</f>
        <v>-2.7325200000000001</v>
      </c>
      <c r="S1363" s="159">
        <f>'FSL Output - Without BUMN'!S23-'Source Data'!S900</f>
        <v>-1.0246949999999999</v>
      </c>
      <c r="T1363" s="159">
        <f>'FSL Output - Without BUMN'!T23-'Source Data'!T900</f>
        <v>0</v>
      </c>
    </row>
    <row r="1364" spans="2:20" x14ac:dyDescent="0.25">
      <c r="B1364" s="23" t="s">
        <v>4345</v>
      </c>
      <c r="C1364" s="28" t="s">
        <v>493</v>
      </c>
      <c r="H1364" s="159">
        <f>'FSL Output - Without BUMN'!H25-'Source Data'!H902</f>
        <v>0</v>
      </c>
      <c r="I1364" s="159">
        <f>'FSL Output - Without BUMN'!I25-'Source Data'!I902</f>
        <v>0</v>
      </c>
      <c r="J1364" s="159">
        <f>'FSL Output - Without BUMN'!J25-'Source Data'!J902</f>
        <v>2.9328813181799731</v>
      </c>
      <c r="K1364" s="159">
        <f>'FSL Output - Without BUMN'!K25-'Source Data'!K902</f>
        <v>1.4543877221660111</v>
      </c>
      <c r="L1364" s="159">
        <f>'FSL Output - Without BUMN'!L25-'Source Data'!L902</f>
        <v>0</v>
      </c>
      <c r="M1364" s="159">
        <f>'FSL Output - Without BUMN'!M25-'Source Data'!M902</f>
        <v>0</v>
      </c>
      <c r="N1364" s="159">
        <f>'FSL Output - Without BUMN'!N25-'Source Data'!N902</f>
        <v>-1.8846949007567559E-2</v>
      </c>
      <c r="O1364" s="159">
        <f>'FSL Output - Without BUMN'!O25-'Source Data'!O902</f>
        <v>-1.1671655490074926</v>
      </c>
      <c r="P1364" s="159">
        <f>'FSL Output - Without BUMN'!P25-'Source Data'!P902</f>
        <v>-2.0350442529774568</v>
      </c>
      <c r="Q1364" s="159">
        <f>'FSL Output - Without BUMN'!Q25-'Source Data'!Q902</f>
        <v>-2.4176235490071036</v>
      </c>
      <c r="R1364" s="159">
        <f>'FSL Output - Without BUMN'!R25-'Source Data'!R902</f>
        <v>-2.7933450490075558</v>
      </c>
      <c r="S1364" s="159">
        <f>'FSL Output - Without BUMN'!S25-'Source Data'!S902</f>
        <v>-3.1690665490071837</v>
      </c>
      <c r="T1364" s="159">
        <f>'FSL Output - Without BUMN'!T25-'Source Data'!T902</f>
        <v>-3.3876416529770239</v>
      </c>
    </row>
    <row r="1365" spans="2:20" x14ac:dyDescent="0.25">
      <c r="B1365" s="23" t="s">
        <v>4346</v>
      </c>
      <c r="C1365" s="28" t="s">
        <v>493</v>
      </c>
      <c r="H1365" s="159">
        <f>'FSL Output - Without BUMN'!H26-'Source Data'!H903-H1363-H1364</f>
        <v>7.1054273576010019E-15</v>
      </c>
      <c r="I1365" s="159">
        <f>'FSL Output - Without BUMN'!I26-'Source Data'!I903-I1363-I1364</f>
        <v>-1.8118839761882555E-13</v>
      </c>
      <c r="J1365" s="159">
        <f>'FSL Output - Without BUMN'!J26-'Source Data'!J903-J1363-J1364</f>
        <v>-5.2047255394427339E-13</v>
      </c>
      <c r="K1365" s="159">
        <f>'FSL Output - Without BUMN'!K26-'Source Data'!K903-K1363-K1364</f>
        <v>1.1191048088221578E-13</v>
      </c>
      <c r="L1365" s="159">
        <f>'FSL Output - Without BUMN'!L26-'Source Data'!L903-L1363-L1364</f>
        <v>-1.5000000000002554</v>
      </c>
      <c r="M1365" s="159">
        <f>'FSL Output - Without BUMN'!M26-'Source Data'!M903-M1363-M1364</f>
        <v>1.8200429500340523</v>
      </c>
      <c r="N1365" s="159">
        <f>'FSL Output - Without BUMN'!N26-'Source Data'!N903-N1363-N1364</f>
        <v>8.6247929500338802</v>
      </c>
      <c r="O1365" s="159">
        <f>'FSL Output - Without BUMN'!O26-'Source Data'!O903-O1363-O1364</f>
        <v>13.161292950034216</v>
      </c>
      <c r="P1365" s="159">
        <f>'FSL Output - Without BUMN'!P26-'Source Data'!P903-P1363-P1364</f>
        <v>15.398371149897407</v>
      </c>
      <c r="Q1365" s="159">
        <f>'FSL Output - Without BUMN'!Q26-'Source Data'!Q903-Q1363-Q1364</f>
        <v>15.42954295003333</v>
      </c>
      <c r="R1365" s="159">
        <f>'FSL Output - Without BUMN'!R26-'Source Data'!R903-R1363-R1364</f>
        <v>15.429542950034367</v>
      </c>
      <c r="S1365" s="159">
        <f>'FSL Output - Without BUMN'!S26-'Source Data'!S903-S1363-S1364</f>
        <v>15.429542950033726</v>
      </c>
      <c r="T1365" s="159">
        <f>'FSL Output - Without BUMN'!T26-'Source Data'!T903-T1363-T1364</f>
        <v>15.398371149897386</v>
      </c>
    </row>
    <row r="1366" spans="2:20" x14ac:dyDescent="0.25">
      <c r="B1366" s="21" t="s">
        <v>4347</v>
      </c>
      <c r="C1366" s="28" t="s">
        <v>493</v>
      </c>
      <c r="H1366" s="26">
        <f>'FSL Output - Without BUMN'!H26</f>
        <v>40.429223963838908</v>
      </c>
      <c r="I1366" s="26">
        <f>'FSL Output - Without BUMN'!I26</f>
        <v>100.67365608004286</v>
      </c>
      <c r="J1366" s="26">
        <f>'FSL Output - Without BUMN'!J26</f>
        <v>119.4742906980608</v>
      </c>
      <c r="K1366" s="26">
        <f>'FSL Output - Without BUMN'!K26</f>
        <v>188.54626420563858</v>
      </c>
      <c r="L1366" s="26">
        <f>'FSL Output - Without BUMN'!L26</f>
        <v>220.75669029206574</v>
      </c>
      <c r="M1366" s="26">
        <f>'FSL Output - Without BUMN'!M26</f>
        <v>259.76696196444806</v>
      </c>
      <c r="N1366" s="26">
        <f>'FSL Output - Without BUMN'!N26</f>
        <v>281.68894985192134</v>
      </c>
      <c r="O1366" s="26">
        <f>'FSL Output - Without BUMN'!O26</f>
        <v>317.5214153788977</v>
      </c>
      <c r="P1366" s="26">
        <f>'FSL Output - Without BUMN'!P26</f>
        <v>339.56272659922496</v>
      </c>
      <c r="Q1366" s="26">
        <f>'FSL Output - Without BUMN'!Q26</f>
        <v>375.84613800226924</v>
      </c>
      <c r="R1366" s="26">
        <f>'FSL Output - Without BUMN'!R26</f>
        <v>396.40381767158982</v>
      </c>
      <c r="S1366" s="26">
        <f>'FSL Output - Without BUMN'!S26</f>
        <v>395.40754044435056</v>
      </c>
      <c r="T1366" s="26">
        <f>'FSL Output - Without BUMN'!T26</f>
        <v>412.27768293822038</v>
      </c>
    </row>
    <row r="1367" spans="2:20" x14ac:dyDescent="0.25">
      <c r="B1367" s="23" t="s">
        <v>4348</v>
      </c>
      <c r="C1367" s="28" t="s">
        <v>493</v>
      </c>
      <c r="H1367" s="29">
        <f>'Source Data'!H917</f>
        <v>31.3665625449431</v>
      </c>
      <c r="I1367" s="29">
        <f>'Source Data'!I917</f>
        <v>2.9999999999999898</v>
      </c>
      <c r="J1367" s="29">
        <f>'Source Data'!J917</f>
        <v>227.97443471566601</v>
      </c>
      <c r="K1367" s="29">
        <f>'Source Data'!K917</f>
        <v>493.22045311743301</v>
      </c>
      <c r="L1367" s="29">
        <f>'Source Data'!L917</f>
        <v>794.02301183593602</v>
      </c>
      <c r="M1367" s="29">
        <f>'Source Data'!M917</f>
        <v>1125.9645625524099</v>
      </c>
      <c r="N1367" s="29">
        <f>'Source Data'!N917</f>
        <v>1473.5637321534</v>
      </c>
      <c r="O1367" s="29">
        <f>'Source Data'!O917</f>
        <v>1840.7119570198199</v>
      </c>
      <c r="P1367" s="29">
        <f>'Source Data'!P917</f>
        <v>2226.2251354331102</v>
      </c>
      <c r="Q1367" s="29">
        <f>'Source Data'!Q917</f>
        <v>2633.3300795825598</v>
      </c>
      <c r="R1367" s="29">
        <f>'Source Data'!R917</f>
        <v>3053.5610515362</v>
      </c>
      <c r="S1367" s="29">
        <f>'Source Data'!S917</f>
        <v>3473.9355340039701</v>
      </c>
      <c r="T1367" s="29">
        <f>'Source Data'!T917</f>
        <v>3903.44976445468</v>
      </c>
    </row>
    <row r="1368" spans="2:20" x14ac:dyDescent="0.25">
      <c r="B1368" s="23" t="s">
        <v>4349</v>
      </c>
      <c r="C1368" s="28" t="s">
        <v>493</v>
      </c>
      <c r="H1368" s="159">
        <f>SUM('FSL Output - Without BUMN'!$G$26:H$26)-SUM('Source Data'!$G$903:H$903)</f>
        <v>0</v>
      </c>
      <c r="I1368" s="159">
        <f>SUM('FSL Output - Without BUMN'!$G$26:I$26)-SUM('Source Data'!$G$903:I$903)</f>
        <v>0</v>
      </c>
      <c r="J1368" s="159">
        <f>SUM('FSL Output - Without BUMN'!$G$26:J$26)-SUM('Source Data'!$G$903:J$903)</f>
        <v>-12.340568859590292</v>
      </c>
      <c r="K1368" s="159">
        <f>SUM('FSL Output - Without BUMN'!$G$26:K$26)-SUM('Source Data'!$G$903:K$903)</f>
        <v>-18.460138622838713</v>
      </c>
      <c r="L1368" s="159">
        <f>SUM('FSL Output - Without BUMN'!$G$26:L$26)-SUM('Source Data'!$G$903:L$903)</f>
        <v>-23.375788622838854</v>
      </c>
      <c r="M1368" s="159">
        <f>SUM('FSL Output - Without BUMN'!$G$26:M$26)-SUM('Source Data'!$G$903:M$903)</f>
        <v>-30.094870672804859</v>
      </c>
      <c r="N1368" s="159">
        <f>SUM('FSL Output - Without BUMN'!$G$26:N$26)-SUM('Source Data'!$G$903:N$903)</f>
        <v>-30.028049671778717</v>
      </c>
      <c r="O1368" s="159">
        <f>SUM('FSL Output - Without BUMN'!$G$26:O$26)-SUM('Source Data'!$G$903:O$903)</f>
        <v>-25.889917270751994</v>
      </c>
      <c r="P1368" s="159">
        <f>SUM('FSL Output - Without BUMN'!$G$26:P$26)-SUM('Source Data'!$G$903:P$903)</f>
        <v>-18.674760373831987</v>
      </c>
      <c r="Q1368" s="159">
        <f>SUM('FSL Output - Without BUMN'!$G$26:Q$26)-SUM('Source Data'!$G$903:Q$903)</f>
        <v>-10.103185972805932</v>
      </c>
      <c r="R1368" s="159">
        <f>SUM('FSL Output - Without BUMN'!$G$26:R$26)-SUM('Source Data'!$G$903:R$903)</f>
        <v>-0.19950807177883689</v>
      </c>
      <c r="S1368" s="159">
        <f>SUM('FSL Output - Without BUMN'!$G$26:S$26)-SUM('Source Data'!$G$903:S$903)</f>
        <v>11.036273329247706</v>
      </c>
      <c r="T1368" s="159">
        <f>SUM('FSL Output - Without BUMN'!$G$26:T$26)-SUM('Source Data'!$G$903:T$903)</f>
        <v>23.047002826168409</v>
      </c>
    </row>
    <row r="1369" spans="2:20" ht="26.25" customHeight="1" x14ac:dyDescent="0.25">
      <c r="B1369" s="64" t="s">
        <v>4350</v>
      </c>
      <c r="C1369" s="28" t="s">
        <v>493</v>
      </c>
      <c r="H1369" s="159">
        <f>SUM('FSL Output - Without BUMN'!$G$227:H$227)+SUM('FSL Output - Without BUMN'!$G$228:H$228)-SUM('Source Data'!$G$913:H$913)</f>
        <v>9.9475983006414026E-14</v>
      </c>
      <c r="I1369" s="159">
        <f>SUM('FSL Output - Without BUMN'!$G$227:I$227)+SUM('FSL Output - Without BUMN'!$G$228:I$228)-SUM('Source Data'!$G$913:I$913)</f>
        <v>195.18000000000009</v>
      </c>
      <c r="J1369" s="159">
        <f>SUM('FSL Output - Without BUMN'!$G$227:J$227)+SUM('FSL Output - Without BUMN'!$G$228:J$228)-SUM('Source Data'!$G$913:J$913)</f>
        <v>195.18000000000009</v>
      </c>
      <c r="K1369" s="159">
        <f>SUM('FSL Output - Without BUMN'!$G$227:K$227)+SUM('FSL Output - Without BUMN'!$G$228:K$228)-SUM('Source Data'!$G$913:K$913)</f>
        <v>32.530000000000086</v>
      </c>
      <c r="L1369" s="159">
        <f>SUM('FSL Output - Without BUMN'!$G$227:L$227)+SUM('FSL Output - Without BUMN'!$G$228:L$228)-SUM('Source Data'!$G$913:L$913)</f>
        <v>81.325000000000102</v>
      </c>
      <c r="M1369" s="159">
        <f>SUM('FSL Output - Without BUMN'!$G$227:M$227)+SUM('FSL Output - Without BUMN'!$G$228:M$228)-SUM('Source Data'!$G$913:M$913)</f>
        <v>81.325000000000102</v>
      </c>
      <c r="N1369" s="159">
        <f>SUM('FSL Output - Without BUMN'!$G$227:N$227)+SUM('FSL Output - Without BUMN'!$G$228:N$228)-SUM('Source Data'!$G$913:N$913)</f>
        <v>74.819000000000074</v>
      </c>
      <c r="O1369" s="159">
        <f>SUM('FSL Output - Without BUMN'!$G$227:O$227)+SUM('FSL Output - Without BUMN'!$G$228:O$228)-SUM('Source Data'!$G$913:O$913)</f>
        <v>58.554000000000087</v>
      </c>
      <c r="P1369" s="159">
        <f>SUM('FSL Output - Without BUMN'!$G$227:P$227)+SUM('FSL Output - Without BUMN'!$G$228:P$228)-SUM('Source Data'!$G$913:P$913)</f>
        <v>42.289000000000101</v>
      </c>
      <c r="Q1369" s="159">
        <f>SUM('FSL Output - Without BUMN'!$G$227:Q$227)+SUM('FSL Output - Without BUMN'!$G$228:Q$228)-SUM('Source Data'!$G$913:Q$913)</f>
        <v>26.024000000000115</v>
      </c>
      <c r="R1369" s="159">
        <f>SUM('FSL Output - Without BUMN'!$G$227:R$227)+SUM('FSL Output - Without BUMN'!$G$228:R$228)-SUM('Source Data'!$G$913:R$913)</f>
        <v>9.7590000000001282</v>
      </c>
      <c r="S1369" s="159">
        <f>SUM('FSL Output - Without BUMN'!$G$227:S$227)+SUM('FSL Output - Without BUMN'!$G$228:S$228)-SUM('Source Data'!$G$913:S$913)</f>
        <v>0</v>
      </c>
      <c r="T1369" s="159">
        <f>SUM('FSL Output - Without BUMN'!$G$227:T$227)+SUM('FSL Output - Without BUMN'!$G$228:T$228)-SUM('Source Data'!$G$913:T$913)</f>
        <v>0</v>
      </c>
    </row>
    <row r="1370" spans="2:20" x14ac:dyDescent="0.25">
      <c r="B1370" s="23" t="s">
        <v>4351</v>
      </c>
      <c r="C1370" s="28" t="s">
        <v>493</v>
      </c>
      <c r="H1370" s="159">
        <f>SUM('FSL Output - Without BUMN'!$G$226:H$226)-SUM('Source Data'!$G$912:H$912)</f>
        <v>0</v>
      </c>
      <c r="I1370" s="159">
        <f>SUM('FSL Output - Without BUMN'!$G$226:I$226)-SUM('Source Data'!$G$912:I$912)</f>
        <v>0</v>
      </c>
      <c r="J1370" s="159">
        <f>SUM('FSL Output - Without BUMN'!$G$226:J$226)-SUM('Source Data'!$G$912:J$912)</f>
        <v>-419.772029761905</v>
      </c>
      <c r="K1370" s="159">
        <f>SUM('FSL Output - Without BUMN'!$G$226:K$226)-SUM('Source Data'!$G$912:K$912)</f>
        <v>-503.1104506843231</v>
      </c>
      <c r="L1370" s="159">
        <f>SUM('FSL Output - Without BUMN'!$G$226:L$226)-SUM('Source Data'!$G$912:L$912)</f>
        <v>-503.1104506843231</v>
      </c>
      <c r="M1370" s="159">
        <f>SUM('FSL Output - Without BUMN'!$G$226:M$226)-SUM('Source Data'!$G$912:M$912)</f>
        <v>-503.1104506843231</v>
      </c>
      <c r="N1370" s="159">
        <f>SUM('FSL Output - Without BUMN'!$G$226:N$226)-SUM('Source Data'!$G$912:N$912)</f>
        <v>-503.1104506843231</v>
      </c>
      <c r="O1370" s="159">
        <f>SUM('FSL Output - Without BUMN'!$G$226:O$226)-SUM('Source Data'!$G$912:O$912)</f>
        <v>-503.1104506843231</v>
      </c>
      <c r="P1370" s="159">
        <f>SUM('FSL Output - Without BUMN'!$G$226:P$226)-SUM('Source Data'!$G$912:P$912)</f>
        <v>-503.1104506843231</v>
      </c>
      <c r="Q1370" s="159">
        <f>SUM('FSL Output - Without BUMN'!$G$226:Q$226)-SUM('Source Data'!$G$912:Q$912)</f>
        <v>-503.1104506843231</v>
      </c>
      <c r="R1370" s="159">
        <f>SUM('FSL Output - Without BUMN'!$G$226:R$226)-SUM('Source Data'!$G$912:R$912)</f>
        <v>-503.1104506843231</v>
      </c>
      <c r="S1370" s="159">
        <f>SUM('FSL Output - Without BUMN'!$G$226:S$226)-SUM('Source Data'!$G$912:S$912)</f>
        <v>-503.1104506843231</v>
      </c>
      <c r="T1370" s="159">
        <f>SUM('FSL Output - Without BUMN'!$G$226:T$226)-SUM('Source Data'!$G$912:T$912)</f>
        <v>-503.1104506843231</v>
      </c>
    </row>
    <row r="1371" spans="2:20" x14ac:dyDescent="0.25">
      <c r="B1371" s="23" t="s">
        <v>4352</v>
      </c>
      <c r="C1371" s="28" t="s">
        <v>493</v>
      </c>
      <c r="H1371" s="159">
        <f>SUM('FSL Output - Without BUMN'!$G$229:H$229)+SUM('FSL Output - Without BUMN'!$G$230:H$230)-SUM('Source Data'!$G$914:H$914)</f>
        <v>-1.4210854715202004E-14</v>
      </c>
      <c r="I1371" s="159">
        <f>SUM('FSL Output - Without BUMN'!$G$229:I$229)+SUM('FSL Output - Without BUMN'!$G$230:I$230)-SUM('Source Data'!$G$914:I$914)</f>
        <v>-7.1500873698656555</v>
      </c>
      <c r="J1371" s="159">
        <f>SUM('FSL Output - Without BUMN'!$G$229:J$229)+SUM('FSL Output - Without BUMN'!$G$230:J$230)-SUM('Source Data'!$G$914:J$914)</f>
        <v>11.958163905827909</v>
      </c>
      <c r="K1371" s="159">
        <f>SUM('FSL Output - Without BUMN'!$G$229:K$229)+SUM('FSL Output - Without BUMN'!$G$230:K$230)-SUM('Source Data'!$G$914:K$914)</f>
        <v>63.880136189728006</v>
      </c>
      <c r="L1371" s="159">
        <f>SUM('FSL Output - Without BUMN'!$G$229:L$229)+SUM('FSL Output - Without BUMN'!$G$230:L$230)-SUM('Source Data'!$G$914:L$914)</f>
        <v>65.354831189728003</v>
      </c>
      <c r="M1371" s="159">
        <f>SUM('FSL Output - Without BUMN'!$G$229:M$229)+SUM('FSL Output - Without BUMN'!$G$230:M$230)-SUM('Source Data'!$G$914:M$914)</f>
        <v>67.370555804717782</v>
      </c>
      <c r="N1371" s="159">
        <f>SUM('FSL Output - Without BUMN'!$G$229:N$229)+SUM('FSL Output - Without BUMN'!$G$230:N$230)-SUM('Source Data'!$G$914:N$914)</f>
        <v>67.350509504409786</v>
      </c>
      <c r="O1371" s="159">
        <f>SUM('FSL Output - Without BUMN'!$G$229:O$229)+SUM('FSL Output - Without BUMN'!$G$230:O$230)-SUM('Source Data'!$G$914:O$914)</f>
        <v>66.109069784101735</v>
      </c>
      <c r="P1371" s="159">
        <f>SUM('FSL Output - Without BUMN'!$G$229:P$229)+SUM('FSL Output - Without BUMN'!$G$230:P$230)-SUM('Source Data'!$G$914:P$914)</f>
        <v>63.944522715025755</v>
      </c>
      <c r="Q1371" s="159">
        <f>SUM('FSL Output - Without BUMN'!$G$229:Q$229)+SUM('FSL Output - Without BUMN'!$G$230:Q$230)-SUM('Source Data'!$G$914:Q$914)</f>
        <v>61.373050394717325</v>
      </c>
      <c r="R1371" s="159">
        <f>SUM('FSL Output - Without BUMN'!$G$229:R$229)+SUM('FSL Output - Without BUMN'!$G$230:R$230)-SUM('Source Data'!$G$914:R$914)</f>
        <v>58.401947024409765</v>
      </c>
      <c r="S1371" s="159">
        <f>SUM('FSL Output - Without BUMN'!$G$229:S$229)+SUM('FSL Output - Without BUMN'!$G$230:S$230)-SUM('Source Data'!$G$914:S$914)</f>
        <v>55.031212604101484</v>
      </c>
      <c r="T1371" s="159">
        <f>SUM('FSL Output - Without BUMN'!$G$229:T$229)+SUM('FSL Output - Without BUMN'!$G$230:T$230)-SUM('Source Data'!$G$914:T$914)</f>
        <v>51.427993755025341</v>
      </c>
    </row>
    <row r="1372" spans="2:20" ht="26.25" customHeight="1" x14ac:dyDescent="0.25">
      <c r="B1372" s="64" t="s">
        <v>4353</v>
      </c>
      <c r="C1372" s="28" t="s">
        <v>493</v>
      </c>
      <c r="H1372" s="159">
        <f>'Funding Requirement'!H94-'Source Data'!H917-H1368-H1369-H1370-H1371</f>
        <v>2.4868995751603507E-14</v>
      </c>
      <c r="I1372" s="159">
        <f>'Funding Requirement'!I94-'Source Data'!I917-I1368-I1369-I1370-I1371</f>
        <v>6.7501559897209518E-14</v>
      </c>
      <c r="J1372" s="159">
        <f>'Funding Requirement'!J94-'Source Data'!J917-J1368-J1369-J1370-J1371</f>
        <v>1.2576606422953773E-12</v>
      </c>
      <c r="K1372" s="159">
        <f>'Funding Requirement'!K94-'Source Data'!K917-K1368-K1369-K1370-K1371</f>
        <v>-65.059999999999292</v>
      </c>
      <c r="L1372" s="159">
        <f>'Funding Requirement'!L94-'Source Data'!L917-L1368-L1369-L1370-L1371</f>
        <v>-162.64999999999893</v>
      </c>
      <c r="M1372" s="159">
        <f>'Funding Requirement'!M94-'Source Data'!M917-M1368-M1369-M1370-M1371</f>
        <v>-153.84409431989755</v>
      </c>
      <c r="N1372" s="159">
        <f>'Funding Requirement'!N94-'Source Data'!N917-N1368-N1369-N1370-N1371</f>
        <v>-143.37520233842417</v>
      </c>
      <c r="O1372" s="159">
        <f>'Funding Requirement'!O94-'Source Data'!O917-O1368-O1369-O1370-O1371</f>
        <v>-132.60337200078999</v>
      </c>
      <c r="P1372" s="159">
        <f>'Funding Requirement'!P94-'Source Data'!P917-P1368-P1369-P1370-P1371</f>
        <v>-121.48543852459028</v>
      </c>
      <c r="Q1372" s="159">
        <f>'Funding Requirement'!Q94-'Source Data'!Q917-Q1368-Q1369-Q1370-Q1371</f>
        <v>-110.11972445687735</v>
      </c>
      <c r="R1372" s="159">
        <f>'Funding Requirement'!R94-'Source Data'!R917-R1368-R1369-R1370-R1371</f>
        <v>-98.742017406918933</v>
      </c>
      <c r="S1372" s="159">
        <f>'Funding Requirement'!S94-'Source Data'!S917-S1368-S1369-S1370-S1371</f>
        <v>-87.364310356952217</v>
      </c>
      <c r="T1372" s="159">
        <f>'Funding Requirement'!T94-'Source Data'!T917-T1368-T1369-T1370-T1371</f>
        <v>-75.943438524591159</v>
      </c>
    </row>
    <row r="1373" spans="2:20" x14ac:dyDescent="0.25">
      <c r="B1373" s="21" t="s">
        <v>4354</v>
      </c>
      <c r="C1373" s="28" t="s">
        <v>493</v>
      </c>
      <c r="H1373" s="26">
        <f>'Funding Requirement'!H94</f>
        <v>31.366562544943211</v>
      </c>
      <c r="I1373" s="26">
        <f>'Funding Requirement'!I94</f>
        <v>191.0299126301345</v>
      </c>
      <c r="J1373" s="26">
        <f>'Funding Requirement'!J94</f>
        <v>3</v>
      </c>
      <c r="K1373" s="26">
        <f>'Funding Requirement'!K94</f>
        <v>3</v>
      </c>
      <c r="L1373" s="26">
        <f>'Funding Requirement'!L94</f>
        <v>251.56660371850327</v>
      </c>
      <c r="M1373" s="26">
        <f>'Funding Requirement'!M94</f>
        <v>587.61070268010224</v>
      </c>
      <c r="N1373" s="26">
        <f>'Funding Requirement'!N94</f>
        <v>939.21953896328387</v>
      </c>
      <c r="O1373" s="26">
        <f>'Funding Requirement'!O94</f>
        <v>1303.7712868480567</v>
      </c>
      <c r="P1373" s="26">
        <f>'Funding Requirement'!P94</f>
        <v>1689.1880085653906</v>
      </c>
      <c r="Q1373" s="26">
        <f>'Funding Requirement'!Q94</f>
        <v>2097.3937688632709</v>
      </c>
      <c r="R1373" s="26">
        <f>'Funding Requirement'!R94</f>
        <v>2519.670022397589</v>
      </c>
      <c r="S1373" s="26">
        <f>'Funding Requirement'!S94</f>
        <v>2949.528258896044</v>
      </c>
      <c r="T1373" s="26">
        <f>'Funding Requirement'!T94</f>
        <v>3398.8708718269595</v>
      </c>
    </row>
    <row r="1374" spans="2:20" x14ac:dyDescent="0.25">
      <c r="B1374" s="23" t="s">
        <v>4355</v>
      </c>
      <c r="C1374" s="28" t="s">
        <v>493</v>
      </c>
      <c r="H1374" s="29">
        <f>'Source Data'!H926</f>
        <v>195.18</v>
      </c>
      <c r="I1374" s="29">
        <f>'Source Data'!I926</f>
        <v>0</v>
      </c>
      <c r="J1374" s="29">
        <f>'Source Data'!J926</f>
        <v>0</v>
      </c>
      <c r="K1374" s="29">
        <f>'Source Data'!K926</f>
        <v>0</v>
      </c>
      <c r="L1374" s="29">
        <f>'Source Data'!L926</f>
        <v>0</v>
      </c>
      <c r="M1374" s="29">
        <f>'Source Data'!M926</f>
        <v>0</v>
      </c>
      <c r="N1374" s="29">
        <f>'Source Data'!N926</f>
        <v>0</v>
      </c>
      <c r="O1374" s="29">
        <f>'Source Data'!O926</f>
        <v>0</v>
      </c>
      <c r="P1374" s="29">
        <f>'Source Data'!P926</f>
        <v>0</v>
      </c>
      <c r="Q1374" s="29">
        <f>'Source Data'!Q926</f>
        <v>0</v>
      </c>
      <c r="R1374" s="29">
        <f>'Source Data'!R926</f>
        <v>0</v>
      </c>
      <c r="S1374" s="29">
        <f>'Source Data'!S926</f>
        <v>0</v>
      </c>
      <c r="T1374" s="29">
        <f>'Source Data'!T926</f>
        <v>0</v>
      </c>
    </row>
    <row r="1375" spans="2:20" x14ac:dyDescent="0.25">
      <c r="B1375" s="23" t="s">
        <v>4356</v>
      </c>
      <c r="C1375" s="28" t="s">
        <v>493</v>
      </c>
      <c r="H1375" s="159">
        <f t="shared" ref="H1375:T1375" si="254">H1369</f>
        <v>9.9475983006414026E-14</v>
      </c>
      <c r="I1375" s="159">
        <f t="shared" si="254"/>
        <v>195.18000000000009</v>
      </c>
      <c r="J1375" s="159">
        <f t="shared" si="254"/>
        <v>195.18000000000009</v>
      </c>
      <c r="K1375" s="159">
        <f t="shared" si="254"/>
        <v>32.530000000000086</v>
      </c>
      <c r="L1375" s="159">
        <f t="shared" si="254"/>
        <v>81.325000000000102</v>
      </c>
      <c r="M1375" s="159">
        <f t="shared" si="254"/>
        <v>81.325000000000102</v>
      </c>
      <c r="N1375" s="159">
        <f t="shared" si="254"/>
        <v>74.819000000000074</v>
      </c>
      <c r="O1375" s="159">
        <f t="shared" si="254"/>
        <v>58.554000000000087</v>
      </c>
      <c r="P1375" s="159">
        <f t="shared" si="254"/>
        <v>42.289000000000101</v>
      </c>
      <c r="Q1375" s="159">
        <f t="shared" si="254"/>
        <v>26.024000000000115</v>
      </c>
      <c r="R1375" s="159">
        <f t="shared" si="254"/>
        <v>9.7590000000001282</v>
      </c>
      <c r="S1375" s="159">
        <f t="shared" si="254"/>
        <v>0</v>
      </c>
      <c r="T1375" s="159">
        <f t="shared" si="254"/>
        <v>0</v>
      </c>
    </row>
    <row r="1376" spans="2:20" x14ac:dyDescent="0.25">
      <c r="B1376" s="23" t="s">
        <v>4357</v>
      </c>
      <c r="C1376" s="28" t="s">
        <v>493</v>
      </c>
      <c r="H1376" s="159">
        <f>Financing!H108-'Source Data'!H926-H1375</f>
        <v>-9.9475983006414026E-14</v>
      </c>
      <c r="I1376" s="159">
        <f>Financing!I108-'Source Data'!I926-I1375</f>
        <v>0</v>
      </c>
      <c r="J1376" s="159">
        <f>Financing!J108-'Source Data'!J926-J1375</f>
        <v>0</v>
      </c>
      <c r="K1376" s="159">
        <f>Financing!K108-'Source Data'!K926-K1375</f>
        <v>-8.5265128291212022E-14</v>
      </c>
      <c r="L1376" s="159">
        <f>Financing!L108-'Source Data'!L926-L1375</f>
        <v>0</v>
      </c>
      <c r="M1376" s="159">
        <f>Financing!M108-'Source Data'!M926-M1375</f>
        <v>0</v>
      </c>
      <c r="N1376" s="159">
        <f>Financing!N108-'Source Data'!N926-N1375</f>
        <v>0</v>
      </c>
      <c r="O1376" s="159">
        <f>Financing!O108-'Source Data'!O926-O1375</f>
        <v>-8.5265128291212022E-14</v>
      </c>
      <c r="P1376" s="159">
        <f>Financing!P108-'Source Data'!P926-P1375</f>
        <v>-9.9475983006414026E-14</v>
      </c>
      <c r="Q1376" s="159">
        <f>Financing!Q108-'Source Data'!Q926-Q1375</f>
        <v>-1.1368683772161603E-13</v>
      </c>
      <c r="R1376" s="159">
        <f>Financing!R108-'Source Data'!R926-R1375</f>
        <v>-1.2789769243681803E-13</v>
      </c>
      <c r="S1376" s="159">
        <f>Financing!S108-'Source Data'!S926-S1375</f>
        <v>0</v>
      </c>
      <c r="T1376" s="159">
        <f>Financing!T108-'Source Data'!T926-T1375</f>
        <v>0</v>
      </c>
    </row>
    <row r="1377" spans="2:20" x14ac:dyDescent="0.25">
      <c r="B1377" s="21" t="s">
        <v>4358</v>
      </c>
      <c r="C1377" s="28" t="s">
        <v>493</v>
      </c>
      <c r="H1377" s="26">
        <f>Financing!H108</f>
        <v>195.18</v>
      </c>
      <c r="I1377" s="26">
        <f>Financing!I108</f>
        <v>195.18</v>
      </c>
      <c r="J1377" s="26">
        <f>Financing!J108</f>
        <v>195.18</v>
      </c>
      <c r="K1377" s="26">
        <f>Financing!K108</f>
        <v>32.53</v>
      </c>
      <c r="L1377" s="26">
        <f>Financing!L108</f>
        <v>81.325000000000003</v>
      </c>
      <c r="M1377" s="26">
        <f>Financing!M108</f>
        <v>81.325000000000003</v>
      </c>
      <c r="N1377" s="26">
        <f>Financing!N108</f>
        <v>74.819000000000003</v>
      </c>
      <c r="O1377" s="26">
        <f>Financing!O108</f>
        <v>58.554000000000002</v>
      </c>
      <c r="P1377" s="26">
        <f>Financing!P108</f>
        <v>42.289000000000001</v>
      </c>
      <c r="Q1377" s="26">
        <f>Financing!Q108</f>
        <v>26.024000000000001</v>
      </c>
      <c r="R1377" s="26">
        <f>Financing!R108</f>
        <v>9.7590000000000003</v>
      </c>
      <c r="S1377" s="26">
        <f>Financing!S108</f>
        <v>0</v>
      </c>
      <c r="T1377" s="26">
        <f>Financing!T108</f>
        <v>0</v>
      </c>
    </row>
    <row r="1378" spans="2:20" x14ac:dyDescent="0.25">
      <c r="B1378" s="23" t="s">
        <v>4359</v>
      </c>
      <c r="C1378" s="28" t="s">
        <v>493</v>
      </c>
      <c r="H1378" s="29">
        <f>'Source Data'!H931</f>
        <v>1002.41913378383</v>
      </c>
      <c r="I1378" s="29">
        <f>'Source Data'!I931</f>
        <v>1086.0745646555099</v>
      </c>
      <c r="J1378" s="29">
        <f>'Source Data'!J931</f>
        <v>1604.3096182270799</v>
      </c>
      <c r="K1378" s="29">
        <f>'Source Data'!K931</f>
        <v>1907.0571049120599</v>
      </c>
      <c r="L1378" s="29">
        <f>'Source Data'!L931</f>
        <v>2071.7590997535099</v>
      </c>
      <c r="M1378" s="29">
        <f>'Source Data'!M931</f>
        <v>2265.6509984935401</v>
      </c>
      <c r="N1378" s="29">
        <f>'Source Data'!N931</f>
        <v>2470.4146532272298</v>
      </c>
      <c r="O1378" s="29">
        <f>'Source Data'!O931</f>
        <v>2697.69273966321</v>
      </c>
      <c r="P1378" s="29">
        <f>'Source Data'!P931</f>
        <v>2938.9504118431701</v>
      </c>
      <c r="Q1378" s="29">
        <f>'Source Data'!Q931</f>
        <v>3204.9637821504002</v>
      </c>
      <c r="R1378" s="29">
        <f>'Source Data'!R931</f>
        <v>3484.74728913028</v>
      </c>
      <c r="S1378" s="29">
        <f>'Source Data'!S931</f>
        <v>3763.21853002234</v>
      </c>
      <c r="T1378" s="29">
        <f>'Source Data'!T931</f>
        <v>4053.27929488067</v>
      </c>
    </row>
    <row r="1379" spans="2:20" x14ac:dyDescent="0.25">
      <c r="B1379" s="23" t="s">
        <v>4349</v>
      </c>
      <c r="C1379" s="28" t="s">
        <v>493</v>
      </c>
      <c r="H1379" s="159">
        <f t="shared" ref="H1379:T1379" si="255">H1368</f>
        <v>0</v>
      </c>
      <c r="I1379" s="159">
        <f t="shared" si="255"/>
        <v>0</v>
      </c>
      <c r="J1379" s="159">
        <f t="shared" si="255"/>
        <v>-12.340568859590292</v>
      </c>
      <c r="K1379" s="159">
        <f t="shared" si="255"/>
        <v>-18.460138622838713</v>
      </c>
      <c r="L1379" s="159">
        <f t="shared" si="255"/>
        <v>-23.375788622838854</v>
      </c>
      <c r="M1379" s="159">
        <f t="shared" si="255"/>
        <v>-30.094870672804859</v>
      </c>
      <c r="N1379" s="159">
        <f t="shared" si="255"/>
        <v>-30.028049671778717</v>
      </c>
      <c r="O1379" s="159">
        <f t="shared" si="255"/>
        <v>-25.889917270751994</v>
      </c>
      <c r="P1379" s="159">
        <f t="shared" si="255"/>
        <v>-18.674760373831987</v>
      </c>
      <c r="Q1379" s="159">
        <f t="shared" si="255"/>
        <v>-10.103185972805932</v>
      </c>
      <c r="R1379" s="159">
        <f t="shared" si="255"/>
        <v>-0.19950807177883689</v>
      </c>
      <c r="S1379" s="159">
        <f t="shared" si="255"/>
        <v>11.036273329247706</v>
      </c>
      <c r="T1379" s="159">
        <f t="shared" si="255"/>
        <v>23.047002826168409</v>
      </c>
    </row>
    <row r="1380" spans="2:20" x14ac:dyDescent="0.25">
      <c r="B1380" s="23" t="s">
        <v>4360</v>
      </c>
      <c r="C1380" s="28" t="s">
        <v>493</v>
      </c>
      <c r="H1380" s="159">
        <f t="shared" ref="H1380:T1380" si="256">H1370</f>
        <v>0</v>
      </c>
      <c r="I1380" s="159">
        <f t="shared" si="256"/>
        <v>0</v>
      </c>
      <c r="J1380" s="159">
        <f t="shared" si="256"/>
        <v>-419.772029761905</v>
      </c>
      <c r="K1380" s="159">
        <f t="shared" si="256"/>
        <v>-503.1104506843231</v>
      </c>
      <c r="L1380" s="159">
        <f t="shared" si="256"/>
        <v>-503.1104506843231</v>
      </c>
      <c r="M1380" s="159">
        <f t="shared" si="256"/>
        <v>-503.1104506843231</v>
      </c>
      <c r="N1380" s="159">
        <f t="shared" si="256"/>
        <v>-503.1104506843231</v>
      </c>
      <c r="O1380" s="159">
        <f t="shared" si="256"/>
        <v>-503.1104506843231</v>
      </c>
      <c r="P1380" s="159">
        <f t="shared" si="256"/>
        <v>-503.1104506843231</v>
      </c>
      <c r="Q1380" s="159">
        <f t="shared" si="256"/>
        <v>-503.1104506843231</v>
      </c>
      <c r="R1380" s="159">
        <f t="shared" si="256"/>
        <v>-503.1104506843231</v>
      </c>
      <c r="S1380" s="159">
        <f t="shared" si="256"/>
        <v>-503.1104506843231</v>
      </c>
      <c r="T1380" s="159">
        <f t="shared" si="256"/>
        <v>-503.1104506843231</v>
      </c>
    </row>
    <row r="1381" spans="2:20" x14ac:dyDescent="0.25">
      <c r="B1381" s="23" t="s">
        <v>4361</v>
      </c>
      <c r="C1381" s="28" t="s">
        <v>493</v>
      </c>
      <c r="H1381" s="159">
        <f t="shared" ref="H1381:T1381" si="257">H1371</f>
        <v>-1.4210854715202004E-14</v>
      </c>
      <c r="I1381" s="159">
        <f t="shared" si="257"/>
        <v>-7.1500873698656555</v>
      </c>
      <c r="J1381" s="159">
        <f t="shared" si="257"/>
        <v>11.958163905827909</v>
      </c>
      <c r="K1381" s="159">
        <f t="shared" si="257"/>
        <v>63.880136189728006</v>
      </c>
      <c r="L1381" s="159">
        <f t="shared" si="257"/>
        <v>65.354831189728003</v>
      </c>
      <c r="M1381" s="159">
        <f t="shared" si="257"/>
        <v>67.370555804717782</v>
      </c>
      <c r="N1381" s="159">
        <f t="shared" si="257"/>
        <v>67.350509504409786</v>
      </c>
      <c r="O1381" s="159">
        <f t="shared" si="257"/>
        <v>66.109069784101735</v>
      </c>
      <c r="P1381" s="159">
        <f t="shared" si="257"/>
        <v>63.944522715025755</v>
      </c>
      <c r="Q1381" s="159">
        <f t="shared" si="257"/>
        <v>61.373050394717325</v>
      </c>
      <c r="R1381" s="159">
        <f t="shared" si="257"/>
        <v>58.401947024409765</v>
      </c>
      <c r="S1381" s="159">
        <f t="shared" si="257"/>
        <v>55.031212604101484</v>
      </c>
      <c r="T1381" s="159">
        <f t="shared" si="257"/>
        <v>51.427993755025341</v>
      </c>
    </row>
    <row r="1382" spans="2:20" x14ac:dyDescent="0.25">
      <c r="B1382" s="23" t="s">
        <v>4357</v>
      </c>
      <c r="C1382" s="28" t="s">
        <v>493</v>
      </c>
      <c r="H1382" s="159">
        <f>'FSL Output - Without BUMN'!H209-'Source Data'!H931-H1379-H1380-H1381</f>
        <v>-3.2827074392116629E-12</v>
      </c>
      <c r="I1382" s="159">
        <f>'FSL Output - Without BUMN'!I209-'Source Data'!I931-I1379-I1380-I1381</f>
        <v>-8.1357143244531471E-13</v>
      </c>
      <c r="J1382" s="159">
        <f>'FSL Output - Without BUMN'!J209-'Source Data'!J931-J1379-J1380-J1381</f>
        <v>-1.5276668818842154E-12</v>
      </c>
      <c r="K1382" s="159">
        <f>'FSL Output - Without BUMN'!K209-'Source Data'!K931-K1379-K1380-K1381</f>
        <v>5.3717030823463574E-12</v>
      </c>
      <c r="L1382" s="159">
        <f>'FSL Output - Without BUMN'!L209-'Source Data'!L931-L1379-L1380-L1381</f>
        <v>-4.2632564145606011E-13</v>
      </c>
      <c r="M1382" s="159">
        <f>'FSL Output - Without BUMN'!M209-'Source Data'!M931-M1379-M1380-M1381</f>
        <v>1.2221335055073723E-12</v>
      </c>
      <c r="N1382" s="159">
        <f>'FSL Output - Without BUMN'!N209-'Source Data'!N931-N1379-N1380-N1381</f>
        <v>-6.8212102632969618E-13</v>
      </c>
      <c r="O1382" s="159">
        <f>'FSL Output - Without BUMN'!O209-'Source Data'!O931-O1379-O1380-O1381</f>
        <v>3.3537617127876729E-12</v>
      </c>
      <c r="P1382" s="159">
        <f>'FSL Output - Without BUMN'!P209-'Source Data'!P931-P1379-P1380-P1381</f>
        <v>8.5265128291212022E-13</v>
      </c>
      <c r="Q1382" s="159">
        <f>'FSL Output - Without BUMN'!Q209-'Source Data'!Q931-Q1379-Q1380-Q1381</f>
        <v>3.979039320256561E-13</v>
      </c>
      <c r="R1382" s="159">
        <f>'FSL Output - Without BUMN'!R209-'Source Data'!R931-R1379-R1380-R1381</f>
        <v>5.1159076974727213E-13</v>
      </c>
      <c r="S1382" s="159">
        <f>'FSL Output - Without BUMN'!S209-'Source Data'!S931-S1379-S1380-S1381</f>
        <v>1.6484591469634324E-12</v>
      </c>
      <c r="T1382" s="159">
        <f>'FSL Output - Without BUMN'!T209-'Source Data'!T931-T1379-T1380-T1381</f>
        <v>3.3537617127876729E-12</v>
      </c>
    </row>
    <row r="1383" spans="2:20" x14ac:dyDescent="0.25">
      <c r="B1383" s="21" t="s">
        <v>4362</v>
      </c>
      <c r="C1383" s="28" t="s">
        <v>493</v>
      </c>
      <c r="H1383" s="26">
        <f>'FSL Output - Without BUMN'!H209</f>
        <v>1002.4191337838267</v>
      </c>
      <c r="I1383" s="26">
        <f>'FSL Output - Without BUMN'!I209</f>
        <v>1078.9244772856434</v>
      </c>
      <c r="J1383" s="26">
        <f>'FSL Output - Without BUMN'!J209</f>
        <v>1184.155183511411</v>
      </c>
      <c r="K1383" s="26">
        <f>'FSL Output - Without BUMN'!K209</f>
        <v>1449.3666517946315</v>
      </c>
      <c r="L1383" s="26">
        <f>'FSL Output - Without BUMN'!L209</f>
        <v>1610.6276916360755</v>
      </c>
      <c r="M1383" s="26">
        <f>'FSL Output - Without BUMN'!M209</f>
        <v>1799.8162329411311</v>
      </c>
      <c r="N1383" s="26">
        <f>'FSL Output - Without BUMN'!N209</f>
        <v>2004.6266623755371</v>
      </c>
      <c r="O1383" s="26">
        <f>'FSL Output - Without BUMN'!O209</f>
        <v>2234.80144149224</v>
      </c>
      <c r="P1383" s="26">
        <f>'FSL Output - Without BUMN'!P209</f>
        <v>2481.1097235000416</v>
      </c>
      <c r="Q1383" s="26">
        <f>'FSL Output - Without BUMN'!Q209</f>
        <v>2753.1231958879889</v>
      </c>
      <c r="R1383" s="26">
        <f>'FSL Output - Without BUMN'!R209</f>
        <v>3039.8392773985884</v>
      </c>
      <c r="S1383" s="26">
        <f>'FSL Output - Without BUMN'!S209</f>
        <v>3326.1755652713678</v>
      </c>
      <c r="T1383" s="26">
        <f>'FSL Output - Without BUMN'!T209</f>
        <v>3624.643840777544</v>
      </c>
    </row>
    <row r="1384" spans="2:20" x14ac:dyDescent="0.25">
      <c r="B1384" s="21" t="s">
        <v>4363</v>
      </c>
      <c r="C1384" s="28" t="s">
        <v>493</v>
      </c>
      <c r="E1384" s="229">
        <f>MAX(MAX($H$1365:$T$1365),-MIN($H$1365:$T$1365),MAX($H$1372:$T$1372),-MIN($H$1372:$T$1372),MAX($H$1376:$T$1376),-MIN($H$1376:$T$1376),MAX($H$1382:$T$1382),-MIN($H$1382:$T$1382))</f>
        <v>162.64999999999893</v>
      </c>
    </row>
    <row r="1386" spans="2:20" x14ac:dyDescent="0.25">
      <c r="B1386" s="58" t="s">
        <v>4365</v>
      </c>
      <c r="C1386" s="19"/>
      <c r="D1386" s="19"/>
      <c r="E1386" s="19"/>
      <c r="F1386" s="19"/>
      <c r="G1386" s="19"/>
      <c r="H1386" s="19"/>
      <c r="I1386" s="19"/>
      <c r="J1386" s="19"/>
      <c r="K1386" s="19"/>
      <c r="L1386" s="19"/>
    </row>
    <row r="1387" spans="2:20" x14ac:dyDescent="0.25">
      <c r="B1387" s="59" t="s">
        <v>4366</v>
      </c>
      <c r="E1387" s="59" t="s">
        <v>4367</v>
      </c>
      <c r="F1387" s="59" t="s">
        <v>4368</v>
      </c>
      <c r="G1387" s="59" t="s">
        <v>4369</v>
      </c>
    </row>
    <row r="1388" spans="2:20" ht="24.75" customHeight="1" x14ac:dyDescent="0.25">
      <c r="B1388" s="23" t="s">
        <v>4370</v>
      </c>
      <c r="E1388" s="161">
        <f>MAX(MAX('FSL Output - With BUMN'!$G$265:$T$265),-MIN('FSL Output - With BUMN'!$G$265:$T$265))</f>
        <v>0</v>
      </c>
      <c r="F1388" s="85" t="s">
        <v>4371</v>
      </c>
      <c r="G1388" s="22" t="s">
        <v>4372</v>
      </c>
    </row>
    <row r="1389" spans="2:20" ht="24.75" customHeight="1" x14ac:dyDescent="0.25">
      <c r="B1389" s="23" t="s">
        <v>4373</v>
      </c>
      <c r="E1389" s="161">
        <f>MAX(MAX('FSL Output - Without BUMN'!$G$214:$T$214),-MIN('FSL Output - Without BUMN'!$G$214:$T$214))</f>
        <v>0</v>
      </c>
      <c r="F1389" s="85" t="s">
        <v>4371</v>
      </c>
      <c r="G1389" s="22" t="s">
        <v>4372</v>
      </c>
    </row>
    <row r="1390" spans="2:20" x14ac:dyDescent="0.25">
      <c r="B1390" s="23" t="s">
        <v>4374</v>
      </c>
      <c r="E1390" s="161">
        <f>MAX(MAX('FSL Output - With BUMN'!$H$286:$T$286),-MIN('FSL Output - With BUMN'!$H$286:$T$286))</f>
        <v>0</v>
      </c>
      <c r="F1390" s="44" t="s">
        <v>4375</v>
      </c>
      <c r="G1390" s="22" t="s">
        <v>4372</v>
      </c>
    </row>
    <row r="1391" spans="2:20" x14ac:dyDescent="0.25">
      <c r="B1391" s="23" t="s">
        <v>4376</v>
      </c>
      <c r="E1391" s="161">
        <f>MAX(MAX('FSL Output - Without BUMN'!$H$235:$T$235),-MIN('FSL Output - Without BUMN'!$H$235:$T$235))</f>
        <v>0</v>
      </c>
      <c r="F1391" s="44" t="s">
        <v>4375</v>
      </c>
      <c r="G1391" s="22" t="s">
        <v>4372</v>
      </c>
    </row>
    <row r="1392" spans="2:20" x14ac:dyDescent="0.25">
      <c r="B1392" s="23" t="s">
        <v>4377</v>
      </c>
      <c r="E1392" s="161">
        <f>MAX(MAX('FSL Output - With BUMN'!$H$287:$T$287),-MIN('FSL Output - With BUMN'!$H$287:$T$287))</f>
        <v>0</v>
      </c>
      <c r="F1392" s="44" t="s">
        <v>4375</v>
      </c>
      <c r="G1392" s="22" t="s">
        <v>4372</v>
      </c>
    </row>
    <row r="1393" spans="2:7" x14ac:dyDescent="0.25">
      <c r="B1393" s="23" t="s">
        <v>4378</v>
      </c>
      <c r="E1393" s="161">
        <f>MAX(MAX('FSL Output - Without BUMN'!$H$236:$T$236),-MIN('FSL Output - Without BUMN'!$H$236:$T$236))</f>
        <v>0</v>
      </c>
      <c r="F1393" s="44" t="s">
        <v>4375</v>
      </c>
      <c r="G1393" s="22" t="s">
        <v>4372</v>
      </c>
    </row>
    <row r="1394" spans="2:7" x14ac:dyDescent="0.25">
      <c r="B1394" s="23" t="s">
        <v>4379</v>
      </c>
      <c r="E1394" s="161">
        <f>MAX(MAX('FSL Output - With BUMN'!$H$288:$T$288),-MIN('FSL Output - With BUMN'!$H$288:$T$288))</f>
        <v>0</v>
      </c>
      <c r="F1394" s="44" t="s">
        <v>4375</v>
      </c>
      <c r="G1394" s="22" t="s">
        <v>4372</v>
      </c>
    </row>
    <row r="1395" spans="2:7" ht="24.75" customHeight="1" x14ac:dyDescent="0.25">
      <c r="B1395" s="23" t="s">
        <v>4380</v>
      </c>
      <c r="E1395" s="161">
        <f>MAX(MAX('Capex &amp; Depreciation'!$G$313:$T$313),-MIN('Capex &amp; Depreciation'!$G$313:$T$313))</f>
        <v>0</v>
      </c>
      <c r="F1395" s="85" t="s">
        <v>4371</v>
      </c>
      <c r="G1395" s="22" t="s">
        <v>4372</v>
      </c>
    </row>
    <row r="1396" spans="2:7" x14ac:dyDescent="0.25">
      <c r="B1396" s="23" t="s">
        <v>4381</v>
      </c>
      <c r="E1396" s="161">
        <f>MAX(MAX('FSL Output - Without BUMN'!$H$237:$T$237),-MIN('FSL Output - Without BUMN'!$H$237:$T$237))</f>
        <v>0</v>
      </c>
      <c r="F1396" s="44" t="s">
        <v>4375</v>
      </c>
      <c r="G1396" s="22" t="s">
        <v>4372</v>
      </c>
    </row>
    <row r="1397" spans="2:7" ht="24.75" customHeight="1" x14ac:dyDescent="0.25">
      <c r="B1397" s="23" t="s">
        <v>4382</v>
      </c>
      <c r="E1397" s="161">
        <f>MAX(MAX('Capex &amp; Depreciation'!$G$311:$T$311),-MIN('Capex &amp; Depreciation'!$G$311:$T$311))</f>
        <v>0</v>
      </c>
      <c r="F1397" s="85" t="s">
        <v>4371</v>
      </c>
      <c r="G1397" s="22" t="s">
        <v>4372</v>
      </c>
    </row>
    <row r="1398" spans="2:7" x14ac:dyDescent="0.25">
      <c r="B1398" s="23" t="s">
        <v>4383</v>
      </c>
      <c r="E1398" s="161">
        <f>MAX(MAX('FSL Output - With BUMN'!$H$289:$T$289),-MIN('FSL Output - With BUMN'!$H$289:$T$289))</f>
        <v>0</v>
      </c>
      <c r="F1398" s="44" t="s">
        <v>4375</v>
      </c>
      <c r="G1398" s="22" t="s">
        <v>4372</v>
      </c>
    </row>
    <row r="1399" spans="2:7" x14ac:dyDescent="0.25">
      <c r="B1399" s="23" t="s">
        <v>4384</v>
      </c>
      <c r="E1399" s="161">
        <f>MAX(MAX(Financing!$H$36:$T$36),-MIN(Financing!$H$36:$T$36))</f>
        <v>0</v>
      </c>
      <c r="F1399" s="44" t="s">
        <v>4375</v>
      </c>
      <c r="G1399" s="22" t="s">
        <v>4372</v>
      </c>
    </row>
    <row r="1400" spans="2:7" x14ac:dyDescent="0.25">
      <c r="B1400" s="23" t="s">
        <v>4385</v>
      </c>
      <c r="E1400" s="161">
        <f>MAX(MAX(Financing!$H$21:$T$21),-MIN(Financing!$H$21:$T$21))</f>
        <v>0</v>
      </c>
      <c r="F1400" s="44" t="s">
        <v>4375</v>
      </c>
      <c r="G1400" s="22" t="s">
        <v>4372</v>
      </c>
    </row>
    <row r="1401" spans="2:7" x14ac:dyDescent="0.25">
      <c r="B1401" s="23" t="s">
        <v>4386</v>
      </c>
      <c r="E1401" s="161">
        <f>MAX(MAX(Financing!$H$56:$T$56),-MIN(Financing!$H$56:$T$56))</f>
        <v>0</v>
      </c>
      <c r="F1401" s="44" t="s">
        <v>4375</v>
      </c>
      <c r="G1401" s="22" t="s">
        <v>4372</v>
      </c>
    </row>
    <row r="1402" spans="2:7" x14ac:dyDescent="0.25">
      <c r="B1402" s="23" t="s">
        <v>4387</v>
      </c>
      <c r="E1402" s="161">
        <f>MAX(MAX('FSL Output - Without BUMN'!$H$238:$T$238),-MIN('FSL Output - Without BUMN'!$H$238:$T$238))</f>
        <v>0</v>
      </c>
      <c r="F1402" s="44" t="s">
        <v>4375</v>
      </c>
      <c r="G1402" s="22" t="s">
        <v>4372</v>
      </c>
    </row>
    <row r="1403" spans="2:7" x14ac:dyDescent="0.25">
      <c r="B1403" s="23" t="s">
        <v>4388</v>
      </c>
      <c r="E1403" s="161">
        <f>MAX(MAX(Financing!$H$44:$T$44),-MIN(Financing!$H$44:$T$44))</f>
        <v>0</v>
      </c>
      <c r="F1403" s="44" t="s">
        <v>4375</v>
      </c>
      <c r="G1403" s="22" t="s">
        <v>4372</v>
      </c>
    </row>
    <row r="1404" spans="2:7" x14ac:dyDescent="0.25">
      <c r="B1404" s="23" t="s">
        <v>4389</v>
      </c>
      <c r="E1404" s="161">
        <f>MAX(MAX('Funding Requirement'!$H$63:$T$63),-MIN('Funding Requirement'!$H$63:$T$63))</f>
        <v>0</v>
      </c>
      <c r="F1404" s="44" t="s">
        <v>4375</v>
      </c>
      <c r="G1404" s="22" t="s">
        <v>4372</v>
      </c>
    </row>
    <row r="1405" spans="2:7" x14ac:dyDescent="0.25">
      <c r="B1405" s="23" t="s">
        <v>4390</v>
      </c>
      <c r="E1405" s="161">
        <f>MAX(MAX('Funding Requirement'!$H$95:$T$95),-MIN('Funding Requirement'!$H$95:$T$95))</f>
        <v>0</v>
      </c>
      <c r="F1405" s="44" t="s">
        <v>4375</v>
      </c>
      <c r="G1405" s="22" t="s">
        <v>4372</v>
      </c>
    </row>
    <row r="1406" spans="2:7" x14ac:dyDescent="0.25">
      <c r="B1406" s="23" t="s">
        <v>4391</v>
      </c>
      <c r="E1406" s="161">
        <f>MAX(MAX('FSL Output - With BUMN'!$H$191:$T$191),-MIN('FSL Output - With BUMN'!$H$191:$T$191))</f>
        <v>0</v>
      </c>
      <c r="F1406" s="44" t="s">
        <v>4375</v>
      </c>
      <c r="G1406" s="22" t="s">
        <v>4372</v>
      </c>
    </row>
    <row r="1407" spans="2:7" x14ac:dyDescent="0.25">
      <c r="B1407" s="23" t="s">
        <v>4392</v>
      </c>
      <c r="E1407" s="161">
        <f>MAX(MAX('FSL Output - With BUMN'!$H$232:$T$232),-MIN('FSL Output - With BUMN'!$H$232:$T$232))</f>
        <v>0</v>
      </c>
      <c r="F1407" s="44" t="s">
        <v>4375</v>
      </c>
      <c r="G1407" s="22" t="s">
        <v>4372</v>
      </c>
    </row>
    <row r="1408" spans="2:7" x14ac:dyDescent="0.25">
      <c r="B1408" s="23" t="s">
        <v>4393</v>
      </c>
      <c r="E1408" s="161">
        <f>MAX(MAX('FSL Output - Without BUMN'!$H$140:$T$140),-MIN('FSL Output - Without BUMN'!$H$140:$T$140))</f>
        <v>0</v>
      </c>
      <c r="F1408" s="44" t="s">
        <v>4375</v>
      </c>
      <c r="G1408" s="22" t="s">
        <v>4372</v>
      </c>
    </row>
    <row r="1409" spans="2:7" x14ac:dyDescent="0.25">
      <c r="B1409" s="23" t="s">
        <v>4394</v>
      </c>
      <c r="E1409" s="161">
        <f>MAX(MAX('FSL Output - Without BUMN'!$H$181:$T$181),-MIN('FSL Output - Without BUMN'!$H$181:$T$181))</f>
        <v>0</v>
      </c>
      <c r="F1409" s="44" t="s">
        <v>4375</v>
      </c>
      <c r="G1409" s="22" t="s">
        <v>4372</v>
      </c>
    </row>
    <row r="1410" spans="2:7" x14ac:dyDescent="0.25">
      <c r="B1410" s="23" t="s">
        <v>4395</v>
      </c>
      <c r="E1410" s="161">
        <f>MAX(MAX('Revenue Calculation'!$H$217:$T$217),-MIN('Revenue Calculation'!$H$217:$T$217))</f>
        <v>0</v>
      </c>
      <c r="F1410" s="44" t="s">
        <v>4375</v>
      </c>
      <c r="G1410" s="22" t="s">
        <v>4372</v>
      </c>
    </row>
    <row r="1411" spans="2:7" x14ac:dyDescent="0.25">
      <c r="B1411" s="23" t="s">
        <v>4396</v>
      </c>
      <c r="E1411" s="161">
        <f>MAX(MAX('Cost Calculation'!$H$300:$T$300),-MIN('Cost Calculation'!$H$300:$T$300))</f>
        <v>0</v>
      </c>
      <c r="F1411" s="44" t="s">
        <v>4375</v>
      </c>
      <c r="G1411" s="22" t="s">
        <v>4372</v>
      </c>
    </row>
    <row r="1412" spans="2:7" x14ac:dyDescent="0.25">
      <c r="B1412" s="23" t="s">
        <v>4397</v>
      </c>
      <c r="E1412" s="161">
        <f>MAX(MAX('FSL Output - With BUMN'!$H$12:$T$12),-MIN('FSL Output - With BUMN'!$H$12:$T$12))</f>
        <v>0</v>
      </c>
      <c r="F1412" s="44" t="s">
        <v>4375</v>
      </c>
      <c r="G1412" s="22" t="s">
        <v>4372</v>
      </c>
    </row>
    <row r="1413" spans="2:7" x14ac:dyDescent="0.25">
      <c r="B1413" s="23" t="s">
        <v>4398</v>
      </c>
      <c r="E1413" s="161">
        <f>MAX(MAX('FSL Output - With BUMN'!$H$16:$T$16),-MIN('FSL Output - With BUMN'!$H$16:$T$16))</f>
        <v>0</v>
      </c>
      <c r="F1413" s="44" t="s">
        <v>4375</v>
      </c>
      <c r="G1413" s="22" t="s">
        <v>4372</v>
      </c>
    </row>
    <row r="1414" spans="2:7" x14ac:dyDescent="0.25">
      <c r="B1414" s="23" t="s">
        <v>4399</v>
      </c>
      <c r="E1414" s="161">
        <f>MAX(MAX('FSL Output - With BUMN'!$H$20:$T$20),-MIN('FSL Output - With BUMN'!$H$20:$T$20))</f>
        <v>0</v>
      </c>
      <c r="F1414" s="44" t="s">
        <v>4375</v>
      </c>
      <c r="G1414" s="22" t="s">
        <v>4372</v>
      </c>
    </row>
    <row r="1415" spans="2:7" x14ac:dyDescent="0.25">
      <c r="B1415" s="23" t="s">
        <v>4400</v>
      </c>
      <c r="E1415" s="161">
        <f>MAX(MAX('FSL Output - With BUMN'!$H$24:$T$24),-MIN('FSL Output - With BUMN'!$H$24:$T$24))</f>
        <v>0</v>
      </c>
      <c r="F1415" s="44" t="s">
        <v>4375</v>
      </c>
      <c r="G1415" s="22" t="s">
        <v>4372</v>
      </c>
    </row>
    <row r="1416" spans="2:7" x14ac:dyDescent="0.25">
      <c r="B1416" s="23" t="s">
        <v>4401</v>
      </c>
      <c r="E1416" s="161">
        <f>MAX(MAX('FSL Output - With BUMN'!$H$28:$T$28),-MIN('FSL Output - With BUMN'!$H$28:$T$28))</f>
        <v>0</v>
      </c>
      <c r="F1416" s="44" t="s">
        <v>4375</v>
      </c>
      <c r="G1416" s="22" t="s">
        <v>4372</v>
      </c>
    </row>
    <row r="1417" spans="2:7" x14ac:dyDescent="0.25">
      <c r="B1417" s="23" t="s">
        <v>4402</v>
      </c>
      <c r="E1417" s="161">
        <f>MAX(MAX('FSL Output - With BUMN'!$H$32:$T$32),-MIN('FSL Output - With BUMN'!$H$32:$T$32))</f>
        <v>0</v>
      </c>
      <c r="F1417" s="44" t="s">
        <v>4375</v>
      </c>
      <c r="G1417" s="22" t="s">
        <v>4372</v>
      </c>
    </row>
    <row r="1418" spans="2:7" x14ac:dyDescent="0.25">
      <c r="B1418" s="23" t="s">
        <v>4403</v>
      </c>
      <c r="E1418" s="161">
        <f>MAX(MAX('FSL Output - With BUMN'!$H$36:$T$36),-MIN('FSL Output - With BUMN'!$H$36:$T$36))</f>
        <v>0</v>
      </c>
      <c r="F1418" s="44" t="s">
        <v>4375</v>
      </c>
      <c r="G1418" s="22" t="s">
        <v>4372</v>
      </c>
    </row>
    <row r="1419" spans="2:7" x14ac:dyDescent="0.25">
      <c r="B1419" s="23" t="s">
        <v>4404</v>
      </c>
      <c r="E1419" s="161">
        <f>MAX(MAX('FSL Output - With BUMN'!$H$40:$T$40),-MIN('FSL Output - With BUMN'!$H$40:$T$40))</f>
        <v>0</v>
      </c>
      <c r="F1419" s="44" t="s">
        <v>4375</v>
      </c>
      <c r="G1419" s="22" t="s">
        <v>4372</v>
      </c>
    </row>
    <row r="1420" spans="2:7" x14ac:dyDescent="0.25">
      <c r="B1420" s="23" t="s">
        <v>4405</v>
      </c>
      <c r="E1420" s="161">
        <f>MAX(MAX('FSL Output - With BUMN'!$H$44:$T$44),-MIN('FSL Output - With BUMN'!$H$44:$T$44))</f>
        <v>0</v>
      </c>
      <c r="F1420" s="44" t="s">
        <v>4375</v>
      </c>
      <c r="G1420" s="22" t="s">
        <v>4372</v>
      </c>
    </row>
    <row r="1421" spans="2:7" x14ac:dyDescent="0.25">
      <c r="B1421" s="23" t="s">
        <v>4406</v>
      </c>
      <c r="E1421" s="161">
        <f>MAX(MAX('FSL Output - With BUMN'!$H$48:$T$48),-MIN('FSL Output - With BUMN'!$H$48:$T$48))</f>
        <v>0</v>
      </c>
      <c r="F1421" s="44" t="s">
        <v>4375</v>
      </c>
      <c r="G1421" s="22" t="s">
        <v>4372</v>
      </c>
    </row>
    <row r="1422" spans="2:7" x14ac:dyDescent="0.25">
      <c r="B1422" s="23" t="s">
        <v>4407</v>
      </c>
      <c r="E1422" s="161">
        <f>MAX(MAX('BUMN Synergy Calculation'!$H$17:$T$17),-MIN('BUMN Synergy Calculation'!$H$17:$T$17))</f>
        <v>0</v>
      </c>
      <c r="F1422" s="44" t="s">
        <v>4375</v>
      </c>
      <c r="G1422" s="22" t="s">
        <v>4372</v>
      </c>
    </row>
    <row r="1423" spans="2:7" x14ac:dyDescent="0.25">
      <c r="B1423" s="23" t="s">
        <v>4408</v>
      </c>
      <c r="E1423" s="161">
        <f>MAX(MAX('BUMN Synergy Calculation'!$H$28:$T$28),-MIN('BUMN Synergy Calculation'!$H$28:$T$28))</f>
        <v>0</v>
      </c>
      <c r="F1423" s="44" t="s">
        <v>4375</v>
      </c>
      <c r="G1423" s="22" t="s">
        <v>4372</v>
      </c>
    </row>
    <row r="1424" spans="2:7" x14ac:dyDescent="0.25">
      <c r="B1424" s="23" t="s">
        <v>4409</v>
      </c>
      <c r="E1424" s="161">
        <f>MAX(MAX('BUMN Synergy Calculation'!$H$53:$T$53),-MIN('BUMN Synergy Calculation'!$H$53:$T$53))</f>
        <v>0</v>
      </c>
      <c r="F1424" s="44" t="s">
        <v>4375</v>
      </c>
      <c r="G1424" s="22" t="s">
        <v>4372</v>
      </c>
    </row>
    <row r="1425" spans="2:7" x14ac:dyDescent="0.25">
      <c r="B1425" s="23" t="s">
        <v>4410</v>
      </c>
      <c r="E1425" s="161">
        <f>MAX(MAX('BUMN Synergy Calculation'!$H$76:$T$76),-MIN('BUMN Synergy Calculation'!$H$76:$T$76))</f>
        <v>0</v>
      </c>
      <c r="F1425" s="44" t="s">
        <v>4375</v>
      </c>
      <c r="G1425" s="22" t="s">
        <v>4372</v>
      </c>
    </row>
    <row r="1426" spans="2:7" x14ac:dyDescent="0.25">
      <c r="B1426" s="23" t="s">
        <v>4411</v>
      </c>
      <c r="E1426" s="161">
        <f>MAX(MAX('BUMN Synergy Calculation'!$H$96:$T$96),-MIN('BUMN Synergy Calculation'!$H$96:$T$96))</f>
        <v>0</v>
      </c>
      <c r="F1426" s="44" t="s">
        <v>4375</v>
      </c>
      <c r="G1426" s="22" t="s">
        <v>4372</v>
      </c>
    </row>
    <row r="1427" spans="2:7" x14ac:dyDescent="0.25">
      <c r="B1427" s="23" t="s">
        <v>4412</v>
      </c>
      <c r="E1427" s="161">
        <f>MAX(MAX('Project Cash Flows'!$H$411:$T$411),-MIN('Project Cash Flows'!$H$411:$T$411))</f>
        <v>0</v>
      </c>
      <c r="F1427" s="44" t="s">
        <v>4375</v>
      </c>
      <c r="G1427" s="22" t="s">
        <v>4372</v>
      </c>
    </row>
    <row r="1428" spans="2:7" x14ac:dyDescent="0.25">
      <c r="B1428" s="23" t="s">
        <v>4413</v>
      </c>
      <c r="E1428" s="161">
        <f>MAX(MAX('Project Cash Flows'!$H$422:$T$422),-MIN('Project Cash Flows'!$H$422:$T$422))</f>
        <v>0</v>
      </c>
      <c r="F1428" s="44" t="s">
        <v>4375</v>
      </c>
      <c r="G1428" s="22" t="s">
        <v>4372</v>
      </c>
    </row>
    <row r="1429" spans="2:7" x14ac:dyDescent="0.25">
      <c r="B1429" s="23" t="s">
        <v>4414</v>
      </c>
      <c r="E1429" s="161">
        <f>MAX(MAX('Valuation — With BUMN'!$H$50:$T$50),-MIN('Valuation — With BUMN'!$H$50:$T$50))</f>
        <v>0</v>
      </c>
      <c r="F1429" s="44" t="s">
        <v>4375</v>
      </c>
      <c r="G1429" s="22" t="s">
        <v>4372</v>
      </c>
    </row>
    <row r="1430" spans="2:7" x14ac:dyDescent="0.25">
      <c r="B1430" s="23" t="s">
        <v>4415</v>
      </c>
      <c r="E1430" s="161">
        <f>MAX(MAX('Valuation — Without BUMN'!$H$50:$T$50),-MIN('Valuation — Without BUMN'!$H$50:$T$50))</f>
        <v>0</v>
      </c>
      <c r="F1430" s="44" t="s">
        <v>4375</v>
      </c>
      <c r="G1430" s="22" t="s">
        <v>4372</v>
      </c>
    </row>
    <row r="1431" spans="2:7" x14ac:dyDescent="0.25">
      <c r="B1431" s="23" t="s">
        <v>4416</v>
      </c>
      <c r="E1431" s="161">
        <f>MAX(MAX('Project Cash Flows'!$H$385:$T$385),-MIN('Project Cash Flows'!$H$385:$T$385))</f>
        <v>0</v>
      </c>
      <c r="F1431" s="44" t="s">
        <v>4375</v>
      </c>
      <c r="G1431" s="22" t="s">
        <v>4372</v>
      </c>
    </row>
    <row r="1432" spans="2:7" x14ac:dyDescent="0.25">
      <c r="B1432" s="23" t="s">
        <v>4417</v>
      </c>
      <c r="E1432" s="161">
        <f>MAX(MAX('Funding Requirement'!$H$147:$T$147),-MIN('Funding Requirement'!$H$147:$T$147))</f>
        <v>0</v>
      </c>
      <c r="F1432" s="44" t="s">
        <v>4375</v>
      </c>
      <c r="G1432" s="22" t="s">
        <v>4372</v>
      </c>
    </row>
    <row r="1433" spans="2:7" x14ac:dyDescent="0.25">
      <c r="B1433" s="23" t="s">
        <v>4418</v>
      </c>
      <c r="E1433" s="161">
        <f>MAX(MAX('Project Summary'!$H$893:$T$893),-MIN('Project Summary'!$H$893:$T$893))</f>
        <v>0</v>
      </c>
      <c r="F1433" s="44" t="s">
        <v>4375</v>
      </c>
      <c r="G1433" s="22" t="s">
        <v>4372</v>
      </c>
    </row>
    <row r="1434" spans="2:7" x14ac:dyDescent="0.25">
      <c r="B1434" s="23" t="s">
        <v>4419</v>
      </c>
      <c r="E1434" s="161">
        <f>MAX(MAX('Project Summary'!$H$921:$T$921),-MIN('Project Summary'!$H$921:$T$921))</f>
        <v>0</v>
      </c>
      <c r="F1434" s="44" t="s">
        <v>4375</v>
      </c>
      <c r="G1434" s="22" t="s">
        <v>4372</v>
      </c>
    </row>
    <row r="1435" spans="2:7" x14ac:dyDescent="0.25">
      <c r="B1435" s="23" t="s">
        <v>4420</v>
      </c>
      <c r="E1435" s="161">
        <f>MAX(MAX($H$1292:$T$1292),-MIN($H$1292:$T$1292))</f>
        <v>4.5474735088646412E-13</v>
      </c>
      <c r="F1435" s="44" t="s">
        <v>4375</v>
      </c>
      <c r="G1435" s="22" t="s">
        <v>4372</v>
      </c>
    </row>
    <row r="1436" spans="2:7" x14ac:dyDescent="0.25">
      <c r="B1436" s="23" t="s">
        <v>4421</v>
      </c>
      <c r="E1436" s="161">
        <f>MAX(MAX($H$1293:$T$1293),-MIN($H$1293:$T$1293))</f>
        <v>4.0927261579781771E-12</v>
      </c>
      <c r="F1436" s="44" t="s">
        <v>4375</v>
      </c>
      <c r="G1436" s="22" t="s">
        <v>4372</v>
      </c>
    </row>
    <row r="1437" spans="2:7" x14ac:dyDescent="0.25">
      <c r="B1437" s="23" t="s">
        <v>4422</v>
      </c>
      <c r="E1437" s="161">
        <f>MAX(MAX($H$1294:$T$1294),-MIN($H$1294:$T$1294))</f>
        <v>9.0949470177292824E-13</v>
      </c>
      <c r="F1437" s="44" t="s">
        <v>4375</v>
      </c>
      <c r="G1437" s="22" t="s">
        <v>4372</v>
      </c>
    </row>
    <row r="1438" spans="2:7" x14ac:dyDescent="0.25">
      <c r="B1438" s="23" t="s">
        <v>4423</v>
      </c>
      <c r="E1438" s="161">
        <f>MAX(MAX($H$1295:$T$1295),-MIN($H$1295:$T$1295))</f>
        <v>6.8212102632969618E-13</v>
      </c>
      <c r="F1438" s="44" t="s">
        <v>4375</v>
      </c>
      <c r="G1438" s="22" t="s">
        <v>4372</v>
      </c>
    </row>
    <row r="1439" spans="2:7" x14ac:dyDescent="0.25">
      <c r="B1439" s="23" t="s">
        <v>4424</v>
      </c>
      <c r="E1439" s="161">
        <f>MAX(MAX('Source Data'!$H$844:$T$844),-MIN('Source Data'!$H$844:$T$844))</f>
        <v>0</v>
      </c>
      <c r="F1439" s="44" t="s">
        <v>4375</v>
      </c>
      <c r="G1439" s="22" t="s">
        <v>4372</v>
      </c>
    </row>
    <row r="1440" spans="2:7" x14ac:dyDescent="0.25">
      <c r="B1440" s="23" t="s">
        <v>4425</v>
      </c>
      <c r="E1440" s="161">
        <f>MAX(MAX('Source Data'!$H$909:$T$909),-MIN('Source Data'!$H$909:$T$909))</f>
        <v>0</v>
      </c>
      <c r="F1440" s="44" t="s">
        <v>4375</v>
      </c>
      <c r="G1440" s="22" t="s">
        <v>4372</v>
      </c>
    </row>
  </sheetData>
  <mergeCells count="122">
    <mergeCell ref="G743:T743"/>
    <mergeCell ref="G748:T748"/>
    <mergeCell ref="G753:T753"/>
    <mergeCell ref="G758:T758"/>
    <mergeCell ref="G763:T763"/>
    <mergeCell ref="G698:T698"/>
    <mergeCell ref="G703:T703"/>
    <mergeCell ref="G708:T708"/>
    <mergeCell ref="G713:T713"/>
    <mergeCell ref="G718:T718"/>
    <mergeCell ref="G723:T723"/>
    <mergeCell ref="G728:T728"/>
    <mergeCell ref="G733:T733"/>
    <mergeCell ref="G738:T738"/>
    <mergeCell ref="G653:T653"/>
    <mergeCell ref="G658:T658"/>
    <mergeCell ref="G663:T663"/>
    <mergeCell ref="G668:T668"/>
    <mergeCell ref="G673:T673"/>
    <mergeCell ref="G678:T678"/>
    <mergeCell ref="G683:T683"/>
    <mergeCell ref="G688:T688"/>
    <mergeCell ref="G693:T693"/>
    <mergeCell ref="G608:T608"/>
    <mergeCell ref="G613:T613"/>
    <mergeCell ref="G618:T618"/>
    <mergeCell ref="G623:T623"/>
    <mergeCell ref="G628:T628"/>
    <mergeCell ref="G633:T633"/>
    <mergeCell ref="G638:T638"/>
    <mergeCell ref="G643:T643"/>
    <mergeCell ref="G648:T648"/>
    <mergeCell ref="G563:T563"/>
    <mergeCell ref="G568:T568"/>
    <mergeCell ref="G573:T573"/>
    <mergeCell ref="G578:T578"/>
    <mergeCell ref="G583:T583"/>
    <mergeCell ref="G588:T588"/>
    <mergeCell ref="G593:T593"/>
    <mergeCell ref="G598:T598"/>
    <mergeCell ref="G603:T603"/>
    <mergeCell ref="G518:T518"/>
    <mergeCell ref="G523:T523"/>
    <mergeCell ref="G528:T528"/>
    <mergeCell ref="G533:T533"/>
    <mergeCell ref="G538:T538"/>
    <mergeCell ref="G543:T543"/>
    <mergeCell ref="G548:T548"/>
    <mergeCell ref="G553:T553"/>
    <mergeCell ref="G558:T558"/>
    <mergeCell ref="G404:T404"/>
    <mergeCell ref="G409:T409"/>
    <mergeCell ref="G414:T414"/>
    <mergeCell ref="G488:T488"/>
    <mergeCell ref="G493:T493"/>
    <mergeCell ref="G498:T498"/>
    <mergeCell ref="G503:T503"/>
    <mergeCell ref="G508:T508"/>
    <mergeCell ref="G513:T513"/>
    <mergeCell ref="G359:T359"/>
    <mergeCell ref="G364:T364"/>
    <mergeCell ref="G369:T369"/>
    <mergeCell ref="G374:T374"/>
    <mergeCell ref="G379:T379"/>
    <mergeCell ref="G384:T384"/>
    <mergeCell ref="G389:T389"/>
    <mergeCell ref="G394:T394"/>
    <mergeCell ref="G399:T399"/>
    <mergeCell ref="G314:T314"/>
    <mergeCell ref="G319:T319"/>
    <mergeCell ref="G324:T324"/>
    <mergeCell ref="G329:T329"/>
    <mergeCell ref="G334:T334"/>
    <mergeCell ref="G339:T339"/>
    <mergeCell ref="G344:T344"/>
    <mergeCell ref="G349:T349"/>
    <mergeCell ref="G354:T354"/>
    <mergeCell ref="G269:T269"/>
    <mergeCell ref="G274:T274"/>
    <mergeCell ref="G279:T279"/>
    <mergeCell ref="G284:T284"/>
    <mergeCell ref="G289:T289"/>
    <mergeCell ref="G294:T294"/>
    <mergeCell ref="G299:T299"/>
    <mergeCell ref="G304:T304"/>
    <mergeCell ref="G309:T309"/>
    <mergeCell ref="G224:T224"/>
    <mergeCell ref="G229:T229"/>
    <mergeCell ref="G234:T234"/>
    <mergeCell ref="G239:T239"/>
    <mergeCell ref="G244:T244"/>
    <mergeCell ref="G249:T249"/>
    <mergeCell ref="G254:T254"/>
    <mergeCell ref="G259:T259"/>
    <mergeCell ref="G264:T264"/>
    <mergeCell ref="G179:T179"/>
    <mergeCell ref="G184:T184"/>
    <mergeCell ref="G189:T189"/>
    <mergeCell ref="G194:T194"/>
    <mergeCell ref="G199:T199"/>
    <mergeCell ref="G204:T204"/>
    <mergeCell ref="G209:T209"/>
    <mergeCell ref="G214:T214"/>
    <mergeCell ref="G219:T219"/>
    <mergeCell ref="C19:T19"/>
    <mergeCell ref="G139:T139"/>
    <mergeCell ref="G144:T144"/>
    <mergeCell ref="G149:T149"/>
    <mergeCell ref="G154:T154"/>
    <mergeCell ref="G159:T159"/>
    <mergeCell ref="G164:T164"/>
    <mergeCell ref="G169:T169"/>
    <mergeCell ref="G174:T174"/>
    <mergeCell ref="C7:T7"/>
    <mergeCell ref="C8:T8"/>
    <mergeCell ref="C9:T9"/>
    <mergeCell ref="C10:T10"/>
    <mergeCell ref="C12:T12"/>
    <mergeCell ref="C13:T13"/>
    <mergeCell ref="C15:T15"/>
    <mergeCell ref="C16:T16"/>
    <mergeCell ref="C18:T18"/>
  </mergeCells>
  <conditionalFormatting sqref="E419:E474">
    <cfRule type="expression" dxfId="95" priority="2">
      <formula>LEFT(E419,2)="OK"</formula>
    </cfRule>
    <cfRule type="expression" dxfId="94" priority="3">
      <formula>LEFT(E419,5)="ERROR"</formula>
    </cfRule>
    <cfRule type="expression" dxfId="93" priority="4">
      <formula>LEFT(E419,11)="UNEXPLAINED"</formula>
    </cfRule>
    <cfRule type="expression" dxfId="92" priority="5">
      <formula>LEFT(E419,7)="WARNING"</formula>
    </cfRule>
    <cfRule type="expression" dxfId="91" priority="6">
      <formula>LEFT(E419,10)="TO CONFIRM"</formula>
    </cfRule>
    <cfRule type="expression" dxfId="90" priority="7">
      <formula>LEFT(E419,19)="Differs - requested"</formula>
    </cfRule>
    <cfRule type="expression" dxfId="89" priority="8">
      <formula>LEFT(E419,7)="Differs"</formula>
    </cfRule>
    <cfRule type="expression" dxfId="88" priority="9">
      <formula>LEFT(E419,7)="Matches"</formula>
    </cfRule>
    <cfRule type="expression" dxfId="87" priority="10">
      <formula>LEFT(E419,10)="Both cases"</formula>
    </cfRule>
    <cfRule type="expression" dxfId="86" priority="11">
      <formula>LEFT(E419,4)="INFO"</formula>
    </cfRule>
    <cfRule type="expression" dxfId="85" priority="12">
      <formula>LEFT(E419,4)="None"</formula>
    </cfRule>
    <cfRule type="expression" dxfId="84" priority="13">
      <formula>LEFT(E419,10)="Reproduced"</formula>
    </cfRule>
    <cfRule type="expression" dxfId="83" priority="14">
      <formula>LEFT(E419,12)="SOURCE ISSUE"</formula>
    </cfRule>
    <cfRule type="expression" dxfId="82" priority="15">
      <formula>LEFT(E419,3)="YES"</formula>
    </cfRule>
    <cfRule type="expression" dxfId="81" priority="16">
      <formula>LEFT(E419,2)="NO"</formula>
    </cfRule>
    <cfRule type="expression" dxfId="80" priority="17">
      <formula>LEFT(E419,5)="DUMMY"</formula>
    </cfRule>
  </conditionalFormatting>
  <conditionalFormatting sqref="E768:E823">
    <cfRule type="expression" dxfId="79" priority="18">
      <formula>LEFT(E768,2)="OK"</formula>
    </cfRule>
    <cfRule type="expression" dxfId="78" priority="19">
      <formula>LEFT(E768,5)="ERROR"</formula>
    </cfRule>
    <cfRule type="expression" dxfId="77" priority="20">
      <formula>LEFT(E768,11)="UNEXPLAINED"</formula>
    </cfRule>
    <cfRule type="expression" dxfId="76" priority="21">
      <formula>LEFT(E768,7)="WARNING"</formula>
    </cfRule>
    <cfRule type="expression" dxfId="75" priority="22">
      <formula>LEFT(E768,10)="TO CONFIRM"</formula>
    </cfRule>
    <cfRule type="expression" dxfId="74" priority="23">
      <formula>LEFT(E768,19)="Differs - requested"</formula>
    </cfRule>
    <cfRule type="expression" dxfId="73" priority="24">
      <formula>LEFT(E768,7)="Differs"</formula>
    </cfRule>
    <cfRule type="expression" dxfId="72" priority="25">
      <formula>LEFT(E768,7)="Matches"</formula>
    </cfRule>
    <cfRule type="expression" dxfId="71" priority="26">
      <formula>LEFT(E768,10)="Both cases"</formula>
    </cfRule>
    <cfRule type="expression" dxfId="70" priority="27">
      <formula>LEFT(E768,4)="INFO"</formula>
    </cfRule>
    <cfRule type="expression" dxfId="69" priority="28">
      <formula>LEFT(E768,4)="None"</formula>
    </cfRule>
    <cfRule type="expression" dxfId="68" priority="29">
      <formula>LEFT(E768,10)="Reproduced"</formula>
    </cfRule>
    <cfRule type="expression" dxfId="67" priority="30">
      <formula>LEFT(E768,12)="SOURCE ISSUE"</formula>
    </cfRule>
    <cfRule type="expression" dxfId="66" priority="31">
      <formula>LEFT(E768,3)="YES"</formula>
    </cfRule>
    <cfRule type="expression" dxfId="65" priority="32">
      <formula>LEFT(E768,2)="NO"</formula>
    </cfRule>
    <cfRule type="expression" dxfId="64" priority="33">
      <formula>LEFT(E768,5)="DUMMY"</formula>
    </cfRule>
  </conditionalFormatting>
  <conditionalFormatting sqref="E1267:E1282">
    <cfRule type="expression" dxfId="63" priority="34">
      <formula>LEFT(E1267,2)="OK"</formula>
    </cfRule>
    <cfRule type="expression" dxfId="62" priority="35">
      <formula>LEFT(E1267,5)="ERROR"</formula>
    </cfRule>
    <cfRule type="expression" dxfId="61" priority="36">
      <formula>LEFT(E1267,11)="UNEXPLAINED"</formula>
    </cfRule>
    <cfRule type="expression" dxfId="60" priority="37">
      <formula>LEFT(E1267,7)="WARNING"</formula>
    </cfRule>
    <cfRule type="expression" dxfId="59" priority="38">
      <formula>LEFT(E1267,10)="TO CONFIRM"</formula>
    </cfRule>
    <cfRule type="expression" dxfId="58" priority="39">
      <formula>LEFT(E1267,19)="Differs - requested"</formula>
    </cfRule>
    <cfRule type="expression" dxfId="57" priority="40">
      <formula>LEFT(E1267,7)="Differs"</formula>
    </cfRule>
    <cfRule type="expression" dxfId="56" priority="41">
      <formula>LEFT(E1267,7)="Matches"</formula>
    </cfRule>
    <cfRule type="expression" dxfId="55" priority="42">
      <formula>LEFT(E1267,10)="Both cases"</formula>
    </cfRule>
    <cfRule type="expression" dxfId="54" priority="43">
      <formula>LEFT(E1267,4)="INFO"</formula>
    </cfRule>
    <cfRule type="expression" dxfId="53" priority="44">
      <formula>LEFT(E1267,4)="None"</formula>
    </cfRule>
    <cfRule type="expression" dxfId="52" priority="45">
      <formula>LEFT(E1267,10)="Reproduced"</formula>
    </cfRule>
    <cfRule type="expression" dxfId="51" priority="46">
      <formula>LEFT(E1267,12)="SOURCE ISSUE"</formula>
    </cfRule>
    <cfRule type="expression" dxfId="50" priority="47">
      <formula>LEFT(E1267,3)="YES"</formula>
    </cfRule>
    <cfRule type="expression" dxfId="49" priority="48">
      <formula>LEFT(E1267,2)="NO"</formula>
    </cfRule>
    <cfRule type="expression" dxfId="48" priority="49">
      <formula>LEFT(E1267,5)="DUMMY"</formula>
    </cfRule>
  </conditionalFormatting>
  <conditionalFormatting sqref="C6:C20">
    <cfRule type="expression" dxfId="47" priority="50">
      <formula>LEFT(C6,2)="OK"</formula>
    </cfRule>
    <cfRule type="expression" dxfId="46" priority="51">
      <formula>LEFT(C6,5)="ERROR"</formula>
    </cfRule>
    <cfRule type="expression" dxfId="45" priority="52">
      <formula>LEFT(C6,11)="UNEXPLAINED"</formula>
    </cfRule>
    <cfRule type="expression" dxfId="44" priority="53">
      <formula>LEFT(C6,7)="WARNING"</formula>
    </cfRule>
    <cfRule type="expression" dxfId="43" priority="54">
      <formula>LEFT(C6,10)="TO CONFIRM"</formula>
    </cfRule>
    <cfRule type="expression" dxfId="42" priority="55">
      <formula>LEFT(C6,19)="Differs - requested"</formula>
    </cfRule>
    <cfRule type="expression" dxfId="41" priority="56">
      <formula>LEFT(C6,7)="Differs"</formula>
    </cfRule>
    <cfRule type="expression" dxfId="40" priority="57">
      <formula>LEFT(C6,7)="Matches"</formula>
    </cfRule>
    <cfRule type="expression" dxfId="39" priority="58">
      <formula>LEFT(C6,10)="Both cases"</formula>
    </cfRule>
    <cfRule type="expression" dxfId="38" priority="59">
      <formula>LEFT(C6,4)="INFO"</formula>
    </cfRule>
    <cfRule type="expression" dxfId="37" priority="60">
      <formula>LEFT(C6,4)="None"</formula>
    </cfRule>
    <cfRule type="expression" dxfId="36" priority="61">
      <formula>LEFT(C6,10)="Reproduced"</formula>
    </cfRule>
    <cfRule type="expression" dxfId="35" priority="62">
      <formula>LEFT(C6,12)="SOURCE ISSUE"</formula>
    </cfRule>
    <cfRule type="expression" dxfId="34" priority="63">
      <formula>LEFT(C6,3)="YES"</formula>
    </cfRule>
    <cfRule type="expression" dxfId="33" priority="64">
      <formula>LEFT(C6,2)="NO"</formula>
    </cfRule>
    <cfRule type="expression" dxfId="32" priority="65">
      <formula>LEFT(C6,5)="DUMMY"</formula>
    </cfRule>
  </conditionalFormatting>
  <conditionalFormatting sqref="F29:F90">
    <cfRule type="expression" dxfId="31" priority="66">
      <formula>LEFT(F29,2)="OK"</formula>
    </cfRule>
    <cfRule type="expression" dxfId="30" priority="67">
      <formula>LEFT(F29,5)="ERROR"</formula>
    </cfRule>
    <cfRule type="expression" dxfId="29" priority="68">
      <formula>LEFT(F29,11)="UNEXPLAINED"</formula>
    </cfRule>
    <cfRule type="expression" dxfId="28" priority="69">
      <formula>LEFT(F29,7)="WARNING"</formula>
    </cfRule>
    <cfRule type="expression" dxfId="27" priority="70">
      <formula>LEFT(F29,10)="TO CONFIRM"</formula>
    </cfRule>
    <cfRule type="expression" dxfId="26" priority="71">
      <formula>LEFT(F29,19)="Differs - requested"</formula>
    </cfRule>
    <cfRule type="expression" dxfId="25" priority="72">
      <formula>LEFT(F29,7)="Differs"</formula>
    </cfRule>
    <cfRule type="expression" dxfId="24" priority="73">
      <formula>LEFT(F29,7)="Matches"</formula>
    </cfRule>
    <cfRule type="expression" dxfId="23" priority="74">
      <formula>LEFT(F29,10)="Both cases"</formula>
    </cfRule>
    <cfRule type="expression" dxfId="22" priority="75">
      <formula>LEFT(F29,4)="INFO"</formula>
    </cfRule>
    <cfRule type="expression" dxfId="21" priority="76">
      <formula>LEFT(F29,4)="None"</formula>
    </cfRule>
    <cfRule type="expression" dxfId="20" priority="77">
      <formula>LEFT(F29,10)="Reproduced"</formula>
    </cfRule>
    <cfRule type="expression" dxfId="19" priority="78">
      <formula>LEFT(F29,12)="SOURCE ISSUE"</formula>
    </cfRule>
    <cfRule type="expression" dxfId="18" priority="79">
      <formula>LEFT(F29,3)="YES"</formula>
    </cfRule>
    <cfRule type="expression" dxfId="17" priority="80">
      <formula>LEFT(F29,2)="NO"</formula>
    </cfRule>
    <cfRule type="expression" dxfId="16" priority="81">
      <formula>LEFT(F29,5)="DUMMY"</formula>
    </cfRule>
  </conditionalFormatting>
  <conditionalFormatting sqref="E129:E832">
    <cfRule type="expression" dxfId="15" priority="82">
      <formula>LEFT(E129,2)="OK"</formula>
    </cfRule>
    <cfRule type="expression" dxfId="14" priority="83">
      <formula>LEFT(E129,5)="ERROR"</formula>
    </cfRule>
    <cfRule type="expression" dxfId="13" priority="84">
      <formula>LEFT(E129,11)="UNEXPLAINED"</formula>
    </cfRule>
    <cfRule type="expression" dxfId="12" priority="85">
      <formula>LEFT(E129,7)="WARNING"</formula>
    </cfRule>
    <cfRule type="expression" dxfId="11" priority="86">
      <formula>LEFT(E129,10)="TO CONFIRM"</formula>
    </cfRule>
    <cfRule type="expression" dxfId="10" priority="87">
      <formula>LEFT(E129,19)="Differs - requested"</formula>
    </cfRule>
    <cfRule type="expression" dxfId="9" priority="88">
      <formula>LEFT(E129,7)="Differs"</formula>
    </cfRule>
    <cfRule type="expression" dxfId="8" priority="89">
      <formula>LEFT(E129,7)="Matches"</formula>
    </cfRule>
    <cfRule type="expression" dxfId="7" priority="90">
      <formula>LEFT(E129,10)="Both cases"</formula>
    </cfRule>
    <cfRule type="expression" dxfId="6" priority="91">
      <formula>LEFT(E129,4)="INFO"</formula>
    </cfRule>
    <cfRule type="expression" dxfId="5" priority="92">
      <formula>LEFT(E129,4)="None"</formula>
    </cfRule>
    <cfRule type="expression" dxfId="4" priority="93">
      <formula>LEFT(E129,10)="Reproduced"</formula>
    </cfRule>
    <cfRule type="expression" dxfId="3" priority="94">
      <formula>LEFT(E129,12)="SOURCE ISSUE"</formula>
    </cfRule>
    <cfRule type="expression" dxfId="2" priority="95">
      <formula>LEFT(E129,3)="YES"</formula>
    </cfRule>
    <cfRule type="expression" dxfId="1" priority="96">
      <formula>LEFT(E129,2)="NO"</formula>
    </cfRule>
    <cfRule type="expression" dxfId="0" priority="97">
      <formula>LEFT(E129,5)="DUMMY"</formula>
    </cfRule>
  </conditionalFormatting>
  <hyperlinks>
    <hyperlink ref="C3" location="'Model Flow'!A1" display="Model Flow" xr:uid="{00000000-0004-0000-1000-000000000000}"/>
    <hyperlink ref="D3" location="Inputs!A1" display="Inputs" xr:uid="{00000000-0004-0000-1000-000001000000}"/>
    <hyperlink ref="E3" location="'FS Data Request'!A1" display="FS Request" xr:uid="{00000000-0004-0000-1000-000002000000}"/>
    <hyperlink ref="F3" location="'Revenue Calculation'!A1" display="Revenue" xr:uid="{00000000-0004-0000-1000-000003000000}"/>
    <hyperlink ref="G3" location="'Cost Calculation'!A1" display="Costs" xr:uid="{00000000-0004-0000-1000-000004000000}"/>
    <hyperlink ref="H3" location="'BUMN Synergy Calculation'!A1" display="BUMN Synergy" xr:uid="{00000000-0004-0000-1000-000005000000}"/>
    <hyperlink ref="I3" location="'Capex &amp; Depreciation'!A1" display="Capex" xr:uid="{00000000-0004-0000-1000-000006000000}"/>
    <hyperlink ref="J3" location="'Working Capital'!A1" display="Work. cap." xr:uid="{00000000-0004-0000-1000-000007000000}"/>
    <hyperlink ref="K3" location="Financing!A1" display="Financing" xr:uid="{00000000-0004-0000-1000-000008000000}"/>
    <hyperlink ref="L3" location="'Funding Requirement'!A1" display="Funding" xr:uid="{00000000-0004-0000-1000-000009000000}"/>
    <hyperlink ref="M3" location="'FSL Output - Without BUMN'!A1" display="Out: w/o BUMN" xr:uid="{00000000-0004-0000-1000-00000A000000}"/>
    <hyperlink ref="N3" location="'FSL Output - With BUMN'!A1" display="Out: With BUMN" xr:uid="{00000000-0004-0000-1000-00000B000000}"/>
    <hyperlink ref="O3" location="'Valuation — Without BUMN'!A1" display="Val: w/o BUMN" xr:uid="{00000000-0004-0000-1000-00000C000000}"/>
    <hyperlink ref="P3" location="'Valuation — With BUMN'!A1" display="Val: With BUMN" xr:uid="{00000000-0004-0000-1000-00000D000000}"/>
    <hyperlink ref="Q3" location="'Project Cash Flows'!A1" display="Proj. CF" xr:uid="{00000000-0004-0000-1000-00000E000000}"/>
    <hyperlink ref="R3" location="'Project Summary'!A1" display="Proj. Summary" xr:uid="{00000000-0004-0000-1000-00000F000000}"/>
    <hyperlink ref="T3" location="'Source Data'!A1" display="Source Data" xr:uid="{00000000-0004-0000-1000-000010000000}"/>
    <hyperlink ref="G29" location="'FSL Output - With BUMN'!B265" display="FSL Output - With BUMN!B265" xr:uid="{00000000-0004-0000-1000-000011000000}"/>
    <hyperlink ref="G30" location="'FSL Output - Without BUMN'!B214" display="FSL Output - Without BUMN!B214" xr:uid="{00000000-0004-0000-1000-000012000000}"/>
    <hyperlink ref="G31" location="'FSL Output - With BUMN'!B286" display="FSL Output - With BUMN!B286" xr:uid="{00000000-0004-0000-1000-000013000000}"/>
    <hyperlink ref="G32" location="'FSL Output - Without BUMN'!B235" display="FSL Output - Without BUMN!B235" xr:uid="{00000000-0004-0000-1000-000014000000}"/>
    <hyperlink ref="G33" location="'FSL Output - With BUMN'!B287" display="FSL Output - With BUMN!B287" xr:uid="{00000000-0004-0000-1000-000015000000}"/>
    <hyperlink ref="G34" location="'FSL Output - Without BUMN'!B236" display="FSL Output - Without BUMN!B236" xr:uid="{00000000-0004-0000-1000-000016000000}"/>
    <hyperlink ref="G35" location="'FSL Output - With BUMN'!B288" display="FSL Output - With BUMN!B288" xr:uid="{00000000-0004-0000-1000-000017000000}"/>
    <hyperlink ref="G36" location="'FSL Output - Without BUMN'!B237" display="FSL Output - Without BUMN!B237" xr:uid="{00000000-0004-0000-1000-000018000000}"/>
    <hyperlink ref="G37" location="'FSL Output - With BUMN'!B289" display="FSL Output - With BUMN!B289" xr:uid="{00000000-0004-0000-1000-000019000000}"/>
    <hyperlink ref="G38" location="'FSL Output - Without BUMN'!B238" display="FSL Output - Without BUMN!B238" xr:uid="{00000000-0004-0000-1000-00001A000000}"/>
    <hyperlink ref="G39" location="'Funding Requirement'!B63" display="Funding Requirement!B63" xr:uid="{00000000-0004-0000-1000-00001B000000}"/>
    <hyperlink ref="G40" location="'Funding Requirement'!B95" display="Funding Requirement!B95" xr:uid="{00000000-0004-0000-1000-00001C000000}"/>
    <hyperlink ref="G41" location="'FSL Output - With BUMN'!B191" display="FSL Output - With BUMN!B191" xr:uid="{00000000-0004-0000-1000-00001D000000}"/>
    <hyperlink ref="G42" location="'FSL Output - Without BUMN'!B140" display="FSL Output - Without BUMN!B140" xr:uid="{00000000-0004-0000-1000-00001E000000}"/>
    <hyperlink ref="G43" location="'Revenue Calculation'!B217" display="Revenue Calculation!B217" xr:uid="{00000000-0004-0000-1000-00001F000000}"/>
    <hyperlink ref="G44" location="'FSL Output - With BUMN'!B12" display="FSL Output - With BUMN!B12" xr:uid="{00000000-0004-0000-1000-000020000000}"/>
    <hyperlink ref="G45" location="'BUMN Synergy Calculation'!B17" display="BUMN Synergy Calculation!B17" xr:uid="{00000000-0004-0000-1000-000021000000}"/>
    <hyperlink ref="G46" location="'BUMN Synergy Calculation'!B96" display="BUMN Synergy Calculation!B96" xr:uid="{00000000-0004-0000-1000-000022000000}"/>
    <hyperlink ref="G47" location="'Project Cash Flows'!B411" display="Project Cash Flows!B411" xr:uid="{00000000-0004-0000-1000-000023000000}"/>
    <hyperlink ref="G48" location="'Project Cash Flows'!B422" display="Project Cash Flows!B422" xr:uid="{00000000-0004-0000-1000-000024000000}"/>
    <hyperlink ref="G49" location="'Valuation — With BUMN'!B106" display="Valuation — With BUMN!B106" xr:uid="{00000000-0004-0000-1000-000025000000}"/>
    <hyperlink ref="G50" location="'Valuation — Without BUMN'!B106" display="Valuation — Without BUMN!B106" xr:uid="{00000000-0004-0000-1000-000026000000}"/>
    <hyperlink ref="G51" location="'Valuation — With BUMN'!B94" display="Valuation — With BUMN!B94" xr:uid="{00000000-0004-0000-1000-000027000000}"/>
    <hyperlink ref="G52" location="'Valuation — Without BUMN'!B94" display="Valuation — Without BUMN!B94" xr:uid="{00000000-0004-0000-1000-000028000000}"/>
    <hyperlink ref="G53" location="'Valuation — With BUMN'!B50" display="Valuation — With BUMN!B50" xr:uid="{00000000-0004-0000-1000-000029000000}"/>
    <hyperlink ref="G54" location="'Valuation — Without BUMN'!B50" display="Valuation — Without BUMN!B50" xr:uid="{00000000-0004-0000-1000-00002A000000}"/>
    <hyperlink ref="G55" location="'Valuation — With BUMN'!B117" display="Valuation — With BUMN!B117" xr:uid="{00000000-0004-0000-1000-00002B000000}"/>
    <hyperlink ref="G56" location="Financing!B14" display="Financing!B14" xr:uid="{00000000-0004-0000-1000-00002C000000}"/>
    <hyperlink ref="G57" location="'Capex &amp; Depreciation'!B45" display="Capex &amp; Depreciation!B45" xr:uid="{00000000-0004-0000-1000-00002D000000}"/>
    <hyperlink ref="G58" location="'Capex &amp; Depreciation'!B347" display="Capex &amp; Depreciation!B347" xr:uid="{00000000-0004-0000-1000-00002E000000}"/>
    <hyperlink ref="G59" location="'Funding Requirement'!B147" display="Funding Requirement!B147" xr:uid="{00000000-0004-0000-1000-00002F000000}"/>
    <hyperlink ref="G60" location="'Project Summary'!B893" display="Project Summary!B893" xr:uid="{00000000-0004-0000-1000-000030000000}"/>
    <hyperlink ref="G61" location="'Project Summary'!B921" display="Project Summary!B921" xr:uid="{00000000-0004-0000-1000-000031000000}"/>
    <hyperlink ref="G62" location="'Source Data'!B777" display="Source Data!B777" xr:uid="{00000000-0004-0000-1000-000032000000}"/>
    <hyperlink ref="G63" location="'Revenue Calculation'!B163" display="Revenue Calculation!B163" xr:uid="{00000000-0004-0000-1000-000033000000}"/>
    <hyperlink ref="G64" location="Inputs!B558" display="Inputs!B558" xr:uid="{00000000-0004-0000-1000-000034000000}"/>
    <hyperlink ref="G66" location="'Checks &amp; Reconciliation'!B1292" display="Checks &amp; Reconciliation!B1292" xr:uid="{00000000-0004-0000-1000-000035000000}"/>
    <hyperlink ref="G67" location="'Checks &amp; Reconciliation'!B1293" display="Checks &amp; Reconciliation!B1293" xr:uid="{00000000-0004-0000-1000-000036000000}"/>
    <hyperlink ref="G68" location="'Source Data'!B967" display="Source Data!B967" xr:uid="{00000000-0004-0000-1000-000037000000}"/>
    <hyperlink ref="G69" location="'Checks &amp; Reconciliation'!B129" display="Checks &amp; Reconciliation!B{d0}" xr:uid="{00000000-0004-0000-1000-000038000000}"/>
    <hyperlink ref="G70" location="'Checks &amp; Reconciliation'!B129" display="Checks &amp; Reconciliation!B{d0}" xr:uid="{00000000-0004-0000-1000-000039000000}"/>
    <hyperlink ref="G71" location="'Checks &amp; Reconciliation'!B129" display="Checks &amp; Reconciliation!B{d0}" xr:uid="{00000000-0004-0000-1000-00003A000000}"/>
    <hyperlink ref="G72" location="'Checks &amp; Reconciliation'!B129" display="Checks &amp; Reconciliation!B{d0}" xr:uid="{00000000-0004-0000-1000-00003B000000}"/>
    <hyperlink ref="G73" location="'FSL Output - With BUMN'!B303" display="FSL Output - With BUMN!B303" xr:uid="{00000000-0004-0000-1000-00003C000000}"/>
    <hyperlink ref="G74" location="'FSL Output - Without BUMN'!B252" display="FSL Output - Without BUMN!B252" xr:uid="{00000000-0004-0000-1000-00003D000000}"/>
    <hyperlink ref="G75" location="'Checks &amp; Reconciliation'!B833" display="Checks &amp; Reconciliation!B{e0}" xr:uid="{00000000-0004-0000-1000-00003E000000}"/>
    <hyperlink ref="G76" location="'Source Data'!B813" display="Source Data!B813" xr:uid="{00000000-0004-0000-1000-00003F000000}"/>
    <hyperlink ref="G77" location="'Checks &amp; Reconciliation'!B1340" display="Checks &amp; Reconciliation!B1340" xr:uid="{00000000-0004-0000-1000-000040000000}"/>
    <hyperlink ref="G78" location="'Checks &amp; Reconciliation'!B1365" display="Checks &amp; Reconciliation!B1365" xr:uid="{00000000-0004-0000-1000-000041000000}"/>
    <hyperlink ref="G81" location="'Funding Requirement'!B25" display="Funding Requirement!B25" xr:uid="{00000000-0004-0000-1000-000042000000}"/>
    <hyperlink ref="G82" location="'Funding Requirement'!B25" display="Funding Requirement!B25" xr:uid="{00000000-0004-0000-1000-000043000000}"/>
    <hyperlink ref="G83" location="Inputs!B79" display="Inputs!B79" xr:uid="{00000000-0004-0000-1000-000044000000}"/>
    <hyperlink ref="G84" location="Financing!B84" display="Financing!B84" xr:uid="{00000000-0004-0000-1000-000045000000}"/>
    <hyperlink ref="G85" location="Financing!B78" display="Financing!B78" xr:uid="{00000000-0004-0000-1000-000046000000}"/>
    <hyperlink ref="G86" location="'Capex &amp; Depreciation'!B327" display="Capex &amp; Depreciation!B327" xr:uid="{00000000-0004-0000-1000-000047000000}"/>
    <hyperlink ref="G87" location="'Capex &amp; Depreciation'!B46" display="Capex &amp; Depreciation!B46" xr:uid="{00000000-0004-0000-1000-000048000000}"/>
    <hyperlink ref="G88" location="'FS Data Request'!B5" display="FS Data Request!B5" xr:uid="{00000000-0004-0000-1000-000049000000}"/>
    <hyperlink ref="G89" location="'Funding Requirement'!B26" display="Funding Requirement!B26" xr:uid="{00000000-0004-0000-1000-00004A000000}"/>
    <hyperlink ref="G90" location="Inputs!U1" display="Inputs!U1" xr:uid="{00000000-0004-0000-1000-00004B000000}"/>
    <hyperlink ref="G94" location="Inputs!B94" display="Inputs!B94" xr:uid="{00000000-0004-0000-1000-00004C000000}"/>
    <hyperlink ref="G95" location="Inputs!B481" display="Inputs!B481" xr:uid="{00000000-0004-0000-1000-00004D000000}"/>
    <hyperlink ref="G96" location="Inputs!B501" display="Inputs!B501" xr:uid="{00000000-0004-0000-1000-00004E000000}"/>
    <hyperlink ref="G97" location="Inputs!B502" display="Inputs!B502" xr:uid="{00000000-0004-0000-1000-00004F000000}"/>
    <hyperlink ref="G98" location="Inputs!B505" display="Inputs!B505" xr:uid="{00000000-0004-0000-1000-000050000000}"/>
    <hyperlink ref="G99" location="Inputs!B508" display="Inputs!B508" xr:uid="{00000000-0004-0000-1000-000051000000}"/>
    <hyperlink ref="G100" location="Inputs!B524" display="Inputs!B524" xr:uid="{00000000-0004-0000-1000-000052000000}"/>
    <hyperlink ref="G101" location="Inputs!B525" display="Inputs!B525" xr:uid="{00000000-0004-0000-1000-000053000000}"/>
    <hyperlink ref="G102" location="Inputs!B526" display="Inputs!B526" xr:uid="{00000000-0004-0000-1000-000054000000}"/>
    <hyperlink ref="G103" location="Inputs!B527" display="Inputs!B527" xr:uid="{00000000-0004-0000-1000-000055000000}"/>
    <hyperlink ref="G104" location="Inputs!B528" display="Inputs!B528" xr:uid="{00000000-0004-0000-1000-000056000000}"/>
    <hyperlink ref="G105" location="Inputs!B529" display="Inputs!B529" xr:uid="{00000000-0004-0000-1000-000057000000}"/>
    <hyperlink ref="G106" location="Inputs!B530" display="Inputs!B530" xr:uid="{00000000-0004-0000-1000-000058000000}"/>
    <hyperlink ref="G107" location="Inputs!B542" display="Inputs!B542" xr:uid="{00000000-0004-0000-1000-000059000000}"/>
    <hyperlink ref="G108" location="Inputs!B543" display="Inputs!B543" xr:uid="{00000000-0004-0000-1000-00005A000000}"/>
    <hyperlink ref="G109" location="Inputs!B544" display="Inputs!B544" xr:uid="{00000000-0004-0000-1000-00005B000000}"/>
    <hyperlink ref="G110" location="Inputs!B545" display="Inputs!B545" xr:uid="{00000000-0004-0000-1000-00005C000000}"/>
    <hyperlink ref="G111" location="Inputs!B546" display="Inputs!B546" xr:uid="{00000000-0004-0000-1000-00005D000000}"/>
    <hyperlink ref="G112" location="Inputs!B548" display="Inputs!B548" xr:uid="{00000000-0004-0000-1000-00005E000000}"/>
    <hyperlink ref="G113" location="Inputs!B549" display="Inputs!B549" xr:uid="{00000000-0004-0000-1000-00005F000000}"/>
    <hyperlink ref="G114" location="Inputs!B550" display="Inputs!B550" xr:uid="{00000000-0004-0000-1000-000060000000}"/>
    <hyperlink ref="G115" location="Inputs!B577" display="Inputs!B577" xr:uid="{00000000-0004-0000-1000-000061000000}"/>
    <hyperlink ref="G116" location="Inputs!B735" display="Inputs!B735" xr:uid="{00000000-0004-0000-1000-000062000000}"/>
    <hyperlink ref="G117" location="Inputs!B167" display="Inputs!B167" xr:uid="{00000000-0004-0000-1000-000063000000}"/>
    <hyperlink ref="G118" location="Inputs!B269" display="Inputs!B269" xr:uid="{00000000-0004-0000-1000-000064000000}"/>
    <hyperlink ref="G119" location="Inputs!B297" display="Inputs!B297" xr:uid="{00000000-0004-0000-1000-000065000000}"/>
    <hyperlink ref="G120" location="Inputs!B494" display="Inputs!B494" xr:uid="{00000000-0004-0000-1000-000066000000}"/>
    <hyperlink ref="G121" location="Inputs!B531" display="Inputs!B531" xr:uid="{00000000-0004-0000-1000-000067000000}"/>
    <hyperlink ref="G122" location="'Capex &amp; Depreciation'!B360" display="Capex &amp; Depreciation!B360" xr:uid="{00000000-0004-0000-1000-000068000000}"/>
    <hyperlink ref="G123" location="Inputs!B93" display="Inputs!B93" xr:uid="{00000000-0004-0000-1000-000069000000}"/>
    <hyperlink ref="G124" location="'FS Data Request'!B5" display="FS Data Request!B5" xr:uid="{00000000-0004-0000-1000-00006A000000}"/>
    <hyperlink ref="G125" location="Inputs!B524" display="Inputs!B524" xr:uid="{00000000-0004-0000-1000-00006B000000}"/>
    <hyperlink ref="G126" location="Inputs!B83" display="Inputs!B83" xr:uid="{00000000-0004-0000-1000-00006C000000}"/>
    <hyperlink ref="D137" location="'FSL Output - With BUMN'!B59" display="Out: With BUMN row 59" xr:uid="{00000000-0004-0000-1000-00006D000000}"/>
    <hyperlink ref="D142" location="'FSL Output - With BUMN'!B63" display="Out: With BUMN row 63" xr:uid="{00000000-0004-0000-1000-00006E000000}"/>
    <hyperlink ref="D147" location="'FSL Output - With BUMN'!B64" display="Out: With BUMN row 64" xr:uid="{00000000-0004-0000-1000-00006F000000}"/>
    <hyperlink ref="D152" location="'FSL Output - With BUMN'!B65" display="Out: With BUMN row 65 + Out: With BUMN row 66" xr:uid="{00000000-0004-0000-1000-000070000000}"/>
    <hyperlink ref="D157" location="'FSL Output - With BUMN'!B67" display="Out: With BUMN row 67" xr:uid="{00000000-0004-0000-1000-000071000000}"/>
    <hyperlink ref="D162" location="'FSL Output - With BUMN'!B68" display="Out: With BUMN row 68" xr:uid="{00000000-0004-0000-1000-000072000000}"/>
    <hyperlink ref="D167" location="'FSL Output - With BUMN'!B69" display="Out: With BUMN row 69" xr:uid="{00000000-0004-0000-1000-000073000000}"/>
    <hyperlink ref="D172" location="'FSL Output - With BUMN'!B74" display="Out: With BUMN row 74" xr:uid="{00000000-0004-0000-1000-000074000000}"/>
    <hyperlink ref="D177" location="'FSL Output - With BUMN'!B75" display="Out: With BUMN row 75" xr:uid="{00000000-0004-0000-1000-000075000000}"/>
    <hyperlink ref="D182" location="'FSL Output - With BUMN'!B76" display="Out: With BUMN row 76" xr:uid="{00000000-0004-0000-1000-000076000000}"/>
    <hyperlink ref="D187" location="'FSL Output - With BUMN'!B77" display="Out: With BUMN row 77" xr:uid="{00000000-0004-0000-1000-000077000000}"/>
    <hyperlink ref="D192" location="'FSL Output - With BUMN'!B269" display="Out: With BUMN row 269" xr:uid="{00000000-0004-0000-1000-000078000000}"/>
    <hyperlink ref="D197" location="'FSL Output - With BUMN'!B270" display="Out: With BUMN row 270" xr:uid="{00000000-0004-0000-1000-000079000000}"/>
    <hyperlink ref="D202" location="'FSL Output - With BUMN'!B272" display="Out: With BUMN row 272" xr:uid="{00000000-0004-0000-1000-00007A000000}"/>
    <hyperlink ref="D207" location="'FSL Output - With BUMN'!B273" display="Out: With BUMN row 273" xr:uid="{00000000-0004-0000-1000-00007B000000}"/>
    <hyperlink ref="D217" location="'FSL Output - With BUMN'!B274" display="Out: With BUMN row 274 + Out: With BUMN row 275" xr:uid="{00000000-0004-0000-1000-00007C000000}"/>
    <hyperlink ref="D222" location="'FSL Output - With BUMN'!B276" display="Out: With BUMN row 276" xr:uid="{00000000-0004-0000-1000-00007D000000}"/>
    <hyperlink ref="D227" location="'FSL Output - With BUMN'!B277" display="Out: With BUMN row 277" xr:uid="{00000000-0004-0000-1000-00007E000000}"/>
    <hyperlink ref="D232" location="'FSL Output - With BUMN'!B278" display="Out: With BUMN row 278 + Out: With BUMN row 279" xr:uid="{00000000-0004-0000-1000-00007F000000}"/>
    <hyperlink ref="D237" location="'FSL Output - With BUMN'!B280" display="Out: With BUMN row 280 + Out: With BUMN row 281" xr:uid="{00000000-0004-0000-1000-000080000000}"/>
    <hyperlink ref="D242" location="'FSL Output - With BUMN'!B282" display="Out: With BUMN row 282" xr:uid="{00000000-0004-0000-1000-000081000000}"/>
    <hyperlink ref="D247" location="'FSL Output - With BUMN'!B283" display="Out: With BUMN row 283" xr:uid="{00000000-0004-0000-1000-000082000000}"/>
    <hyperlink ref="D252" location="'FSL Output - With BUMN'!B284" display="Out: With BUMN row 284" xr:uid="{00000000-0004-0000-1000-000083000000}"/>
    <hyperlink ref="D257" location="'FSL Output - With BUMN'!B241" display="Out: With BUMN row 241" xr:uid="{00000000-0004-0000-1000-000084000000}"/>
    <hyperlink ref="D262" location="'FSL Output - With BUMN'!B242" display="Out: With BUMN row 242" xr:uid="{00000000-0004-0000-1000-000085000000}"/>
    <hyperlink ref="D267" location="'FSL Output - With BUMN'!B243" display="Out: With BUMN row 243" xr:uid="{00000000-0004-0000-1000-000086000000}"/>
    <hyperlink ref="D272" location="'FSL Output - With BUMN'!B244" display="Out: With BUMN row 244" xr:uid="{00000000-0004-0000-1000-000087000000}"/>
    <hyperlink ref="D277" location="'FSL Output - With BUMN'!B245" display="Out: With BUMN row 245" xr:uid="{00000000-0004-0000-1000-000088000000}"/>
    <hyperlink ref="D282" location="'FSL Output - With BUMN'!B246" display="Out: With BUMN row 246" xr:uid="{00000000-0004-0000-1000-000089000000}"/>
    <hyperlink ref="D287" location="'FSL Output - With BUMN'!B249" display="Out: With BUMN row 249" xr:uid="{00000000-0004-0000-1000-00008A000000}"/>
    <hyperlink ref="D292" location="'FSL Output - With BUMN'!B250" display="Out: With BUMN row 250 + Out: With BUMN row 251 + Out: With BUMN row 252" xr:uid="{00000000-0004-0000-1000-00008B000000}"/>
    <hyperlink ref="D297" location="'FSL Output - With BUMN'!B253" display="Out: With BUMN row 253" xr:uid="{00000000-0004-0000-1000-00008C000000}"/>
    <hyperlink ref="D302" location="'FSL Output - With BUMN'!B254" display="Out: With BUMN row 254" xr:uid="{00000000-0004-0000-1000-00008D000000}"/>
    <hyperlink ref="D307" location="'FSL Output - With BUMN'!B258" display="Out: With BUMN row 258" xr:uid="{00000000-0004-0000-1000-00008E000000}"/>
    <hyperlink ref="D312" location="'FSL Output - With BUMN'!B259" display="Out: With BUMN row 259" xr:uid="{00000000-0004-0000-1000-00008F000000}"/>
    <hyperlink ref="D317" location="'FSL Output - With BUMN'!B260" display="Out: With BUMN row 260" xr:uid="{00000000-0004-0000-1000-000090000000}"/>
    <hyperlink ref="D322" location="'FSL Output - With BUMN'!B264" display="Out: With BUMN row 264" xr:uid="{00000000-0004-0000-1000-000091000000}"/>
    <hyperlink ref="D327" location="'FSL Output - With BUMN'!B292" display="Out: With BUMN row 292" xr:uid="{00000000-0004-0000-1000-000092000000}"/>
    <hyperlink ref="D332" location="'FSL Output - With BUMN'!B293" display="Out: With BUMN row 293" xr:uid="{00000000-0004-0000-1000-000093000000}"/>
    <hyperlink ref="D337" location="'FSL Output - With BUMN'!B294" display="Out: With BUMN row 294" xr:uid="{00000000-0004-0000-1000-000094000000}"/>
    <hyperlink ref="D342" location="'FSL Output - With BUMN'!B295" display="Out: With BUMN row 295" xr:uid="{00000000-0004-0000-1000-000095000000}"/>
    <hyperlink ref="D347" location="'FSL Output - With BUMN'!B296" display="Out: With BUMN row 296" xr:uid="{00000000-0004-0000-1000-000096000000}"/>
    <hyperlink ref="D352" location="'FSL Output - With BUMN'!B297" display="Out: With BUMN row 297" xr:uid="{00000000-0004-0000-1000-000097000000}"/>
    <hyperlink ref="D357" location="'FSL Output - With BUMN'!B298" display="Out: With BUMN row 298" xr:uid="{00000000-0004-0000-1000-000098000000}"/>
    <hyperlink ref="D362" location="'Working Capital'!B115" display="Work. cap. row 115" xr:uid="{00000000-0004-0000-1000-000099000000}"/>
    <hyperlink ref="D367" location="'Capex &amp; Depreciation'!B81" display="Capex row 81 + Capex row 210" xr:uid="{00000000-0004-0000-1000-00009A000000}"/>
    <hyperlink ref="D372" location="Financing!B61" display="Financing row 61" xr:uid="{00000000-0004-0000-1000-00009B000000}"/>
    <hyperlink ref="D377" location="Financing!B19" display="Financing row 19" xr:uid="{00000000-0004-0000-1000-00009C000000}"/>
    <hyperlink ref="D382" location="'FSL Output - With BUMN'!B233" display="Out: With BUMN row 233" xr:uid="{00000000-0004-0000-1000-00009D000000}"/>
    <hyperlink ref="D387" location="'FSL Output - With BUMN'!B79" display="Out: With BUMN row 79" xr:uid="{00000000-0004-0000-1000-00009E000000}"/>
    <hyperlink ref="D392" location="Financing!B66" display="Financing row 66" xr:uid="{00000000-0004-0000-1000-00009F000000}"/>
    <hyperlink ref="D397" location="Financing!B69" display="Financing row 69" xr:uid="{00000000-0004-0000-1000-0000A0000000}"/>
    <hyperlink ref="D402" location="Financing!B70" display="Financing row 70" xr:uid="{00000000-0004-0000-1000-0000A1000000}"/>
    <hyperlink ref="D407" location="Financing!B71" display="Financing row 71" xr:uid="{00000000-0004-0000-1000-0000A2000000}"/>
    <hyperlink ref="D412" location="Financing!B76" display="Financing row 76" xr:uid="{00000000-0004-0000-1000-0000A3000000}"/>
    <hyperlink ref="H419" location="'Checks &amp; Reconciliation'!B135" display="go to line" xr:uid="{00000000-0004-0000-1000-0000A4000000}"/>
    <hyperlink ref="H420" location="'Checks &amp; Reconciliation'!B140" display="go to line" xr:uid="{00000000-0004-0000-1000-0000A5000000}"/>
    <hyperlink ref="H421" location="'Checks &amp; Reconciliation'!B145" display="go to line" xr:uid="{00000000-0004-0000-1000-0000A6000000}"/>
    <hyperlink ref="H422" location="'Checks &amp; Reconciliation'!B150" display="go to line" xr:uid="{00000000-0004-0000-1000-0000A7000000}"/>
    <hyperlink ref="H423" location="'Checks &amp; Reconciliation'!B155" display="go to line" xr:uid="{00000000-0004-0000-1000-0000A8000000}"/>
    <hyperlink ref="H424" location="'Checks &amp; Reconciliation'!B160" display="go to line" xr:uid="{00000000-0004-0000-1000-0000A9000000}"/>
    <hyperlink ref="H425" location="'Checks &amp; Reconciliation'!B165" display="go to line" xr:uid="{00000000-0004-0000-1000-0000AA000000}"/>
    <hyperlink ref="H426" location="'Checks &amp; Reconciliation'!B170" display="go to line" xr:uid="{00000000-0004-0000-1000-0000AB000000}"/>
    <hyperlink ref="H427" location="'Checks &amp; Reconciliation'!B175" display="go to line" xr:uid="{00000000-0004-0000-1000-0000AC000000}"/>
    <hyperlink ref="H428" location="'Checks &amp; Reconciliation'!B180" display="go to line" xr:uid="{00000000-0004-0000-1000-0000AD000000}"/>
    <hyperlink ref="H429" location="'Checks &amp; Reconciliation'!B185" display="go to line" xr:uid="{00000000-0004-0000-1000-0000AE000000}"/>
    <hyperlink ref="H430" location="'Checks &amp; Reconciliation'!B190" display="go to line" xr:uid="{00000000-0004-0000-1000-0000AF000000}"/>
    <hyperlink ref="H431" location="'Checks &amp; Reconciliation'!B195" display="go to line" xr:uid="{00000000-0004-0000-1000-0000B0000000}"/>
    <hyperlink ref="H432" location="'Checks &amp; Reconciliation'!B200" display="go to line" xr:uid="{00000000-0004-0000-1000-0000B1000000}"/>
    <hyperlink ref="H433" location="'Checks &amp; Reconciliation'!B205" display="go to line" xr:uid="{00000000-0004-0000-1000-0000B2000000}"/>
    <hyperlink ref="H434" location="'Checks &amp; Reconciliation'!B210" display="go to line" xr:uid="{00000000-0004-0000-1000-0000B3000000}"/>
    <hyperlink ref="H435" location="'Checks &amp; Reconciliation'!B215" display="go to line" xr:uid="{00000000-0004-0000-1000-0000B4000000}"/>
    <hyperlink ref="H436" location="'Checks &amp; Reconciliation'!B220" display="go to line" xr:uid="{00000000-0004-0000-1000-0000B5000000}"/>
    <hyperlink ref="H437" location="'Checks &amp; Reconciliation'!B225" display="go to line" xr:uid="{00000000-0004-0000-1000-0000B6000000}"/>
    <hyperlink ref="H438" location="'Checks &amp; Reconciliation'!B230" display="go to line" xr:uid="{00000000-0004-0000-1000-0000B7000000}"/>
    <hyperlink ref="H439" location="'Checks &amp; Reconciliation'!B235" display="go to line" xr:uid="{00000000-0004-0000-1000-0000B8000000}"/>
    <hyperlink ref="H440" location="'Checks &amp; Reconciliation'!B240" display="go to line" xr:uid="{00000000-0004-0000-1000-0000B9000000}"/>
    <hyperlink ref="H441" location="'Checks &amp; Reconciliation'!B245" display="go to line" xr:uid="{00000000-0004-0000-1000-0000BA000000}"/>
    <hyperlink ref="H442" location="'Checks &amp; Reconciliation'!B250" display="go to line" xr:uid="{00000000-0004-0000-1000-0000BB000000}"/>
    <hyperlink ref="H443" location="'Checks &amp; Reconciliation'!B255" display="go to line" xr:uid="{00000000-0004-0000-1000-0000BC000000}"/>
    <hyperlink ref="H444" location="'Checks &amp; Reconciliation'!B260" display="go to line" xr:uid="{00000000-0004-0000-1000-0000BD000000}"/>
    <hyperlink ref="H445" location="'Checks &amp; Reconciliation'!B265" display="go to line" xr:uid="{00000000-0004-0000-1000-0000BE000000}"/>
    <hyperlink ref="H446" location="'Checks &amp; Reconciliation'!B270" display="go to line" xr:uid="{00000000-0004-0000-1000-0000BF000000}"/>
    <hyperlink ref="H447" location="'Checks &amp; Reconciliation'!B275" display="go to line" xr:uid="{00000000-0004-0000-1000-0000C0000000}"/>
    <hyperlink ref="H448" location="'Checks &amp; Reconciliation'!B280" display="go to line" xr:uid="{00000000-0004-0000-1000-0000C1000000}"/>
    <hyperlink ref="H449" location="'Checks &amp; Reconciliation'!B285" display="go to line" xr:uid="{00000000-0004-0000-1000-0000C2000000}"/>
    <hyperlink ref="H450" location="'Checks &amp; Reconciliation'!B290" display="go to line" xr:uid="{00000000-0004-0000-1000-0000C3000000}"/>
    <hyperlink ref="H451" location="'Checks &amp; Reconciliation'!B295" display="go to line" xr:uid="{00000000-0004-0000-1000-0000C4000000}"/>
    <hyperlink ref="H452" location="'Checks &amp; Reconciliation'!B300" display="go to line" xr:uid="{00000000-0004-0000-1000-0000C5000000}"/>
    <hyperlink ref="H453" location="'Checks &amp; Reconciliation'!B305" display="go to line" xr:uid="{00000000-0004-0000-1000-0000C6000000}"/>
    <hyperlink ref="H454" location="'Checks &amp; Reconciliation'!B310" display="go to line" xr:uid="{00000000-0004-0000-1000-0000C7000000}"/>
    <hyperlink ref="H455" location="'Checks &amp; Reconciliation'!B315" display="go to line" xr:uid="{00000000-0004-0000-1000-0000C8000000}"/>
    <hyperlink ref="H456" location="'Checks &amp; Reconciliation'!B320" display="go to line" xr:uid="{00000000-0004-0000-1000-0000C9000000}"/>
    <hyperlink ref="H457" location="'Checks &amp; Reconciliation'!B325" display="go to line" xr:uid="{00000000-0004-0000-1000-0000CA000000}"/>
    <hyperlink ref="H458" location="'Checks &amp; Reconciliation'!B330" display="go to line" xr:uid="{00000000-0004-0000-1000-0000CB000000}"/>
    <hyperlink ref="H459" location="'Checks &amp; Reconciliation'!B335" display="go to line" xr:uid="{00000000-0004-0000-1000-0000CC000000}"/>
    <hyperlink ref="H460" location="'Checks &amp; Reconciliation'!B340" display="go to line" xr:uid="{00000000-0004-0000-1000-0000CD000000}"/>
    <hyperlink ref="H461" location="'Checks &amp; Reconciliation'!B345" display="go to line" xr:uid="{00000000-0004-0000-1000-0000CE000000}"/>
    <hyperlink ref="H462" location="'Checks &amp; Reconciliation'!B350" display="go to line" xr:uid="{00000000-0004-0000-1000-0000CF000000}"/>
    <hyperlink ref="H463" location="'Checks &amp; Reconciliation'!B355" display="go to line" xr:uid="{00000000-0004-0000-1000-0000D0000000}"/>
    <hyperlink ref="H464" location="'Checks &amp; Reconciliation'!B360" display="go to line" xr:uid="{00000000-0004-0000-1000-0000D1000000}"/>
    <hyperlink ref="H465" location="'Checks &amp; Reconciliation'!B365" display="go to line" xr:uid="{00000000-0004-0000-1000-0000D2000000}"/>
    <hyperlink ref="H466" location="'Checks &amp; Reconciliation'!B370" display="go to line" xr:uid="{00000000-0004-0000-1000-0000D3000000}"/>
    <hyperlink ref="H467" location="'Checks &amp; Reconciliation'!B375" display="go to line" xr:uid="{00000000-0004-0000-1000-0000D4000000}"/>
    <hyperlink ref="H468" location="'Checks &amp; Reconciliation'!B380" display="go to line" xr:uid="{00000000-0004-0000-1000-0000D5000000}"/>
    <hyperlink ref="H469" location="'Checks &amp; Reconciliation'!B385" display="go to line" xr:uid="{00000000-0004-0000-1000-0000D6000000}"/>
    <hyperlink ref="H470" location="'Checks &amp; Reconciliation'!B390" display="go to line" xr:uid="{00000000-0004-0000-1000-0000D7000000}"/>
    <hyperlink ref="H471" location="'Checks &amp; Reconciliation'!B395" display="go to line" xr:uid="{00000000-0004-0000-1000-0000D8000000}"/>
    <hyperlink ref="H472" location="'Checks &amp; Reconciliation'!B400" display="go to line" xr:uid="{00000000-0004-0000-1000-0000D9000000}"/>
    <hyperlink ref="H473" location="'Checks &amp; Reconciliation'!B405" display="go to line" xr:uid="{00000000-0004-0000-1000-0000DA000000}"/>
    <hyperlink ref="H474" location="'Checks &amp; Reconciliation'!B410" display="go to line" xr:uid="{00000000-0004-0000-1000-0000DB000000}"/>
    <hyperlink ref="D486" location="'FSL Output - Without BUMN'!B9" display="Out: w/o BUMN row 9" xr:uid="{00000000-0004-0000-1000-0000DC000000}"/>
    <hyperlink ref="D491" location="'FSL Output - Without BUMN'!B12" display="Out: w/o BUMN row 12" xr:uid="{00000000-0004-0000-1000-0000DD000000}"/>
    <hyperlink ref="D496" location="'FSL Output - Without BUMN'!B13" display="Out: w/o BUMN row 13" xr:uid="{00000000-0004-0000-1000-0000DE000000}"/>
    <hyperlink ref="D501" location="'FSL Output - Without BUMN'!B14" display="Out: w/o BUMN row 14 + Out: w/o BUMN row 15" xr:uid="{00000000-0004-0000-1000-0000DF000000}"/>
    <hyperlink ref="D506" location="'FSL Output - Without BUMN'!B16" display="Out: w/o BUMN row 16" xr:uid="{00000000-0004-0000-1000-0000E0000000}"/>
    <hyperlink ref="D511" location="'FSL Output - Without BUMN'!B17" display="Out: w/o BUMN row 17" xr:uid="{00000000-0004-0000-1000-0000E1000000}"/>
    <hyperlink ref="D516" location="'FSL Output - Without BUMN'!B18" display="Out: w/o BUMN row 18" xr:uid="{00000000-0004-0000-1000-0000E2000000}"/>
    <hyperlink ref="D521" location="'FSL Output - Without BUMN'!B23" display="Out: w/o BUMN row 23" xr:uid="{00000000-0004-0000-1000-0000E3000000}"/>
    <hyperlink ref="D526" location="'FSL Output - Without BUMN'!B24" display="Out: w/o BUMN row 24" xr:uid="{00000000-0004-0000-1000-0000E4000000}"/>
    <hyperlink ref="D531" location="'FSL Output - Without BUMN'!B25" display="Out: w/o BUMN row 25" xr:uid="{00000000-0004-0000-1000-0000E5000000}"/>
    <hyperlink ref="D536" location="'FSL Output - Without BUMN'!B26" display="Out: w/o BUMN row 26" xr:uid="{00000000-0004-0000-1000-0000E6000000}"/>
    <hyperlink ref="D541" location="'FSL Output - Without BUMN'!B218" display="Out: w/o BUMN row 218" xr:uid="{00000000-0004-0000-1000-0000E7000000}"/>
    <hyperlink ref="D546" location="'FSL Output - Without BUMN'!B219" display="Out: w/o BUMN row 219" xr:uid="{00000000-0004-0000-1000-0000E8000000}"/>
    <hyperlink ref="D551" location="'FSL Output - Without BUMN'!B221" display="Out: w/o BUMN row 221" xr:uid="{00000000-0004-0000-1000-0000E9000000}"/>
    <hyperlink ref="D556" location="'FSL Output - Without BUMN'!B222" display="Out: w/o BUMN row 222" xr:uid="{00000000-0004-0000-1000-0000EA000000}"/>
    <hyperlink ref="D566" location="'FSL Output - Without BUMN'!B223" display="Out: w/o BUMN row 223 + Out: w/o BUMN row 224" xr:uid="{00000000-0004-0000-1000-0000EB000000}"/>
    <hyperlink ref="D571" location="'FSL Output - Without BUMN'!B225" display="Out: w/o BUMN row 225" xr:uid="{00000000-0004-0000-1000-0000EC000000}"/>
    <hyperlink ref="D576" location="'FSL Output - Without BUMN'!B226" display="Out: w/o BUMN row 226" xr:uid="{00000000-0004-0000-1000-0000ED000000}"/>
    <hyperlink ref="D581" location="'FSL Output - Without BUMN'!B227" display="Out: w/o BUMN row 227 + Out: w/o BUMN row 228" xr:uid="{00000000-0004-0000-1000-0000EE000000}"/>
    <hyperlink ref="D586" location="'FSL Output - Without BUMN'!B229" display="Out: w/o BUMN row 229 + Out: w/o BUMN row 230" xr:uid="{00000000-0004-0000-1000-0000EF000000}"/>
    <hyperlink ref="D591" location="'FSL Output - Without BUMN'!B231" display="Out: w/o BUMN row 231" xr:uid="{00000000-0004-0000-1000-0000F0000000}"/>
    <hyperlink ref="D596" location="'FSL Output - Without BUMN'!B232" display="Out: w/o BUMN row 232" xr:uid="{00000000-0004-0000-1000-0000F1000000}"/>
    <hyperlink ref="D601" location="'FSL Output - Without BUMN'!B233" display="Out: w/o BUMN row 233" xr:uid="{00000000-0004-0000-1000-0000F2000000}"/>
    <hyperlink ref="D606" location="'FSL Output - Without BUMN'!B190" display="Out: w/o BUMN row 190" xr:uid="{00000000-0004-0000-1000-0000F3000000}"/>
    <hyperlink ref="D611" location="'FSL Output - Without BUMN'!B191" display="Out: w/o BUMN row 191" xr:uid="{00000000-0004-0000-1000-0000F4000000}"/>
    <hyperlink ref="D616" location="'FSL Output - Without BUMN'!B192" display="Out: w/o BUMN row 192" xr:uid="{00000000-0004-0000-1000-0000F5000000}"/>
    <hyperlink ref="D621" location="'FSL Output - Without BUMN'!B193" display="Out: w/o BUMN row 193" xr:uid="{00000000-0004-0000-1000-0000F6000000}"/>
    <hyperlink ref="D626" location="'FSL Output - Without BUMN'!B194" display="Out: w/o BUMN row 194" xr:uid="{00000000-0004-0000-1000-0000F7000000}"/>
    <hyperlink ref="D631" location="'FSL Output - Without BUMN'!B195" display="Out: w/o BUMN row 195" xr:uid="{00000000-0004-0000-1000-0000F8000000}"/>
    <hyperlink ref="D636" location="'FSL Output - Without BUMN'!B198" display="Out: w/o BUMN row 198" xr:uid="{00000000-0004-0000-1000-0000F9000000}"/>
    <hyperlink ref="D641" location="'FSL Output - Without BUMN'!B199" display="Out: w/o BUMN row 199 + Out: w/o BUMN row 200 + Out: w/o BUMN row 201" xr:uid="{00000000-0004-0000-1000-0000FA000000}"/>
    <hyperlink ref="D646" location="'FSL Output - Without BUMN'!B202" display="Out: w/o BUMN row 202" xr:uid="{00000000-0004-0000-1000-0000FB000000}"/>
    <hyperlink ref="D651" location="'FSL Output - Without BUMN'!B203" display="Out: w/o BUMN row 203" xr:uid="{00000000-0004-0000-1000-0000FC000000}"/>
    <hyperlink ref="D656" location="'FSL Output - Without BUMN'!B207" display="Out: w/o BUMN row 207" xr:uid="{00000000-0004-0000-1000-0000FD000000}"/>
    <hyperlink ref="D661" location="'FSL Output - Without BUMN'!B208" display="Out: w/o BUMN row 208" xr:uid="{00000000-0004-0000-1000-0000FE000000}"/>
    <hyperlink ref="D666" location="'FSL Output - Without BUMN'!B209" display="Out: w/o BUMN row 209" xr:uid="{00000000-0004-0000-1000-0000FF000000}"/>
    <hyperlink ref="D671" location="'FSL Output - Without BUMN'!B213" display="Out: w/o BUMN row 213" xr:uid="{00000000-0004-0000-1000-000000010000}"/>
    <hyperlink ref="D676" location="'FSL Output - Without BUMN'!B241" display="Out: w/o BUMN row 241" xr:uid="{00000000-0004-0000-1000-000001010000}"/>
    <hyperlink ref="D681" location="'FSL Output - Without BUMN'!B242" display="Out: w/o BUMN row 242" xr:uid="{00000000-0004-0000-1000-000002010000}"/>
    <hyperlink ref="D686" location="'FSL Output - Without BUMN'!B243" display="Out: w/o BUMN row 243" xr:uid="{00000000-0004-0000-1000-000003010000}"/>
    <hyperlink ref="D691" location="'FSL Output - Without BUMN'!B244" display="Out: w/o BUMN row 244" xr:uid="{00000000-0004-0000-1000-000004010000}"/>
    <hyperlink ref="D696" location="'FSL Output - Without BUMN'!B245" display="Out: w/o BUMN row 245" xr:uid="{00000000-0004-0000-1000-000005010000}"/>
    <hyperlink ref="D701" location="'FSL Output - Without BUMN'!B246" display="Out: w/o BUMN row 246" xr:uid="{00000000-0004-0000-1000-000006010000}"/>
    <hyperlink ref="D706" location="'FSL Output - Without BUMN'!B247" display="Out: w/o BUMN row 247" xr:uid="{00000000-0004-0000-1000-000007010000}"/>
    <hyperlink ref="D711" location="'Working Capital'!B121" display="Work. cap. row 121" xr:uid="{00000000-0004-0000-1000-000008010000}"/>
    <hyperlink ref="D716" location="'Capex &amp; Depreciation'!B80" display="Capex row 80 + Capex row 210" xr:uid="{00000000-0004-0000-1000-000009010000}"/>
    <hyperlink ref="D721" location="Financing!B90" display="Financing row 90" xr:uid="{00000000-0004-0000-1000-00000A010000}"/>
    <hyperlink ref="D726" location="Financing!B19" display="Financing row 19" xr:uid="{00000000-0004-0000-1000-00000B010000}"/>
    <hyperlink ref="D731" location="'FSL Output - Without BUMN'!B182" display="Out: w/o BUMN row 182" xr:uid="{00000000-0004-0000-1000-00000C010000}"/>
    <hyperlink ref="D736" location="'FSL Output - Without BUMN'!B28" display="Out: w/o BUMN row 28" xr:uid="{00000000-0004-0000-1000-00000D010000}"/>
    <hyperlink ref="D741" location="Financing!B95" display="Financing row 95" xr:uid="{00000000-0004-0000-1000-00000E010000}"/>
    <hyperlink ref="D746" location="Financing!B98" display="Financing row 98" xr:uid="{00000000-0004-0000-1000-00000F010000}"/>
    <hyperlink ref="D751" location="Financing!B99" display="Financing row 99" xr:uid="{00000000-0004-0000-1000-000010010000}"/>
    <hyperlink ref="D756" location="Financing!B100" display="Financing row 100" xr:uid="{00000000-0004-0000-1000-000011010000}"/>
    <hyperlink ref="D761" location="Financing!B105" display="Financing row 105" xr:uid="{00000000-0004-0000-1000-000012010000}"/>
    <hyperlink ref="H768" location="'Checks &amp; Reconciliation'!B484" display="go to line" xr:uid="{00000000-0004-0000-1000-000013010000}"/>
    <hyperlink ref="H769" location="'Checks &amp; Reconciliation'!B489" display="go to line" xr:uid="{00000000-0004-0000-1000-000014010000}"/>
    <hyperlink ref="H770" location="'Checks &amp; Reconciliation'!B494" display="go to line" xr:uid="{00000000-0004-0000-1000-000015010000}"/>
    <hyperlink ref="H771" location="'Checks &amp; Reconciliation'!B499" display="go to line" xr:uid="{00000000-0004-0000-1000-000016010000}"/>
    <hyperlink ref="H772" location="'Checks &amp; Reconciliation'!B504" display="go to line" xr:uid="{00000000-0004-0000-1000-000017010000}"/>
    <hyperlink ref="H773" location="'Checks &amp; Reconciliation'!B509" display="go to line" xr:uid="{00000000-0004-0000-1000-000018010000}"/>
    <hyperlink ref="H774" location="'Checks &amp; Reconciliation'!B514" display="go to line" xr:uid="{00000000-0004-0000-1000-000019010000}"/>
    <hyperlink ref="H775" location="'Checks &amp; Reconciliation'!B519" display="go to line" xr:uid="{00000000-0004-0000-1000-00001A010000}"/>
    <hyperlink ref="H776" location="'Checks &amp; Reconciliation'!B524" display="go to line" xr:uid="{00000000-0004-0000-1000-00001B010000}"/>
    <hyperlink ref="H777" location="'Checks &amp; Reconciliation'!B529" display="go to line" xr:uid="{00000000-0004-0000-1000-00001C010000}"/>
    <hyperlink ref="H778" location="'Checks &amp; Reconciliation'!B534" display="go to line" xr:uid="{00000000-0004-0000-1000-00001D010000}"/>
    <hyperlink ref="H779" location="'Checks &amp; Reconciliation'!B539" display="go to line" xr:uid="{00000000-0004-0000-1000-00001E010000}"/>
    <hyperlink ref="H780" location="'Checks &amp; Reconciliation'!B544" display="go to line" xr:uid="{00000000-0004-0000-1000-00001F010000}"/>
    <hyperlink ref="H781" location="'Checks &amp; Reconciliation'!B549" display="go to line" xr:uid="{00000000-0004-0000-1000-000020010000}"/>
    <hyperlink ref="H782" location="'Checks &amp; Reconciliation'!B554" display="go to line" xr:uid="{00000000-0004-0000-1000-000021010000}"/>
    <hyperlink ref="H783" location="'Checks &amp; Reconciliation'!B559" display="go to line" xr:uid="{00000000-0004-0000-1000-000022010000}"/>
    <hyperlink ref="H784" location="'Checks &amp; Reconciliation'!B564" display="go to line" xr:uid="{00000000-0004-0000-1000-000023010000}"/>
    <hyperlink ref="H785" location="'Checks &amp; Reconciliation'!B569" display="go to line" xr:uid="{00000000-0004-0000-1000-000024010000}"/>
    <hyperlink ref="H786" location="'Checks &amp; Reconciliation'!B574" display="go to line" xr:uid="{00000000-0004-0000-1000-000025010000}"/>
    <hyperlink ref="H787" location="'Checks &amp; Reconciliation'!B579" display="go to line" xr:uid="{00000000-0004-0000-1000-000026010000}"/>
    <hyperlink ref="H788" location="'Checks &amp; Reconciliation'!B584" display="go to line" xr:uid="{00000000-0004-0000-1000-000027010000}"/>
    <hyperlink ref="H789" location="'Checks &amp; Reconciliation'!B589" display="go to line" xr:uid="{00000000-0004-0000-1000-000028010000}"/>
    <hyperlink ref="H790" location="'Checks &amp; Reconciliation'!B594" display="go to line" xr:uid="{00000000-0004-0000-1000-000029010000}"/>
    <hyperlink ref="H791" location="'Checks &amp; Reconciliation'!B599" display="go to line" xr:uid="{00000000-0004-0000-1000-00002A010000}"/>
    <hyperlink ref="H792" location="'Checks &amp; Reconciliation'!B604" display="go to line" xr:uid="{00000000-0004-0000-1000-00002B010000}"/>
    <hyperlink ref="H793" location="'Checks &amp; Reconciliation'!B609" display="go to line" xr:uid="{00000000-0004-0000-1000-00002C010000}"/>
    <hyperlink ref="H794" location="'Checks &amp; Reconciliation'!B614" display="go to line" xr:uid="{00000000-0004-0000-1000-00002D010000}"/>
    <hyperlink ref="H795" location="'Checks &amp; Reconciliation'!B619" display="go to line" xr:uid="{00000000-0004-0000-1000-00002E010000}"/>
    <hyperlink ref="H796" location="'Checks &amp; Reconciliation'!B624" display="go to line" xr:uid="{00000000-0004-0000-1000-00002F010000}"/>
    <hyperlink ref="H797" location="'Checks &amp; Reconciliation'!B629" display="go to line" xr:uid="{00000000-0004-0000-1000-000030010000}"/>
    <hyperlink ref="H798" location="'Checks &amp; Reconciliation'!B634" display="go to line" xr:uid="{00000000-0004-0000-1000-000031010000}"/>
    <hyperlink ref="H799" location="'Checks &amp; Reconciliation'!B639" display="go to line" xr:uid="{00000000-0004-0000-1000-000032010000}"/>
    <hyperlink ref="H800" location="'Checks &amp; Reconciliation'!B644" display="go to line" xr:uid="{00000000-0004-0000-1000-000033010000}"/>
    <hyperlink ref="H801" location="'Checks &amp; Reconciliation'!B649" display="go to line" xr:uid="{00000000-0004-0000-1000-000034010000}"/>
    <hyperlink ref="H802" location="'Checks &amp; Reconciliation'!B654" display="go to line" xr:uid="{00000000-0004-0000-1000-000035010000}"/>
    <hyperlink ref="H803" location="'Checks &amp; Reconciliation'!B659" display="go to line" xr:uid="{00000000-0004-0000-1000-000036010000}"/>
    <hyperlink ref="H804" location="'Checks &amp; Reconciliation'!B664" display="go to line" xr:uid="{00000000-0004-0000-1000-000037010000}"/>
    <hyperlink ref="H805" location="'Checks &amp; Reconciliation'!B669" display="go to line" xr:uid="{00000000-0004-0000-1000-000038010000}"/>
    <hyperlink ref="H806" location="'Checks &amp; Reconciliation'!B674" display="go to line" xr:uid="{00000000-0004-0000-1000-000039010000}"/>
    <hyperlink ref="H807" location="'Checks &amp; Reconciliation'!B679" display="go to line" xr:uid="{00000000-0004-0000-1000-00003A010000}"/>
    <hyperlink ref="H808" location="'Checks &amp; Reconciliation'!B684" display="go to line" xr:uid="{00000000-0004-0000-1000-00003B010000}"/>
    <hyperlink ref="H809" location="'Checks &amp; Reconciliation'!B689" display="go to line" xr:uid="{00000000-0004-0000-1000-00003C010000}"/>
    <hyperlink ref="H810" location="'Checks &amp; Reconciliation'!B694" display="go to line" xr:uid="{00000000-0004-0000-1000-00003D010000}"/>
    <hyperlink ref="H811" location="'Checks &amp; Reconciliation'!B699" display="go to line" xr:uid="{00000000-0004-0000-1000-00003E010000}"/>
    <hyperlink ref="H812" location="'Checks &amp; Reconciliation'!B704" display="go to line" xr:uid="{00000000-0004-0000-1000-00003F010000}"/>
    <hyperlink ref="H813" location="'Checks &amp; Reconciliation'!B709" display="go to line" xr:uid="{00000000-0004-0000-1000-000040010000}"/>
    <hyperlink ref="H814" location="'Checks &amp; Reconciliation'!B714" display="go to line" xr:uid="{00000000-0004-0000-1000-000041010000}"/>
    <hyperlink ref="H815" location="'Checks &amp; Reconciliation'!B719" display="go to line" xr:uid="{00000000-0004-0000-1000-000042010000}"/>
    <hyperlink ref="H816" location="'Checks &amp; Reconciliation'!B724" display="go to line" xr:uid="{00000000-0004-0000-1000-000043010000}"/>
    <hyperlink ref="H817" location="'Checks &amp; Reconciliation'!B729" display="go to line" xr:uid="{00000000-0004-0000-1000-000044010000}"/>
    <hyperlink ref="H818" location="'Checks &amp; Reconciliation'!B734" display="go to line" xr:uid="{00000000-0004-0000-1000-000045010000}"/>
    <hyperlink ref="H819" location="'Checks &amp; Reconciliation'!B739" display="go to line" xr:uid="{00000000-0004-0000-1000-000046010000}"/>
    <hyperlink ref="H820" location="'Checks &amp; Reconciliation'!B744" display="go to line" xr:uid="{00000000-0004-0000-1000-000047010000}"/>
    <hyperlink ref="H821" location="'Checks &amp; Reconciliation'!B749" display="go to line" xr:uid="{00000000-0004-0000-1000-000048010000}"/>
    <hyperlink ref="H822" location="'Checks &amp; Reconciliation'!B754" display="go to line" xr:uid="{00000000-0004-0000-1000-000049010000}"/>
    <hyperlink ref="H823" location="'Checks &amp; Reconciliation'!B759" display="go to line" xr:uid="{00000000-0004-0000-1000-00004A010000}"/>
    <hyperlink ref="H1267" location="'Checks &amp; Reconciliation'!B836" display="go to block" xr:uid="{00000000-0004-0000-1000-00004B010000}"/>
    <hyperlink ref="H1268" location="'Checks &amp; Reconciliation'!B862" display="go to block" xr:uid="{00000000-0004-0000-1000-00004C010000}"/>
    <hyperlink ref="H1269" location="'Checks &amp; Reconciliation'!B888" display="go to block" xr:uid="{00000000-0004-0000-1000-00004D010000}"/>
    <hyperlink ref="H1270" location="'Checks &amp; Reconciliation'!B914" display="go to block" xr:uid="{00000000-0004-0000-1000-00004E010000}"/>
    <hyperlink ref="H1271" location="'Checks &amp; Reconciliation'!B940" display="go to block" xr:uid="{00000000-0004-0000-1000-00004F010000}"/>
    <hyperlink ref="H1272" location="'Checks &amp; Reconciliation'!B966" display="go to block" xr:uid="{00000000-0004-0000-1000-000050010000}"/>
    <hyperlink ref="H1273" location="'Checks &amp; Reconciliation'!B992" display="go to block" xr:uid="{00000000-0004-0000-1000-000051010000}"/>
    <hyperlink ref="H1274" location="'Checks &amp; Reconciliation'!B1018" display="go to block" xr:uid="{00000000-0004-0000-1000-000052010000}"/>
    <hyperlink ref="H1275" location="'Checks &amp; Reconciliation'!B1044" display="go to block" xr:uid="{00000000-0004-0000-1000-000053010000}"/>
    <hyperlink ref="H1276" location="'Checks &amp; Reconciliation'!B1070" display="go to block" xr:uid="{00000000-0004-0000-1000-000054010000}"/>
    <hyperlink ref="H1277" location="'Checks &amp; Reconciliation'!B1096" display="go to block" xr:uid="{00000000-0004-0000-1000-000055010000}"/>
    <hyperlink ref="H1278" location="'Checks &amp; Reconciliation'!B1122" display="go to block" xr:uid="{00000000-0004-0000-1000-000056010000}"/>
    <hyperlink ref="H1279" location="'Checks &amp; Reconciliation'!B1148" display="go to block" xr:uid="{00000000-0004-0000-1000-000057010000}"/>
    <hyperlink ref="H1280" location="'Checks &amp; Reconciliation'!B1174" display="go to block" xr:uid="{00000000-0004-0000-1000-000058010000}"/>
    <hyperlink ref="H1281" location="'Checks &amp; Reconciliation'!B1200" display="go to block" xr:uid="{00000000-0004-0000-1000-000059010000}"/>
    <hyperlink ref="H1282" location="'Checks &amp; Reconciliation'!B1226" display="go to block" xr:uid="{00000000-0004-0000-1000-00005A010000}"/>
    <hyperlink ref="G1388" location="'FSL Output - With BUMN'!B265" display="go to row" xr:uid="{00000000-0004-0000-1000-00005B010000}"/>
    <hyperlink ref="G1389" location="'FSL Output - Without BUMN'!B214" display="go to row" xr:uid="{00000000-0004-0000-1000-00005C010000}"/>
    <hyperlink ref="G1390" location="'FSL Output - With BUMN'!B286" display="go to row" xr:uid="{00000000-0004-0000-1000-00005D010000}"/>
    <hyperlink ref="G1391" location="'FSL Output - Without BUMN'!B235" display="go to row" xr:uid="{00000000-0004-0000-1000-00005E010000}"/>
    <hyperlink ref="G1392" location="'FSL Output - With BUMN'!B287" display="go to row" xr:uid="{00000000-0004-0000-1000-00005F010000}"/>
    <hyperlink ref="G1393" location="'FSL Output - Without BUMN'!B236" display="go to row" xr:uid="{00000000-0004-0000-1000-000060010000}"/>
    <hyperlink ref="G1394" location="'FSL Output - With BUMN'!B288" display="go to row" xr:uid="{00000000-0004-0000-1000-000061010000}"/>
    <hyperlink ref="G1395" location="'Capex &amp; Depreciation'!B313" display="go to row" xr:uid="{00000000-0004-0000-1000-000062010000}"/>
    <hyperlink ref="G1396" location="'FSL Output - Without BUMN'!B237" display="go to row" xr:uid="{00000000-0004-0000-1000-000063010000}"/>
    <hyperlink ref="G1397" location="'Capex &amp; Depreciation'!B311" display="go to row" xr:uid="{00000000-0004-0000-1000-000064010000}"/>
    <hyperlink ref="G1398" location="'FSL Output - With BUMN'!B289" display="go to row" xr:uid="{00000000-0004-0000-1000-000065010000}"/>
    <hyperlink ref="G1399" location="Financing!B36" display="go to row" xr:uid="{00000000-0004-0000-1000-000066010000}"/>
    <hyperlink ref="G1400" location="Financing!B21" display="go to row" xr:uid="{00000000-0004-0000-1000-000067010000}"/>
    <hyperlink ref="G1401" location="Financing!B56" display="go to row" xr:uid="{00000000-0004-0000-1000-000068010000}"/>
    <hyperlink ref="G1402" location="'FSL Output - Without BUMN'!B238" display="go to row" xr:uid="{00000000-0004-0000-1000-000069010000}"/>
    <hyperlink ref="G1403" location="Financing!B44" display="go to row" xr:uid="{00000000-0004-0000-1000-00006A010000}"/>
    <hyperlink ref="G1404" location="'Funding Requirement'!B63" display="go to row" xr:uid="{00000000-0004-0000-1000-00006B010000}"/>
    <hyperlink ref="G1405" location="'Funding Requirement'!B95" display="go to row" xr:uid="{00000000-0004-0000-1000-00006C010000}"/>
    <hyperlink ref="G1406" location="'FSL Output - With BUMN'!B191" display="go to row" xr:uid="{00000000-0004-0000-1000-00006D010000}"/>
    <hyperlink ref="G1407" location="'FSL Output - With BUMN'!B232" display="go to row" xr:uid="{00000000-0004-0000-1000-00006E010000}"/>
    <hyperlink ref="G1408" location="'FSL Output - Without BUMN'!B140" display="go to row" xr:uid="{00000000-0004-0000-1000-00006F010000}"/>
    <hyperlink ref="G1409" location="'FSL Output - Without BUMN'!B181" display="go to row" xr:uid="{00000000-0004-0000-1000-000070010000}"/>
    <hyperlink ref="G1410" location="'Revenue Calculation'!B217" display="go to row" xr:uid="{00000000-0004-0000-1000-000071010000}"/>
    <hyperlink ref="G1411" location="'Cost Calculation'!B300" display="go to row" xr:uid="{00000000-0004-0000-1000-000072010000}"/>
    <hyperlink ref="G1412" location="'FSL Output - With BUMN'!B12" display="go to row" xr:uid="{00000000-0004-0000-1000-000073010000}"/>
    <hyperlink ref="G1413" location="'FSL Output - With BUMN'!B16" display="go to row" xr:uid="{00000000-0004-0000-1000-000074010000}"/>
    <hyperlink ref="G1414" location="'FSL Output - With BUMN'!B20" display="go to row" xr:uid="{00000000-0004-0000-1000-000075010000}"/>
    <hyperlink ref="G1415" location="'FSL Output - With BUMN'!B24" display="go to row" xr:uid="{00000000-0004-0000-1000-000076010000}"/>
    <hyperlink ref="G1416" location="'FSL Output - With BUMN'!B28" display="go to row" xr:uid="{00000000-0004-0000-1000-000077010000}"/>
    <hyperlink ref="G1417" location="'FSL Output - With BUMN'!B32" display="go to row" xr:uid="{00000000-0004-0000-1000-000078010000}"/>
    <hyperlink ref="G1418" location="'FSL Output - With BUMN'!B36" display="go to row" xr:uid="{00000000-0004-0000-1000-000079010000}"/>
    <hyperlink ref="G1419" location="'FSL Output - With BUMN'!B40" display="go to row" xr:uid="{00000000-0004-0000-1000-00007A010000}"/>
    <hyperlink ref="G1420" location="'FSL Output - With BUMN'!B44" display="go to row" xr:uid="{00000000-0004-0000-1000-00007B010000}"/>
    <hyperlink ref="G1421" location="'FSL Output - With BUMN'!B48" display="go to row" xr:uid="{00000000-0004-0000-1000-00007C010000}"/>
    <hyperlink ref="G1422" location="'BUMN Synergy Calculation'!B17" display="go to row" xr:uid="{00000000-0004-0000-1000-00007D010000}"/>
    <hyperlink ref="G1423" location="'BUMN Synergy Calculation'!B28" display="go to row" xr:uid="{00000000-0004-0000-1000-00007E010000}"/>
    <hyperlink ref="G1424" location="'BUMN Synergy Calculation'!B53" display="go to row" xr:uid="{00000000-0004-0000-1000-00007F010000}"/>
    <hyperlink ref="G1425" location="'BUMN Synergy Calculation'!B76" display="go to row" xr:uid="{00000000-0004-0000-1000-000080010000}"/>
    <hyperlink ref="G1426" location="'BUMN Synergy Calculation'!B96" display="go to row" xr:uid="{00000000-0004-0000-1000-000081010000}"/>
    <hyperlink ref="G1427" location="'Project Cash Flows'!B411" display="go to row" xr:uid="{00000000-0004-0000-1000-000082010000}"/>
    <hyperlink ref="G1428" location="'Project Cash Flows'!B422" display="go to row" xr:uid="{00000000-0004-0000-1000-000083010000}"/>
    <hyperlink ref="G1429" location="'Valuation — With BUMN'!B50" display="go to row" xr:uid="{00000000-0004-0000-1000-000084010000}"/>
    <hyperlink ref="G1430" location="'Valuation — Without BUMN'!B50" display="go to row" xr:uid="{00000000-0004-0000-1000-000085010000}"/>
    <hyperlink ref="G1431" location="'Project Cash Flows'!B385" display="go to row" xr:uid="{00000000-0004-0000-1000-000086010000}"/>
    <hyperlink ref="G1432" location="'Funding Requirement'!B147" display="go to row" xr:uid="{00000000-0004-0000-1000-000087010000}"/>
    <hyperlink ref="G1433" location="'Project Summary'!B893" display="go to row" xr:uid="{00000000-0004-0000-1000-000088010000}"/>
    <hyperlink ref="G1434" location="'Project Summary'!B921" display="go to row" xr:uid="{00000000-0004-0000-1000-000089010000}"/>
    <hyperlink ref="G1435" location="'Checks &amp; Reconciliation'!B1292" display="go to row" xr:uid="{00000000-0004-0000-1000-00008A010000}"/>
    <hyperlink ref="G1436" location="'Checks &amp; Reconciliation'!B1293" display="go to row" xr:uid="{00000000-0004-0000-1000-00008B010000}"/>
    <hyperlink ref="G1437" location="'Checks &amp; Reconciliation'!B1294" display="go to row" xr:uid="{00000000-0004-0000-1000-00008C010000}"/>
    <hyperlink ref="G1438" location="'Checks &amp; Reconciliation'!B1295" display="go to row" xr:uid="{00000000-0004-0000-1000-00008D010000}"/>
    <hyperlink ref="G1439" location="'Source Data'!B844" display="go to row" xr:uid="{00000000-0004-0000-1000-00008E010000}"/>
    <hyperlink ref="G1440" location="'Source Data'!B909" display="go to row" xr:uid="{00000000-0004-0000-1000-00008F010000}"/>
  </hyperlinks>
  <pageMargins left="0.4" right="0.4" top="0.5" bottom="0.5" header="0.511811023622047" footer="0.5"/>
  <pageSetup paperSize="9" fitToHeight="0" orientation="landscape" horizontalDpi="300" verticalDpi="300"/>
  <headerFooter>
    <oddFooter>&amp;L&amp;A&amp;RPage &amp;P of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7F7F7F"/>
    <pageSetUpPr fitToPage="1"/>
  </sheetPr>
  <dimension ref="B1:V1180"/>
  <sheetViews>
    <sheetView showGridLines="0" zoomScale="85" zoomScaleNormal="85"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5703125" customWidth="1"/>
    <col min="2" max="2" width="62" customWidth="1"/>
    <col min="3" max="3" width="11" customWidth="1"/>
    <col min="4" max="4" width="16" customWidth="1"/>
    <col min="5" max="5" width="14" customWidth="1"/>
    <col min="6" max="6" width="26" customWidth="1"/>
    <col min="7" max="20" width="10.5703125" customWidth="1"/>
    <col min="21" max="21" width="9" customWidth="1"/>
    <col min="22" max="22" width="80" customWidth="1"/>
  </cols>
  <sheetData>
    <row r="1" spans="2:20" ht="18" x14ac:dyDescent="0.25">
      <c r="B1" s="13" t="s">
        <v>4426</v>
      </c>
    </row>
    <row r="2" spans="2:20" x14ac:dyDescent="0.25">
      <c r="B2" s="14" t="s">
        <v>4427</v>
      </c>
    </row>
    <row r="3" spans="2:20" x14ac:dyDescent="0.25">
      <c r="B3" s="15" t="s">
        <v>2</v>
      </c>
      <c r="C3" s="17" t="s">
        <v>422</v>
      </c>
      <c r="D3" s="17" t="s">
        <v>4</v>
      </c>
      <c r="E3" s="17" t="s">
        <v>5</v>
      </c>
      <c r="F3" s="17" t="s">
        <v>6</v>
      </c>
      <c r="G3" s="17" t="s">
        <v>7</v>
      </c>
      <c r="H3" s="17" t="s">
        <v>8</v>
      </c>
      <c r="I3" s="17" t="s">
        <v>9</v>
      </c>
      <c r="J3" s="17" t="s">
        <v>10</v>
      </c>
      <c r="K3" s="17" t="s">
        <v>11</v>
      </c>
      <c r="L3" s="17" t="s">
        <v>12</v>
      </c>
      <c r="M3" s="17" t="s">
        <v>13</v>
      </c>
      <c r="N3" s="17" t="s">
        <v>14</v>
      </c>
      <c r="O3" s="17" t="s">
        <v>15</v>
      </c>
      <c r="P3" s="17" t="s">
        <v>16</v>
      </c>
      <c r="Q3" s="17" t="s">
        <v>17</v>
      </c>
      <c r="R3" s="17" t="s">
        <v>18</v>
      </c>
      <c r="S3" s="17" t="s">
        <v>19</v>
      </c>
      <c r="T3" s="16" t="s">
        <v>4428</v>
      </c>
    </row>
    <row r="40" spans="2:22" x14ac:dyDescent="0.25">
      <c r="B40" s="58" t="s">
        <v>465</v>
      </c>
      <c r="C40" s="19"/>
      <c r="D40" s="19"/>
      <c r="E40" s="19"/>
      <c r="F40" s="19"/>
      <c r="G40" s="19"/>
      <c r="H40" s="19"/>
      <c r="I40" s="19"/>
      <c r="J40" s="19"/>
      <c r="K40" s="19"/>
      <c r="L40" s="19"/>
      <c r="M40" s="19"/>
      <c r="N40" s="19"/>
      <c r="O40" s="19"/>
      <c r="P40" s="19"/>
      <c r="Q40" s="19"/>
      <c r="R40" s="19"/>
      <c r="S40" s="19"/>
      <c r="T40" s="19"/>
      <c r="U40" s="19"/>
      <c r="V40" s="19"/>
    </row>
    <row r="41" spans="2:22" x14ac:dyDescent="0.25">
      <c r="B41" s="59" t="s">
        <v>442</v>
      </c>
      <c r="C41" s="59" t="s">
        <v>466</v>
      </c>
      <c r="D41" s="59" t="s">
        <v>4429</v>
      </c>
      <c r="E41" s="59" t="s">
        <v>468</v>
      </c>
      <c r="F41" s="59" t="s">
        <v>469</v>
      </c>
      <c r="G41" s="60"/>
      <c r="H41" s="60"/>
      <c r="I41" s="60"/>
      <c r="J41" s="60"/>
      <c r="K41" s="60"/>
      <c r="L41" s="60"/>
      <c r="M41" s="60"/>
      <c r="N41" s="60"/>
      <c r="O41" s="60"/>
      <c r="P41" s="60"/>
      <c r="Q41" s="60"/>
      <c r="R41" s="60"/>
      <c r="S41" s="60"/>
      <c r="T41" s="60"/>
      <c r="U41" s="59"/>
      <c r="V41" s="59" t="s">
        <v>4430</v>
      </c>
    </row>
    <row r="42" spans="2:22" x14ac:dyDescent="0.25">
      <c r="B42" s="23" t="s">
        <v>472</v>
      </c>
      <c r="C42" s="28" t="s">
        <v>473</v>
      </c>
      <c r="D42" s="44" t="s">
        <v>484</v>
      </c>
      <c r="E42" s="61">
        <v>1</v>
      </c>
      <c r="F42" s="44" t="s">
        <v>474</v>
      </c>
      <c r="V42" s="63" t="s">
        <v>4431</v>
      </c>
    </row>
    <row r="43" spans="2:22" x14ac:dyDescent="0.25">
      <c r="B43" s="23" t="s">
        <v>476</v>
      </c>
      <c r="C43" s="28" t="s">
        <v>477</v>
      </c>
      <c r="D43" s="44" t="s">
        <v>484</v>
      </c>
      <c r="E43" s="61">
        <v>1</v>
      </c>
      <c r="F43" s="44" t="s">
        <v>478</v>
      </c>
      <c r="V43" s="63" t="s">
        <v>4432</v>
      </c>
    </row>
    <row r="44" spans="2:22" ht="36" customHeight="1" x14ac:dyDescent="0.25">
      <c r="B44" s="64" t="s">
        <v>480</v>
      </c>
      <c r="C44" s="28" t="s">
        <v>473</v>
      </c>
      <c r="D44" s="85" t="s">
        <v>4433</v>
      </c>
      <c r="E44" s="65">
        <v>1</v>
      </c>
      <c r="F44" s="44" t="s">
        <v>481</v>
      </c>
      <c r="V44" s="63" t="s">
        <v>4434</v>
      </c>
    </row>
    <row r="45" spans="2:22" x14ac:dyDescent="0.25">
      <c r="B45" s="23" t="s">
        <v>483</v>
      </c>
      <c r="C45" s="28" t="s">
        <v>292</v>
      </c>
      <c r="D45" s="44" t="s">
        <v>484</v>
      </c>
      <c r="E45" s="67">
        <v>0</v>
      </c>
      <c r="F45" s="44" t="s">
        <v>484</v>
      </c>
      <c r="V45" s="63" t="s">
        <v>4435</v>
      </c>
    </row>
    <row r="46" spans="2:22" x14ac:dyDescent="0.25">
      <c r="B46" s="23" t="s">
        <v>486</v>
      </c>
      <c r="C46" s="28" t="s">
        <v>292</v>
      </c>
      <c r="D46" s="44" t="s">
        <v>484</v>
      </c>
      <c r="E46" s="67">
        <v>0</v>
      </c>
      <c r="F46" s="44" t="s">
        <v>484</v>
      </c>
      <c r="V46" s="63" t="s">
        <v>4435</v>
      </c>
    </row>
    <row r="47" spans="2:22" x14ac:dyDescent="0.25">
      <c r="B47" s="23" t="s">
        <v>487</v>
      </c>
      <c r="C47" s="28" t="s">
        <v>292</v>
      </c>
      <c r="D47" s="44" t="s">
        <v>484</v>
      </c>
      <c r="E47" s="67">
        <v>0</v>
      </c>
      <c r="F47" s="44" t="s">
        <v>484</v>
      </c>
      <c r="V47" s="63" t="s">
        <v>4435</v>
      </c>
    </row>
    <row r="48" spans="2:22" x14ac:dyDescent="0.25">
      <c r="B48" s="23" t="s">
        <v>488</v>
      </c>
      <c r="C48" s="28" t="s">
        <v>292</v>
      </c>
      <c r="D48" s="44" t="s">
        <v>484</v>
      </c>
      <c r="E48" s="67">
        <v>0</v>
      </c>
      <c r="F48" s="44" t="s">
        <v>484</v>
      </c>
      <c r="V48" s="63" t="s">
        <v>4435</v>
      </c>
    </row>
    <row r="49" spans="2:22" x14ac:dyDescent="0.25">
      <c r="B49" s="23" t="s">
        <v>489</v>
      </c>
      <c r="C49" s="28" t="s">
        <v>490</v>
      </c>
      <c r="D49" s="44" t="s">
        <v>484</v>
      </c>
      <c r="E49" s="61">
        <v>2036</v>
      </c>
      <c r="F49" s="44" t="s">
        <v>484</v>
      </c>
      <c r="V49" s="63" t="s">
        <v>4436</v>
      </c>
    </row>
    <row r="50" spans="2:22" x14ac:dyDescent="0.25">
      <c r="B50" s="23" t="s">
        <v>492</v>
      </c>
      <c r="C50" s="28" t="s">
        <v>493</v>
      </c>
      <c r="D50" s="44" t="s">
        <v>484</v>
      </c>
      <c r="E50" s="68">
        <v>1E-3</v>
      </c>
      <c r="F50" s="44" t="s">
        <v>484</v>
      </c>
      <c r="V50" s="63" t="s">
        <v>4437</v>
      </c>
    </row>
    <row r="58" spans="2:22" x14ac:dyDescent="0.25">
      <c r="B58" s="58" t="s">
        <v>502</v>
      </c>
      <c r="C58" s="19"/>
      <c r="D58" s="19"/>
      <c r="E58" s="19"/>
      <c r="F58" s="19"/>
      <c r="G58" s="19"/>
      <c r="H58" s="19"/>
      <c r="I58" s="19"/>
      <c r="J58" s="19"/>
      <c r="K58" s="19"/>
      <c r="L58" s="19"/>
      <c r="M58" s="19"/>
      <c r="N58" s="19"/>
      <c r="O58" s="19"/>
      <c r="P58" s="19"/>
      <c r="Q58" s="19"/>
      <c r="R58" s="19"/>
      <c r="S58" s="19"/>
      <c r="T58" s="19"/>
      <c r="U58" s="19"/>
      <c r="V58" s="19"/>
    </row>
    <row r="59" spans="2:22" ht="36" customHeight="1" x14ac:dyDescent="0.25">
      <c r="B59" s="25" t="s">
        <v>503</v>
      </c>
      <c r="C59" s="25" t="s">
        <v>504</v>
      </c>
      <c r="D59" s="25" t="s">
        <v>505</v>
      </c>
      <c r="E59" s="25" t="s">
        <v>506</v>
      </c>
      <c r="F59" s="25" t="s">
        <v>507</v>
      </c>
      <c r="G59" s="25" t="s">
        <v>508</v>
      </c>
      <c r="H59" s="25" t="s">
        <v>509</v>
      </c>
      <c r="I59" s="9" t="s">
        <v>510</v>
      </c>
      <c r="J59" s="9"/>
      <c r="K59" s="9"/>
      <c r="L59" s="9" t="s">
        <v>511</v>
      </c>
      <c r="M59" s="9"/>
      <c r="N59" s="9"/>
      <c r="O59" s="9" t="s">
        <v>512</v>
      </c>
      <c r="P59" s="9"/>
      <c r="Q59" s="9"/>
      <c r="R59" s="9" t="s">
        <v>513</v>
      </c>
      <c r="S59" s="9"/>
      <c r="T59" s="9"/>
      <c r="U59" s="60"/>
      <c r="V59" s="25" t="s">
        <v>514</v>
      </c>
    </row>
    <row r="60" spans="2:22" x14ac:dyDescent="0.25">
      <c r="B60" s="23" t="s">
        <v>515</v>
      </c>
      <c r="C60" s="70" t="s">
        <v>516</v>
      </c>
      <c r="D60" s="70" t="s">
        <v>517</v>
      </c>
      <c r="E60" s="71" t="s">
        <v>518</v>
      </c>
      <c r="F60" s="72" t="s">
        <v>519</v>
      </c>
      <c r="G60" s="71" t="s">
        <v>520</v>
      </c>
      <c r="H60" s="73">
        <v>1</v>
      </c>
      <c r="I60" s="8" t="s">
        <v>521</v>
      </c>
      <c r="J60" s="8"/>
      <c r="K60" s="8"/>
      <c r="L60" s="7" t="s">
        <v>180</v>
      </c>
      <c r="M60" s="7"/>
      <c r="N60" s="7"/>
      <c r="O60" s="7" t="s">
        <v>522</v>
      </c>
      <c r="P60" s="7"/>
      <c r="Q60" s="7"/>
      <c r="V60" s="63" t="s">
        <v>524</v>
      </c>
    </row>
    <row r="61" spans="2:22" x14ac:dyDescent="0.25">
      <c r="B61" s="23" t="s">
        <v>525</v>
      </c>
      <c r="C61" s="70" t="s">
        <v>516</v>
      </c>
      <c r="D61" s="70" t="s">
        <v>526</v>
      </c>
      <c r="E61" s="71" t="s">
        <v>518</v>
      </c>
      <c r="F61" s="72" t="s">
        <v>519</v>
      </c>
      <c r="G61" s="71" t="s">
        <v>520</v>
      </c>
      <c r="H61" s="73">
        <v>1</v>
      </c>
      <c r="I61" s="8" t="s">
        <v>521</v>
      </c>
      <c r="J61" s="8"/>
      <c r="K61" s="8"/>
      <c r="L61" s="7" t="s">
        <v>185</v>
      </c>
      <c r="M61" s="7"/>
      <c r="N61" s="7"/>
      <c r="O61" s="7" t="s">
        <v>522</v>
      </c>
      <c r="P61" s="7"/>
      <c r="Q61" s="7"/>
      <c r="V61" s="63" t="s">
        <v>527</v>
      </c>
    </row>
    <row r="62" spans="2:22" x14ac:dyDescent="0.25">
      <c r="B62" s="23" t="s">
        <v>528</v>
      </c>
      <c r="C62" s="70" t="s">
        <v>516</v>
      </c>
      <c r="D62" s="70" t="s">
        <v>529</v>
      </c>
      <c r="E62" s="71" t="s">
        <v>518</v>
      </c>
      <c r="F62" s="72" t="s">
        <v>519</v>
      </c>
      <c r="G62" s="71" t="s">
        <v>520</v>
      </c>
      <c r="H62" s="73">
        <v>1</v>
      </c>
      <c r="I62" s="8" t="s">
        <v>521</v>
      </c>
      <c r="J62" s="8"/>
      <c r="K62" s="8"/>
      <c r="L62" s="7" t="s">
        <v>190</v>
      </c>
      <c r="M62" s="7"/>
      <c r="N62" s="7"/>
      <c r="O62" s="7" t="s">
        <v>522</v>
      </c>
      <c r="P62" s="7"/>
      <c r="Q62" s="7"/>
      <c r="V62" s="63" t="s">
        <v>530</v>
      </c>
    </row>
    <row r="63" spans="2:22" x14ac:dyDescent="0.25">
      <c r="B63" s="23" t="s">
        <v>531</v>
      </c>
      <c r="C63" s="70" t="s">
        <v>516</v>
      </c>
      <c r="D63" s="70" t="s">
        <v>532</v>
      </c>
      <c r="E63" s="71" t="s">
        <v>518</v>
      </c>
      <c r="F63" s="72" t="s">
        <v>519</v>
      </c>
      <c r="G63" s="71" t="s">
        <v>520</v>
      </c>
      <c r="H63" s="73">
        <v>1</v>
      </c>
      <c r="I63" s="8" t="s">
        <v>521</v>
      </c>
      <c r="J63" s="8"/>
      <c r="K63" s="8"/>
      <c r="L63" s="7" t="s">
        <v>195</v>
      </c>
      <c r="M63" s="7"/>
      <c r="N63" s="7"/>
      <c r="O63" s="7" t="s">
        <v>522</v>
      </c>
      <c r="P63" s="7"/>
      <c r="Q63" s="7"/>
      <c r="V63" s="63" t="s">
        <v>533</v>
      </c>
    </row>
    <row r="64" spans="2:22" x14ac:dyDescent="0.25">
      <c r="B64" s="23" t="s">
        <v>534</v>
      </c>
      <c r="C64" s="70" t="s">
        <v>535</v>
      </c>
      <c r="D64" s="70" t="s">
        <v>526</v>
      </c>
      <c r="E64" s="61">
        <v>1</v>
      </c>
      <c r="F64" s="72" t="s">
        <v>536</v>
      </c>
      <c r="G64" s="74">
        <v>2025</v>
      </c>
      <c r="H64" s="211">
        <v>1</v>
      </c>
      <c r="I64" s="255" t="s">
        <v>4438</v>
      </c>
      <c r="J64" s="255"/>
      <c r="K64" s="255"/>
      <c r="L64" s="7" t="s">
        <v>200</v>
      </c>
      <c r="M64" s="7"/>
      <c r="N64" s="7"/>
      <c r="O64" s="7" t="s">
        <v>537</v>
      </c>
      <c r="P64" s="7"/>
      <c r="Q64" s="7"/>
      <c r="V64" s="63" t="s">
        <v>538</v>
      </c>
    </row>
    <row r="65" spans="2:22" x14ac:dyDescent="0.25">
      <c r="B65" s="23" t="s">
        <v>539</v>
      </c>
      <c r="C65" s="70" t="s">
        <v>535</v>
      </c>
      <c r="D65" s="70" t="s">
        <v>526</v>
      </c>
      <c r="E65" s="61">
        <v>1</v>
      </c>
      <c r="F65" s="72" t="s">
        <v>536</v>
      </c>
      <c r="G65" s="74">
        <v>2025</v>
      </c>
      <c r="H65" s="211">
        <v>1</v>
      </c>
      <c r="I65" s="255" t="s">
        <v>4438</v>
      </c>
      <c r="J65" s="255"/>
      <c r="K65" s="255"/>
      <c r="L65" s="7" t="s">
        <v>205</v>
      </c>
      <c r="M65" s="7"/>
      <c r="N65" s="7"/>
      <c r="O65" s="7" t="s">
        <v>540</v>
      </c>
      <c r="P65" s="7"/>
      <c r="Q65" s="7"/>
      <c r="V65" s="63" t="s">
        <v>541</v>
      </c>
    </row>
    <row r="66" spans="2:22" ht="24.75" customHeight="1" x14ac:dyDescent="0.25">
      <c r="B66" s="23" t="s">
        <v>542</v>
      </c>
      <c r="C66" s="70" t="s">
        <v>543</v>
      </c>
      <c r="D66" s="70" t="s">
        <v>526</v>
      </c>
      <c r="E66" s="61">
        <v>1</v>
      </c>
      <c r="F66" s="72" t="s">
        <v>544</v>
      </c>
      <c r="G66" s="74">
        <v>2027</v>
      </c>
      <c r="H66" s="211">
        <v>1</v>
      </c>
      <c r="I66" s="255" t="s">
        <v>4438</v>
      </c>
      <c r="J66" s="255"/>
      <c r="K66" s="255"/>
      <c r="L66" s="6" t="s">
        <v>210</v>
      </c>
      <c r="M66" s="6"/>
      <c r="N66" s="6"/>
      <c r="O66" s="7" t="s">
        <v>545</v>
      </c>
      <c r="P66" s="7"/>
      <c r="Q66" s="7"/>
      <c r="V66" s="63" t="s">
        <v>546</v>
      </c>
    </row>
    <row r="67" spans="2:22" x14ac:dyDescent="0.25">
      <c r="B67" s="23" t="s">
        <v>547</v>
      </c>
      <c r="C67" s="70" t="s">
        <v>543</v>
      </c>
      <c r="D67" s="70" t="s">
        <v>517</v>
      </c>
      <c r="E67" s="61">
        <v>1</v>
      </c>
      <c r="F67" s="72" t="s">
        <v>544</v>
      </c>
      <c r="G67" s="74">
        <v>2027</v>
      </c>
      <c r="H67" s="211">
        <v>1</v>
      </c>
      <c r="I67" s="255" t="s">
        <v>4438</v>
      </c>
      <c r="J67" s="255"/>
      <c r="K67" s="255"/>
      <c r="L67" s="7" t="s">
        <v>215</v>
      </c>
      <c r="M67" s="7"/>
      <c r="N67" s="7"/>
      <c r="O67" s="7" t="s">
        <v>548</v>
      </c>
      <c r="P67" s="7"/>
      <c r="Q67" s="7"/>
      <c r="V67" s="63" t="s">
        <v>549</v>
      </c>
    </row>
    <row r="68" spans="2:22" x14ac:dyDescent="0.25">
      <c r="B68" s="23" t="s">
        <v>550</v>
      </c>
      <c r="C68" s="70" t="s">
        <v>543</v>
      </c>
      <c r="D68" s="70" t="s">
        <v>551</v>
      </c>
      <c r="E68" s="61">
        <v>1</v>
      </c>
      <c r="F68" s="72" t="s">
        <v>552</v>
      </c>
      <c r="G68" s="74">
        <v>2026</v>
      </c>
      <c r="H68" s="211">
        <v>1</v>
      </c>
      <c r="I68" s="255" t="s">
        <v>4438</v>
      </c>
      <c r="J68" s="255"/>
      <c r="K68" s="255"/>
      <c r="L68" s="7" t="s">
        <v>220</v>
      </c>
      <c r="M68" s="7"/>
      <c r="N68" s="7"/>
      <c r="O68" s="7" t="s">
        <v>553</v>
      </c>
      <c r="P68" s="7"/>
      <c r="Q68" s="7"/>
      <c r="V68" s="63" t="s">
        <v>554</v>
      </c>
    </row>
    <row r="69" spans="2:22" x14ac:dyDescent="0.25">
      <c r="B69" s="23" t="s">
        <v>555</v>
      </c>
      <c r="C69" s="70" t="s">
        <v>543</v>
      </c>
      <c r="D69" s="70" t="s">
        <v>556</v>
      </c>
      <c r="E69" s="61">
        <v>1</v>
      </c>
      <c r="F69" s="72" t="s">
        <v>557</v>
      </c>
      <c r="G69" s="74">
        <v>2028</v>
      </c>
      <c r="H69" s="211">
        <v>1</v>
      </c>
      <c r="I69" s="255" t="s">
        <v>4438</v>
      </c>
      <c r="J69" s="255"/>
      <c r="K69" s="255"/>
      <c r="L69" s="7" t="s">
        <v>225</v>
      </c>
      <c r="M69" s="7"/>
      <c r="N69" s="7"/>
      <c r="O69" s="7" t="s">
        <v>545</v>
      </c>
      <c r="P69" s="7"/>
      <c r="Q69" s="7"/>
      <c r="V69" s="63" t="s">
        <v>558</v>
      </c>
    </row>
    <row r="70" spans="2:22" x14ac:dyDescent="0.25">
      <c r="B70" s="23" t="s">
        <v>559</v>
      </c>
      <c r="C70" s="70" t="s">
        <v>543</v>
      </c>
      <c r="D70" s="70" t="s">
        <v>529</v>
      </c>
      <c r="E70" s="61">
        <v>1</v>
      </c>
      <c r="F70" s="72" t="s">
        <v>552</v>
      </c>
      <c r="G70" s="74">
        <v>2026</v>
      </c>
      <c r="H70" s="211">
        <v>1</v>
      </c>
      <c r="I70" s="255" t="s">
        <v>4438</v>
      </c>
      <c r="J70" s="255"/>
      <c r="K70" s="255"/>
      <c r="L70" s="7" t="s">
        <v>230</v>
      </c>
      <c r="M70" s="7"/>
      <c r="N70" s="7"/>
      <c r="O70" s="7" t="s">
        <v>560</v>
      </c>
      <c r="P70" s="7"/>
      <c r="Q70" s="7"/>
      <c r="V70" s="63" t="s">
        <v>561</v>
      </c>
    </row>
    <row r="71" spans="2:22" x14ac:dyDescent="0.25">
      <c r="B71" s="23" t="s">
        <v>562</v>
      </c>
      <c r="C71" s="70" t="s">
        <v>543</v>
      </c>
      <c r="D71" s="70" t="s">
        <v>517</v>
      </c>
      <c r="E71" s="61">
        <v>1</v>
      </c>
      <c r="F71" s="72" t="s">
        <v>544</v>
      </c>
      <c r="G71" s="74">
        <v>2027</v>
      </c>
      <c r="H71" s="211">
        <v>1</v>
      </c>
      <c r="I71" s="255" t="s">
        <v>4438</v>
      </c>
      <c r="J71" s="255"/>
      <c r="K71" s="255"/>
      <c r="L71" s="7" t="s">
        <v>235</v>
      </c>
      <c r="M71" s="7"/>
      <c r="N71" s="7"/>
      <c r="O71" s="7" t="s">
        <v>563</v>
      </c>
      <c r="P71" s="7"/>
      <c r="Q71" s="7"/>
      <c r="V71" s="63" t="s">
        <v>564</v>
      </c>
    </row>
    <row r="72" spans="2:22" x14ac:dyDescent="0.25">
      <c r="B72" s="23" t="s">
        <v>565</v>
      </c>
      <c r="C72" s="70" t="s">
        <v>543</v>
      </c>
      <c r="D72" s="70" t="s">
        <v>526</v>
      </c>
      <c r="E72" s="61">
        <v>1</v>
      </c>
      <c r="F72" s="72" t="s">
        <v>544</v>
      </c>
      <c r="G72" s="74">
        <v>2027</v>
      </c>
      <c r="H72" s="211">
        <v>1</v>
      </c>
      <c r="I72" s="255" t="s">
        <v>4438</v>
      </c>
      <c r="J72" s="255"/>
      <c r="K72" s="255"/>
      <c r="L72" s="7" t="s">
        <v>240</v>
      </c>
      <c r="M72" s="7"/>
      <c r="N72" s="7"/>
      <c r="O72" s="7" t="s">
        <v>566</v>
      </c>
      <c r="P72" s="7"/>
      <c r="Q72" s="7"/>
      <c r="V72" s="63" t="s">
        <v>567</v>
      </c>
    </row>
    <row r="73" spans="2:22" x14ac:dyDescent="0.25">
      <c r="B73" s="23" t="s">
        <v>568</v>
      </c>
      <c r="C73" s="70" t="s">
        <v>543</v>
      </c>
      <c r="D73" s="70" t="s">
        <v>556</v>
      </c>
      <c r="E73" s="61">
        <v>1</v>
      </c>
      <c r="F73" s="72" t="s">
        <v>557</v>
      </c>
      <c r="G73" s="74">
        <v>2028</v>
      </c>
      <c r="H73" s="211">
        <v>1</v>
      </c>
      <c r="I73" s="255" t="s">
        <v>4438</v>
      </c>
      <c r="J73" s="255"/>
      <c r="K73" s="255"/>
      <c r="L73" s="7" t="s">
        <v>245</v>
      </c>
      <c r="M73" s="7"/>
      <c r="N73" s="7"/>
      <c r="O73" s="7" t="s">
        <v>566</v>
      </c>
      <c r="P73" s="7"/>
      <c r="Q73" s="7"/>
      <c r="V73" s="63" t="s">
        <v>569</v>
      </c>
    </row>
    <row r="74" spans="2:22" x14ac:dyDescent="0.25">
      <c r="B74" s="23" t="s">
        <v>570</v>
      </c>
      <c r="C74" s="70" t="s">
        <v>543</v>
      </c>
      <c r="D74" s="70" t="s">
        <v>529</v>
      </c>
      <c r="E74" s="61">
        <v>1</v>
      </c>
      <c r="F74" s="72" t="s">
        <v>544</v>
      </c>
      <c r="G74" s="74">
        <v>2027</v>
      </c>
      <c r="H74" s="211">
        <v>1</v>
      </c>
      <c r="I74" s="255" t="s">
        <v>4438</v>
      </c>
      <c r="J74" s="255"/>
      <c r="K74" s="255"/>
      <c r="L74" s="7" t="s">
        <v>250</v>
      </c>
      <c r="M74" s="7"/>
      <c r="N74" s="7"/>
      <c r="O74" s="7" t="s">
        <v>566</v>
      </c>
      <c r="P74" s="7"/>
      <c r="Q74" s="7"/>
      <c r="V74" s="63" t="s">
        <v>571</v>
      </c>
    </row>
    <row r="75" spans="2:22" ht="24.75" customHeight="1" x14ac:dyDescent="0.25">
      <c r="B75" s="23" t="s">
        <v>572</v>
      </c>
      <c r="C75" s="70" t="s">
        <v>573</v>
      </c>
      <c r="D75" s="70" t="s">
        <v>517</v>
      </c>
      <c r="E75" s="61">
        <v>1</v>
      </c>
      <c r="F75" s="72" t="s">
        <v>552</v>
      </c>
      <c r="G75" s="74">
        <v>2026</v>
      </c>
      <c r="H75" s="211">
        <v>1</v>
      </c>
      <c r="I75" s="255" t="s">
        <v>4438</v>
      </c>
      <c r="J75" s="255"/>
      <c r="K75" s="255"/>
      <c r="L75" s="6" t="s">
        <v>255</v>
      </c>
      <c r="M75" s="6"/>
      <c r="N75" s="6"/>
      <c r="O75" s="7" t="s">
        <v>574</v>
      </c>
      <c r="P75" s="7"/>
      <c r="Q75" s="7"/>
      <c r="V75" s="63" t="s">
        <v>575</v>
      </c>
    </row>
    <row r="76" spans="2:22" x14ac:dyDescent="0.25">
      <c r="B76" s="23" t="s">
        <v>576</v>
      </c>
      <c r="C76" s="70" t="s">
        <v>573</v>
      </c>
      <c r="D76" s="70" t="s">
        <v>526</v>
      </c>
      <c r="E76" s="61">
        <v>1</v>
      </c>
      <c r="F76" s="72" t="s">
        <v>552</v>
      </c>
      <c r="G76" s="74">
        <v>2026</v>
      </c>
      <c r="H76" s="211">
        <v>1</v>
      </c>
      <c r="I76" s="255" t="s">
        <v>4438</v>
      </c>
      <c r="J76" s="255"/>
      <c r="K76" s="255"/>
      <c r="L76" s="7" t="s">
        <v>260</v>
      </c>
      <c r="M76" s="7"/>
      <c r="N76" s="7"/>
      <c r="O76" s="7" t="s">
        <v>577</v>
      </c>
      <c r="P76" s="7"/>
      <c r="Q76" s="7"/>
      <c r="V76" s="63" t="s">
        <v>578</v>
      </c>
    </row>
    <row r="77" spans="2:22" x14ac:dyDescent="0.25">
      <c r="B77" s="23" t="s">
        <v>579</v>
      </c>
      <c r="C77" s="70" t="s">
        <v>573</v>
      </c>
      <c r="D77" s="70" t="s">
        <v>529</v>
      </c>
      <c r="E77" s="61">
        <v>1</v>
      </c>
      <c r="F77" s="72" t="s">
        <v>552</v>
      </c>
      <c r="G77" s="74">
        <v>2026</v>
      </c>
      <c r="H77" s="211">
        <v>1</v>
      </c>
      <c r="I77" s="255" t="s">
        <v>4438</v>
      </c>
      <c r="J77" s="255"/>
      <c r="K77" s="255"/>
      <c r="L77" s="7" t="s">
        <v>265</v>
      </c>
      <c r="M77" s="7"/>
      <c r="N77" s="7"/>
      <c r="O77" s="7" t="s">
        <v>577</v>
      </c>
      <c r="P77" s="7"/>
      <c r="Q77" s="7"/>
      <c r="V77" s="63" t="s">
        <v>580</v>
      </c>
    </row>
    <row r="78" spans="2:22" x14ac:dyDescent="0.25">
      <c r="B78" s="23" t="s">
        <v>581</v>
      </c>
      <c r="C78" s="70" t="s">
        <v>582</v>
      </c>
      <c r="D78" s="70" t="s">
        <v>583</v>
      </c>
      <c r="E78" s="61">
        <v>0</v>
      </c>
      <c r="F78" s="72" t="s">
        <v>584</v>
      </c>
      <c r="G78" s="74">
        <v>2029</v>
      </c>
      <c r="H78" s="211">
        <v>0</v>
      </c>
      <c r="I78" s="255" t="s">
        <v>4438</v>
      </c>
      <c r="J78" s="255"/>
      <c r="K78" s="255"/>
      <c r="L78" s="7" t="s">
        <v>270</v>
      </c>
      <c r="M78" s="7"/>
      <c r="N78" s="7"/>
      <c r="O78" s="7" t="s">
        <v>585</v>
      </c>
      <c r="P78" s="7"/>
      <c r="Q78" s="7"/>
      <c r="V78" s="63" t="s">
        <v>586</v>
      </c>
    </row>
    <row r="79" spans="2:22" x14ac:dyDescent="0.25">
      <c r="B79" s="23"/>
      <c r="C79" s="70" t="s">
        <v>444</v>
      </c>
      <c r="D79" s="70" t="s">
        <v>587</v>
      </c>
      <c r="E79" s="61">
        <v>0</v>
      </c>
      <c r="F79" s="72" t="s">
        <v>274</v>
      </c>
      <c r="G79" s="23"/>
      <c r="H79" s="211">
        <v>0</v>
      </c>
      <c r="I79" s="255" t="s">
        <v>4438</v>
      </c>
      <c r="J79" s="255"/>
      <c r="K79" s="255"/>
      <c r="L79" s="7" t="s">
        <v>274</v>
      </c>
      <c r="M79" s="7"/>
      <c r="N79" s="7"/>
      <c r="O79" s="7" t="s">
        <v>588</v>
      </c>
      <c r="P79" s="7"/>
      <c r="Q79" s="7"/>
      <c r="V79" s="63" t="s">
        <v>589</v>
      </c>
    </row>
    <row r="80" spans="2:22" x14ac:dyDescent="0.25">
      <c r="B80" s="23"/>
      <c r="C80" s="70" t="s">
        <v>444</v>
      </c>
      <c r="D80" s="70" t="s">
        <v>590</v>
      </c>
      <c r="E80" s="61">
        <v>0</v>
      </c>
      <c r="F80" s="72" t="s">
        <v>274</v>
      </c>
      <c r="G80" s="23"/>
      <c r="H80" s="211">
        <v>0</v>
      </c>
      <c r="I80" s="255" t="s">
        <v>4438</v>
      </c>
      <c r="J80" s="255"/>
      <c r="K80" s="255"/>
      <c r="L80" s="7" t="s">
        <v>274</v>
      </c>
      <c r="M80" s="7"/>
      <c r="N80" s="7"/>
      <c r="O80" s="7" t="s">
        <v>588</v>
      </c>
      <c r="P80" s="7"/>
      <c r="Q80" s="7"/>
      <c r="V80" s="63" t="s">
        <v>591</v>
      </c>
    </row>
    <row r="81" spans="2:22" x14ac:dyDescent="0.25">
      <c r="B81" s="23"/>
      <c r="C81" s="70" t="s">
        <v>444</v>
      </c>
      <c r="D81" s="70" t="s">
        <v>592</v>
      </c>
      <c r="E81" s="61">
        <v>0</v>
      </c>
      <c r="F81" s="72" t="s">
        <v>274</v>
      </c>
      <c r="G81" s="23"/>
      <c r="H81" s="211">
        <v>0</v>
      </c>
      <c r="I81" s="255" t="s">
        <v>4438</v>
      </c>
      <c r="J81" s="255"/>
      <c r="K81" s="255"/>
      <c r="L81" s="7" t="s">
        <v>274</v>
      </c>
      <c r="M81" s="7"/>
      <c r="N81" s="7"/>
      <c r="O81" s="7" t="s">
        <v>588</v>
      </c>
      <c r="P81" s="7"/>
      <c r="Q81" s="7"/>
      <c r="V81" s="63" t="s">
        <v>593</v>
      </c>
    </row>
    <row r="82" spans="2:22" ht="24.75" customHeight="1" x14ac:dyDescent="0.25">
      <c r="B82" s="23" t="s">
        <v>594</v>
      </c>
      <c r="C82" s="75" t="s">
        <v>595</v>
      </c>
      <c r="D82" s="70" t="s">
        <v>596</v>
      </c>
      <c r="E82" s="61">
        <v>0</v>
      </c>
      <c r="F82" s="72" t="s">
        <v>274</v>
      </c>
      <c r="G82" s="23"/>
      <c r="H82" s="211">
        <v>0</v>
      </c>
      <c r="I82" s="255" t="s">
        <v>4438</v>
      </c>
      <c r="J82" s="255"/>
      <c r="K82" s="255"/>
      <c r="L82" s="7" t="s">
        <v>285</v>
      </c>
      <c r="M82" s="7"/>
      <c r="N82" s="7"/>
      <c r="O82" s="7" t="s">
        <v>597</v>
      </c>
      <c r="P82" s="7"/>
      <c r="Q82" s="7"/>
      <c r="V82" s="63" t="s">
        <v>598</v>
      </c>
    </row>
    <row r="83" spans="2:22" x14ac:dyDescent="0.25">
      <c r="B83" s="23" t="s">
        <v>1601</v>
      </c>
      <c r="C83" s="70" t="s">
        <v>599</v>
      </c>
      <c r="D83" s="70" t="s">
        <v>600</v>
      </c>
      <c r="E83" s="71" t="s">
        <v>601</v>
      </c>
      <c r="F83" s="72" t="s">
        <v>274</v>
      </c>
      <c r="G83" s="71" t="s">
        <v>600</v>
      </c>
      <c r="H83" s="211">
        <v>0</v>
      </c>
      <c r="I83" s="247"/>
      <c r="J83" s="247"/>
      <c r="K83" s="247"/>
      <c r="L83" s="7" t="s">
        <v>602</v>
      </c>
      <c r="M83" s="7"/>
      <c r="N83" s="7"/>
      <c r="O83" s="7" t="s">
        <v>603</v>
      </c>
      <c r="P83" s="7"/>
      <c r="Q83" s="7"/>
      <c r="V83" s="63" t="s">
        <v>604</v>
      </c>
    </row>
    <row r="84" spans="2:22" x14ac:dyDescent="0.25">
      <c r="B84" s="23" t="s">
        <v>1610</v>
      </c>
      <c r="C84" s="70" t="s">
        <v>599</v>
      </c>
      <c r="D84" s="70" t="s">
        <v>600</v>
      </c>
      <c r="E84" s="71" t="s">
        <v>601</v>
      </c>
      <c r="F84" s="72" t="s">
        <v>274</v>
      </c>
      <c r="G84" s="71" t="s">
        <v>600</v>
      </c>
      <c r="H84" s="211">
        <v>0</v>
      </c>
      <c r="I84" s="247"/>
      <c r="J84" s="247"/>
      <c r="K84" s="247"/>
      <c r="L84" s="7" t="s">
        <v>602</v>
      </c>
      <c r="M84" s="7"/>
      <c r="N84" s="7"/>
      <c r="O84" s="7" t="s">
        <v>603</v>
      </c>
      <c r="P84" s="7"/>
      <c r="Q84" s="7"/>
      <c r="V84" s="63" t="s">
        <v>604</v>
      </c>
    </row>
    <row r="85" spans="2:22" x14ac:dyDescent="0.25">
      <c r="B85" s="23" t="s">
        <v>1615</v>
      </c>
      <c r="C85" s="70" t="s">
        <v>599</v>
      </c>
      <c r="D85" s="70" t="s">
        <v>600</v>
      </c>
      <c r="E85" s="71" t="s">
        <v>601</v>
      </c>
      <c r="F85" s="72" t="s">
        <v>274</v>
      </c>
      <c r="G85" s="71" t="s">
        <v>600</v>
      </c>
      <c r="H85" s="211">
        <v>0</v>
      </c>
      <c r="I85" s="247"/>
      <c r="J85" s="247"/>
      <c r="K85" s="247"/>
      <c r="L85" s="7" t="s">
        <v>602</v>
      </c>
      <c r="M85" s="7"/>
      <c r="N85" s="7"/>
      <c r="O85" s="7" t="s">
        <v>603</v>
      </c>
      <c r="P85" s="7"/>
      <c r="Q85" s="7"/>
      <c r="V85" s="63" t="s">
        <v>604</v>
      </c>
    </row>
    <row r="86" spans="2:22" x14ac:dyDescent="0.25">
      <c r="B86" s="23" t="s">
        <v>1620</v>
      </c>
      <c r="C86" s="70" t="s">
        <v>599</v>
      </c>
      <c r="D86" s="70" t="s">
        <v>600</v>
      </c>
      <c r="E86" s="71" t="s">
        <v>601</v>
      </c>
      <c r="F86" s="72" t="s">
        <v>274</v>
      </c>
      <c r="G86" s="71" t="s">
        <v>600</v>
      </c>
      <c r="H86" s="211">
        <v>0</v>
      </c>
      <c r="I86" s="247"/>
      <c r="J86" s="247"/>
      <c r="K86" s="247"/>
      <c r="L86" s="7" t="s">
        <v>602</v>
      </c>
      <c r="M86" s="7"/>
      <c r="N86" s="7"/>
      <c r="O86" s="7" t="s">
        <v>603</v>
      </c>
      <c r="P86" s="7"/>
      <c r="Q86" s="7"/>
      <c r="V86" s="63" t="s">
        <v>604</v>
      </c>
    </row>
    <row r="87" spans="2:22" x14ac:dyDescent="0.25">
      <c r="B87" s="23" t="s">
        <v>1625</v>
      </c>
      <c r="C87" s="70" t="s">
        <v>599</v>
      </c>
      <c r="D87" s="70" t="s">
        <v>600</v>
      </c>
      <c r="E87" s="71" t="s">
        <v>601</v>
      </c>
      <c r="F87" s="72" t="s">
        <v>274</v>
      </c>
      <c r="G87" s="71" t="s">
        <v>600</v>
      </c>
      <c r="H87" s="211">
        <v>0</v>
      </c>
      <c r="I87" s="247"/>
      <c r="J87" s="247"/>
      <c r="K87" s="247"/>
      <c r="L87" s="7" t="s">
        <v>602</v>
      </c>
      <c r="M87" s="7"/>
      <c r="N87" s="7"/>
      <c r="O87" s="7" t="s">
        <v>603</v>
      </c>
      <c r="P87" s="7"/>
      <c r="Q87" s="7"/>
      <c r="V87" s="63" t="s">
        <v>604</v>
      </c>
    </row>
    <row r="89" spans="2:22" x14ac:dyDescent="0.25">
      <c r="B89" s="63" t="s">
        <v>608</v>
      </c>
    </row>
    <row r="91" spans="2:22" x14ac:dyDescent="0.25">
      <c r="B91" s="58" t="s">
        <v>609</v>
      </c>
      <c r="C91" s="19"/>
      <c r="D91" s="19"/>
      <c r="E91" s="19"/>
      <c r="F91" s="19"/>
      <c r="G91" s="19"/>
      <c r="H91" s="19"/>
      <c r="I91" s="19"/>
      <c r="J91" s="19"/>
      <c r="K91" s="19"/>
      <c r="L91" s="19"/>
      <c r="M91" s="19"/>
      <c r="N91" s="19"/>
      <c r="O91" s="19"/>
      <c r="P91" s="19"/>
      <c r="Q91" s="19"/>
      <c r="R91" s="19"/>
      <c r="S91" s="19"/>
      <c r="T91" s="19"/>
      <c r="U91" s="19"/>
      <c r="V91" s="19"/>
    </row>
    <row r="92" spans="2:22" x14ac:dyDescent="0.25">
      <c r="B92" s="59" t="s">
        <v>610</v>
      </c>
      <c r="C92" s="59" t="s">
        <v>466</v>
      </c>
      <c r="D92" s="59" t="s">
        <v>4429</v>
      </c>
      <c r="E92" s="59" t="s">
        <v>468</v>
      </c>
      <c r="F92" s="59" t="s">
        <v>469</v>
      </c>
      <c r="G92" s="80" t="s">
        <v>611</v>
      </c>
      <c r="H92" s="81">
        <v>2024</v>
      </c>
      <c r="I92" s="81">
        <v>2025</v>
      </c>
      <c r="J92" s="81">
        <v>2026</v>
      </c>
      <c r="K92" s="81">
        <v>2027</v>
      </c>
      <c r="L92" s="81">
        <v>2028</v>
      </c>
      <c r="M92" s="81">
        <v>2029</v>
      </c>
      <c r="N92" s="81">
        <v>2030</v>
      </c>
      <c r="O92" s="81">
        <v>2031</v>
      </c>
      <c r="P92" s="81">
        <v>2032</v>
      </c>
      <c r="Q92" s="81">
        <v>2033</v>
      </c>
      <c r="R92" s="81">
        <v>2034</v>
      </c>
      <c r="S92" s="81">
        <v>2035</v>
      </c>
      <c r="T92" s="81">
        <v>2036</v>
      </c>
      <c r="U92" s="59"/>
      <c r="V92" s="59" t="s">
        <v>4430</v>
      </c>
    </row>
    <row r="93" spans="2:22" ht="36" customHeight="1" x14ac:dyDescent="0.25">
      <c r="B93" s="23" t="s">
        <v>612</v>
      </c>
      <c r="C93" s="28" t="s">
        <v>613</v>
      </c>
      <c r="D93" s="85" t="s">
        <v>4433</v>
      </c>
      <c r="E93" s="82">
        <v>46387</v>
      </c>
      <c r="F93" s="44" t="s">
        <v>614</v>
      </c>
      <c r="V93" s="63" t="s">
        <v>4439</v>
      </c>
    </row>
    <row r="94" spans="2:22" ht="24.75" customHeight="1" x14ac:dyDescent="0.25">
      <c r="B94" s="23" t="s">
        <v>616</v>
      </c>
      <c r="C94" s="28" t="s">
        <v>473</v>
      </c>
      <c r="D94" s="85" t="s">
        <v>4440</v>
      </c>
      <c r="E94" s="83">
        <v>2</v>
      </c>
      <c r="F94" s="44" t="s">
        <v>274</v>
      </c>
      <c r="V94" s="63" t="s">
        <v>4441</v>
      </c>
    </row>
    <row r="95" spans="2:22" ht="36" customHeight="1" x14ac:dyDescent="0.25">
      <c r="B95" s="64" t="s">
        <v>618</v>
      </c>
      <c r="C95" s="28" t="s">
        <v>619</v>
      </c>
      <c r="D95" s="44" t="s">
        <v>4442</v>
      </c>
      <c r="F95" s="85" t="s">
        <v>620</v>
      </c>
      <c r="G95" s="86">
        <v>16265</v>
      </c>
      <c r="H95" s="86">
        <v>16265</v>
      </c>
      <c r="I95" s="86">
        <v>16265</v>
      </c>
      <c r="J95" s="86">
        <v>16265</v>
      </c>
      <c r="K95" s="86">
        <v>16265</v>
      </c>
      <c r="L95" s="86">
        <v>16265</v>
      </c>
      <c r="M95" s="86">
        <v>16265</v>
      </c>
      <c r="N95" s="86">
        <v>16265</v>
      </c>
      <c r="O95" s="86">
        <v>16265</v>
      </c>
      <c r="P95" s="86">
        <v>16265</v>
      </c>
      <c r="Q95" s="86">
        <v>16265</v>
      </c>
      <c r="R95" s="86">
        <v>16265</v>
      </c>
      <c r="S95" s="86">
        <v>16265</v>
      </c>
      <c r="T95" s="86">
        <v>16265</v>
      </c>
      <c r="V95" s="63" t="s">
        <v>4443</v>
      </c>
    </row>
    <row r="96" spans="2:22" x14ac:dyDescent="0.25">
      <c r="B96" s="63" t="s">
        <v>622</v>
      </c>
    </row>
    <row r="97" spans="2:22" x14ac:dyDescent="0.25">
      <c r="B97" s="63" t="s">
        <v>623</v>
      </c>
    </row>
    <row r="99" spans="2:22" x14ac:dyDescent="0.25">
      <c r="B99" s="58" t="s">
        <v>624</v>
      </c>
      <c r="C99" s="19"/>
      <c r="D99" s="19"/>
      <c r="E99" s="19"/>
      <c r="F99" s="19"/>
      <c r="G99" s="19"/>
      <c r="H99" s="19"/>
      <c r="I99" s="19"/>
      <c r="J99" s="19"/>
      <c r="K99" s="19"/>
      <c r="L99" s="19"/>
      <c r="M99" s="19"/>
      <c r="N99" s="19"/>
      <c r="O99" s="19"/>
      <c r="P99" s="19"/>
      <c r="Q99" s="19"/>
      <c r="R99" s="19"/>
      <c r="S99" s="19"/>
      <c r="T99" s="19"/>
      <c r="U99" s="19"/>
      <c r="V99" s="19"/>
    </row>
    <row r="100" spans="2:22" x14ac:dyDescent="0.25">
      <c r="B100" s="63" t="s">
        <v>625</v>
      </c>
    </row>
    <row r="101" spans="2:22" x14ac:dyDescent="0.25">
      <c r="B101" s="42" t="s">
        <v>626</v>
      </c>
    </row>
    <row r="102" spans="2:22" x14ac:dyDescent="0.25">
      <c r="B102" s="59" t="s">
        <v>627</v>
      </c>
      <c r="C102" s="59" t="s">
        <v>466</v>
      </c>
      <c r="D102" s="59" t="s">
        <v>4429</v>
      </c>
      <c r="E102" s="59" t="s">
        <v>468</v>
      </c>
      <c r="F102" s="59" t="s">
        <v>469</v>
      </c>
      <c r="G102" s="80" t="s">
        <v>628</v>
      </c>
      <c r="H102" s="81">
        <v>2024</v>
      </c>
      <c r="I102" s="81">
        <v>2025</v>
      </c>
      <c r="J102" s="81">
        <v>2026</v>
      </c>
      <c r="K102" s="81">
        <v>2027</v>
      </c>
      <c r="L102" s="81">
        <v>2028</v>
      </c>
      <c r="M102" s="81">
        <v>2029</v>
      </c>
      <c r="N102" s="81">
        <v>2030</v>
      </c>
      <c r="O102" s="81">
        <v>2031</v>
      </c>
      <c r="P102" s="81">
        <v>2032</v>
      </c>
      <c r="Q102" s="81">
        <v>2033</v>
      </c>
      <c r="R102" s="81">
        <v>2034</v>
      </c>
      <c r="S102" s="81">
        <v>2035</v>
      </c>
      <c r="T102" s="81">
        <v>2036</v>
      </c>
      <c r="U102" s="59"/>
      <c r="V102" s="59" t="s">
        <v>4430</v>
      </c>
    </row>
    <row r="103" spans="2:22" x14ac:dyDescent="0.25">
      <c r="B103" s="23" t="s">
        <v>629</v>
      </c>
      <c r="C103" s="28" t="s">
        <v>630</v>
      </c>
      <c r="D103" s="44" t="s">
        <v>4442</v>
      </c>
      <c r="E103" s="86">
        <v>2292945.63</v>
      </c>
      <c r="F103" s="44" t="s">
        <v>631</v>
      </c>
      <c r="V103" s="63" t="s">
        <v>631</v>
      </c>
    </row>
    <row r="104" spans="2:22" x14ac:dyDescent="0.25">
      <c r="B104" s="23" t="s">
        <v>632</v>
      </c>
      <c r="C104" s="28" t="s">
        <v>292</v>
      </c>
      <c r="D104" s="44" t="s">
        <v>4442</v>
      </c>
      <c r="E104" s="87">
        <v>0.9</v>
      </c>
      <c r="F104" s="44" t="s">
        <v>633</v>
      </c>
      <c r="V104" s="63" t="s">
        <v>633</v>
      </c>
    </row>
    <row r="105" spans="2:22" x14ac:dyDescent="0.25">
      <c r="B105" s="23" t="s">
        <v>634</v>
      </c>
      <c r="C105" s="28" t="s">
        <v>630</v>
      </c>
      <c r="D105" s="44" t="s">
        <v>4442</v>
      </c>
      <c r="E105" s="86">
        <v>1686920.22</v>
      </c>
      <c r="F105" s="44" t="s">
        <v>635</v>
      </c>
      <c r="V105" s="63" t="s">
        <v>635</v>
      </c>
    </row>
    <row r="106" spans="2:22" x14ac:dyDescent="0.25">
      <c r="B106" s="23" t="s">
        <v>636</v>
      </c>
      <c r="C106" s="28" t="s">
        <v>292</v>
      </c>
      <c r="D106" s="44" t="s">
        <v>4442</v>
      </c>
      <c r="E106" s="87">
        <v>0.95</v>
      </c>
      <c r="F106" s="44" t="s">
        <v>637</v>
      </c>
      <c r="V106" s="63" t="s">
        <v>637</v>
      </c>
    </row>
    <row r="107" spans="2:22" x14ac:dyDescent="0.25">
      <c r="B107" s="23" t="s">
        <v>638</v>
      </c>
      <c r="C107" s="28" t="s">
        <v>630</v>
      </c>
      <c r="D107" s="44" t="s">
        <v>4442</v>
      </c>
      <c r="E107" s="86">
        <v>3579865.85</v>
      </c>
      <c r="F107" s="44" t="s">
        <v>639</v>
      </c>
      <c r="V107" s="63" t="s">
        <v>639</v>
      </c>
    </row>
    <row r="108" spans="2:22" x14ac:dyDescent="0.25">
      <c r="B108" s="23" t="s">
        <v>640</v>
      </c>
      <c r="C108" s="28" t="s">
        <v>292</v>
      </c>
      <c r="D108" s="44" t="s">
        <v>4442</v>
      </c>
      <c r="F108" s="44" t="s">
        <v>641</v>
      </c>
      <c r="H108" s="87">
        <v>0</v>
      </c>
      <c r="I108" s="87">
        <v>0.03</v>
      </c>
      <c r="J108" s="87">
        <v>0.03</v>
      </c>
      <c r="K108" s="87">
        <v>0.03</v>
      </c>
      <c r="L108" s="87">
        <v>0.03</v>
      </c>
      <c r="M108" s="87">
        <v>0.03</v>
      </c>
      <c r="N108" s="87">
        <v>0.03</v>
      </c>
      <c r="O108" s="87">
        <v>0.03</v>
      </c>
      <c r="P108" s="87">
        <v>0.03</v>
      </c>
      <c r="Q108" s="87">
        <v>0.03</v>
      </c>
      <c r="R108" s="87">
        <v>0.03</v>
      </c>
      <c r="S108" s="87">
        <v>0.03</v>
      </c>
      <c r="T108" s="87">
        <v>0.03</v>
      </c>
      <c r="V108" s="63" t="s">
        <v>4444</v>
      </c>
    </row>
    <row r="109" spans="2:22" x14ac:dyDescent="0.25">
      <c r="B109" s="23" t="s">
        <v>643</v>
      </c>
      <c r="C109" s="28" t="s">
        <v>292</v>
      </c>
      <c r="D109" s="44" t="s">
        <v>4442</v>
      </c>
      <c r="F109" s="44" t="s">
        <v>644</v>
      </c>
      <c r="H109" s="87">
        <v>0</v>
      </c>
      <c r="I109" s="87">
        <v>0.03</v>
      </c>
      <c r="J109" s="87">
        <v>0.03</v>
      </c>
      <c r="K109" s="87">
        <v>0.03</v>
      </c>
      <c r="L109" s="87">
        <v>0.03</v>
      </c>
      <c r="M109" s="87">
        <v>0.03</v>
      </c>
      <c r="N109" s="87">
        <v>0.03</v>
      </c>
      <c r="O109" s="87">
        <v>0.03</v>
      </c>
      <c r="P109" s="87">
        <v>0.03</v>
      </c>
      <c r="Q109" s="87">
        <v>0.03</v>
      </c>
      <c r="R109" s="87">
        <v>0.03</v>
      </c>
      <c r="S109" s="87">
        <v>0.03</v>
      </c>
      <c r="T109" s="87">
        <v>0.03</v>
      </c>
      <c r="V109" s="63" t="s">
        <v>4445</v>
      </c>
    </row>
    <row r="110" spans="2:22" x14ac:dyDescent="0.25">
      <c r="B110" s="23" t="s">
        <v>646</v>
      </c>
      <c r="C110" s="28" t="s">
        <v>647</v>
      </c>
      <c r="D110" s="44" t="s">
        <v>4442</v>
      </c>
      <c r="F110" s="44" t="s">
        <v>648</v>
      </c>
      <c r="H110" s="86">
        <v>42880</v>
      </c>
      <c r="I110" s="86">
        <v>42880</v>
      </c>
      <c r="J110" s="86">
        <v>42880</v>
      </c>
      <c r="K110" s="86">
        <v>42880</v>
      </c>
      <c r="L110" s="86">
        <v>42880</v>
      </c>
      <c r="M110" s="86">
        <v>44166.400000000001</v>
      </c>
      <c r="N110" s="86">
        <v>44166.400000000001</v>
      </c>
      <c r="O110" s="86">
        <v>44166.400000000001</v>
      </c>
      <c r="P110" s="86">
        <v>45491.392</v>
      </c>
      <c r="Q110" s="86">
        <v>45491.392</v>
      </c>
      <c r="R110" s="86">
        <v>45491.392</v>
      </c>
      <c r="S110" s="86">
        <v>45491.392</v>
      </c>
      <c r="T110" s="86">
        <v>45491.392</v>
      </c>
      <c r="V110" s="63" t="s">
        <v>4446</v>
      </c>
    </row>
    <row r="111" spans="2:22" x14ac:dyDescent="0.25">
      <c r="B111" s="23" t="s">
        <v>649</v>
      </c>
      <c r="C111" s="28" t="s">
        <v>647</v>
      </c>
      <c r="D111" s="44" t="s">
        <v>4442</v>
      </c>
      <c r="F111" s="44" t="s">
        <v>650</v>
      </c>
      <c r="H111" s="86">
        <v>42400</v>
      </c>
      <c r="I111" s="86">
        <v>42400</v>
      </c>
      <c r="J111" s="86">
        <v>42400</v>
      </c>
      <c r="K111" s="86">
        <v>42400</v>
      </c>
      <c r="L111" s="86">
        <v>42400</v>
      </c>
      <c r="M111" s="86">
        <v>43672</v>
      </c>
      <c r="N111" s="86">
        <v>43672</v>
      </c>
      <c r="O111" s="86">
        <v>43672</v>
      </c>
      <c r="P111" s="86">
        <v>44982.16</v>
      </c>
      <c r="Q111" s="86">
        <v>44982.16</v>
      </c>
      <c r="R111" s="86">
        <v>44982.16</v>
      </c>
      <c r="S111" s="86">
        <v>44982.16</v>
      </c>
      <c r="T111" s="86">
        <v>44982.16</v>
      </c>
      <c r="V111" s="63" t="s">
        <v>4447</v>
      </c>
    </row>
    <row r="112" spans="2:22" ht="26.25" customHeight="1" x14ac:dyDescent="0.25">
      <c r="B112" s="64" t="s">
        <v>651</v>
      </c>
      <c r="C112" s="28" t="s">
        <v>493</v>
      </c>
      <c r="D112" s="44" t="s">
        <v>4448</v>
      </c>
      <c r="F112" s="44" t="s">
        <v>652</v>
      </c>
      <c r="H112" s="88">
        <v>41.467075682422298</v>
      </c>
      <c r="I112" s="88">
        <v>41.467075682422298</v>
      </c>
      <c r="J112" s="88">
        <v>42.467075682422298</v>
      </c>
      <c r="K112" s="88">
        <v>42.467075682422298</v>
      </c>
      <c r="L112" s="88">
        <v>42.467075682422298</v>
      </c>
      <c r="M112" s="88">
        <v>43.467075682422298</v>
      </c>
      <c r="N112" s="88">
        <v>43.467075682422298</v>
      </c>
      <c r="O112" s="88">
        <v>43.467075682422298</v>
      </c>
      <c r="P112" s="88">
        <v>44.467075682422298</v>
      </c>
      <c r="Q112" s="88">
        <v>44.467075682422298</v>
      </c>
      <c r="R112" s="88">
        <v>44.467075682422298</v>
      </c>
      <c r="S112" s="88">
        <v>44.467075682422298</v>
      </c>
      <c r="T112" s="88">
        <v>44.467075682422298</v>
      </c>
      <c r="V112" s="63" t="s">
        <v>4449</v>
      </c>
    </row>
    <row r="113" spans="2:22" x14ac:dyDescent="0.25">
      <c r="B113" s="42" t="s">
        <v>654</v>
      </c>
    </row>
    <row r="114" spans="2:22" x14ac:dyDescent="0.25">
      <c r="B114" s="59" t="s">
        <v>655</v>
      </c>
      <c r="C114" s="59" t="s">
        <v>466</v>
      </c>
      <c r="D114" s="59" t="s">
        <v>4429</v>
      </c>
      <c r="E114" s="59" t="s">
        <v>468</v>
      </c>
      <c r="F114" s="59" t="s">
        <v>469</v>
      </c>
      <c r="G114" s="80" t="s">
        <v>628</v>
      </c>
      <c r="H114" s="81">
        <v>2024</v>
      </c>
      <c r="I114" s="81">
        <v>2025</v>
      </c>
      <c r="J114" s="81">
        <v>2026</v>
      </c>
      <c r="K114" s="81">
        <v>2027</v>
      </c>
      <c r="L114" s="81">
        <v>2028</v>
      </c>
      <c r="M114" s="81">
        <v>2029</v>
      </c>
      <c r="N114" s="81">
        <v>2030</v>
      </c>
      <c r="O114" s="81">
        <v>2031</v>
      </c>
      <c r="P114" s="81">
        <v>2032</v>
      </c>
      <c r="Q114" s="81">
        <v>2033</v>
      </c>
      <c r="R114" s="81">
        <v>2034</v>
      </c>
      <c r="S114" s="81">
        <v>2035</v>
      </c>
      <c r="T114" s="81">
        <v>2036</v>
      </c>
      <c r="U114" s="59"/>
      <c r="V114" s="59" t="s">
        <v>4430</v>
      </c>
    </row>
    <row r="115" spans="2:22" x14ac:dyDescent="0.25">
      <c r="B115" s="23" t="s">
        <v>656</v>
      </c>
      <c r="C115" s="28" t="s">
        <v>630</v>
      </c>
      <c r="D115" s="44" t="s">
        <v>4442</v>
      </c>
      <c r="E115" s="86">
        <v>1100000</v>
      </c>
      <c r="F115" s="44" t="s">
        <v>657</v>
      </c>
      <c r="V115" s="63" t="s">
        <v>4450</v>
      </c>
    </row>
    <row r="116" spans="2:22" x14ac:dyDescent="0.25">
      <c r="B116" s="23" t="s">
        <v>659</v>
      </c>
      <c r="C116" s="28" t="s">
        <v>630</v>
      </c>
      <c r="D116" s="44" t="s">
        <v>4442</v>
      </c>
      <c r="E116" s="86">
        <v>1990024.66</v>
      </c>
      <c r="F116" s="44" t="s">
        <v>660</v>
      </c>
      <c r="V116" s="63" t="s">
        <v>660</v>
      </c>
    </row>
    <row r="117" spans="2:22" x14ac:dyDescent="0.25">
      <c r="B117" s="23" t="s">
        <v>661</v>
      </c>
      <c r="C117" s="28" t="s">
        <v>292</v>
      </c>
      <c r="D117" s="44" t="s">
        <v>4442</v>
      </c>
      <c r="F117" s="44" t="s">
        <v>662</v>
      </c>
      <c r="H117" s="87">
        <v>0</v>
      </c>
      <c r="I117" s="87">
        <v>0.03</v>
      </c>
      <c r="J117" s="87">
        <v>0.03</v>
      </c>
      <c r="K117" s="87">
        <v>0.03</v>
      </c>
      <c r="L117" s="87">
        <v>0.03</v>
      </c>
      <c r="M117" s="87">
        <v>0.03</v>
      </c>
      <c r="N117" s="87">
        <v>0.03</v>
      </c>
      <c r="O117" s="87">
        <v>0.03</v>
      </c>
      <c r="P117" s="87">
        <v>0.03</v>
      </c>
      <c r="Q117" s="87">
        <v>0.03</v>
      </c>
      <c r="R117" s="87">
        <v>0.03</v>
      </c>
      <c r="S117" s="87">
        <v>0.03</v>
      </c>
      <c r="T117" s="87">
        <v>0.03</v>
      </c>
      <c r="V117" s="63" t="s">
        <v>4451</v>
      </c>
    </row>
    <row r="118" spans="2:22" x14ac:dyDescent="0.25">
      <c r="B118" s="23" t="s">
        <v>663</v>
      </c>
      <c r="C118" s="28" t="s">
        <v>647</v>
      </c>
      <c r="D118" s="44" t="s">
        <v>4442</v>
      </c>
      <c r="F118" s="44" t="s">
        <v>664</v>
      </c>
      <c r="H118" s="86">
        <v>35143.599999999999</v>
      </c>
      <c r="I118" s="86">
        <v>40944</v>
      </c>
      <c r="J118" s="86">
        <v>40944</v>
      </c>
      <c r="K118" s="86">
        <v>49132.800000000003</v>
      </c>
      <c r="L118" s="86">
        <v>49132.800000000003</v>
      </c>
      <c r="M118" s="86">
        <v>54046.080000000002</v>
      </c>
      <c r="N118" s="86">
        <v>54046.080000000002</v>
      </c>
      <c r="O118" s="86">
        <v>57288.844799999999</v>
      </c>
      <c r="P118" s="86">
        <v>57288.844799999999</v>
      </c>
      <c r="Q118" s="86">
        <v>60726.175488000001</v>
      </c>
      <c r="R118" s="86">
        <v>60726.175488000001</v>
      </c>
      <c r="S118" s="86">
        <v>60726.175488000001</v>
      </c>
      <c r="T118" s="86">
        <v>60726.175488000001</v>
      </c>
      <c r="V118" s="63" t="s">
        <v>4452</v>
      </c>
    </row>
    <row r="119" spans="2:22" ht="26.25" customHeight="1" x14ac:dyDescent="0.25">
      <c r="B119" s="64" t="s">
        <v>651</v>
      </c>
      <c r="C119" s="28" t="s">
        <v>493</v>
      </c>
      <c r="D119" s="44" t="s">
        <v>4448</v>
      </c>
      <c r="F119" s="44" t="s">
        <v>666</v>
      </c>
      <c r="H119" s="88">
        <v>40.829176858830003</v>
      </c>
      <c r="I119" s="88">
        <v>40.829176858830003</v>
      </c>
      <c r="J119" s="88">
        <v>41.829176858830003</v>
      </c>
      <c r="K119" s="88">
        <v>41.829176858830003</v>
      </c>
      <c r="L119" s="88">
        <v>41.829176858830003</v>
      </c>
      <c r="M119" s="88">
        <v>42.829176858830003</v>
      </c>
      <c r="N119" s="88">
        <v>42.829176858830003</v>
      </c>
      <c r="O119" s="88">
        <v>42.829176858830003</v>
      </c>
      <c r="P119" s="88">
        <v>43.829176858830003</v>
      </c>
      <c r="Q119" s="88">
        <v>43.829176858830003</v>
      </c>
      <c r="R119" s="88">
        <v>43.829176858830003</v>
      </c>
      <c r="S119" s="88">
        <v>43.829176858830003</v>
      </c>
      <c r="T119" s="88">
        <v>43.829176858830003</v>
      </c>
      <c r="V119" s="63" t="s">
        <v>4453</v>
      </c>
    </row>
    <row r="120" spans="2:22" x14ac:dyDescent="0.25">
      <c r="B120" s="42" t="s">
        <v>668</v>
      </c>
    </row>
    <row r="121" spans="2:22" x14ac:dyDescent="0.25">
      <c r="B121" s="59" t="s">
        <v>669</v>
      </c>
      <c r="C121" s="59" t="s">
        <v>466</v>
      </c>
      <c r="D121" s="59" t="s">
        <v>4429</v>
      </c>
      <c r="E121" s="59" t="s">
        <v>468</v>
      </c>
      <c r="F121" s="59" t="s">
        <v>469</v>
      </c>
      <c r="G121" s="80" t="s">
        <v>628</v>
      </c>
      <c r="H121" s="81">
        <v>2024</v>
      </c>
      <c r="I121" s="81">
        <v>2025</v>
      </c>
      <c r="J121" s="81">
        <v>2026</v>
      </c>
      <c r="K121" s="81">
        <v>2027</v>
      </c>
      <c r="L121" s="81">
        <v>2028</v>
      </c>
      <c r="M121" s="81">
        <v>2029</v>
      </c>
      <c r="N121" s="81">
        <v>2030</v>
      </c>
      <c r="O121" s="81">
        <v>2031</v>
      </c>
      <c r="P121" s="81">
        <v>2032</v>
      </c>
      <c r="Q121" s="81">
        <v>2033</v>
      </c>
      <c r="R121" s="81">
        <v>2034</v>
      </c>
      <c r="S121" s="81">
        <v>2035</v>
      </c>
      <c r="T121" s="81">
        <v>2036</v>
      </c>
      <c r="U121" s="59"/>
      <c r="V121" s="59" t="s">
        <v>4430</v>
      </c>
    </row>
    <row r="122" spans="2:22" x14ac:dyDescent="0.25">
      <c r="B122" s="23" t="s">
        <v>670</v>
      </c>
      <c r="C122" s="28" t="s">
        <v>630</v>
      </c>
      <c r="D122" s="44" t="s">
        <v>4442</v>
      </c>
      <c r="E122" s="86">
        <v>750000</v>
      </c>
      <c r="F122" s="44" t="s">
        <v>671</v>
      </c>
      <c r="V122" s="63" t="s">
        <v>671</v>
      </c>
    </row>
    <row r="123" spans="2:22" x14ac:dyDescent="0.25">
      <c r="B123" s="23" t="s">
        <v>659</v>
      </c>
      <c r="C123" s="28" t="s">
        <v>630</v>
      </c>
      <c r="D123" s="44" t="s">
        <v>4442</v>
      </c>
      <c r="E123" s="86">
        <v>922782</v>
      </c>
      <c r="F123" s="44" t="s">
        <v>672</v>
      </c>
      <c r="V123" s="63" t="s">
        <v>672</v>
      </c>
    </row>
    <row r="124" spans="2:22" x14ac:dyDescent="0.25">
      <c r="B124" s="23" t="s">
        <v>673</v>
      </c>
      <c r="C124" s="28" t="s">
        <v>292</v>
      </c>
      <c r="D124" s="44" t="s">
        <v>4442</v>
      </c>
      <c r="F124" s="44" t="s">
        <v>674</v>
      </c>
      <c r="H124" s="87">
        <v>0</v>
      </c>
      <c r="I124" s="87">
        <v>0.03</v>
      </c>
      <c r="J124" s="87">
        <v>0.03</v>
      </c>
      <c r="K124" s="87">
        <v>0.03</v>
      </c>
      <c r="L124" s="87">
        <v>0.03</v>
      </c>
      <c r="M124" s="87">
        <v>0.03</v>
      </c>
      <c r="N124" s="87">
        <v>0.03</v>
      </c>
      <c r="O124" s="87">
        <v>0.03</v>
      </c>
      <c r="P124" s="87">
        <v>0.03</v>
      </c>
      <c r="Q124" s="87">
        <v>0.03</v>
      </c>
      <c r="R124" s="87">
        <v>0.03</v>
      </c>
      <c r="S124" s="87">
        <v>0.03</v>
      </c>
      <c r="T124" s="87">
        <v>0.03</v>
      </c>
      <c r="V124" s="63" t="s">
        <v>4454</v>
      </c>
    </row>
    <row r="125" spans="2:22" x14ac:dyDescent="0.25">
      <c r="B125" s="23" t="s">
        <v>676</v>
      </c>
      <c r="C125" s="28" t="s">
        <v>647</v>
      </c>
      <c r="D125" s="44" t="s">
        <v>4442</v>
      </c>
      <c r="F125" s="44" t="s">
        <v>677</v>
      </c>
      <c r="H125" s="86">
        <v>29658</v>
      </c>
      <c r="I125" s="86">
        <v>29658</v>
      </c>
      <c r="J125" s="86">
        <v>43947.5</v>
      </c>
      <c r="K125" s="86">
        <v>43947.5</v>
      </c>
      <c r="L125" s="86">
        <v>45265.925000000003</v>
      </c>
      <c r="M125" s="86">
        <v>46623.902750000001</v>
      </c>
      <c r="N125" s="86">
        <v>48022.6198325</v>
      </c>
      <c r="O125" s="86">
        <v>49463.298427474998</v>
      </c>
      <c r="P125" s="86">
        <v>50947.197380299302</v>
      </c>
      <c r="Q125" s="86">
        <v>52475.613301708203</v>
      </c>
      <c r="R125" s="86">
        <v>54049.881700759499</v>
      </c>
      <c r="S125" s="86">
        <v>55671.378151782301</v>
      </c>
      <c r="T125" s="86">
        <v>57341.519496335699</v>
      </c>
      <c r="V125" s="63" t="s">
        <v>4455</v>
      </c>
    </row>
    <row r="126" spans="2:22" ht="26.25" customHeight="1" x14ac:dyDescent="0.25">
      <c r="B126" s="64" t="s">
        <v>651</v>
      </c>
      <c r="C126" s="28" t="s">
        <v>493</v>
      </c>
      <c r="D126" s="44" t="s">
        <v>4442</v>
      </c>
      <c r="F126" s="44" t="s">
        <v>679</v>
      </c>
      <c r="H126" s="89">
        <v>5.2339742134299998</v>
      </c>
      <c r="I126" s="89">
        <v>5.2339742134299998</v>
      </c>
      <c r="J126" s="89">
        <v>2.6169871067149999</v>
      </c>
      <c r="K126" s="89">
        <v>0</v>
      </c>
      <c r="L126" s="89">
        <v>0</v>
      </c>
      <c r="M126" s="89">
        <v>0</v>
      </c>
      <c r="N126" s="89">
        <v>0</v>
      </c>
      <c r="O126" s="89">
        <v>0</v>
      </c>
      <c r="P126" s="89">
        <v>0</v>
      </c>
      <c r="Q126" s="89">
        <v>0</v>
      </c>
      <c r="R126" s="89">
        <v>0</v>
      </c>
      <c r="S126" s="89">
        <v>0</v>
      </c>
      <c r="T126" s="89">
        <v>0</v>
      </c>
      <c r="V126" s="63" t="s">
        <v>4456</v>
      </c>
    </row>
    <row r="127" spans="2:22" ht="24.75" customHeight="1" x14ac:dyDescent="0.25">
      <c r="B127" s="23" t="s">
        <v>680</v>
      </c>
      <c r="C127" s="90" t="s">
        <v>681</v>
      </c>
      <c r="D127" s="44" t="s">
        <v>4442</v>
      </c>
      <c r="F127" s="44" t="s">
        <v>682</v>
      </c>
      <c r="H127" s="91">
        <v>1.0919279054404599E-2</v>
      </c>
      <c r="I127" s="91">
        <v>1.0919279054404599E-2</v>
      </c>
      <c r="J127" s="91">
        <v>1.0919279054404599E-2</v>
      </c>
      <c r="K127" s="91">
        <v>1.0919279054404599E-2</v>
      </c>
      <c r="L127" s="91">
        <v>1.0919279054404599E-2</v>
      </c>
      <c r="M127" s="91">
        <v>1.0919279054404599E-2</v>
      </c>
      <c r="N127" s="91">
        <v>1.0919279054404599E-2</v>
      </c>
      <c r="O127" s="91">
        <v>1.0919279054404599E-2</v>
      </c>
      <c r="P127" s="91">
        <v>1.0919279054404599E-2</v>
      </c>
      <c r="Q127" s="91">
        <v>1.0919279054404599E-2</v>
      </c>
      <c r="R127" s="91">
        <v>1.0919279054404599E-2</v>
      </c>
      <c r="S127" s="91">
        <v>1.0919279054404599E-2</v>
      </c>
      <c r="T127" s="91">
        <v>1.0919279054404599E-2</v>
      </c>
      <c r="V127" s="63" t="s">
        <v>4457</v>
      </c>
    </row>
    <row r="128" spans="2:22" x14ac:dyDescent="0.25">
      <c r="B128" s="42" t="s">
        <v>684</v>
      </c>
    </row>
    <row r="129" spans="2:22" x14ac:dyDescent="0.25">
      <c r="B129" s="59" t="s">
        <v>685</v>
      </c>
      <c r="C129" s="59" t="s">
        <v>466</v>
      </c>
      <c r="D129" s="59" t="s">
        <v>4429</v>
      </c>
      <c r="E129" s="59" t="s">
        <v>468</v>
      </c>
      <c r="F129" s="59" t="s">
        <v>469</v>
      </c>
      <c r="G129" s="80" t="s">
        <v>628</v>
      </c>
      <c r="H129" s="81">
        <v>2024</v>
      </c>
      <c r="I129" s="81">
        <v>2025</v>
      </c>
      <c r="J129" s="81">
        <v>2026</v>
      </c>
      <c r="K129" s="81">
        <v>2027</v>
      </c>
      <c r="L129" s="81">
        <v>2028</v>
      </c>
      <c r="M129" s="81">
        <v>2029</v>
      </c>
      <c r="N129" s="81">
        <v>2030</v>
      </c>
      <c r="O129" s="81">
        <v>2031</v>
      </c>
      <c r="P129" s="81">
        <v>2032</v>
      </c>
      <c r="Q129" s="81">
        <v>2033</v>
      </c>
      <c r="R129" s="81">
        <v>2034</v>
      </c>
      <c r="S129" s="81">
        <v>2035</v>
      </c>
      <c r="T129" s="81">
        <v>2036</v>
      </c>
      <c r="U129" s="59"/>
      <c r="V129" s="59" t="s">
        <v>4430</v>
      </c>
    </row>
    <row r="130" spans="2:22" x14ac:dyDescent="0.25">
      <c r="B130" s="23" t="s">
        <v>686</v>
      </c>
      <c r="C130" s="28" t="s">
        <v>630</v>
      </c>
      <c r="D130" s="44" t="s">
        <v>4442</v>
      </c>
      <c r="E130" s="86">
        <v>346296.03600000002</v>
      </c>
      <c r="F130" s="44" t="s">
        <v>687</v>
      </c>
      <c r="V130" s="63" t="s">
        <v>687</v>
      </c>
    </row>
    <row r="131" spans="2:22" x14ac:dyDescent="0.25">
      <c r="B131" s="23" t="s">
        <v>688</v>
      </c>
      <c r="C131" s="28" t="s">
        <v>490</v>
      </c>
      <c r="D131" s="44" t="s">
        <v>4442</v>
      </c>
      <c r="E131" s="74">
        <v>2023</v>
      </c>
      <c r="F131" s="44" t="s">
        <v>689</v>
      </c>
      <c r="V131" s="63" t="s">
        <v>689</v>
      </c>
    </row>
    <row r="132" spans="2:22" x14ac:dyDescent="0.25">
      <c r="B132" s="23" t="s">
        <v>690</v>
      </c>
      <c r="C132" s="28" t="s">
        <v>630</v>
      </c>
      <c r="D132" s="44" t="s">
        <v>4442</v>
      </c>
      <c r="E132" s="86">
        <v>225199.88</v>
      </c>
      <c r="F132" s="44" t="s">
        <v>691</v>
      </c>
      <c r="V132" s="63" t="s">
        <v>691</v>
      </c>
    </row>
    <row r="133" spans="2:22" x14ac:dyDescent="0.25">
      <c r="B133" s="23" t="s">
        <v>692</v>
      </c>
      <c r="C133" s="28" t="s">
        <v>490</v>
      </c>
      <c r="D133" s="44" t="s">
        <v>4442</v>
      </c>
      <c r="E133" s="74">
        <v>2023</v>
      </c>
      <c r="F133" s="44" t="s">
        <v>689</v>
      </c>
      <c r="V133" s="63" t="s">
        <v>689</v>
      </c>
    </row>
    <row r="134" spans="2:22" x14ac:dyDescent="0.25">
      <c r="B134" s="23" t="s">
        <v>693</v>
      </c>
      <c r="C134" s="28" t="s">
        <v>630</v>
      </c>
      <c r="D134" s="44" t="s">
        <v>4442</v>
      </c>
      <c r="E134" s="86">
        <v>295847.011</v>
      </c>
      <c r="F134" s="44" t="s">
        <v>694</v>
      </c>
      <c r="V134" s="63" t="s">
        <v>694</v>
      </c>
    </row>
    <row r="135" spans="2:22" x14ac:dyDescent="0.25">
      <c r="B135" s="23" t="s">
        <v>695</v>
      </c>
      <c r="C135" s="28" t="s">
        <v>490</v>
      </c>
      <c r="D135" s="44" t="s">
        <v>4442</v>
      </c>
      <c r="E135" s="74">
        <v>2023</v>
      </c>
      <c r="F135" s="44" t="s">
        <v>689</v>
      </c>
      <c r="V135" s="63" t="s">
        <v>689</v>
      </c>
    </row>
    <row r="136" spans="2:22" x14ac:dyDescent="0.25">
      <c r="B136" s="23" t="s">
        <v>696</v>
      </c>
      <c r="C136" s="28" t="s">
        <v>630</v>
      </c>
      <c r="D136" s="44" t="s">
        <v>4442</v>
      </c>
      <c r="E136" s="86">
        <v>336474.04</v>
      </c>
      <c r="F136" s="44" t="s">
        <v>697</v>
      </c>
      <c r="V136" s="63" t="s">
        <v>697</v>
      </c>
    </row>
    <row r="137" spans="2:22" x14ac:dyDescent="0.25">
      <c r="B137" s="23" t="s">
        <v>698</v>
      </c>
      <c r="C137" s="28" t="s">
        <v>490</v>
      </c>
      <c r="D137" s="44" t="s">
        <v>4442</v>
      </c>
      <c r="E137" s="74">
        <v>2023</v>
      </c>
      <c r="F137" s="44" t="s">
        <v>689</v>
      </c>
      <c r="V137" s="63" t="s">
        <v>689</v>
      </c>
    </row>
    <row r="138" spans="2:22" x14ac:dyDescent="0.25">
      <c r="B138" s="23" t="s">
        <v>699</v>
      </c>
      <c r="C138" s="28" t="s">
        <v>630</v>
      </c>
      <c r="D138" s="44" t="s">
        <v>4442</v>
      </c>
      <c r="E138" s="86">
        <v>923727.06</v>
      </c>
      <c r="F138" s="44" t="s">
        <v>700</v>
      </c>
      <c r="V138" s="63" t="s">
        <v>700</v>
      </c>
    </row>
    <row r="139" spans="2:22" x14ac:dyDescent="0.25">
      <c r="B139" s="23" t="s">
        <v>701</v>
      </c>
      <c r="C139" s="28" t="s">
        <v>490</v>
      </c>
      <c r="D139" s="44" t="s">
        <v>4442</v>
      </c>
      <c r="E139" s="74">
        <v>2023</v>
      </c>
      <c r="F139" s="44" t="s">
        <v>689</v>
      </c>
      <c r="V139" s="63" t="s">
        <v>689</v>
      </c>
    </row>
    <row r="140" spans="2:22" x14ac:dyDescent="0.25">
      <c r="B140" s="23" t="s">
        <v>702</v>
      </c>
      <c r="C140" s="28" t="s">
        <v>630</v>
      </c>
      <c r="D140" s="44" t="s">
        <v>4442</v>
      </c>
      <c r="E140" s="86">
        <v>276000</v>
      </c>
      <c r="F140" s="44" t="s">
        <v>703</v>
      </c>
      <c r="V140" s="63" t="s">
        <v>703</v>
      </c>
    </row>
    <row r="141" spans="2:22" x14ac:dyDescent="0.25">
      <c r="B141" s="23" t="s">
        <v>704</v>
      </c>
      <c r="C141" s="28" t="s">
        <v>490</v>
      </c>
      <c r="D141" s="44" t="s">
        <v>4442</v>
      </c>
      <c r="E141" s="74">
        <v>2023</v>
      </c>
      <c r="F141" s="44" t="s">
        <v>689</v>
      </c>
      <c r="V141" s="63" t="s">
        <v>689</v>
      </c>
    </row>
    <row r="142" spans="2:22" x14ac:dyDescent="0.25">
      <c r="B142" s="23" t="s">
        <v>705</v>
      </c>
      <c r="C142" s="28" t="s">
        <v>630</v>
      </c>
      <c r="D142" s="44" t="s">
        <v>4442</v>
      </c>
      <c r="E142" s="86">
        <v>80000</v>
      </c>
      <c r="F142" s="44" t="s">
        <v>706</v>
      </c>
      <c r="V142" s="63" t="s">
        <v>706</v>
      </c>
    </row>
    <row r="143" spans="2:22" x14ac:dyDescent="0.25">
      <c r="B143" s="23" t="s">
        <v>707</v>
      </c>
      <c r="C143" s="28" t="s">
        <v>490</v>
      </c>
      <c r="D143" s="44" t="s">
        <v>4442</v>
      </c>
      <c r="E143" s="74">
        <v>2023</v>
      </c>
      <c r="F143" s="44" t="s">
        <v>689</v>
      </c>
      <c r="V143" s="63" t="s">
        <v>689</v>
      </c>
    </row>
    <row r="144" spans="2:22" x14ac:dyDescent="0.25">
      <c r="B144" s="23" t="s">
        <v>708</v>
      </c>
      <c r="C144" s="28" t="s">
        <v>630</v>
      </c>
      <c r="D144" s="44" t="s">
        <v>4442</v>
      </c>
      <c r="E144" s="86">
        <v>533360</v>
      </c>
      <c r="F144" s="44" t="s">
        <v>709</v>
      </c>
      <c r="V144" s="63" t="s">
        <v>709</v>
      </c>
    </row>
    <row r="145" spans="2:22" x14ac:dyDescent="0.25">
      <c r="B145" s="23" t="s">
        <v>710</v>
      </c>
      <c r="C145" s="28" t="s">
        <v>490</v>
      </c>
      <c r="D145" s="44" t="s">
        <v>4442</v>
      </c>
      <c r="E145" s="74">
        <v>2023</v>
      </c>
      <c r="F145" s="44" t="s">
        <v>689</v>
      </c>
      <c r="V145" s="63" t="s">
        <v>689</v>
      </c>
    </row>
    <row r="146" spans="2:22" x14ac:dyDescent="0.25">
      <c r="B146" s="23" t="s">
        <v>711</v>
      </c>
      <c r="C146" s="28" t="s">
        <v>630</v>
      </c>
      <c r="D146" s="44" t="s">
        <v>4442</v>
      </c>
      <c r="E146" s="86">
        <v>214500</v>
      </c>
      <c r="F146" s="44" t="s">
        <v>712</v>
      </c>
      <c r="V146" s="63" t="s">
        <v>712</v>
      </c>
    </row>
    <row r="147" spans="2:22" x14ac:dyDescent="0.25">
      <c r="B147" s="23" t="s">
        <v>713</v>
      </c>
      <c r="C147" s="28" t="s">
        <v>490</v>
      </c>
      <c r="D147" s="44" t="s">
        <v>4442</v>
      </c>
      <c r="E147" s="74">
        <v>2023</v>
      </c>
      <c r="F147" s="44" t="s">
        <v>689</v>
      </c>
      <c r="V147" s="63" t="s">
        <v>689</v>
      </c>
    </row>
    <row r="148" spans="2:22" x14ac:dyDescent="0.25">
      <c r="B148" s="23" t="s">
        <v>714</v>
      </c>
      <c r="C148" s="28" t="s">
        <v>630</v>
      </c>
      <c r="D148" s="44" t="s">
        <v>4442</v>
      </c>
      <c r="E148" s="86">
        <v>100000</v>
      </c>
      <c r="F148" s="44" t="s">
        <v>715</v>
      </c>
      <c r="V148" s="63" t="s">
        <v>715</v>
      </c>
    </row>
    <row r="149" spans="2:22" x14ac:dyDescent="0.25">
      <c r="B149" s="23" t="s">
        <v>716</v>
      </c>
      <c r="C149" s="28" t="s">
        <v>490</v>
      </c>
      <c r="D149" s="44" t="s">
        <v>4442</v>
      </c>
      <c r="E149" s="74">
        <v>2026</v>
      </c>
      <c r="F149" s="44" t="s">
        <v>689</v>
      </c>
      <c r="V149" s="63" t="s">
        <v>689</v>
      </c>
    </row>
    <row r="150" spans="2:22" x14ac:dyDescent="0.25">
      <c r="B150" s="23" t="s">
        <v>717</v>
      </c>
      <c r="C150" s="28" t="s">
        <v>630</v>
      </c>
      <c r="D150" s="44" t="s">
        <v>4442</v>
      </c>
      <c r="E150" s="86">
        <v>771624</v>
      </c>
      <c r="F150" s="44" t="s">
        <v>718</v>
      </c>
      <c r="V150" s="63" t="s">
        <v>718</v>
      </c>
    </row>
    <row r="151" spans="2:22" x14ac:dyDescent="0.25">
      <c r="B151" s="23" t="s">
        <v>719</v>
      </c>
      <c r="C151" s="28" t="s">
        <v>490</v>
      </c>
      <c r="D151" s="44" t="s">
        <v>4442</v>
      </c>
      <c r="E151" s="74">
        <v>2023</v>
      </c>
      <c r="F151" s="44" t="s">
        <v>689</v>
      </c>
      <c r="V151" s="63" t="s">
        <v>689</v>
      </c>
    </row>
    <row r="152" spans="2:22" x14ac:dyDescent="0.25">
      <c r="B152" s="23" t="s">
        <v>720</v>
      </c>
      <c r="C152" s="28" t="s">
        <v>630</v>
      </c>
      <c r="D152" s="44" t="s">
        <v>4442</v>
      </c>
      <c r="E152" s="86">
        <v>200000</v>
      </c>
      <c r="F152" s="44" t="s">
        <v>721</v>
      </c>
      <c r="V152" s="63" t="s">
        <v>721</v>
      </c>
    </row>
    <row r="153" spans="2:22" x14ac:dyDescent="0.25">
      <c r="B153" s="23" t="s">
        <v>722</v>
      </c>
      <c r="C153" s="28" t="s">
        <v>490</v>
      </c>
      <c r="D153" s="44" t="s">
        <v>4442</v>
      </c>
      <c r="E153" s="74">
        <v>2026</v>
      </c>
      <c r="F153" s="44" t="s">
        <v>689</v>
      </c>
      <c r="V153" s="63" t="s">
        <v>689</v>
      </c>
    </row>
    <row r="154" spans="2:22" x14ac:dyDescent="0.25">
      <c r="B154" s="23" t="s">
        <v>723</v>
      </c>
      <c r="C154" s="28" t="s">
        <v>630</v>
      </c>
      <c r="D154" s="44" t="s">
        <v>4442</v>
      </c>
      <c r="E154" s="86">
        <v>490000</v>
      </c>
      <c r="F154" s="44" t="s">
        <v>724</v>
      </c>
      <c r="V154" s="63" t="s">
        <v>724</v>
      </c>
    </row>
    <row r="155" spans="2:22" x14ac:dyDescent="0.25">
      <c r="B155" s="23" t="s">
        <v>725</v>
      </c>
      <c r="C155" s="28" t="s">
        <v>490</v>
      </c>
      <c r="D155" s="44" t="s">
        <v>4442</v>
      </c>
      <c r="E155" s="74">
        <v>2023</v>
      </c>
      <c r="F155" s="44" t="s">
        <v>689</v>
      </c>
      <c r="V155" s="63" t="s">
        <v>689</v>
      </c>
    </row>
    <row r="156" spans="2:22" x14ac:dyDescent="0.25">
      <c r="B156" s="23" t="s">
        <v>726</v>
      </c>
      <c r="C156" s="28" t="s">
        <v>292</v>
      </c>
      <c r="D156" s="44" t="s">
        <v>4442</v>
      </c>
      <c r="F156" s="44" t="s">
        <v>727</v>
      </c>
      <c r="H156" s="87">
        <v>0.05</v>
      </c>
      <c r="I156" s="87">
        <v>0.05</v>
      </c>
      <c r="J156" s="87">
        <v>0.05</v>
      </c>
      <c r="K156" s="87">
        <v>0.05</v>
      </c>
      <c r="L156" s="87">
        <v>0.05</v>
      </c>
      <c r="M156" s="87">
        <v>0.05</v>
      </c>
      <c r="N156" s="87">
        <v>0.05</v>
      </c>
      <c r="O156" s="87">
        <v>0.05</v>
      </c>
      <c r="P156" s="87">
        <v>0.05</v>
      </c>
      <c r="Q156" s="87">
        <v>0.05</v>
      </c>
      <c r="R156" s="87">
        <v>0.05</v>
      </c>
      <c r="S156" s="87">
        <v>0.05</v>
      </c>
      <c r="T156" s="87">
        <v>0.05</v>
      </c>
      <c r="V156" s="63" t="s">
        <v>4458</v>
      </c>
    </row>
    <row r="157" spans="2:22" x14ac:dyDescent="0.25">
      <c r="B157" s="23" t="s">
        <v>728</v>
      </c>
      <c r="C157" s="28" t="s">
        <v>647</v>
      </c>
      <c r="D157" s="44" t="s">
        <v>4442</v>
      </c>
      <c r="F157" s="44" t="s">
        <v>729</v>
      </c>
      <c r="H157" s="86">
        <v>12328.6210616914</v>
      </c>
      <c r="I157" s="86">
        <v>2575</v>
      </c>
      <c r="J157" s="86">
        <v>2652.25</v>
      </c>
      <c r="K157" s="86">
        <v>2731.8175000000001</v>
      </c>
      <c r="L157" s="86">
        <v>2813.7720250000002</v>
      </c>
      <c r="M157" s="86">
        <v>2898.1851857500001</v>
      </c>
      <c r="N157" s="86">
        <v>2985.1307413224999</v>
      </c>
      <c r="O157" s="86">
        <v>3074.68466356218</v>
      </c>
      <c r="P157" s="86">
        <v>3166.9252034690398</v>
      </c>
      <c r="Q157" s="86">
        <v>3261.9329595731101</v>
      </c>
      <c r="R157" s="86">
        <v>3261.9329595731101</v>
      </c>
      <c r="S157" s="86">
        <v>3261.9329595731101</v>
      </c>
      <c r="T157" s="86">
        <v>3261.9329595731101</v>
      </c>
      <c r="V157" s="63" t="s">
        <v>4459</v>
      </c>
    </row>
    <row r="158" spans="2:22" x14ac:dyDescent="0.25">
      <c r="B158" s="23" t="s">
        <v>730</v>
      </c>
      <c r="C158" s="28" t="s">
        <v>292</v>
      </c>
      <c r="D158" s="44" t="s">
        <v>4442</v>
      </c>
      <c r="F158" s="44" t="s">
        <v>731</v>
      </c>
      <c r="H158" s="87">
        <v>0.05</v>
      </c>
      <c r="I158" s="87">
        <v>0.05</v>
      </c>
      <c r="J158" s="87">
        <v>0.05</v>
      </c>
      <c r="K158" s="87">
        <v>0.05</v>
      </c>
      <c r="L158" s="87">
        <v>0.05</v>
      </c>
      <c r="M158" s="87">
        <v>0.05</v>
      </c>
      <c r="N158" s="87">
        <v>0.05</v>
      </c>
      <c r="O158" s="87">
        <v>0.05</v>
      </c>
      <c r="P158" s="87">
        <v>0.05</v>
      </c>
      <c r="Q158" s="87">
        <v>0.05</v>
      </c>
      <c r="R158" s="87">
        <v>0.05</v>
      </c>
      <c r="S158" s="87">
        <v>0.05</v>
      </c>
      <c r="T158" s="87">
        <v>0.05</v>
      </c>
      <c r="V158" s="63" t="s">
        <v>4460</v>
      </c>
    </row>
    <row r="159" spans="2:22" x14ac:dyDescent="0.25">
      <c r="B159" s="23" t="s">
        <v>732</v>
      </c>
      <c r="C159" s="28" t="s">
        <v>647</v>
      </c>
      <c r="D159" s="44" t="s">
        <v>4442</v>
      </c>
      <c r="F159" s="44" t="s">
        <v>733</v>
      </c>
      <c r="H159" s="86">
        <v>57137.3691142518</v>
      </c>
      <c r="I159" s="86">
        <v>3605</v>
      </c>
      <c r="J159" s="86">
        <v>3713.15</v>
      </c>
      <c r="K159" s="86">
        <v>3824.5445</v>
      </c>
      <c r="L159" s="86">
        <v>3939.280835</v>
      </c>
      <c r="M159" s="86">
        <v>4057.45926005</v>
      </c>
      <c r="N159" s="86">
        <v>4179.1830378514996</v>
      </c>
      <c r="O159" s="86">
        <v>4304.5585289870496</v>
      </c>
      <c r="P159" s="86">
        <v>4433.6952848566598</v>
      </c>
      <c r="Q159" s="86">
        <v>4566.7061434023599</v>
      </c>
      <c r="R159" s="86">
        <v>4566.7061434023599</v>
      </c>
      <c r="S159" s="86">
        <v>4566.7061434023599</v>
      </c>
      <c r="T159" s="86">
        <v>4566.7061434023599</v>
      </c>
      <c r="V159" s="63" t="s">
        <v>4461</v>
      </c>
    </row>
    <row r="160" spans="2:22" x14ac:dyDescent="0.25">
      <c r="B160" s="23" t="s">
        <v>734</v>
      </c>
      <c r="C160" s="28" t="s">
        <v>292</v>
      </c>
      <c r="D160" s="44" t="s">
        <v>4442</v>
      </c>
      <c r="F160" s="44" t="s">
        <v>735</v>
      </c>
      <c r="H160" s="87">
        <v>0.05</v>
      </c>
      <c r="I160" s="87">
        <v>0.05</v>
      </c>
      <c r="J160" s="87">
        <v>0.05</v>
      </c>
      <c r="K160" s="87">
        <v>0.05</v>
      </c>
      <c r="L160" s="87">
        <v>0.05</v>
      </c>
      <c r="M160" s="87">
        <v>0.05</v>
      </c>
      <c r="N160" s="87">
        <v>0.05</v>
      </c>
      <c r="O160" s="87">
        <v>0.05</v>
      </c>
      <c r="P160" s="87">
        <v>0.05</v>
      </c>
      <c r="Q160" s="87">
        <v>0.05</v>
      </c>
      <c r="R160" s="87">
        <v>0.05</v>
      </c>
      <c r="S160" s="87">
        <v>0.05</v>
      </c>
      <c r="T160" s="87">
        <v>0.05</v>
      </c>
      <c r="V160" s="63" t="s">
        <v>4462</v>
      </c>
    </row>
    <row r="161" spans="2:22" x14ac:dyDescent="0.25">
      <c r="B161" s="23" t="s">
        <v>736</v>
      </c>
      <c r="C161" s="28" t="s">
        <v>647</v>
      </c>
      <c r="D161" s="44" t="s">
        <v>4442</v>
      </c>
      <c r="F161" s="44" t="s">
        <v>737</v>
      </c>
      <c r="H161" s="86">
        <v>4495.8039581760504</v>
      </c>
      <c r="I161" s="86">
        <v>2575</v>
      </c>
      <c r="J161" s="86">
        <v>2652.25</v>
      </c>
      <c r="K161" s="86">
        <v>2731.8175000000001</v>
      </c>
      <c r="L161" s="86">
        <v>2813.7720250000002</v>
      </c>
      <c r="M161" s="86">
        <v>2898.1851857500001</v>
      </c>
      <c r="N161" s="86">
        <v>2985.1307413224999</v>
      </c>
      <c r="O161" s="86">
        <v>3074.68466356218</v>
      </c>
      <c r="P161" s="86">
        <v>3166.9252034690398</v>
      </c>
      <c r="Q161" s="86">
        <v>3261.9329595731101</v>
      </c>
      <c r="R161" s="86">
        <v>3261.9329595731101</v>
      </c>
      <c r="S161" s="86">
        <v>3261.9329595731101</v>
      </c>
      <c r="T161" s="86">
        <v>3261.9329595731101</v>
      </c>
      <c r="V161" s="63" t="s">
        <v>4463</v>
      </c>
    </row>
    <row r="162" spans="2:22" x14ac:dyDescent="0.25">
      <c r="B162" s="23" t="s">
        <v>738</v>
      </c>
      <c r="C162" s="28" t="s">
        <v>292</v>
      </c>
      <c r="D162" s="44" t="s">
        <v>4442</v>
      </c>
      <c r="F162" s="44" t="s">
        <v>739</v>
      </c>
      <c r="H162" s="87">
        <v>0.05</v>
      </c>
      <c r="I162" s="87">
        <v>0.05</v>
      </c>
      <c r="J162" s="87">
        <v>0.05</v>
      </c>
      <c r="K162" s="87">
        <v>0.05</v>
      </c>
      <c r="L162" s="87">
        <v>0.05</v>
      </c>
      <c r="M162" s="87">
        <v>0.05</v>
      </c>
      <c r="N162" s="87">
        <v>0.05</v>
      </c>
      <c r="O162" s="87">
        <v>0.05</v>
      </c>
      <c r="P162" s="87">
        <v>0.05</v>
      </c>
      <c r="Q162" s="87">
        <v>0.05</v>
      </c>
      <c r="R162" s="87">
        <v>0.05</v>
      </c>
      <c r="S162" s="87">
        <v>0.05</v>
      </c>
      <c r="T162" s="87">
        <v>0.05</v>
      </c>
      <c r="V162" s="63" t="s">
        <v>4464</v>
      </c>
    </row>
    <row r="163" spans="2:22" x14ac:dyDescent="0.25">
      <c r="B163" s="23" t="s">
        <v>740</v>
      </c>
      <c r="C163" s="28" t="s">
        <v>647</v>
      </c>
      <c r="D163" s="44" t="s">
        <v>4442</v>
      </c>
      <c r="F163" s="44" t="s">
        <v>741</v>
      </c>
      <c r="H163" s="86">
        <v>34880</v>
      </c>
      <c r="I163" s="86">
        <v>35926.400000000001</v>
      </c>
      <c r="J163" s="86">
        <v>2652.25</v>
      </c>
      <c r="K163" s="86">
        <v>2731.8175000000001</v>
      </c>
      <c r="L163" s="86">
        <v>2813.7720250000002</v>
      </c>
      <c r="M163" s="86">
        <v>2898.1851857500001</v>
      </c>
      <c r="N163" s="86">
        <v>2985.1307413224999</v>
      </c>
      <c r="O163" s="86">
        <v>3074.68466356218</v>
      </c>
      <c r="P163" s="86">
        <v>3166.9252034690398</v>
      </c>
      <c r="Q163" s="86">
        <v>3261.9329595731101</v>
      </c>
      <c r="R163" s="86">
        <v>3261.9329595731101</v>
      </c>
      <c r="S163" s="86">
        <v>3261.9329595731101</v>
      </c>
      <c r="T163" s="86">
        <v>3261.9329595731101</v>
      </c>
      <c r="V163" s="63" t="s">
        <v>4465</v>
      </c>
    </row>
    <row r="164" spans="2:22" x14ac:dyDescent="0.25">
      <c r="B164" s="23" t="s">
        <v>742</v>
      </c>
      <c r="C164" s="28" t="s">
        <v>292</v>
      </c>
      <c r="D164" s="44" t="s">
        <v>4442</v>
      </c>
      <c r="F164" s="44" t="s">
        <v>743</v>
      </c>
      <c r="H164" s="87">
        <v>0.05</v>
      </c>
      <c r="I164" s="87">
        <v>0.05</v>
      </c>
      <c r="J164" s="87">
        <v>0.05</v>
      </c>
      <c r="K164" s="87">
        <v>0.05</v>
      </c>
      <c r="L164" s="87">
        <v>0.05</v>
      </c>
      <c r="M164" s="87">
        <v>0.05</v>
      </c>
      <c r="N164" s="87">
        <v>0.05</v>
      </c>
      <c r="O164" s="87">
        <v>0.05</v>
      </c>
      <c r="P164" s="87">
        <v>0.05</v>
      </c>
      <c r="Q164" s="87">
        <v>0.05</v>
      </c>
      <c r="R164" s="87">
        <v>0.05</v>
      </c>
      <c r="S164" s="87">
        <v>0.05</v>
      </c>
      <c r="T164" s="87">
        <v>0.05</v>
      </c>
      <c r="V164" s="63" t="s">
        <v>4466</v>
      </c>
    </row>
    <row r="165" spans="2:22" x14ac:dyDescent="0.25">
      <c r="B165" s="23" t="s">
        <v>744</v>
      </c>
      <c r="C165" s="28" t="s">
        <v>647</v>
      </c>
      <c r="D165" s="44" t="s">
        <v>4442</v>
      </c>
      <c r="F165" s="44" t="s">
        <v>745</v>
      </c>
      <c r="H165" s="86">
        <v>13346.4750536387</v>
      </c>
      <c r="I165" s="86">
        <v>2606.9299999999998</v>
      </c>
      <c r="J165" s="86">
        <v>2685.1379000000002</v>
      </c>
      <c r="K165" s="86">
        <v>2765.6920369999998</v>
      </c>
      <c r="L165" s="86">
        <v>2848.66279811</v>
      </c>
      <c r="M165" s="86">
        <v>2934.1226820533002</v>
      </c>
      <c r="N165" s="86">
        <v>3022.1463625148999</v>
      </c>
      <c r="O165" s="86">
        <v>3112.8107533903499</v>
      </c>
      <c r="P165" s="86">
        <v>3206.1950759920601</v>
      </c>
      <c r="Q165" s="86">
        <v>3302.3809282718198</v>
      </c>
      <c r="R165" s="86">
        <v>3302.3809282718198</v>
      </c>
      <c r="S165" s="86">
        <v>3302.3809282718198</v>
      </c>
      <c r="T165" s="86">
        <v>3302.3809282718198</v>
      </c>
      <c r="V165" s="63" t="s">
        <v>4467</v>
      </c>
    </row>
    <row r="166" spans="2:22" x14ac:dyDescent="0.25">
      <c r="B166" s="23" t="s">
        <v>746</v>
      </c>
      <c r="C166" s="28" t="s">
        <v>292</v>
      </c>
      <c r="D166" s="44" t="s">
        <v>4442</v>
      </c>
      <c r="F166" s="44" t="s">
        <v>747</v>
      </c>
      <c r="H166" s="87">
        <v>0</v>
      </c>
      <c r="I166" s="87">
        <v>0.04</v>
      </c>
      <c r="J166" s="87">
        <v>0.04</v>
      </c>
      <c r="K166" s="87">
        <v>0.04</v>
      </c>
      <c r="L166" s="87">
        <v>0.04</v>
      </c>
      <c r="M166" s="87">
        <v>0.04</v>
      </c>
      <c r="N166" s="87">
        <v>0.04</v>
      </c>
      <c r="O166" s="87">
        <v>0.04</v>
      </c>
      <c r="P166" s="87">
        <v>0.04</v>
      </c>
      <c r="Q166" s="87">
        <v>0.04</v>
      </c>
      <c r="R166" s="87">
        <v>0.04</v>
      </c>
      <c r="S166" s="87">
        <v>0.04</v>
      </c>
      <c r="T166" s="87">
        <v>0.04</v>
      </c>
      <c r="V166" s="63" t="s">
        <v>4468</v>
      </c>
    </row>
    <row r="167" spans="2:22" x14ac:dyDescent="0.25">
      <c r="B167" s="23" t="s">
        <v>748</v>
      </c>
      <c r="C167" s="28" t="s">
        <v>647</v>
      </c>
      <c r="D167" s="44" t="s">
        <v>4442</v>
      </c>
      <c r="F167" s="44" t="s">
        <v>749</v>
      </c>
      <c r="H167" s="86">
        <v>32000</v>
      </c>
      <c r="I167" s="86">
        <v>32960</v>
      </c>
      <c r="J167" s="86">
        <v>33948.800000000003</v>
      </c>
      <c r="K167" s="86">
        <v>34967.264000000003</v>
      </c>
      <c r="L167" s="86">
        <v>36016.281920000001</v>
      </c>
      <c r="M167" s="86">
        <v>37096.770377599998</v>
      </c>
      <c r="N167" s="86">
        <v>38209.673488927998</v>
      </c>
      <c r="O167" s="86">
        <v>39355.963693595899</v>
      </c>
      <c r="P167" s="86">
        <v>40536.6426044037</v>
      </c>
      <c r="Q167" s="86">
        <v>41752.741882535804</v>
      </c>
      <c r="R167" s="86">
        <v>0</v>
      </c>
      <c r="S167" s="86">
        <v>0</v>
      </c>
      <c r="T167" s="86">
        <v>0</v>
      </c>
      <c r="V167" s="63" t="s">
        <v>4469</v>
      </c>
    </row>
    <row r="168" spans="2:22" x14ac:dyDescent="0.25">
      <c r="B168" s="23" t="s">
        <v>751</v>
      </c>
      <c r="C168" s="28" t="s">
        <v>292</v>
      </c>
      <c r="D168" s="44" t="s">
        <v>4442</v>
      </c>
      <c r="F168" s="44" t="s">
        <v>752</v>
      </c>
      <c r="H168" s="87">
        <v>0</v>
      </c>
      <c r="I168" s="87">
        <v>0.04</v>
      </c>
      <c r="J168" s="87">
        <v>0.04</v>
      </c>
      <c r="K168" s="87">
        <v>0.04</v>
      </c>
      <c r="L168" s="87">
        <v>0.04</v>
      </c>
      <c r="M168" s="87">
        <v>0.04</v>
      </c>
      <c r="N168" s="87">
        <v>0.04</v>
      </c>
      <c r="O168" s="87">
        <v>0.04</v>
      </c>
      <c r="P168" s="87">
        <v>0.04</v>
      </c>
      <c r="Q168" s="87">
        <v>0.04</v>
      </c>
      <c r="R168" s="87">
        <v>0.04</v>
      </c>
      <c r="S168" s="87">
        <v>0.04</v>
      </c>
      <c r="T168" s="87">
        <v>0.04</v>
      </c>
      <c r="V168" s="63" t="s">
        <v>4470</v>
      </c>
    </row>
    <row r="169" spans="2:22" x14ac:dyDescent="0.25">
      <c r="B169" s="23" t="s">
        <v>753</v>
      </c>
      <c r="C169" s="28" t="s">
        <v>647</v>
      </c>
      <c r="D169" s="44" t="s">
        <v>4442</v>
      </c>
      <c r="F169" s="44" t="s">
        <v>754</v>
      </c>
      <c r="H169" s="86">
        <v>84400</v>
      </c>
      <c r="I169" s="86">
        <v>86932</v>
      </c>
      <c r="J169" s="86">
        <v>89539.96</v>
      </c>
      <c r="K169" s="86">
        <v>92226.158800000005</v>
      </c>
      <c r="L169" s="86">
        <v>94992.943564000001</v>
      </c>
      <c r="M169" s="86">
        <v>97842.731870920004</v>
      </c>
      <c r="N169" s="86">
        <v>100778.01382704799</v>
      </c>
      <c r="O169" s="86">
        <v>103801.35424185899</v>
      </c>
      <c r="P169" s="86">
        <v>106915.394869115</v>
      </c>
      <c r="Q169" s="86">
        <v>110122.856715188</v>
      </c>
      <c r="R169" s="86">
        <v>110122.856715188</v>
      </c>
      <c r="S169" s="86">
        <v>110122.856715188</v>
      </c>
      <c r="T169" s="86">
        <v>110122.856715188</v>
      </c>
      <c r="V169" s="63" t="s">
        <v>4471</v>
      </c>
    </row>
    <row r="170" spans="2:22" x14ac:dyDescent="0.25">
      <c r="B170" s="23" t="s">
        <v>755</v>
      </c>
      <c r="C170" s="28" t="s">
        <v>292</v>
      </c>
      <c r="D170" s="44" t="s">
        <v>4442</v>
      </c>
      <c r="F170" s="44" t="s">
        <v>756</v>
      </c>
      <c r="H170" s="87">
        <v>0</v>
      </c>
      <c r="I170" s="87">
        <v>0.05</v>
      </c>
      <c r="J170" s="87">
        <v>0.05</v>
      </c>
      <c r="K170" s="87">
        <v>0.05</v>
      </c>
      <c r="L170" s="87">
        <v>0.05</v>
      </c>
      <c r="M170" s="87">
        <v>0.05</v>
      </c>
      <c r="N170" s="87">
        <v>0.05</v>
      </c>
      <c r="O170" s="87">
        <v>0.05</v>
      </c>
      <c r="P170" s="87">
        <v>0.05</v>
      </c>
      <c r="Q170" s="87">
        <v>0.05</v>
      </c>
      <c r="R170" s="87">
        <v>0.05</v>
      </c>
      <c r="S170" s="87">
        <v>0.05</v>
      </c>
      <c r="T170" s="87">
        <v>0.05</v>
      </c>
      <c r="V170" s="63" t="s">
        <v>4472</v>
      </c>
    </row>
    <row r="171" spans="2:22" x14ac:dyDescent="0.25">
      <c r="B171" s="23" t="s">
        <v>757</v>
      </c>
      <c r="C171" s="28" t="s">
        <v>647</v>
      </c>
      <c r="D171" s="44" t="s">
        <v>4442</v>
      </c>
      <c r="F171" s="44" t="s">
        <v>758</v>
      </c>
      <c r="H171" s="86">
        <v>14625.4112024162</v>
      </c>
      <c r="I171" s="86">
        <v>15064.1735384887</v>
      </c>
      <c r="J171" s="86">
        <v>15516.098744643299</v>
      </c>
      <c r="K171" s="86">
        <v>15981.581706982601</v>
      </c>
      <c r="L171" s="86">
        <v>16461.029158192101</v>
      </c>
      <c r="M171" s="86">
        <v>16954.860032937901</v>
      </c>
      <c r="N171" s="86">
        <v>17463.505833925999</v>
      </c>
      <c r="O171" s="86">
        <v>17987.4110089438</v>
      </c>
      <c r="P171" s="86">
        <v>18527.033339212099</v>
      </c>
      <c r="Q171" s="86">
        <v>19082.844339388401</v>
      </c>
      <c r="R171" s="86">
        <v>19082.844339388401</v>
      </c>
      <c r="S171" s="86">
        <v>19082.844339388401</v>
      </c>
      <c r="T171" s="86">
        <v>19082.844339388401</v>
      </c>
      <c r="V171" s="63" t="s">
        <v>4473</v>
      </c>
    </row>
    <row r="172" spans="2:22" x14ac:dyDescent="0.25">
      <c r="B172" s="23" t="s">
        <v>759</v>
      </c>
      <c r="C172" s="28" t="s">
        <v>292</v>
      </c>
      <c r="D172" s="44" t="s">
        <v>4442</v>
      </c>
      <c r="F172" s="44" t="s">
        <v>760</v>
      </c>
      <c r="H172" s="87">
        <v>0</v>
      </c>
      <c r="I172" s="87">
        <v>0.05</v>
      </c>
      <c r="J172" s="87">
        <v>0.05</v>
      </c>
      <c r="K172" s="87">
        <v>0.05</v>
      </c>
      <c r="L172" s="87">
        <v>0.05</v>
      </c>
      <c r="M172" s="87">
        <v>0.05</v>
      </c>
      <c r="N172" s="87">
        <v>0.05</v>
      </c>
      <c r="O172" s="87">
        <v>0.05</v>
      </c>
      <c r="P172" s="87">
        <v>0.05</v>
      </c>
      <c r="Q172" s="87">
        <v>0.05</v>
      </c>
      <c r="R172" s="87">
        <v>0.05</v>
      </c>
      <c r="S172" s="87">
        <v>0.05</v>
      </c>
      <c r="T172" s="87">
        <v>0.05</v>
      </c>
      <c r="V172" s="63" t="s">
        <v>4474</v>
      </c>
    </row>
    <row r="173" spans="2:22" x14ac:dyDescent="0.25">
      <c r="B173" s="23" t="s">
        <v>761</v>
      </c>
      <c r="C173" s="28" t="s">
        <v>647</v>
      </c>
      <c r="D173" s="44" t="s">
        <v>4442</v>
      </c>
      <c r="F173" s="44" t="s">
        <v>762</v>
      </c>
      <c r="H173" s="86">
        <v>6500</v>
      </c>
      <c r="I173" s="86">
        <v>6695</v>
      </c>
      <c r="J173" s="86">
        <v>6895.85</v>
      </c>
      <c r="K173" s="86">
        <v>7102.7254999999996</v>
      </c>
      <c r="L173" s="86">
        <v>7315.8072650000004</v>
      </c>
      <c r="M173" s="86">
        <v>7535.2814829500003</v>
      </c>
      <c r="N173" s="86">
        <v>7761.3399274385001</v>
      </c>
      <c r="O173" s="86">
        <v>7994.1801252616597</v>
      </c>
      <c r="P173" s="86">
        <v>8234.0055290195105</v>
      </c>
      <c r="Q173" s="86">
        <v>8481.0256948900897</v>
      </c>
      <c r="R173" s="86">
        <v>8481.0256948900897</v>
      </c>
      <c r="S173" s="86">
        <v>8481.0256948900897</v>
      </c>
      <c r="T173" s="86">
        <v>8481.0256948900897</v>
      </c>
      <c r="V173" s="63" t="s">
        <v>4475</v>
      </c>
    </row>
    <row r="174" spans="2:22" x14ac:dyDescent="0.25">
      <c r="B174" s="23" t="s">
        <v>763</v>
      </c>
      <c r="C174" s="28" t="s">
        <v>292</v>
      </c>
      <c r="D174" s="44" t="s">
        <v>4442</v>
      </c>
      <c r="F174" s="44" t="s">
        <v>764</v>
      </c>
      <c r="H174" s="87">
        <v>0</v>
      </c>
      <c r="I174" s="87">
        <v>0.05</v>
      </c>
      <c r="J174" s="87">
        <v>0.05</v>
      </c>
      <c r="K174" s="87">
        <v>0.05</v>
      </c>
      <c r="L174" s="87">
        <v>0.05</v>
      </c>
      <c r="M174" s="87">
        <v>0.05</v>
      </c>
      <c r="N174" s="87">
        <v>0.05</v>
      </c>
      <c r="O174" s="87">
        <v>0.05</v>
      </c>
      <c r="P174" s="87">
        <v>0.05</v>
      </c>
      <c r="Q174" s="87">
        <v>0.05</v>
      </c>
      <c r="R174" s="87">
        <v>0.05</v>
      </c>
      <c r="S174" s="87">
        <v>0.05</v>
      </c>
      <c r="T174" s="87">
        <v>0.05</v>
      </c>
      <c r="V174" s="63" t="s">
        <v>4476</v>
      </c>
    </row>
    <row r="175" spans="2:22" x14ac:dyDescent="0.25">
      <c r="B175" s="23" t="s">
        <v>765</v>
      </c>
      <c r="C175" s="28" t="s">
        <v>647</v>
      </c>
      <c r="D175" s="44" t="s">
        <v>4442</v>
      </c>
      <c r="F175" s="44" t="s">
        <v>766</v>
      </c>
      <c r="H175" s="86">
        <v>0</v>
      </c>
      <c r="I175" s="86">
        <v>0</v>
      </c>
      <c r="J175" s="86">
        <v>16189.1782846961</v>
      </c>
      <c r="K175" s="86">
        <v>16674.853633236999</v>
      </c>
      <c r="L175" s="86">
        <v>17175.099242234101</v>
      </c>
      <c r="M175" s="86">
        <v>17690.352219501099</v>
      </c>
      <c r="N175" s="86">
        <v>18221.062786086099</v>
      </c>
      <c r="O175" s="86">
        <v>18767.694669668701</v>
      </c>
      <c r="P175" s="86">
        <v>19330.725509758799</v>
      </c>
      <c r="Q175" s="86">
        <v>19910.6472750516</v>
      </c>
      <c r="R175" s="86">
        <v>19910.6472750516</v>
      </c>
      <c r="S175" s="86">
        <v>19910.6472750516</v>
      </c>
      <c r="T175" s="86">
        <v>19910.6472750516</v>
      </c>
      <c r="V175" s="63" t="s">
        <v>4477</v>
      </c>
    </row>
    <row r="176" spans="2:22" x14ac:dyDescent="0.25">
      <c r="B176" s="23" t="s">
        <v>767</v>
      </c>
      <c r="C176" s="28" t="s">
        <v>292</v>
      </c>
      <c r="D176" s="44" t="s">
        <v>4442</v>
      </c>
      <c r="F176" s="44" t="s">
        <v>768</v>
      </c>
      <c r="H176" s="87">
        <v>0</v>
      </c>
      <c r="I176" s="87">
        <v>0.05</v>
      </c>
      <c r="J176" s="87">
        <v>0.05</v>
      </c>
      <c r="K176" s="87">
        <v>0.05</v>
      </c>
      <c r="L176" s="87">
        <v>0.05</v>
      </c>
      <c r="M176" s="87">
        <v>0.05</v>
      </c>
      <c r="N176" s="87">
        <v>0.05</v>
      </c>
      <c r="O176" s="87">
        <v>0.05</v>
      </c>
      <c r="P176" s="87">
        <v>0.05</v>
      </c>
      <c r="Q176" s="87">
        <v>0.05</v>
      </c>
      <c r="R176" s="87">
        <v>0.05</v>
      </c>
      <c r="S176" s="87">
        <v>0.05</v>
      </c>
      <c r="T176" s="87">
        <v>0.05</v>
      </c>
      <c r="V176" s="63" t="s">
        <v>4478</v>
      </c>
    </row>
    <row r="177" spans="2:22" x14ac:dyDescent="0.25">
      <c r="B177" s="23" t="s">
        <v>769</v>
      </c>
      <c r="C177" s="28" t="s">
        <v>647</v>
      </c>
      <c r="D177" s="44" t="s">
        <v>4442</v>
      </c>
      <c r="F177" s="44" t="s">
        <v>770</v>
      </c>
      <c r="H177" s="86">
        <v>14300.288151726299</v>
      </c>
      <c r="I177" s="86">
        <v>14729.2967962781</v>
      </c>
      <c r="J177" s="86">
        <v>15171.175700166499</v>
      </c>
      <c r="K177" s="86">
        <v>15626.310971171501</v>
      </c>
      <c r="L177" s="86">
        <v>16095.1003003066</v>
      </c>
      <c r="M177" s="86">
        <v>16577.953309315799</v>
      </c>
      <c r="N177" s="86">
        <v>17075.2919085953</v>
      </c>
      <c r="O177" s="86">
        <v>17587.550665853101</v>
      </c>
      <c r="P177" s="86">
        <v>18115.177185828699</v>
      </c>
      <c r="Q177" s="86">
        <v>18658.632501403601</v>
      </c>
      <c r="R177" s="86">
        <v>18658.632501403601</v>
      </c>
      <c r="S177" s="86">
        <v>18658.632501403601</v>
      </c>
      <c r="T177" s="86">
        <v>18658.632501403601</v>
      </c>
      <c r="V177" s="63" t="s">
        <v>4479</v>
      </c>
    </row>
    <row r="178" spans="2:22" x14ac:dyDescent="0.25">
      <c r="B178" s="23" t="s">
        <v>771</v>
      </c>
      <c r="C178" s="28" t="s">
        <v>292</v>
      </c>
      <c r="D178" s="44" t="s">
        <v>4442</v>
      </c>
      <c r="F178" s="44" t="s">
        <v>772</v>
      </c>
      <c r="H178" s="87">
        <v>0</v>
      </c>
      <c r="I178" s="87">
        <v>0.05</v>
      </c>
      <c r="J178" s="87">
        <v>0.05</v>
      </c>
      <c r="K178" s="87">
        <v>0.05</v>
      </c>
      <c r="L178" s="87">
        <v>0.05</v>
      </c>
      <c r="M178" s="87">
        <v>0.05</v>
      </c>
      <c r="N178" s="87">
        <v>0.05</v>
      </c>
      <c r="O178" s="87">
        <v>0.05</v>
      </c>
      <c r="P178" s="87">
        <v>0.05</v>
      </c>
      <c r="Q178" s="87">
        <v>0.05</v>
      </c>
      <c r="R178" s="87">
        <v>0.05</v>
      </c>
      <c r="S178" s="87">
        <v>0.05</v>
      </c>
      <c r="T178" s="87">
        <v>0.05</v>
      </c>
      <c r="V178" s="63" t="s">
        <v>4480</v>
      </c>
    </row>
    <row r="179" spans="2:22" x14ac:dyDescent="0.25">
      <c r="B179" s="23" t="s">
        <v>773</v>
      </c>
      <c r="C179" s="28" t="s">
        <v>647</v>
      </c>
      <c r="D179" s="44" t="s">
        <v>4442</v>
      </c>
      <c r="F179" s="44" t="s">
        <v>774</v>
      </c>
      <c r="H179" s="86">
        <v>0</v>
      </c>
      <c r="I179" s="86">
        <v>0</v>
      </c>
      <c r="J179" s="86">
        <v>16189.1782846961</v>
      </c>
      <c r="K179" s="86">
        <v>16674.853633236999</v>
      </c>
      <c r="L179" s="86">
        <v>17175.099242234101</v>
      </c>
      <c r="M179" s="86">
        <v>17690.352219501099</v>
      </c>
      <c r="N179" s="86">
        <v>18221.062786086099</v>
      </c>
      <c r="O179" s="86">
        <v>18767.694669668701</v>
      </c>
      <c r="P179" s="86">
        <v>19330.725509758799</v>
      </c>
      <c r="Q179" s="86">
        <v>19910.6472750516</v>
      </c>
      <c r="R179" s="86">
        <v>19910.6472750516</v>
      </c>
      <c r="S179" s="86">
        <v>19910.6472750516</v>
      </c>
      <c r="T179" s="86">
        <v>19910.6472750516</v>
      </c>
      <c r="V179" s="63" t="s">
        <v>4481</v>
      </c>
    </row>
    <row r="180" spans="2:22" x14ac:dyDescent="0.25">
      <c r="B180" s="23" t="s">
        <v>775</v>
      </c>
      <c r="C180" s="28" t="s">
        <v>292</v>
      </c>
      <c r="D180" s="44" t="s">
        <v>4442</v>
      </c>
      <c r="F180" s="44" t="s">
        <v>776</v>
      </c>
      <c r="H180" s="87">
        <v>0</v>
      </c>
      <c r="I180" s="87">
        <v>0.05</v>
      </c>
      <c r="J180" s="87">
        <v>0.05</v>
      </c>
      <c r="K180" s="87">
        <v>0.05</v>
      </c>
      <c r="L180" s="87">
        <v>0.05</v>
      </c>
      <c r="M180" s="87">
        <v>0.05</v>
      </c>
      <c r="N180" s="87">
        <v>0.05</v>
      </c>
      <c r="O180" s="87">
        <v>0.05</v>
      </c>
      <c r="P180" s="87">
        <v>0.05</v>
      </c>
      <c r="Q180" s="87">
        <v>0.05</v>
      </c>
      <c r="R180" s="87">
        <v>0.05</v>
      </c>
      <c r="S180" s="87">
        <v>0.05</v>
      </c>
      <c r="T180" s="87">
        <v>0.05</v>
      </c>
      <c r="V180" s="63" t="s">
        <v>4482</v>
      </c>
    </row>
    <row r="181" spans="2:22" x14ac:dyDescent="0.25">
      <c r="B181" s="23" t="s">
        <v>777</v>
      </c>
      <c r="C181" s="28" t="s">
        <v>647</v>
      </c>
      <c r="D181" s="44" t="s">
        <v>4442</v>
      </c>
      <c r="F181" s="44" t="s">
        <v>778</v>
      </c>
      <c r="H181" s="86">
        <v>15259.853223391599</v>
      </c>
      <c r="I181" s="86">
        <v>15717.6488200933</v>
      </c>
      <c r="J181" s="86">
        <v>16189.1782846961</v>
      </c>
      <c r="K181" s="86">
        <v>16674.853633236999</v>
      </c>
      <c r="L181" s="86">
        <v>17175.099242234101</v>
      </c>
      <c r="M181" s="86">
        <v>17690.352219501099</v>
      </c>
      <c r="N181" s="86">
        <v>18221.062786086099</v>
      </c>
      <c r="O181" s="86">
        <v>18767.694669668701</v>
      </c>
      <c r="P181" s="86">
        <v>19330.725509758799</v>
      </c>
      <c r="Q181" s="86">
        <v>19910.6472750516</v>
      </c>
      <c r="R181" s="86">
        <v>19910.6472750516</v>
      </c>
      <c r="S181" s="86">
        <v>19910.6472750516</v>
      </c>
      <c r="T181" s="86">
        <v>19910.6472750516</v>
      </c>
      <c r="V181" s="63" t="s">
        <v>4483</v>
      </c>
    </row>
    <row r="182" spans="2:22" x14ac:dyDescent="0.25">
      <c r="B182" s="23" t="s">
        <v>779</v>
      </c>
      <c r="C182" s="28" t="s">
        <v>493</v>
      </c>
      <c r="D182" s="44" t="s">
        <v>4442</v>
      </c>
      <c r="F182" s="44" t="s">
        <v>780</v>
      </c>
      <c r="H182" s="92">
        <v>4.344148942E-2</v>
      </c>
      <c r="I182" s="92">
        <v>4.344148942E-2</v>
      </c>
      <c r="J182" s="92">
        <v>4.344148942E-2</v>
      </c>
      <c r="K182" s="92">
        <v>4.344148942E-2</v>
      </c>
      <c r="L182" s="92">
        <v>4.344148942E-2</v>
      </c>
      <c r="M182" s="92">
        <v>4.344148942E-2</v>
      </c>
      <c r="N182" s="92">
        <v>4.344148942E-2</v>
      </c>
      <c r="O182" s="92">
        <v>4.344148942E-2</v>
      </c>
      <c r="P182" s="92">
        <v>4.344148942E-2</v>
      </c>
      <c r="Q182" s="92">
        <v>4.344148942E-2</v>
      </c>
      <c r="R182" s="92">
        <v>4.344148942E-2</v>
      </c>
      <c r="S182" s="92">
        <v>4.344148942E-2</v>
      </c>
      <c r="T182" s="92">
        <v>4.344148942E-2</v>
      </c>
      <c r="V182" s="63" t="s">
        <v>4484</v>
      </c>
    </row>
    <row r="183" spans="2:22" x14ac:dyDescent="0.25">
      <c r="B183" s="23" t="s">
        <v>782</v>
      </c>
      <c r="C183" s="28" t="s">
        <v>493</v>
      </c>
      <c r="D183" s="44" t="s">
        <v>4442</v>
      </c>
      <c r="F183" s="44" t="s">
        <v>783</v>
      </c>
      <c r="H183" s="92">
        <v>0.29629731224</v>
      </c>
      <c r="I183" s="92">
        <v>0.29629731224</v>
      </c>
      <c r="J183" s="92">
        <v>0.29629731224</v>
      </c>
      <c r="K183" s="92">
        <v>0.29629731224</v>
      </c>
      <c r="L183" s="92">
        <v>0.29629731224</v>
      </c>
      <c r="M183" s="92">
        <v>0.29629731224</v>
      </c>
      <c r="N183" s="92">
        <v>0.29629731224</v>
      </c>
      <c r="O183" s="92">
        <v>0.29629731224</v>
      </c>
      <c r="P183" s="92">
        <v>0.29629731224</v>
      </c>
      <c r="Q183" s="92">
        <v>0.29629731224</v>
      </c>
      <c r="R183" s="92">
        <v>0.29629731224</v>
      </c>
      <c r="S183" s="92">
        <v>0.29629731224</v>
      </c>
      <c r="T183" s="92">
        <v>0.29629731224</v>
      </c>
      <c r="V183" s="63" t="s">
        <v>4485</v>
      </c>
    </row>
    <row r="184" spans="2:22" x14ac:dyDescent="0.25">
      <c r="B184" s="23" t="s">
        <v>784</v>
      </c>
      <c r="C184" s="28" t="s">
        <v>493</v>
      </c>
      <c r="D184" s="44" t="s">
        <v>4442</v>
      </c>
      <c r="F184" s="44" t="s">
        <v>785</v>
      </c>
      <c r="H184" s="92">
        <v>8.3321613720000007E-2</v>
      </c>
      <c r="I184" s="92">
        <v>8.3321613720000007E-2</v>
      </c>
      <c r="J184" s="92">
        <v>8.3321613720000007E-2</v>
      </c>
      <c r="K184" s="92">
        <v>8.3321613720000007E-2</v>
      </c>
      <c r="L184" s="92">
        <v>8.3321613720000007E-2</v>
      </c>
      <c r="M184" s="92">
        <v>8.3321613720000007E-2</v>
      </c>
      <c r="N184" s="92">
        <v>8.3321613720000007E-2</v>
      </c>
      <c r="O184" s="92">
        <v>8.3321613720000007E-2</v>
      </c>
      <c r="P184" s="92">
        <v>8.3321613720000007E-2</v>
      </c>
      <c r="Q184" s="92">
        <v>8.3321613720000007E-2</v>
      </c>
      <c r="R184" s="92">
        <v>8.3321613720000007E-2</v>
      </c>
      <c r="S184" s="92">
        <v>8.3321613720000007E-2</v>
      </c>
      <c r="T184" s="92">
        <v>8.3321613720000007E-2</v>
      </c>
      <c r="V184" s="63" t="s">
        <v>4486</v>
      </c>
    </row>
    <row r="185" spans="2:22" x14ac:dyDescent="0.25">
      <c r="B185" s="23" t="s">
        <v>786</v>
      </c>
      <c r="C185" s="28" t="s">
        <v>493</v>
      </c>
      <c r="D185" s="44" t="s">
        <v>4442</v>
      </c>
      <c r="F185" s="44" t="s">
        <v>787</v>
      </c>
      <c r="H185" s="92">
        <v>1.6419999970000002E-2</v>
      </c>
      <c r="I185" s="92">
        <v>1.6419999970000002E-2</v>
      </c>
      <c r="J185" s="92">
        <v>1.6419999970000002E-2</v>
      </c>
      <c r="K185" s="92">
        <v>1.6419999970000002E-2</v>
      </c>
      <c r="L185" s="92">
        <v>1.6419999970000002E-2</v>
      </c>
      <c r="M185" s="92">
        <v>1.6419999970000002E-2</v>
      </c>
      <c r="N185" s="92">
        <v>1.6419999970000002E-2</v>
      </c>
      <c r="O185" s="92">
        <v>1.6419999970000002E-2</v>
      </c>
      <c r="P185" s="92">
        <v>1.6419999970000002E-2</v>
      </c>
      <c r="Q185" s="92">
        <v>1.6419999970000002E-2</v>
      </c>
      <c r="R185" s="92">
        <v>1.6419999970000002E-2</v>
      </c>
      <c r="S185" s="92">
        <v>1.6419999970000002E-2</v>
      </c>
      <c r="T185" s="92">
        <v>1.6419999970000002E-2</v>
      </c>
      <c r="V185" s="63" t="s">
        <v>4487</v>
      </c>
    </row>
    <row r="187" spans="2:22" x14ac:dyDescent="0.25">
      <c r="B187" s="58" t="s">
        <v>788</v>
      </c>
      <c r="C187" s="19"/>
      <c r="D187" s="19"/>
      <c r="E187" s="19"/>
      <c r="F187" s="19"/>
      <c r="G187" s="19"/>
      <c r="H187" s="19"/>
      <c r="I187" s="19"/>
      <c r="J187" s="19"/>
      <c r="K187" s="19"/>
      <c r="L187" s="19"/>
      <c r="M187" s="19"/>
      <c r="N187" s="19"/>
      <c r="O187" s="19"/>
      <c r="P187" s="19"/>
      <c r="Q187" s="19"/>
      <c r="R187" s="19"/>
      <c r="S187" s="19"/>
      <c r="T187" s="19"/>
      <c r="U187" s="19"/>
      <c r="V187" s="19"/>
    </row>
    <row r="188" spans="2:22" x14ac:dyDescent="0.25">
      <c r="B188" s="63" t="s">
        <v>789</v>
      </c>
    </row>
    <row r="189" spans="2:22" x14ac:dyDescent="0.25">
      <c r="B189" s="42" t="s">
        <v>790</v>
      </c>
    </row>
    <row r="190" spans="2:22" x14ac:dyDescent="0.25">
      <c r="B190" s="59" t="s">
        <v>791</v>
      </c>
      <c r="C190" s="59" t="s">
        <v>466</v>
      </c>
      <c r="D190" s="59" t="s">
        <v>4429</v>
      </c>
      <c r="E190" s="59" t="s">
        <v>468</v>
      </c>
      <c r="F190" s="59" t="s">
        <v>469</v>
      </c>
      <c r="G190" s="80" t="s">
        <v>611</v>
      </c>
      <c r="H190" s="81">
        <v>2024</v>
      </c>
      <c r="I190" s="81">
        <v>2025</v>
      </c>
      <c r="J190" s="81">
        <v>2026</v>
      </c>
      <c r="K190" s="81">
        <v>2027</v>
      </c>
      <c r="L190" s="81">
        <v>2028</v>
      </c>
      <c r="M190" s="81">
        <v>2029</v>
      </c>
      <c r="N190" s="81">
        <v>2030</v>
      </c>
      <c r="O190" s="81">
        <v>2031</v>
      </c>
      <c r="P190" s="81">
        <v>2032</v>
      </c>
      <c r="Q190" s="81">
        <v>2033</v>
      </c>
      <c r="R190" s="81">
        <v>2034</v>
      </c>
      <c r="S190" s="81">
        <v>2035</v>
      </c>
      <c r="T190" s="81">
        <v>2036</v>
      </c>
      <c r="U190" s="59"/>
      <c r="V190" s="59" t="s">
        <v>4430</v>
      </c>
    </row>
    <row r="191" spans="2:22" x14ac:dyDescent="0.25">
      <c r="B191" s="23" t="s">
        <v>792</v>
      </c>
      <c r="C191" s="28" t="s">
        <v>630</v>
      </c>
      <c r="D191" s="44" t="s">
        <v>4442</v>
      </c>
      <c r="E191" s="86">
        <v>2449985.568</v>
      </c>
      <c r="F191" s="44" t="s">
        <v>793</v>
      </c>
      <c r="V191" s="63" t="s">
        <v>793</v>
      </c>
    </row>
    <row r="192" spans="2:22" x14ac:dyDescent="0.25">
      <c r="B192" s="23" t="s">
        <v>794</v>
      </c>
      <c r="C192" s="28" t="s">
        <v>292</v>
      </c>
      <c r="D192" s="44" t="s">
        <v>4442</v>
      </c>
      <c r="F192" s="44" t="s">
        <v>795</v>
      </c>
      <c r="H192" s="87">
        <v>0</v>
      </c>
      <c r="I192" s="87">
        <v>0.03</v>
      </c>
      <c r="J192" s="87">
        <v>0.03</v>
      </c>
      <c r="K192" s="87">
        <v>0.03</v>
      </c>
      <c r="L192" s="87">
        <v>0.03</v>
      </c>
      <c r="M192" s="87">
        <v>0.03</v>
      </c>
      <c r="N192" s="87">
        <v>0.03</v>
      </c>
      <c r="O192" s="87">
        <v>0.03</v>
      </c>
      <c r="P192" s="87">
        <v>0.03</v>
      </c>
      <c r="Q192" s="87">
        <v>0.03</v>
      </c>
      <c r="R192" s="87">
        <v>0.03</v>
      </c>
      <c r="S192" s="87">
        <v>0.03</v>
      </c>
      <c r="T192" s="87">
        <v>0.03</v>
      </c>
      <c r="V192" s="63" t="s">
        <v>4488</v>
      </c>
    </row>
    <row r="193" spans="2:22" x14ac:dyDescent="0.25">
      <c r="B193" s="23" t="s">
        <v>796</v>
      </c>
      <c r="C193" s="28" t="s">
        <v>647</v>
      </c>
      <c r="D193" s="44" t="s">
        <v>4442</v>
      </c>
      <c r="F193" s="44" t="s">
        <v>797</v>
      </c>
      <c r="H193" s="86">
        <v>0</v>
      </c>
      <c r="I193" s="86">
        <v>40944</v>
      </c>
      <c r="J193" s="86">
        <v>40944</v>
      </c>
      <c r="K193" s="86">
        <v>49132.800000000003</v>
      </c>
      <c r="L193" s="86">
        <v>49132.800000000003</v>
      </c>
      <c r="M193" s="86">
        <v>54046.080000000002</v>
      </c>
      <c r="N193" s="86">
        <v>54046.080000000002</v>
      </c>
      <c r="O193" s="86">
        <v>57288.844799999999</v>
      </c>
      <c r="P193" s="86">
        <v>57288.844799999999</v>
      </c>
      <c r="Q193" s="86">
        <v>60726.175488000001</v>
      </c>
      <c r="R193" s="86">
        <v>60726.175488000001</v>
      </c>
      <c r="S193" s="86">
        <v>60726.175488000001</v>
      </c>
      <c r="T193" s="86">
        <v>60726.175488000001</v>
      </c>
      <c r="V193" s="63" t="s">
        <v>4489</v>
      </c>
    </row>
    <row r="194" spans="2:22" x14ac:dyDescent="0.25">
      <c r="B194" s="23" t="s">
        <v>798</v>
      </c>
      <c r="C194" s="28" t="s">
        <v>799</v>
      </c>
      <c r="D194" s="44" t="s">
        <v>4442</v>
      </c>
      <c r="F194" s="44" t="s">
        <v>800</v>
      </c>
      <c r="H194" s="87">
        <v>0.2</v>
      </c>
      <c r="I194" s="87">
        <v>0.2</v>
      </c>
      <c r="J194" s="87">
        <v>0.2</v>
      </c>
      <c r="K194" s="87">
        <v>0.2</v>
      </c>
      <c r="L194" s="87">
        <v>0.2</v>
      </c>
      <c r="M194" s="87">
        <v>0.2</v>
      </c>
      <c r="N194" s="87">
        <v>0.2</v>
      </c>
      <c r="O194" s="87">
        <v>0.2</v>
      </c>
      <c r="P194" s="87">
        <v>0.2</v>
      </c>
      <c r="Q194" s="87">
        <v>0.2</v>
      </c>
      <c r="R194" s="87">
        <v>0.2</v>
      </c>
      <c r="S194" s="87">
        <v>0.2</v>
      </c>
      <c r="T194" s="87">
        <v>0.2</v>
      </c>
      <c r="V194" s="63" t="s">
        <v>4490</v>
      </c>
    </row>
    <row r="195" spans="2:22" x14ac:dyDescent="0.25">
      <c r="B195" s="23" t="s">
        <v>801</v>
      </c>
      <c r="C195" s="28" t="s">
        <v>802</v>
      </c>
      <c r="D195" s="44" t="s">
        <v>4442</v>
      </c>
      <c r="F195" s="44" t="s">
        <v>803</v>
      </c>
      <c r="H195" s="93">
        <v>5.0000000000000001E-3</v>
      </c>
      <c r="I195" s="93">
        <v>5.0000000000000001E-3</v>
      </c>
      <c r="J195" s="93">
        <v>5.0000000000000001E-3</v>
      </c>
      <c r="K195" s="93">
        <v>5.0000000000000001E-3</v>
      </c>
      <c r="L195" s="93">
        <v>5.0000000000000001E-3</v>
      </c>
      <c r="M195" s="93">
        <v>5.0000000000000001E-3</v>
      </c>
      <c r="N195" s="93">
        <v>5.0000000000000001E-3</v>
      </c>
      <c r="O195" s="93">
        <v>5.0000000000000001E-3</v>
      </c>
      <c r="P195" s="93">
        <v>5.0000000000000001E-3</v>
      </c>
      <c r="Q195" s="93">
        <v>5.0000000000000001E-3</v>
      </c>
      <c r="R195" s="93">
        <v>5.0000000000000001E-3</v>
      </c>
      <c r="S195" s="93">
        <v>5.0000000000000001E-3</v>
      </c>
      <c r="T195" s="93">
        <v>5.0000000000000001E-3</v>
      </c>
      <c r="V195" s="63" t="s">
        <v>4491</v>
      </c>
    </row>
    <row r="196" spans="2:22" x14ac:dyDescent="0.25">
      <c r="B196" s="23" t="s">
        <v>805</v>
      </c>
      <c r="C196" s="28" t="s">
        <v>806</v>
      </c>
      <c r="D196" s="44" t="s">
        <v>4442</v>
      </c>
      <c r="E196" s="94">
        <v>12.8</v>
      </c>
      <c r="F196" s="44" t="s">
        <v>807</v>
      </c>
      <c r="V196" s="63" t="s">
        <v>4492</v>
      </c>
    </row>
    <row r="197" spans="2:22" ht="26.25" customHeight="1" x14ac:dyDescent="0.25">
      <c r="B197" s="64" t="s">
        <v>809</v>
      </c>
      <c r="C197" s="28" t="s">
        <v>810</v>
      </c>
      <c r="D197" s="44" t="s">
        <v>4448</v>
      </c>
      <c r="F197" s="44" t="s">
        <v>811</v>
      </c>
      <c r="G197" s="96">
        <v>0.78125</v>
      </c>
      <c r="H197" s="96">
        <v>0.1796875</v>
      </c>
      <c r="I197" s="96">
        <v>3.90625E-2</v>
      </c>
      <c r="J197" s="96">
        <v>0</v>
      </c>
      <c r="K197" s="96">
        <v>0</v>
      </c>
      <c r="L197" s="96">
        <v>0</v>
      </c>
      <c r="M197" s="96">
        <v>0</v>
      </c>
      <c r="N197" s="96">
        <v>0</v>
      </c>
      <c r="O197" s="96">
        <v>0</v>
      </c>
      <c r="P197" s="96">
        <v>0</v>
      </c>
      <c r="Q197" s="96">
        <v>0</v>
      </c>
      <c r="R197" s="96">
        <v>0</v>
      </c>
      <c r="S197" s="96">
        <v>0</v>
      </c>
      <c r="T197" s="96">
        <v>0</v>
      </c>
      <c r="V197" s="63" t="s">
        <v>4493</v>
      </c>
    </row>
    <row r="198" spans="2:22" x14ac:dyDescent="0.25">
      <c r="B198" s="23" t="s">
        <v>813</v>
      </c>
      <c r="C198" s="28" t="s">
        <v>292</v>
      </c>
      <c r="D198" s="44" t="s">
        <v>4442</v>
      </c>
      <c r="E198" s="87">
        <v>0.52678707711330697</v>
      </c>
      <c r="F198" s="44" t="s">
        <v>814</v>
      </c>
      <c r="V198" s="63" t="s">
        <v>814</v>
      </c>
    </row>
    <row r="199" spans="2:22" x14ac:dyDescent="0.25">
      <c r="B199" s="23" t="s">
        <v>815</v>
      </c>
      <c r="C199" s="28" t="s">
        <v>816</v>
      </c>
      <c r="D199" s="44" t="s">
        <v>4442</v>
      </c>
      <c r="E199" s="74">
        <v>20</v>
      </c>
      <c r="F199" s="44" t="s">
        <v>817</v>
      </c>
      <c r="V199" s="63" t="s">
        <v>817</v>
      </c>
    </row>
    <row r="200" spans="2:22" x14ac:dyDescent="0.25">
      <c r="B200" s="23" t="s">
        <v>818</v>
      </c>
      <c r="C200" s="28" t="s">
        <v>816</v>
      </c>
      <c r="D200" s="44" t="s">
        <v>4442</v>
      </c>
      <c r="E200" s="74">
        <v>8</v>
      </c>
      <c r="F200" s="44" t="s">
        <v>819</v>
      </c>
      <c r="V200" s="63" t="s">
        <v>819</v>
      </c>
    </row>
    <row r="201" spans="2:22" x14ac:dyDescent="0.25">
      <c r="B201" s="63" t="s">
        <v>820</v>
      </c>
    </row>
    <row r="202" spans="2:22" x14ac:dyDescent="0.25">
      <c r="B202" s="42" t="s">
        <v>821</v>
      </c>
    </row>
    <row r="203" spans="2:22" x14ac:dyDescent="0.25">
      <c r="B203" s="59" t="s">
        <v>822</v>
      </c>
      <c r="C203" s="59" t="s">
        <v>466</v>
      </c>
      <c r="D203" s="59" t="s">
        <v>4429</v>
      </c>
      <c r="E203" s="59" t="s">
        <v>468</v>
      </c>
      <c r="F203" s="59" t="s">
        <v>469</v>
      </c>
      <c r="G203" s="80" t="s">
        <v>611</v>
      </c>
      <c r="H203" s="81">
        <v>2024</v>
      </c>
      <c r="I203" s="81">
        <v>2025</v>
      </c>
      <c r="J203" s="81">
        <v>2026</v>
      </c>
      <c r="K203" s="81">
        <v>2027</v>
      </c>
      <c r="L203" s="81">
        <v>2028</v>
      </c>
      <c r="M203" s="81">
        <v>2029</v>
      </c>
      <c r="N203" s="81">
        <v>2030</v>
      </c>
      <c r="O203" s="81">
        <v>2031</v>
      </c>
      <c r="P203" s="81">
        <v>2032</v>
      </c>
      <c r="Q203" s="81">
        <v>2033</v>
      </c>
      <c r="R203" s="81">
        <v>2034</v>
      </c>
      <c r="S203" s="81">
        <v>2035</v>
      </c>
      <c r="T203" s="81">
        <v>2036</v>
      </c>
      <c r="U203" s="59"/>
      <c r="V203" s="59" t="s">
        <v>4430</v>
      </c>
    </row>
    <row r="204" spans="2:22" x14ac:dyDescent="0.25">
      <c r="B204" s="23" t="s">
        <v>823</v>
      </c>
      <c r="C204" s="28" t="s">
        <v>630</v>
      </c>
      <c r="D204" s="44" t="s">
        <v>4442</v>
      </c>
      <c r="E204" s="86">
        <v>2100000</v>
      </c>
      <c r="F204" s="44" t="s">
        <v>824</v>
      </c>
      <c r="V204" s="63" t="s">
        <v>824</v>
      </c>
    </row>
    <row r="205" spans="2:22" x14ac:dyDescent="0.25">
      <c r="B205" s="23" t="s">
        <v>794</v>
      </c>
      <c r="C205" s="28" t="s">
        <v>292</v>
      </c>
      <c r="D205" s="44" t="s">
        <v>4442</v>
      </c>
      <c r="F205" s="44" t="s">
        <v>825</v>
      </c>
      <c r="H205" s="87">
        <v>0</v>
      </c>
      <c r="I205" s="87">
        <v>0.03</v>
      </c>
      <c r="J205" s="87">
        <v>0.03</v>
      </c>
      <c r="K205" s="87">
        <v>0.03</v>
      </c>
      <c r="L205" s="87">
        <v>0.03</v>
      </c>
      <c r="M205" s="87">
        <v>0.03</v>
      </c>
      <c r="N205" s="87">
        <v>0.03</v>
      </c>
      <c r="O205" s="87">
        <v>0.03</v>
      </c>
      <c r="P205" s="87">
        <v>0.03</v>
      </c>
      <c r="Q205" s="87">
        <v>0.03</v>
      </c>
      <c r="R205" s="87">
        <v>0.03</v>
      </c>
      <c r="S205" s="87">
        <v>0.03</v>
      </c>
      <c r="T205" s="87">
        <v>0.03</v>
      </c>
      <c r="V205" s="63" t="s">
        <v>4494</v>
      </c>
    </row>
    <row r="206" spans="2:22" x14ac:dyDescent="0.25">
      <c r="B206" s="23" t="s">
        <v>796</v>
      </c>
      <c r="C206" s="28" t="s">
        <v>647</v>
      </c>
      <c r="D206" s="44" t="s">
        <v>4442</v>
      </c>
      <c r="F206" s="44" t="s">
        <v>826</v>
      </c>
      <c r="H206" s="86">
        <v>0</v>
      </c>
      <c r="I206" s="86">
        <v>15000</v>
      </c>
      <c r="J206" s="86">
        <v>15000</v>
      </c>
      <c r="K206" s="86">
        <v>15000</v>
      </c>
      <c r="L206" s="86">
        <v>15000</v>
      </c>
      <c r="M206" s="86">
        <v>15000</v>
      </c>
      <c r="N206" s="86">
        <v>15000</v>
      </c>
      <c r="O206" s="86">
        <v>15000</v>
      </c>
      <c r="P206" s="86">
        <v>15000</v>
      </c>
      <c r="Q206" s="86">
        <v>15000</v>
      </c>
      <c r="R206" s="86">
        <v>15000</v>
      </c>
      <c r="S206" s="86">
        <v>15000</v>
      </c>
      <c r="T206" s="86">
        <v>15000</v>
      </c>
      <c r="V206" s="63" t="s">
        <v>4495</v>
      </c>
    </row>
    <row r="207" spans="2:22" x14ac:dyDescent="0.25">
      <c r="B207" s="23" t="s">
        <v>827</v>
      </c>
      <c r="C207" s="28" t="s">
        <v>292</v>
      </c>
      <c r="D207" s="44" t="s">
        <v>4442</v>
      </c>
      <c r="F207" s="44" t="s">
        <v>828</v>
      </c>
      <c r="H207" s="87">
        <v>0.3</v>
      </c>
      <c r="I207" s="87">
        <v>0.3</v>
      </c>
      <c r="J207" s="87">
        <v>0.3</v>
      </c>
      <c r="K207" s="87">
        <v>0.3</v>
      </c>
      <c r="L207" s="87">
        <v>0.3</v>
      </c>
      <c r="M207" s="87">
        <v>0.3</v>
      </c>
      <c r="N207" s="87">
        <v>0.3</v>
      </c>
      <c r="O207" s="87">
        <v>0.3</v>
      </c>
      <c r="P207" s="87">
        <v>0.3</v>
      </c>
      <c r="Q207" s="87">
        <v>0.3</v>
      </c>
      <c r="R207" s="87">
        <v>0.3</v>
      </c>
      <c r="S207" s="87">
        <v>0.3</v>
      </c>
      <c r="T207" s="87">
        <v>0.3</v>
      </c>
      <c r="V207" s="63" t="s">
        <v>4496</v>
      </c>
    </row>
    <row r="208" spans="2:22" x14ac:dyDescent="0.25">
      <c r="B208" s="23" t="s">
        <v>829</v>
      </c>
      <c r="C208" s="28" t="s">
        <v>292</v>
      </c>
      <c r="D208" s="44" t="s">
        <v>4442</v>
      </c>
      <c r="F208" s="44" t="s">
        <v>830</v>
      </c>
      <c r="H208" s="87">
        <v>0.3</v>
      </c>
      <c r="I208" s="87">
        <v>0.3</v>
      </c>
      <c r="J208" s="87">
        <v>0.3</v>
      </c>
      <c r="K208" s="87">
        <v>0.3</v>
      </c>
      <c r="L208" s="87">
        <v>0.3</v>
      </c>
      <c r="M208" s="87">
        <v>0.3</v>
      </c>
      <c r="N208" s="87">
        <v>0.3</v>
      </c>
      <c r="O208" s="87">
        <v>0.3</v>
      </c>
      <c r="P208" s="87">
        <v>0.3</v>
      </c>
      <c r="Q208" s="87">
        <v>0.3</v>
      </c>
      <c r="R208" s="87">
        <v>0.3</v>
      </c>
      <c r="S208" s="87">
        <v>0.3</v>
      </c>
      <c r="T208" s="87">
        <v>0.3</v>
      </c>
      <c r="V208" s="63" t="s">
        <v>4497</v>
      </c>
    </row>
    <row r="209" spans="2:22" x14ac:dyDescent="0.25">
      <c r="B209" s="23" t="s">
        <v>801</v>
      </c>
      <c r="C209" s="28" t="s">
        <v>802</v>
      </c>
      <c r="D209" s="44" t="s">
        <v>4442</v>
      </c>
      <c r="F209" s="44" t="s">
        <v>831</v>
      </c>
      <c r="H209" s="93">
        <v>5.0000000000000001E-3</v>
      </c>
      <c r="I209" s="93">
        <v>5.0000000000000001E-3</v>
      </c>
      <c r="J209" s="93">
        <v>5.0000000000000001E-3</v>
      </c>
      <c r="K209" s="93">
        <v>5.0000000000000001E-3</v>
      </c>
      <c r="L209" s="93">
        <v>5.0000000000000001E-3</v>
      </c>
      <c r="M209" s="93">
        <v>5.0000000000000001E-3</v>
      </c>
      <c r="N209" s="93">
        <v>5.0000000000000001E-3</v>
      </c>
      <c r="O209" s="93">
        <v>5.0000000000000001E-3</v>
      </c>
      <c r="P209" s="93">
        <v>5.0000000000000001E-3</v>
      </c>
      <c r="Q209" s="93">
        <v>5.0000000000000001E-3</v>
      </c>
      <c r="R209" s="93">
        <v>5.0000000000000001E-3</v>
      </c>
      <c r="S209" s="93">
        <v>5.0000000000000001E-3</v>
      </c>
      <c r="T209" s="93">
        <v>5.0000000000000001E-3</v>
      </c>
      <c r="V209" s="63" t="s">
        <v>4498</v>
      </c>
    </row>
    <row r="210" spans="2:22" x14ac:dyDescent="0.25">
      <c r="B210" s="23" t="s">
        <v>832</v>
      </c>
      <c r="C210" s="28" t="s">
        <v>806</v>
      </c>
      <c r="D210" s="44" t="s">
        <v>4442</v>
      </c>
      <c r="E210" s="94">
        <v>8</v>
      </c>
      <c r="F210" s="44" t="s">
        <v>833</v>
      </c>
      <c r="V210" s="63" t="s">
        <v>4499</v>
      </c>
    </row>
    <row r="211" spans="2:22" ht="26.25" customHeight="1" x14ac:dyDescent="0.25">
      <c r="B211" s="64" t="s">
        <v>835</v>
      </c>
      <c r="C211" s="28" t="s">
        <v>810</v>
      </c>
      <c r="D211" s="44" t="s">
        <v>4448</v>
      </c>
      <c r="F211" s="44" t="s">
        <v>836</v>
      </c>
      <c r="G211" s="96">
        <v>0.27500000000000002</v>
      </c>
      <c r="H211" s="96">
        <v>0.67500000000000004</v>
      </c>
      <c r="I211" s="96">
        <v>0.05</v>
      </c>
      <c r="J211" s="96">
        <v>0</v>
      </c>
      <c r="K211" s="96">
        <v>0</v>
      </c>
      <c r="L211" s="96">
        <v>0</v>
      </c>
      <c r="M211" s="96">
        <v>0</v>
      </c>
      <c r="N211" s="96">
        <v>0</v>
      </c>
      <c r="O211" s="96">
        <v>0</v>
      </c>
      <c r="P211" s="96">
        <v>0</v>
      </c>
      <c r="Q211" s="96">
        <v>0</v>
      </c>
      <c r="R211" s="96">
        <v>0</v>
      </c>
      <c r="S211" s="96">
        <v>0</v>
      </c>
      <c r="T211" s="96">
        <v>0</v>
      </c>
      <c r="V211" s="63" t="s">
        <v>4500</v>
      </c>
    </row>
    <row r="212" spans="2:22" x14ac:dyDescent="0.25">
      <c r="B212" s="23" t="s">
        <v>837</v>
      </c>
      <c r="C212" s="28" t="s">
        <v>292</v>
      </c>
      <c r="D212" s="44" t="s">
        <v>4442</v>
      </c>
      <c r="E212" s="87">
        <v>0.90634083357247697</v>
      </c>
      <c r="F212" s="44" t="s">
        <v>838</v>
      </c>
      <c r="V212" s="63" t="s">
        <v>838</v>
      </c>
    </row>
    <row r="213" spans="2:22" x14ac:dyDescent="0.25">
      <c r="B213" s="23" t="s">
        <v>839</v>
      </c>
      <c r="C213" s="28" t="s">
        <v>816</v>
      </c>
      <c r="D213" s="44" t="s">
        <v>4442</v>
      </c>
      <c r="E213" s="74">
        <v>20</v>
      </c>
      <c r="F213" s="44" t="s">
        <v>840</v>
      </c>
      <c r="V213" s="63" t="s">
        <v>840</v>
      </c>
    </row>
    <row r="214" spans="2:22" x14ac:dyDescent="0.25">
      <c r="B214" s="23" t="s">
        <v>841</v>
      </c>
      <c r="C214" s="28" t="s">
        <v>816</v>
      </c>
      <c r="D214" s="44" t="s">
        <v>4442</v>
      </c>
      <c r="E214" s="74">
        <v>8</v>
      </c>
      <c r="F214" s="44" t="s">
        <v>842</v>
      </c>
      <c r="V214" s="63" t="s">
        <v>842</v>
      </c>
    </row>
    <row r="215" spans="2:22" x14ac:dyDescent="0.25">
      <c r="B215" s="42" t="s">
        <v>843</v>
      </c>
    </row>
    <row r="216" spans="2:22" x14ac:dyDescent="0.25">
      <c r="B216" s="59" t="s">
        <v>844</v>
      </c>
      <c r="C216" s="59" t="s">
        <v>466</v>
      </c>
      <c r="D216" s="59" t="s">
        <v>4429</v>
      </c>
      <c r="E216" s="59" t="s">
        <v>468</v>
      </c>
      <c r="F216" s="59" t="s">
        <v>469</v>
      </c>
      <c r="G216" s="80" t="s">
        <v>628</v>
      </c>
      <c r="H216" s="81">
        <v>2024</v>
      </c>
      <c r="I216" s="81">
        <v>2025</v>
      </c>
      <c r="J216" s="81">
        <v>2026</v>
      </c>
      <c r="K216" s="81">
        <v>2027</v>
      </c>
      <c r="L216" s="81">
        <v>2028</v>
      </c>
      <c r="M216" s="81">
        <v>2029</v>
      </c>
      <c r="N216" s="81">
        <v>2030</v>
      </c>
      <c r="O216" s="81">
        <v>2031</v>
      </c>
      <c r="P216" s="81">
        <v>2032</v>
      </c>
      <c r="Q216" s="81">
        <v>2033</v>
      </c>
      <c r="R216" s="81">
        <v>2034</v>
      </c>
      <c r="S216" s="81">
        <v>2035</v>
      </c>
      <c r="T216" s="81">
        <v>2036</v>
      </c>
      <c r="U216" s="59"/>
      <c r="V216" s="59" t="s">
        <v>4430</v>
      </c>
    </row>
    <row r="217" spans="2:22" x14ac:dyDescent="0.25">
      <c r="B217" s="23" t="s">
        <v>845</v>
      </c>
      <c r="C217" s="28" t="s">
        <v>630</v>
      </c>
      <c r="D217" s="44" t="s">
        <v>4442</v>
      </c>
      <c r="E217" s="86">
        <v>1700000</v>
      </c>
      <c r="F217" s="44" t="s">
        <v>846</v>
      </c>
      <c r="V217" s="63" t="s">
        <v>4501</v>
      </c>
    </row>
    <row r="218" spans="2:22" x14ac:dyDescent="0.25">
      <c r="B218" s="23" t="s">
        <v>848</v>
      </c>
      <c r="C218" s="28" t="s">
        <v>292</v>
      </c>
      <c r="D218" s="44" t="s">
        <v>4442</v>
      </c>
      <c r="E218" s="87">
        <v>0.49</v>
      </c>
      <c r="F218" s="44" t="s">
        <v>849</v>
      </c>
      <c r="V218" s="63" t="s">
        <v>4502</v>
      </c>
    </row>
    <row r="219" spans="2:22" x14ac:dyDescent="0.25">
      <c r="B219" s="23" t="s">
        <v>851</v>
      </c>
      <c r="C219" s="28" t="s">
        <v>292</v>
      </c>
      <c r="D219" s="44" t="s">
        <v>4442</v>
      </c>
      <c r="F219" s="44" t="s">
        <v>852</v>
      </c>
      <c r="H219" s="87">
        <v>0</v>
      </c>
      <c r="I219" s="87">
        <v>0</v>
      </c>
      <c r="J219" s="87">
        <v>0.03</v>
      </c>
      <c r="K219" s="87">
        <v>0.03</v>
      </c>
      <c r="L219" s="87">
        <v>0.03</v>
      </c>
      <c r="M219" s="87">
        <v>0.03</v>
      </c>
      <c r="N219" s="87">
        <v>0.03</v>
      </c>
      <c r="O219" s="87">
        <v>0.03</v>
      </c>
      <c r="P219" s="87">
        <v>0.03</v>
      </c>
      <c r="Q219" s="87">
        <v>0.03</v>
      </c>
      <c r="R219" s="87">
        <v>0.03</v>
      </c>
      <c r="S219" s="87">
        <v>0.03</v>
      </c>
      <c r="T219" s="87">
        <v>0.03</v>
      </c>
      <c r="V219" s="63" t="s">
        <v>4503</v>
      </c>
    </row>
    <row r="220" spans="2:22" x14ac:dyDescent="0.25">
      <c r="B220" s="23" t="s">
        <v>853</v>
      </c>
      <c r="C220" s="28" t="s">
        <v>647</v>
      </c>
      <c r="D220" s="44" t="s">
        <v>4442</v>
      </c>
      <c r="F220" s="44" t="s">
        <v>854</v>
      </c>
      <c r="H220" s="86">
        <v>28000</v>
      </c>
      <c r="I220" s="86">
        <v>28000</v>
      </c>
      <c r="J220" s="86">
        <v>28000</v>
      </c>
      <c r="K220" s="86">
        <v>28000</v>
      </c>
      <c r="L220" s="86">
        <v>28000</v>
      </c>
      <c r="M220" s="86">
        <v>28000</v>
      </c>
      <c r="N220" s="86">
        <v>28000</v>
      </c>
      <c r="O220" s="86">
        <v>28000</v>
      </c>
      <c r="P220" s="86">
        <v>28000</v>
      </c>
      <c r="Q220" s="86">
        <v>28000</v>
      </c>
      <c r="R220" s="86">
        <v>28000</v>
      </c>
      <c r="S220" s="86">
        <v>28000</v>
      </c>
      <c r="T220" s="86">
        <v>28000</v>
      </c>
      <c r="V220" s="63" t="s">
        <v>4504</v>
      </c>
    </row>
    <row r="221" spans="2:22" x14ac:dyDescent="0.25">
      <c r="B221" s="23" t="s">
        <v>855</v>
      </c>
      <c r="C221" s="28" t="s">
        <v>647</v>
      </c>
      <c r="D221" s="44" t="s">
        <v>4442</v>
      </c>
      <c r="F221" s="44" t="s">
        <v>856</v>
      </c>
      <c r="H221" s="86">
        <v>7000</v>
      </c>
      <c r="I221" s="86">
        <v>7000</v>
      </c>
      <c r="J221" s="86">
        <v>7000</v>
      </c>
      <c r="K221" s="86">
        <v>7000</v>
      </c>
      <c r="L221" s="86">
        <v>7000</v>
      </c>
      <c r="M221" s="86">
        <v>7000</v>
      </c>
      <c r="N221" s="86">
        <v>7000</v>
      </c>
      <c r="O221" s="86">
        <v>7000</v>
      </c>
      <c r="P221" s="86">
        <v>7000</v>
      </c>
      <c r="Q221" s="86">
        <v>7000</v>
      </c>
      <c r="R221" s="86">
        <v>7000</v>
      </c>
      <c r="S221" s="86">
        <v>7000</v>
      </c>
      <c r="T221" s="86">
        <v>7000</v>
      </c>
      <c r="V221" s="63" t="s">
        <v>4505</v>
      </c>
    </row>
    <row r="222" spans="2:22" x14ac:dyDescent="0.25">
      <c r="B222" s="23" t="s">
        <v>857</v>
      </c>
      <c r="C222" s="28" t="s">
        <v>647</v>
      </c>
      <c r="D222" s="44" t="s">
        <v>4442</v>
      </c>
      <c r="F222" s="44" t="s">
        <v>858</v>
      </c>
      <c r="H222" s="86">
        <v>25000</v>
      </c>
      <c r="I222" s="86">
        <v>25000</v>
      </c>
      <c r="J222" s="86">
        <v>25000</v>
      </c>
      <c r="K222" s="86">
        <v>25000</v>
      </c>
      <c r="L222" s="86">
        <v>25000</v>
      </c>
      <c r="M222" s="86">
        <v>25000</v>
      </c>
      <c r="N222" s="86">
        <v>25000</v>
      </c>
      <c r="O222" s="86">
        <v>25000</v>
      </c>
      <c r="P222" s="86">
        <v>25000</v>
      </c>
      <c r="Q222" s="86">
        <v>25000</v>
      </c>
      <c r="R222" s="86">
        <v>25000</v>
      </c>
      <c r="S222" s="86">
        <v>25000</v>
      </c>
      <c r="T222" s="86">
        <v>25000</v>
      </c>
      <c r="V222" s="63" t="s">
        <v>4506</v>
      </c>
    </row>
    <row r="223" spans="2:22" x14ac:dyDescent="0.25">
      <c r="B223" s="23" t="s">
        <v>859</v>
      </c>
      <c r="C223" s="28" t="s">
        <v>860</v>
      </c>
      <c r="D223" s="44" t="s">
        <v>4442</v>
      </c>
      <c r="F223" s="44" t="s">
        <v>861</v>
      </c>
      <c r="H223" s="87">
        <v>0.1</v>
      </c>
      <c r="I223" s="87">
        <v>0.1</v>
      </c>
      <c r="J223" s="87">
        <v>0.1</v>
      </c>
      <c r="K223" s="87">
        <v>0.1</v>
      </c>
      <c r="L223" s="87">
        <v>0.1</v>
      </c>
      <c r="M223" s="87">
        <v>0.1</v>
      </c>
      <c r="N223" s="87">
        <v>0.1</v>
      </c>
      <c r="O223" s="87">
        <v>0.1</v>
      </c>
      <c r="P223" s="87">
        <v>0.1</v>
      </c>
      <c r="Q223" s="87">
        <v>0.1</v>
      </c>
      <c r="R223" s="87">
        <v>0.1</v>
      </c>
      <c r="S223" s="87">
        <v>0.1</v>
      </c>
      <c r="T223" s="87">
        <v>0.1</v>
      </c>
      <c r="V223" s="63" t="s">
        <v>4507</v>
      </c>
    </row>
    <row r="224" spans="2:22" x14ac:dyDescent="0.25">
      <c r="B224" s="23" t="s">
        <v>862</v>
      </c>
      <c r="C224" s="28" t="s">
        <v>860</v>
      </c>
      <c r="D224" s="44" t="s">
        <v>4442</v>
      </c>
      <c r="F224" s="44" t="s">
        <v>863</v>
      </c>
      <c r="H224" s="87">
        <v>0.5</v>
      </c>
      <c r="I224" s="87">
        <v>0.5</v>
      </c>
      <c r="J224" s="87">
        <v>0.5</v>
      </c>
      <c r="K224" s="87">
        <v>0.5</v>
      </c>
      <c r="L224" s="87">
        <v>0.5</v>
      </c>
      <c r="M224" s="87">
        <v>0.5</v>
      </c>
      <c r="N224" s="87">
        <v>0.5</v>
      </c>
      <c r="O224" s="87">
        <v>0.5</v>
      </c>
      <c r="P224" s="87">
        <v>0.5</v>
      </c>
      <c r="Q224" s="87">
        <v>0.5</v>
      </c>
      <c r="R224" s="87">
        <v>0.5</v>
      </c>
      <c r="S224" s="87">
        <v>0.5</v>
      </c>
      <c r="T224" s="87">
        <v>0.5</v>
      </c>
      <c r="V224" s="63" t="s">
        <v>4508</v>
      </c>
    </row>
    <row r="225" spans="2:22" x14ac:dyDescent="0.25">
      <c r="B225" s="23" t="s">
        <v>865</v>
      </c>
      <c r="C225" s="28" t="s">
        <v>806</v>
      </c>
      <c r="D225" s="44" t="s">
        <v>4442</v>
      </c>
      <c r="E225" s="94">
        <v>6.0245926836766097</v>
      </c>
      <c r="F225" s="44" t="s">
        <v>866</v>
      </c>
      <c r="V225" s="63" t="s">
        <v>4509</v>
      </c>
    </row>
    <row r="226" spans="2:22" ht="26.25" customHeight="1" x14ac:dyDescent="0.25">
      <c r="B226" s="64" t="s">
        <v>868</v>
      </c>
      <c r="C226" s="28" t="s">
        <v>810</v>
      </c>
      <c r="D226" s="44" t="s">
        <v>4448</v>
      </c>
      <c r="F226" s="44" t="s">
        <v>869</v>
      </c>
      <c r="G226" s="96">
        <v>0</v>
      </c>
      <c r="H226" s="96">
        <v>0</v>
      </c>
      <c r="I226" s="96">
        <v>0</v>
      </c>
      <c r="J226" s="96">
        <v>1</v>
      </c>
      <c r="K226" s="96">
        <v>0</v>
      </c>
      <c r="L226" s="96">
        <v>0</v>
      </c>
      <c r="M226" s="96">
        <v>0</v>
      </c>
      <c r="N226" s="96">
        <v>0</v>
      </c>
      <c r="O226" s="96">
        <v>0</v>
      </c>
      <c r="P226" s="96">
        <v>0</v>
      </c>
      <c r="Q226" s="96">
        <v>0</v>
      </c>
      <c r="R226" s="96">
        <v>0</v>
      </c>
      <c r="S226" s="96">
        <v>0</v>
      </c>
      <c r="T226" s="96">
        <v>0</v>
      </c>
      <c r="V226" s="63" t="s">
        <v>4510</v>
      </c>
    </row>
    <row r="227" spans="2:22" x14ac:dyDescent="0.25">
      <c r="B227" s="23" t="s">
        <v>870</v>
      </c>
      <c r="C227" s="28" t="s">
        <v>292</v>
      </c>
      <c r="D227" s="44" t="s">
        <v>4442</v>
      </c>
      <c r="E227" s="87">
        <v>1</v>
      </c>
      <c r="F227" s="44" t="s">
        <v>871</v>
      </c>
      <c r="V227" s="63" t="s">
        <v>871</v>
      </c>
    </row>
    <row r="228" spans="2:22" x14ac:dyDescent="0.25">
      <c r="B228" s="23" t="s">
        <v>872</v>
      </c>
      <c r="C228" s="28" t="s">
        <v>816</v>
      </c>
      <c r="D228" s="44" t="s">
        <v>4442</v>
      </c>
      <c r="E228" s="74">
        <v>20</v>
      </c>
      <c r="F228" s="44" t="s">
        <v>873</v>
      </c>
      <c r="V228" s="63" t="s">
        <v>873</v>
      </c>
    </row>
    <row r="229" spans="2:22" x14ac:dyDescent="0.25">
      <c r="B229" s="23" t="s">
        <v>874</v>
      </c>
      <c r="C229" s="28" t="s">
        <v>816</v>
      </c>
      <c r="D229" s="44" t="s">
        <v>4442</v>
      </c>
      <c r="E229" s="74">
        <v>10</v>
      </c>
      <c r="F229" s="44" t="s">
        <v>875</v>
      </c>
      <c r="V229" s="63" t="s">
        <v>875</v>
      </c>
    </row>
    <row r="230" spans="2:22" x14ac:dyDescent="0.25">
      <c r="B230" s="63" t="s">
        <v>876</v>
      </c>
    </row>
    <row r="231" spans="2:22" x14ac:dyDescent="0.25">
      <c r="B231" s="42" t="s">
        <v>877</v>
      </c>
    </row>
    <row r="232" spans="2:22" x14ac:dyDescent="0.25">
      <c r="B232" s="59" t="s">
        <v>878</v>
      </c>
      <c r="C232" s="59" t="s">
        <v>466</v>
      </c>
      <c r="D232" s="59" t="s">
        <v>4429</v>
      </c>
      <c r="E232" s="59" t="s">
        <v>468</v>
      </c>
      <c r="F232" s="59" t="s">
        <v>469</v>
      </c>
      <c r="G232" s="80" t="s">
        <v>628</v>
      </c>
      <c r="H232" s="81">
        <v>2024</v>
      </c>
      <c r="I232" s="81">
        <v>2025</v>
      </c>
      <c r="J232" s="81">
        <v>2026</v>
      </c>
      <c r="K232" s="81">
        <v>2027</v>
      </c>
      <c r="L232" s="81">
        <v>2028</v>
      </c>
      <c r="M232" s="81">
        <v>2029</v>
      </c>
      <c r="N232" s="81">
        <v>2030</v>
      </c>
      <c r="O232" s="81">
        <v>2031</v>
      </c>
      <c r="P232" s="81">
        <v>2032</v>
      </c>
      <c r="Q232" s="81">
        <v>2033</v>
      </c>
      <c r="R232" s="81">
        <v>2034</v>
      </c>
      <c r="S232" s="81">
        <v>2035</v>
      </c>
      <c r="T232" s="81">
        <v>2036</v>
      </c>
      <c r="U232" s="59"/>
      <c r="V232" s="59" t="s">
        <v>4430</v>
      </c>
    </row>
    <row r="233" spans="2:22" x14ac:dyDescent="0.25">
      <c r="B233" s="23" t="s">
        <v>879</v>
      </c>
      <c r="C233" s="28" t="s">
        <v>880</v>
      </c>
      <c r="D233" s="44" t="s">
        <v>4442</v>
      </c>
      <c r="F233" s="44" t="s">
        <v>881</v>
      </c>
      <c r="H233" s="74">
        <v>2</v>
      </c>
      <c r="I233" s="74">
        <v>2</v>
      </c>
      <c r="J233" s="74">
        <v>2</v>
      </c>
      <c r="K233" s="74">
        <v>2</v>
      </c>
      <c r="L233" s="74">
        <v>2</v>
      </c>
      <c r="M233" s="74">
        <v>2</v>
      </c>
      <c r="N233" s="74">
        <v>2</v>
      </c>
      <c r="O233" s="74">
        <v>2</v>
      </c>
      <c r="P233" s="74">
        <v>2</v>
      </c>
      <c r="Q233" s="74">
        <v>2</v>
      </c>
      <c r="R233" s="74">
        <v>2</v>
      </c>
      <c r="S233" s="74">
        <v>2</v>
      </c>
      <c r="T233" s="74">
        <v>2</v>
      </c>
      <c r="V233" s="63" t="s">
        <v>4511</v>
      </c>
    </row>
    <row r="234" spans="2:22" x14ac:dyDescent="0.25">
      <c r="B234" s="23" t="s">
        <v>882</v>
      </c>
      <c r="C234" s="28" t="s">
        <v>883</v>
      </c>
      <c r="D234" s="44" t="s">
        <v>4442</v>
      </c>
      <c r="F234" s="44" t="s">
        <v>884</v>
      </c>
      <c r="H234" s="86">
        <v>8500</v>
      </c>
      <c r="I234" s="86">
        <v>8500</v>
      </c>
      <c r="J234" s="86">
        <v>8500</v>
      </c>
      <c r="K234" s="86">
        <v>8500</v>
      </c>
      <c r="L234" s="86">
        <v>8500</v>
      </c>
      <c r="M234" s="86">
        <v>8500</v>
      </c>
      <c r="N234" s="86">
        <v>8500</v>
      </c>
      <c r="O234" s="86">
        <v>8500</v>
      </c>
      <c r="P234" s="86">
        <v>8500</v>
      </c>
      <c r="Q234" s="86">
        <v>8500</v>
      </c>
      <c r="R234" s="86">
        <v>8500</v>
      </c>
      <c r="S234" s="86">
        <v>8500</v>
      </c>
      <c r="T234" s="86">
        <v>8500</v>
      </c>
      <c r="V234" s="63" t="s">
        <v>4512</v>
      </c>
    </row>
    <row r="235" spans="2:22" x14ac:dyDescent="0.25">
      <c r="B235" s="23" t="s">
        <v>885</v>
      </c>
      <c r="C235" s="28" t="s">
        <v>886</v>
      </c>
      <c r="D235" s="44" t="s">
        <v>4442</v>
      </c>
      <c r="F235" s="44" t="s">
        <v>887</v>
      </c>
      <c r="H235" s="86">
        <v>65000</v>
      </c>
      <c r="I235" s="86">
        <v>65000</v>
      </c>
      <c r="J235" s="86">
        <v>65000</v>
      </c>
      <c r="K235" s="86">
        <v>65000</v>
      </c>
      <c r="L235" s="86">
        <v>65000</v>
      </c>
      <c r="M235" s="86">
        <v>65000</v>
      </c>
      <c r="N235" s="86">
        <v>65000</v>
      </c>
      <c r="O235" s="86">
        <v>65000</v>
      </c>
      <c r="P235" s="86">
        <v>65000</v>
      </c>
      <c r="Q235" s="86">
        <v>65000</v>
      </c>
      <c r="R235" s="86">
        <v>65000</v>
      </c>
      <c r="S235" s="86">
        <v>65000</v>
      </c>
      <c r="T235" s="86">
        <v>65000</v>
      </c>
      <c r="V235" s="63" t="s">
        <v>4513</v>
      </c>
    </row>
    <row r="236" spans="2:22" x14ac:dyDescent="0.25">
      <c r="B236" s="23" t="s">
        <v>888</v>
      </c>
      <c r="C236" s="28" t="s">
        <v>886</v>
      </c>
      <c r="D236" s="44" t="s">
        <v>4442</v>
      </c>
      <c r="F236" s="44" t="s">
        <v>889</v>
      </c>
      <c r="H236" s="86">
        <v>300</v>
      </c>
      <c r="I236" s="86">
        <v>300</v>
      </c>
      <c r="J236" s="86">
        <v>300</v>
      </c>
      <c r="K236" s="86">
        <v>300</v>
      </c>
      <c r="L236" s="86">
        <v>300</v>
      </c>
      <c r="M236" s="86">
        <v>300</v>
      </c>
      <c r="N236" s="86">
        <v>300</v>
      </c>
      <c r="O236" s="86">
        <v>300</v>
      </c>
      <c r="P236" s="86">
        <v>300</v>
      </c>
      <c r="Q236" s="86">
        <v>300</v>
      </c>
      <c r="R236" s="86">
        <v>300</v>
      </c>
      <c r="S236" s="86">
        <v>300</v>
      </c>
      <c r="T236" s="86">
        <v>300</v>
      </c>
      <c r="V236" s="63" t="s">
        <v>4514</v>
      </c>
    </row>
    <row r="237" spans="2:22" x14ac:dyDescent="0.25">
      <c r="B237" s="23" t="s">
        <v>891</v>
      </c>
      <c r="C237" s="28" t="s">
        <v>806</v>
      </c>
      <c r="D237" s="44" t="s">
        <v>4442</v>
      </c>
      <c r="E237" s="94">
        <v>3.7622963418383</v>
      </c>
      <c r="F237" s="44" t="s">
        <v>892</v>
      </c>
      <c r="V237" s="63" t="s">
        <v>4515</v>
      </c>
    </row>
    <row r="238" spans="2:22" ht="26.25" customHeight="1" x14ac:dyDescent="0.25">
      <c r="B238" s="64" t="s">
        <v>894</v>
      </c>
      <c r="C238" s="28" t="s">
        <v>810</v>
      </c>
      <c r="D238" s="44" t="s">
        <v>4448</v>
      </c>
      <c r="F238" s="44" t="s">
        <v>895</v>
      </c>
      <c r="G238" s="96">
        <v>0</v>
      </c>
      <c r="H238" s="96">
        <v>0</v>
      </c>
      <c r="I238" s="96">
        <v>0</v>
      </c>
      <c r="J238" s="96">
        <v>1</v>
      </c>
      <c r="K238" s="96">
        <v>0</v>
      </c>
      <c r="L238" s="96">
        <v>0</v>
      </c>
      <c r="M238" s="96">
        <v>0</v>
      </c>
      <c r="N238" s="96">
        <v>0</v>
      </c>
      <c r="O238" s="96">
        <v>0</v>
      </c>
      <c r="P238" s="96">
        <v>0</v>
      </c>
      <c r="Q238" s="96">
        <v>0</v>
      </c>
      <c r="R238" s="96">
        <v>0</v>
      </c>
      <c r="S238" s="96">
        <v>0</v>
      </c>
      <c r="T238" s="96">
        <v>0</v>
      </c>
      <c r="V238" s="63" t="s">
        <v>4516</v>
      </c>
    </row>
    <row r="239" spans="2:22" x14ac:dyDescent="0.25">
      <c r="B239" s="23" t="s">
        <v>896</v>
      </c>
      <c r="C239" s="28" t="s">
        <v>292</v>
      </c>
      <c r="D239" s="44" t="s">
        <v>4442</v>
      </c>
      <c r="E239" s="87">
        <v>0.63</v>
      </c>
      <c r="F239" s="44" t="s">
        <v>897</v>
      </c>
      <c r="V239" s="63" t="s">
        <v>897</v>
      </c>
    </row>
    <row r="240" spans="2:22" x14ac:dyDescent="0.25">
      <c r="B240" s="23" t="s">
        <v>898</v>
      </c>
      <c r="C240" s="28" t="s">
        <v>816</v>
      </c>
      <c r="D240" s="44" t="s">
        <v>4442</v>
      </c>
      <c r="E240" s="74">
        <v>20</v>
      </c>
      <c r="F240" s="44" t="s">
        <v>899</v>
      </c>
      <c r="V240" s="63" t="s">
        <v>899</v>
      </c>
    </row>
    <row r="241" spans="2:22" x14ac:dyDescent="0.25">
      <c r="B241" s="23" t="s">
        <v>900</v>
      </c>
      <c r="C241" s="28" t="s">
        <v>816</v>
      </c>
      <c r="D241" s="44" t="s">
        <v>4442</v>
      </c>
      <c r="E241" s="74">
        <v>10</v>
      </c>
      <c r="F241" s="44" t="s">
        <v>901</v>
      </c>
      <c r="V241" s="63" t="s">
        <v>901</v>
      </c>
    </row>
    <row r="242" spans="2:22" x14ac:dyDescent="0.25">
      <c r="B242" s="42" t="s">
        <v>902</v>
      </c>
    </row>
    <row r="243" spans="2:22" x14ac:dyDescent="0.25">
      <c r="B243" s="59" t="s">
        <v>903</v>
      </c>
      <c r="C243" s="59" t="s">
        <v>466</v>
      </c>
      <c r="D243" s="59" t="s">
        <v>4429</v>
      </c>
      <c r="E243" s="59" t="s">
        <v>468</v>
      </c>
      <c r="F243" s="59" t="s">
        <v>469</v>
      </c>
      <c r="G243" s="80" t="s">
        <v>628</v>
      </c>
      <c r="H243" s="81">
        <v>2024</v>
      </c>
      <c r="I243" s="81">
        <v>2025</v>
      </c>
      <c r="J243" s="81">
        <v>2026</v>
      </c>
      <c r="K243" s="81">
        <v>2027</v>
      </c>
      <c r="L243" s="81">
        <v>2028</v>
      </c>
      <c r="M243" s="81">
        <v>2029</v>
      </c>
      <c r="N243" s="81">
        <v>2030</v>
      </c>
      <c r="O243" s="81">
        <v>2031</v>
      </c>
      <c r="P243" s="81">
        <v>2032</v>
      </c>
      <c r="Q243" s="81">
        <v>2033</v>
      </c>
      <c r="R243" s="81">
        <v>2034</v>
      </c>
      <c r="S243" s="81">
        <v>2035</v>
      </c>
      <c r="T243" s="81">
        <v>2036</v>
      </c>
      <c r="U243" s="59"/>
      <c r="V243" s="59" t="s">
        <v>4430</v>
      </c>
    </row>
    <row r="244" spans="2:22" x14ac:dyDescent="0.25">
      <c r="B244" s="23" t="s">
        <v>904</v>
      </c>
      <c r="C244" s="28" t="s">
        <v>630</v>
      </c>
      <c r="D244" s="44" t="s">
        <v>4442</v>
      </c>
      <c r="F244" s="44" t="s">
        <v>905</v>
      </c>
      <c r="H244" s="86">
        <v>0</v>
      </c>
      <c r="I244" s="86">
        <v>0</v>
      </c>
      <c r="J244" s="86">
        <v>1300000</v>
      </c>
      <c r="K244" s="86">
        <v>1300000</v>
      </c>
      <c r="L244" s="86">
        <v>1300000</v>
      </c>
      <c r="M244" s="86">
        <v>1339000</v>
      </c>
      <c r="N244" s="86">
        <v>1339000</v>
      </c>
      <c r="O244" s="86">
        <v>1339000</v>
      </c>
      <c r="P244" s="86">
        <v>1339000</v>
      </c>
      <c r="Q244" s="86">
        <v>1379170</v>
      </c>
      <c r="R244" s="86">
        <v>1379170</v>
      </c>
      <c r="S244" s="86">
        <v>1379170</v>
      </c>
      <c r="T244" s="86">
        <v>1379170</v>
      </c>
      <c r="V244" s="63" t="s">
        <v>4517</v>
      </c>
    </row>
    <row r="245" spans="2:22" x14ac:dyDescent="0.25">
      <c r="B245" s="23" t="s">
        <v>906</v>
      </c>
      <c r="C245" s="28" t="s">
        <v>647</v>
      </c>
      <c r="D245" s="44" t="s">
        <v>4442</v>
      </c>
      <c r="F245" s="44" t="s">
        <v>907</v>
      </c>
      <c r="H245" s="86">
        <v>0</v>
      </c>
      <c r="I245" s="86">
        <v>0</v>
      </c>
      <c r="J245" s="86">
        <v>35000</v>
      </c>
      <c r="K245" s="86">
        <v>35000</v>
      </c>
      <c r="L245" s="86">
        <v>35000</v>
      </c>
      <c r="M245" s="86">
        <v>36400</v>
      </c>
      <c r="N245" s="86">
        <v>36400</v>
      </c>
      <c r="O245" s="86">
        <v>36400</v>
      </c>
      <c r="P245" s="86">
        <v>36400</v>
      </c>
      <c r="Q245" s="86">
        <v>37856</v>
      </c>
      <c r="R245" s="86">
        <v>37856</v>
      </c>
      <c r="S245" s="86">
        <v>37856</v>
      </c>
      <c r="T245" s="86">
        <v>37856</v>
      </c>
      <c r="V245" s="63" t="s">
        <v>4518</v>
      </c>
    </row>
    <row r="246" spans="2:22" x14ac:dyDescent="0.25">
      <c r="B246" s="23" t="s">
        <v>908</v>
      </c>
      <c r="C246" s="28" t="s">
        <v>647</v>
      </c>
      <c r="D246" s="44" t="s">
        <v>4442</v>
      </c>
      <c r="F246" s="44" t="s">
        <v>909</v>
      </c>
      <c r="H246" s="86">
        <v>0</v>
      </c>
      <c r="I246" s="86">
        <v>0</v>
      </c>
      <c r="J246" s="86">
        <v>2000</v>
      </c>
      <c r="K246" s="86">
        <v>2000</v>
      </c>
      <c r="L246" s="86">
        <v>2000</v>
      </c>
      <c r="M246" s="86">
        <v>2000</v>
      </c>
      <c r="N246" s="86">
        <v>2000</v>
      </c>
      <c r="O246" s="86">
        <v>2000</v>
      </c>
      <c r="P246" s="86">
        <v>2000</v>
      </c>
      <c r="Q246" s="86">
        <v>2000</v>
      </c>
      <c r="R246" s="86">
        <v>2000</v>
      </c>
      <c r="S246" s="86">
        <v>2000</v>
      </c>
      <c r="T246" s="86">
        <v>2000</v>
      </c>
      <c r="V246" s="63" t="s">
        <v>4519</v>
      </c>
    </row>
    <row r="247" spans="2:22" x14ac:dyDescent="0.25">
      <c r="B247" s="23" t="s">
        <v>910</v>
      </c>
      <c r="C247" s="28" t="s">
        <v>799</v>
      </c>
      <c r="D247" s="44" t="s">
        <v>4442</v>
      </c>
      <c r="F247" s="44" t="s">
        <v>911</v>
      </c>
      <c r="H247" s="87">
        <v>0</v>
      </c>
      <c r="I247" s="87">
        <v>0</v>
      </c>
      <c r="J247" s="87">
        <v>0.47490397972176901</v>
      </c>
      <c r="K247" s="87">
        <v>0.485913847929626</v>
      </c>
      <c r="L247" s="87">
        <v>0.497198962842679</v>
      </c>
      <c r="M247" s="87">
        <v>0.48404241346923799</v>
      </c>
      <c r="N247" s="87">
        <v>0.50417373904336305</v>
      </c>
      <c r="O247" s="87">
        <v>0.51127062520604505</v>
      </c>
      <c r="P247" s="87">
        <v>0.52309449601937297</v>
      </c>
      <c r="Q247" s="87">
        <v>0.50918820671077802</v>
      </c>
      <c r="R247" s="87">
        <v>0.520982143752312</v>
      </c>
      <c r="S247" s="87">
        <v>0.54135807925281498</v>
      </c>
      <c r="T247" s="87">
        <v>0.54629064932743998</v>
      </c>
      <c r="V247" s="63" t="s">
        <v>4520</v>
      </c>
    </row>
    <row r="248" spans="2:22" x14ac:dyDescent="0.25">
      <c r="B248" s="23" t="s">
        <v>912</v>
      </c>
      <c r="C248" s="28" t="s">
        <v>799</v>
      </c>
      <c r="D248" s="44" t="s">
        <v>4442</v>
      </c>
      <c r="F248" s="44" t="s">
        <v>913</v>
      </c>
      <c r="H248" s="87">
        <v>0</v>
      </c>
      <c r="I248" s="87">
        <v>0</v>
      </c>
      <c r="J248" s="87">
        <v>0.192</v>
      </c>
      <c r="K248" s="87">
        <v>0.19612499999999999</v>
      </c>
      <c r="L248" s="87">
        <v>0.20035312499999999</v>
      </c>
      <c r="M248" s="87">
        <v>0.19951160497572801</v>
      </c>
      <c r="N248" s="87">
        <v>0.20582439510012099</v>
      </c>
      <c r="O248" s="87">
        <v>0.20924500497762399</v>
      </c>
      <c r="P248" s="87">
        <v>0.213776130102065</v>
      </c>
      <c r="Q248" s="87">
        <v>0.212874304227783</v>
      </c>
      <c r="R248" s="87">
        <v>0.217496161833478</v>
      </c>
      <c r="S248" s="87">
        <v>0.22423356587931501</v>
      </c>
      <c r="T248" s="87">
        <v>0.22728940502629699</v>
      </c>
      <c r="V248" s="63" t="s">
        <v>4521</v>
      </c>
    </row>
    <row r="249" spans="2:22" x14ac:dyDescent="0.25">
      <c r="B249" s="23" t="s">
        <v>801</v>
      </c>
      <c r="C249" s="28" t="s">
        <v>802</v>
      </c>
      <c r="D249" s="44" t="s">
        <v>4442</v>
      </c>
      <c r="F249" s="44" t="s">
        <v>914</v>
      </c>
      <c r="H249" s="91">
        <v>2.1836245000000001E-3</v>
      </c>
      <c r="I249" s="91">
        <v>2.1836245000000001E-3</v>
      </c>
      <c r="J249" s="91">
        <v>2.1836245000000001E-3</v>
      </c>
      <c r="K249" s="91">
        <v>2.1836245000000001E-3</v>
      </c>
      <c r="L249" s="91">
        <v>2.1836245000000001E-3</v>
      </c>
      <c r="M249" s="91">
        <v>2.1836245000000001E-3</v>
      </c>
      <c r="N249" s="91">
        <v>2.1836245000000001E-3</v>
      </c>
      <c r="O249" s="91">
        <v>2.1836245000000001E-3</v>
      </c>
      <c r="P249" s="91">
        <v>2.1836245000000001E-3</v>
      </c>
      <c r="Q249" s="91">
        <v>2.1836245000000001E-3</v>
      </c>
      <c r="R249" s="91">
        <v>2.1836245000000001E-3</v>
      </c>
      <c r="S249" s="91">
        <v>2.1836245000000001E-3</v>
      </c>
      <c r="T249" s="91">
        <v>2.1836245000000001E-3</v>
      </c>
      <c r="V249" s="63" t="s">
        <v>4522</v>
      </c>
    </row>
    <row r="250" spans="2:22" x14ac:dyDescent="0.25">
      <c r="B250" s="23" t="s">
        <v>915</v>
      </c>
      <c r="C250" s="28" t="s">
        <v>806</v>
      </c>
      <c r="D250" s="44" t="s">
        <v>4442</v>
      </c>
      <c r="E250" s="94">
        <v>6.8095238095238102</v>
      </c>
      <c r="F250" s="44" t="s">
        <v>916</v>
      </c>
      <c r="V250" s="63" t="s">
        <v>4523</v>
      </c>
    </row>
    <row r="251" spans="2:22" ht="26.25" customHeight="1" x14ac:dyDescent="0.25">
      <c r="B251" s="64" t="s">
        <v>918</v>
      </c>
      <c r="C251" s="28" t="s">
        <v>810</v>
      </c>
      <c r="D251" s="44" t="s">
        <v>4448</v>
      </c>
      <c r="F251" s="44" t="s">
        <v>919</v>
      </c>
      <c r="G251" s="96">
        <v>0</v>
      </c>
      <c r="H251" s="96">
        <v>0</v>
      </c>
      <c r="I251" s="96">
        <v>0</v>
      </c>
      <c r="J251" s="96">
        <v>0.95227272727272705</v>
      </c>
      <c r="K251" s="96">
        <v>4.7727272727272702E-2</v>
      </c>
      <c r="L251" s="96">
        <v>0</v>
      </c>
      <c r="M251" s="96">
        <v>0</v>
      </c>
      <c r="N251" s="96">
        <v>0</v>
      </c>
      <c r="O251" s="96">
        <v>0</v>
      </c>
      <c r="P251" s="96">
        <v>0</v>
      </c>
      <c r="Q251" s="96">
        <v>0</v>
      </c>
      <c r="R251" s="96">
        <v>0</v>
      </c>
      <c r="S251" s="96">
        <v>0</v>
      </c>
      <c r="T251" s="96">
        <v>0</v>
      </c>
      <c r="V251" s="63" t="s">
        <v>4524</v>
      </c>
    </row>
    <row r="252" spans="2:22" x14ac:dyDescent="0.25">
      <c r="B252" s="23" t="s">
        <v>920</v>
      </c>
      <c r="C252" s="28" t="s">
        <v>292</v>
      </c>
      <c r="D252" s="44" t="s">
        <v>4442</v>
      </c>
      <c r="E252" s="87">
        <v>0.6</v>
      </c>
      <c r="F252" s="44" t="s">
        <v>921</v>
      </c>
      <c r="V252" s="63" t="s">
        <v>921</v>
      </c>
    </row>
    <row r="253" spans="2:22" x14ac:dyDescent="0.25">
      <c r="B253" s="23" t="s">
        <v>922</v>
      </c>
      <c r="C253" s="28" t="s">
        <v>816</v>
      </c>
      <c r="D253" s="44" t="s">
        <v>4442</v>
      </c>
      <c r="E253" s="74">
        <v>20</v>
      </c>
      <c r="F253" s="44" t="s">
        <v>923</v>
      </c>
      <c r="V253" s="63" t="s">
        <v>923</v>
      </c>
    </row>
    <row r="254" spans="2:22" x14ac:dyDescent="0.25">
      <c r="B254" s="23" t="s">
        <v>924</v>
      </c>
      <c r="C254" s="28" t="s">
        <v>816</v>
      </c>
      <c r="D254" s="44" t="s">
        <v>4442</v>
      </c>
      <c r="E254" s="74">
        <v>8</v>
      </c>
      <c r="F254" s="44" t="s">
        <v>925</v>
      </c>
      <c r="V254" s="63" t="s">
        <v>925</v>
      </c>
    </row>
    <row r="255" spans="2:22" x14ac:dyDescent="0.25">
      <c r="B255" s="42" t="s">
        <v>926</v>
      </c>
    </row>
    <row r="256" spans="2:22" x14ac:dyDescent="0.25">
      <c r="B256" s="59" t="s">
        <v>927</v>
      </c>
      <c r="C256" s="59" t="s">
        <v>466</v>
      </c>
      <c r="D256" s="59" t="s">
        <v>4429</v>
      </c>
      <c r="E256" s="59" t="s">
        <v>468</v>
      </c>
      <c r="F256" s="59" t="s">
        <v>469</v>
      </c>
      <c r="G256" s="80" t="s">
        <v>628</v>
      </c>
      <c r="H256" s="81">
        <v>2024</v>
      </c>
      <c r="I256" s="81">
        <v>2025</v>
      </c>
      <c r="J256" s="81">
        <v>2026</v>
      </c>
      <c r="K256" s="81">
        <v>2027</v>
      </c>
      <c r="L256" s="81">
        <v>2028</v>
      </c>
      <c r="M256" s="81">
        <v>2029</v>
      </c>
      <c r="N256" s="81">
        <v>2030</v>
      </c>
      <c r="O256" s="81">
        <v>2031</v>
      </c>
      <c r="P256" s="81">
        <v>2032</v>
      </c>
      <c r="Q256" s="81">
        <v>2033</v>
      </c>
      <c r="R256" s="81">
        <v>2034</v>
      </c>
      <c r="S256" s="81">
        <v>2035</v>
      </c>
      <c r="T256" s="81">
        <v>2036</v>
      </c>
      <c r="U256" s="59"/>
      <c r="V256" s="59" t="s">
        <v>4430</v>
      </c>
    </row>
    <row r="257" spans="2:22" x14ac:dyDescent="0.25">
      <c r="B257" s="23" t="s">
        <v>928</v>
      </c>
      <c r="C257" s="28" t="s">
        <v>630</v>
      </c>
      <c r="D257" s="44" t="s">
        <v>4442</v>
      </c>
      <c r="E257" s="86">
        <v>1600000</v>
      </c>
      <c r="F257" s="44" t="s">
        <v>929</v>
      </c>
      <c r="V257" s="63" t="s">
        <v>4525</v>
      </c>
    </row>
    <row r="258" spans="2:22" x14ac:dyDescent="0.25">
      <c r="B258" s="23" t="s">
        <v>931</v>
      </c>
      <c r="C258" s="28" t="s">
        <v>292</v>
      </c>
      <c r="D258" s="44" t="s">
        <v>4442</v>
      </c>
      <c r="E258" s="93">
        <v>0.520159282034236</v>
      </c>
      <c r="F258" s="44" t="s">
        <v>932</v>
      </c>
      <c r="V258" s="63" t="s">
        <v>4526</v>
      </c>
    </row>
    <row r="259" spans="2:22" x14ac:dyDescent="0.25">
      <c r="B259" s="23" t="s">
        <v>794</v>
      </c>
      <c r="C259" s="28" t="s">
        <v>292</v>
      </c>
      <c r="D259" s="44" t="s">
        <v>4442</v>
      </c>
      <c r="F259" s="44" t="s">
        <v>934</v>
      </c>
      <c r="H259" s="87">
        <v>0</v>
      </c>
      <c r="I259" s="87">
        <v>0</v>
      </c>
      <c r="J259" s="87">
        <v>0</v>
      </c>
      <c r="K259" s="87">
        <v>0.1</v>
      </c>
      <c r="L259" s="87">
        <v>0.1</v>
      </c>
      <c r="M259" s="87">
        <v>0.1</v>
      </c>
      <c r="N259" s="87">
        <v>0.1</v>
      </c>
      <c r="O259" s="87">
        <v>0.1</v>
      </c>
      <c r="P259" s="87">
        <v>0.06</v>
      </c>
      <c r="Q259" s="87">
        <v>0.06</v>
      </c>
      <c r="R259" s="87">
        <v>0.06</v>
      </c>
      <c r="S259" s="87">
        <v>0.06</v>
      </c>
      <c r="T259" s="87">
        <v>0.06</v>
      </c>
      <c r="V259" s="63" t="s">
        <v>4527</v>
      </c>
    </row>
    <row r="260" spans="2:22" x14ac:dyDescent="0.25">
      <c r="B260" s="23" t="s">
        <v>935</v>
      </c>
      <c r="C260" s="28" t="s">
        <v>647</v>
      </c>
      <c r="D260" s="44" t="s">
        <v>4442</v>
      </c>
      <c r="F260" s="44" t="s">
        <v>936</v>
      </c>
      <c r="H260" s="86">
        <v>0</v>
      </c>
      <c r="I260" s="86">
        <v>0</v>
      </c>
      <c r="J260" s="86">
        <v>0</v>
      </c>
      <c r="K260" s="86">
        <v>0</v>
      </c>
      <c r="L260" s="86">
        <v>36411.149742396497</v>
      </c>
      <c r="M260" s="86">
        <v>43693.379690875903</v>
      </c>
      <c r="N260" s="86">
        <v>43693.379690875903</v>
      </c>
      <c r="O260" s="86">
        <v>48062.717659963397</v>
      </c>
      <c r="P260" s="86">
        <v>48062.717659963397</v>
      </c>
      <c r="Q260" s="86">
        <v>50946.480719561201</v>
      </c>
      <c r="R260" s="86">
        <v>50946.480719561201</v>
      </c>
      <c r="S260" s="86">
        <v>54003.269562734902</v>
      </c>
      <c r="T260" s="86">
        <v>54003.269562734902</v>
      </c>
      <c r="V260" s="63" t="s">
        <v>4528</v>
      </c>
    </row>
    <row r="261" spans="2:22" x14ac:dyDescent="0.25">
      <c r="B261" s="23" t="s">
        <v>938</v>
      </c>
      <c r="C261" s="28" t="s">
        <v>806</v>
      </c>
      <c r="D261" s="44" t="s">
        <v>4442</v>
      </c>
      <c r="E261" s="94">
        <v>5.0245926836766097</v>
      </c>
      <c r="F261" s="44" t="s">
        <v>939</v>
      </c>
      <c r="V261" s="63" t="s">
        <v>4529</v>
      </c>
    </row>
    <row r="262" spans="2:22" ht="26.25" customHeight="1" x14ac:dyDescent="0.25">
      <c r="B262" s="64" t="s">
        <v>941</v>
      </c>
      <c r="C262" s="28" t="s">
        <v>810</v>
      </c>
      <c r="D262" s="44" t="s">
        <v>4448</v>
      </c>
      <c r="F262" s="44" t="s">
        <v>942</v>
      </c>
      <c r="G262" s="96">
        <v>0</v>
      </c>
      <c r="H262" s="96">
        <v>0</v>
      </c>
      <c r="I262" s="96">
        <v>0</v>
      </c>
      <c r="J262" s="96">
        <v>0.5</v>
      </c>
      <c r="K262" s="96">
        <v>0.5</v>
      </c>
      <c r="L262" s="96">
        <v>0</v>
      </c>
      <c r="M262" s="96">
        <v>0</v>
      </c>
      <c r="N262" s="96">
        <v>0</v>
      </c>
      <c r="O262" s="96">
        <v>0</v>
      </c>
      <c r="P262" s="96">
        <v>0</v>
      </c>
      <c r="Q262" s="96">
        <v>0</v>
      </c>
      <c r="R262" s="96">
        <v>0</v>
      </c>
      <c r="S262" s="96">
        <v>0</v>
      </c>
      <c r="T262" s="96">
        <v>0</v>
      </c>
      <c r="V262" s="63" t="s">
        <v>4530</v>
      </c>
    </row>
    <row r="263" spans="2:22" x14ac:dyDescent="0.25">
      <c r="B263" s="23" t="s">
        <v>943</v>
      </c>
      <c r="C263" s="28" t="s">
        <v>292</v>
      </c>
      <c r="D263" s="44" t="s">
        <v>4442</v>
      </c>
      <c r="E263" s="87">
        <v>0.5</v>
      </c>
      <c r="F263" s="44" t="s">
        <v>944</v>
      </c>
      <c r="V263" s="63" t="s">
        <v>944</v>
      </c>
    </row>
    <row r="264" spans="2:22" x14ac:dyDescent="0.25">
      <c r="B264" s="23" t="s">
        <v>945</v>
      </c>
      <c r="C264" s="28" t="s">
        <v>816</v>
      </c>
      <c r="D264" s="44" t="s">
        <v>4442</v>
      </c>
      <c r="E264" s="74">
        <v>20</v>
      </c>
      <c r="F264" s="44" t="s">
        <v>946</v>
      </c>
      <c r="V264" s="63" t="s">
        <v>946</v>
      </c>
    </row>
    <row r="265" spans="2:22" x14ac:dyDescent="0.25">
      <c r="B265" s="23" t="s">
        <v>947</v>
      </c>
      <c r="C265" s="28" t="s">
        <v>816</v>
      </c>
      <c r="D265" s="44" t="s">
        <v>4442</v>
      </c>
      <c r="E265" s="74">
        <v>8</v>
      </c>
      <c r="F265" s="44" t="s">
        <v>948</v>
      </c>
      <c r="V265" s="63" t="s">
        <v>948</v>
      </c>
    </row>
    <row r="266" spans="2:22" x14ac:dyDescent="0.25">
      <c r="B266" s="63" t="s">
        <v>949</v>
      </c>
    </row>
    <row r="267" spans="2:22" x14ac:dyDescent="0.25">
      <c r="B267" s="42" t="s">
        <v>950</v>
      </c>
    </row>
    <row r="268" spans="2:22" x14ac:dyDescent="0.25">
      <c r="B268" s="59" t="s">
        <v>951</v>
      </c>
      <c r="C268" s="59" t="s">
        <v>466</v>
      </c>
      <c r="D268" s="59" t="s">
        <v>4429</v>
      </c>
      <c r="E268" s="59" t="s">
        <v>468</v>
      </c>
      <c r="F268" s="59" t="s">
        <v>469</v>
      </c>
      <c r="G268" s="80" t="s">
        <v>628</v>
      </c>
      <c r="H268" s="81">
        <v>2024</v>
      </c>
      <c r="I268" s="81">
        <v>2025</v>
      </c>
      <c r="J268" s="81">
        <v>2026</v>
      </c>
      <c r="K268" s="81">
        <v>2027</v>
      </c>
      <c r="L268" s="81">
        <v>2028</v>
      </c>
      <c r="M268" s="81">
        <v>2029</v>
      </c>
      <c r="N268" s="81">
        <v>2030</v>
      </c>
      <c r="O268" s="81">
        <v>2031</v>
      </c>
      <c r="P268" s="81">
        <v>2032</v>
      </c>
      <c r="Q268" s="81">
        <v>2033</v>
      </c>
      <c r="R268" s="81">
        <v>2034</v>
      </c>
      <c r="S268" s="81">
        <v>2035</v>
      </c>
      <c r="T268" s="81">
        <v>2036</v>
      </c>
      <c r="U268" s="59"/>
      <c r="V268" s="59" t="s">
        <v>4430</v>
      </c>
    </row>
    <row r="269" spans="2:22" ht="26.25" customHeight="1" x14ac:dyDescent="0.25">
      <c r="B269" s="64" t="s">
        <v>952</v>
      </c>
      <c r="C269" s="28" t="s">
        <v>630</v>
      </c>
      <c r="D269" s="44" t="s">
        <v>4442</v>
      </c>
      <c r="F269" s="44" t="s">
        <v>953</v>
      </c>
      <c r="H269" s="86">
        <v>0</v>
      </c>
      <c r="I269" s="86">
        <v>0</v>
      </c>
      <c r="J269" s="86">
        <v>0</v>
      </c>
      <c r="K269" s="86">
        <v>200000</v>
      </c>
      <c r="L269" s="86">
        <v>250000</v>
      </c>
      <c r="M269" s="86">
        <v>300000</v>
      </c>
      <c r="N269" s="86">
        <v>350000</v>
      </c>
      <c r="O269" s="86">
        <v>400000</v>
      </c>
      <c r="P269" s="86">
        <v>450000</v>
      </c>
      <c r="Q269" s="86">
        <v>500000</v>
      </c>
      <c r="R269" s="86">
        <v>550000</v>
      </c>
      <c r="S269" s="86">
        <v>0</v>
      </c>
      <c r="T269" s="86">
        <v>0</v>
      </c>
      <c r="V269" s="63" t="s">
        <v>4531</v>
      </c>
    </row>
    <row r="270" spans="2:22" x14ac:dyDescent="0.25">
      <c r="B270" s="23" t="s">
        <v>955</v>
      </c>
      <c r="C270" s="28" t="s">
        <v>802</v>
      </c>
      <c r="D270" s="44" t="s">
        <v>4442</v>
      </c>
      <c r="F270" s="44" t="s">
        <v>956</v>
      </c>
      <c r="H270" s="93">
        <v>2E-3</v>
      </c>
      <c r="I270" s="93">
        <v>2E-3</v>
      </c>
      <c r="J270" s="93">
        <v>2E-3</v>
      </c>
      <c r="K270" s="93">
        <v>2E-3</v>
      </c>
      <c r="L270" s="93">
        <v>2E-3</v>
      </c>
      <c r="M270" s="93">
        <v>2E-3</v>
      </c>
      <c r="N270" s="93">
        <v>2E-3</v>
      </c>
      <c r="O270" s="93">
        <v>2E-3</v>
      </c>
      <c r="P270" s="93">
        <v>2E-3</v>
      </c>
      <c r="Q270" s="93">
        <v>2E-3</v>
      </c>
      <c r="R270" s="93">
        <v>2E-3</v>
      </c>
      <c r="S270" s="93">
        <v>2E-3</v>
      </c>
      <c r="T270" s="93">
        <v>2E-3</v>
      </c>
      <c r="V270" s="63" t="s">
        <v>4532</v>
      </c>
    </row>
    <row r="271" spans="2:22" x14ac:dyDescent="0.25">
      <c r="B271" s="23" t="s">
        <v>957</v>
      </c>
      <c r="C271" s="28" t="s">
        <v>806</v>
      </c>
      <c r="D271" s="44" t="s">
        <v>4442</v>
      </c>
      <c r="E271" s="94">
        <v>14.0245926836766</v>
      </c>
      <c r="F271" s="44" t="s">
        <v>958</v>
      </c>
      <c r="V271" s="63" t="s">
        <v>4533</v>
      </c>
    </row>
    <row r="272" spans="2:22" ht="26.25" customHeight="1" x14ac:dyDescent="0.25">
      <c r="B272" s="64" t="s">
        <v>960</v>
      </c>
      <c r="C272" s="28" t="s">
        <v>810</v>
      </c>
      <c r="D272" s="44" t="s">
        <v>4448</v>
      </c>
      <c r="F272" s="44" t="s">
        <v>961</v>
      </c>
      <c r="G272" s="96">
        <v>0</v>
      </c>
      <c r="H272" s="96">
        <v>0</v>
      </c>
      <c r="I272" s="96">
        <v>0</v>
      </c>
      <c r="J272" s="96">
        <v>0.50087676997939601</v>
      </c>
      <c r="K272" s="96">
        <v>0.49912323002060399</v>
      </c>
      <c r="L272" s="96">
        <v>0</v>
      </c>
      <c r="M272" s="96">
        <v>0</v>
      </c>
      <c r="N272" s="96">
        <v>0</v>
      </c>
      <c r="O272" s="96">
        <v>0</v>
      </c>
      <c r="P272" s="96">
        <v>0</v>
      </c>
      <c r="Q272" s="96">
        <v>0</v>
      </c>
      <c r="R272" s="96">
        <v>0</v>
      </c>
      <c r="S272" s="96">
        <v>0</v>
      </c>
      <c r="T272" s="96">
        <v>0</v>
      </c>
      <c r="V272" s="63" t="s">
        <v>4534</v>
      </c>
    </row>
    <row r="273" spans="2:22" x14ac:dyDescent="0.25">
      <c r="B273" s="23" t="s">
        <v>962</v>
      </c>
      <c r="C273" s="28" t="s">
        <v>292</v>
      </c>
      <c r="D273" s="44" t="s">
        <v>4442</v>
      </c>
      <c r="E273" s="87">
        <v>0.9</v>
      </c>
      <c r="F273" s="44" t="s">
        <v>963</v>
      </c>
      <c r="V273" s="63" t="s">
        <v>963</v>
      </c>
    </row>
    <row r="274" spans="2:22" x14ac:dyDescent="0.25">
      <c r="B274" s="23" t="s">
        <v>964</v>
      </c>
      <c r="C274" s="28" t="s">
        <v>816</v>
      </c>
      <c r="D274" s="44" t="s">
        <v>4442</v>
      </c>
      <c r="E274" s="74">
        <v>20</v>
      </c>
      <c r="F274" s="44" t="s">
        <v>965</v>
      </c>
      <c r="V274" s="63" t="s">
        <v>965</v>
      </c>
    </row>
    <row r="275" spans="2:22" x14ac:dyDescent="0.25">
      <c r="B275" s="23" t="s">
        <v>966</v>
      </c>
      <c r="C275" s="28" t="s">
        <v>816</v>
      </c>
      <c r="D275" s="44" t="s">
        <v>4442</v>
      </c>
      <c r="E275" s="74">
        <v>8</v>
      </c>
      <c r="F275" s="44" t="s">
        <v>967</v>
      </c>
      <c r="V275" s="63" t="s">
        <v>967</v>
      </c>
    </row>
    <row r="276" spans="2:22" x14ac:dyDescent="0.25">
      <c r="B276" s="42" t="s">
        <v>968</v>
      </c>
    </row>
    <row r="277" spans="2:22" x14ac:dyDescent="0.25">
      <c r="B277" s="59" t="s">
        <v>969</v>
      </c>
      <c r="C277" s="59" t="s">
        <v>466</v>
      </c>
      <c r="D277" s="59" t="s">
        <v>4429</v>
      </c>
      <c r="E277" s="59" t="s">
        <v>468</v>
      </c>
      <c r="F277" s="59" t="s">
        <v>469</v>
      </c>
      <c r="G277" s="80" t="s">
        <v>628</v>
      </c>
      <c r="H277" s="81">
        <v>2024</v>
      </c>
      <c r="I277" s="81">
        <v>2025</v>
      </c>
      <c r="J277" s="81">
        <v>2026</v>
      </c>
      <c r="K277" s="81">
        <v>2027</v>
      </c>
      <c r="L277" s="81">
        <v>2028</v>
      </c>
      <c r="M277" s="81">
        <v>2029</v>
      </c>
      <c r="N277" s="81">
        <v>2030</v>
      </c>
      <c r="O277" s="81">
        <v>2031</v>
      </c>
      <c r="P277" s="81">
        <v>2032</v>
      </c>
      <c r="Q277" s="81">
        <v>2033</v>
      </c>
      <c r="R277" s="81">
        <v>2034</v>
      </c>
      <c r="S277" s="81">
        <v>2035</v>
      </c>
      <c r="T277" s="81">
        <v>2036</v>
      </c>
      <c r="U277" s="59"/>
      <c r="V277" s="59" t="s">
        <v>4430</v>
      </c>
    </row>
    <row r="278" spans="2:22" x14ac:dyDescent="0.25">
      <c r="B278" s="23" t="s">
        <v>970</v>
      </c>
      <c r="C278" s="28" t="s">
        <v>971</v>
      </c>
      <c r="D278" s="44" t="s">
        <v>4442</v>
      </c>
      <c r="E278" s="87">
        <v>0.02</v>
      </c>
      <c r="F278" s="44" t="s">
        <v>972</v>
      </c>
      <c r="V278" s="63" t="s">
        <v>4535</v>
      </c>
    </row>
    <row r="279" spans="2:22" x14ac:dyDescent="0.25">
      <c r="B279" s="23" t="s">
        <v>974</v>
      </c>
      <c r="C279" s="28" t="s">
        <v>292</v>
      </c>
      <c r="D279" s="44" t="s">
        <v>4442</v>
      </c>
      <c r="E279" s="87">
        <v>0.5</v>
      </c>
      <c r="F279" s="44" t="s">
        <v>975</v>
      </c>
      <c r="V279" s="63" t="s">
        <v>4536</v>
      </c>
    </row>
    <row r="280" spans="2:22" x14ac:dyDescent="0.25">
      <c r="B280" s="23" t="s">
        <v>977</v>
      </c>
      <c r="C280" s="28" t="s">
        <v>292</v>
      </c>
      <c r="D280" s="44" t="s">
        <v>4442</v>
      </c>
      <c r="E280" s="87">
        <v>0.5</v>
      </c>
      <c r="F280" s="44" t="s">
        <v>978</v>
      </c>
      <c r="V280" s="63" t="s">
        <v>4537</v>
      </c>
    </row>
    <row r="281" spans="2:22" x14ac:dyDescent="0.25">
      <c r="B281" s="23" t="s">
        <v>979</v>
      </c>
      <c r="C281" s="28" t="s">
        <v>292</v>
      </c>
      <c r="D281" s="44" t="s">
        <v>4442</v>
      </c>
      <c r="E281" s="87">
        <v>0.5</v>
      </c>
      <c r="F281" s="44" t="s">
        <v>980</v>
      </c>
      <c r="V281" s="63" t="s">
        <v>4538</v>
      </c>
    </row>
    <row r="282" spans="2:22" x14ac:dyDescent="0.25">
      <c r="B282" s="23" t="s">
        <v>981</v>
      </c>
      <c r="C282" s="28" t="s">
        <v>292</v>
      </c>
      <c r="D282" s="44" t="s">
        <v>4442</v>
      </c>
      <c r="E282" s="87">
        <v>0.5</v>
      </c>
      <c r="F282" s="44" t="s">
        <v>982</v>
      </c>
      <c r="V282" s="63" t="s">
        <v>4539</v>
      </c>
    </row>
    <row r="283" spans="2:22" x14ac:dyDescent="0.25">
      <c r="B283" s="23" t="s">
        <v>983</v>
      </c>
      <c r="C283" s="28" t="s">
        <v>630</v>
      </c>
      <c r="D283" s="44" t="s">
        <v>4442</v>
      </c>
      <c r="E283" s="86">
        <v>1700000</v>
      </c>
      <c r="F283" s="44" t="s">
        <v>984</v>
      </c>
      <c r="V283" s="63" t="s">
        <v>984</v>
      </c>
    </row>
    <row r="284" spans="2:22" ht="26.25" customHeight="1" x14ac:dyDescent="0.25">
      <c r="B284" s="64" t="s">
        <v>985</v>
      </c>
      <c r="C284" s="28" t="s">
        <v>806</v>
      </c>
      <c r="D284" s="44" t="s">
        <v>4442</v>
      </c>
      <c r="E284" s="94">
        <v>0.04</v>
      </c>
      <c r="F284" s="44" t="s">
        <v>986</v>
      </c>
      <c r="V284" s="63" t="s">
        <v>4540</v>
      </c>
    </row>
    <row r="285" spans="2:22" ht="26.25" customHeight="1" x14ac:dyDescent="0.25">
      <c r="B285" s="64" t="s">
        <v>988</v>
      </c>
      <c r="C285" s="28" t="s">
        <v>806</v>
      </c>
      <c r="D285" s="44" t="s">
        <v>4442</v>
      </c>
      <c r="E285" s="94">
        <v>0.04</v>
      </c>
      <c r="F285" s="44" t="s">
        <v>989</v>
      </c>
      <c r="V285" s="63" t="s">
        <v>4541</v>
      </c>
    </row>
    <row r="286" spans="2:22" ht="26.25" customHeight="1" x14ac:dyDescent="0.25">
      <c r="B286" s="64" t="s">
        <v>990</v>
      </c>
      <c r="C286" s="28" t="s">
        <v>806</v>
      </c>
      <c r="D286" s="44" t="s">
        <v>4442</v>
      </c>
      <c r="E286" s="94">
        <v>0.03</v>
      </c>
      <c r="F286" s="44" t="s">
        <v>991</v>
      </c>
      <c r="V286" s="63" t="s">
        <v>4542</v>
      </c>
    </row>
    <row r="287" spans="2:22" ht="26.25" customHeight="1" x14ac:dyDescent="0.25">
      <c r="B287" s="64" t="s">
        <v>992</v>
      </c>
      <c r="C287" s="28" t="s">
        <v>806</v>
      </c>
      <c r="D287" s="44" t="s">
        <v>4442</v>
      </c>
      <c r="E287" s="94">
        <v>0.04</v>
      </c>
      <c r="F287" s="44" t="s">
        <v>993</v>
      </c>
      <c r="V287" s="63" t="s">
        <v>4543</v>
      </c>
    </row>
    <row r="288" spans="2:22" x14ac:dyDescent="0.25">
      <c r="B288" s="23" t="s">
        <v>994</v>
      </c>
      <c r="C288" s="28" t="s">
        <v>816</v>
      </c>
      <c r="D288" s="44" t="s">
        <v>4442</v>
      </c>
      <c r="E288" s="74">
        <v>5</v>
      </c>
      <c r="F288" s="44" t="s">
        <v>995</v>
      </c>
      <c r="V288" s="63" t="s">
        <v>995</v>
      </c>
    </row>
    <row r="289" spans="2:22" x14ac:dyDescent="0.25">
      <c r="B289" s="23" t="s">
        <v>996</v>
      </c>
      <c r="C289" s="28" t="s">
        <v>860</v>
      </c>
      <c r="D289" s="44" t="s">
        <v>4442</v>
      </c>
      <c r="F289" s="44" t="s">
        <v>997</v>
      </c>
      <c r="H289" s="87">
        <v>0.2</v>
      </c>
      <c r="I289" s="87">
        <v>0.2</v>
      </c>
      <c r="J289" s="87">
        <v>0.2</v>
      </c>
      <c r="K289" s="87">
        <v>0.2</v>
      </c>
      <c r="L289" s="87">
        <v>0.2</v>
      </c>
      <c r="M289" s="87">
        <v>0.2</v>
      </c>
      <c r="N289" s="87">
        <v>0.2</v>
      </c>
      <c r="O289" s="87">
        <v>0.2</v>
      </c>
      <c r="P289" s="87">
        <v>0.2</v>
      </c>
      <c r="Q289" s="87">
        <v>0.2</v>
      </c>
      <c r="R289" s="87">
        <v>0.2</v>
      </c>
      <c r="S289" s="87">
        <v>0.2</v>
      </c>
      <c r="T289" s="87">
        <v>0.2</v>
      </c>
      <c r="V289" s="63" t="s">
        <v>4544</v>
      </c>
    </row>
    <row r="290" spans="2:22" x14ac:dyDescent="0.25">
      <c r="B290" s="23" t="s">
        <v>998</v>
      </c>
      <c r="C290" s="28" t="s">
        <v>647</v>
      </c>
      <c r="D290" s="44" t="s">
        <v>4442</v>
      </c>
      <c r="F290" s="44" t="s">
        <v>999</v>
      </c>
      <c r="H290" s="86">
        <v>20000</v>
      </c>
      <c r="I290" s="86">
        <v>20000</v>
      </c>
      <c r="J290" s="86">
        <v>20000</v>
      </c>
      <c r="K290" s="86">
        <v>20000</v>
      </c>
      <c r="L290" s="86">
        <v>20000</v>
      </c>
      <c r="M290" s="86">
        <v>20000</v>
      </c>
      <c r="N290" s="86">
        <v>20000</v>
      </c>
      <c r="O290" s="86">
        <v>20000</v>
      </c>
      <c r="P290" s="86">
        <v>20000</v>
      </c>
      <c r="Q290" s="86">
        <v>20000</v>
      </c>
      <c r="R290" s="86">
        <v>20000</v>
      </c>
      <c r="S290" s="86">
        <v>20000</v>
      </c>
      <c r="T290" s="86">
        <v>20000</v>
      </c>
      <c r="V290" s="63" t="s">
        <v>4545</v>
      </c>
    </row>
    <row r="291" spans="2:22" x14ac:dyDescent="0.25">
      <c r="B291" s="23" t="s">
        <v>1000</v>
      </c>
      <c r="C291" s="28" t="s">
        <v>647</v>
      </c>
      <c r="D291" s="44" t="s">
        <v>4442</v>
      </c>
      <c r="F291" s="44" t="s">
        <v>1001</v>
      </c>
      <c r="H291" s="86">
        <v>84000</v>
      </c>
      <c r="I291" s="86">
        <v>84000</v>
      </c>
      <c r="J291" s="86">
        <v>84000</v>
      </c>
      <c r="K291" s="86">
        <v>84000</v>
      </c>
      <c r="L291" s="86">
        <v>84000</v>
      </c>
      <c r="M291" s="86">
        <v>84000</v>
      </c>
      <c r="N291" s="86">
        <v>84000</v>
      </c>
      <c r="O291" s="86">
        <v>84000</v>
      </c>
      <c r="P291" s="86">
        <v>84000</v>
      </c>
      <c r="Q291" s="86">
        <v>84000</v>
      </c>
      <c r="R291" s="86">
        <v>84000</v>
      </c>
      <c r="S291" s="86">
        <v>84000</v>
      </c>
      <c r="T291" s="86">
        <v>84000</v>
      </c>
      <c r="V291" s="63" t="s">
        <v>4546</v>
      </c>
    </row>
    <row r="292" spans="2:22" x14ac:dyDescent="0.25">
      <c r="B292" s="23" t="s">
        <v>1002</v>
      </c>
      <c r="C292" s="28" t="s">
        <v>647</v>
      </c>
      <c r="D292" s="44" t="s">
        <v>4442</v>
      </c>
      <c r="F292" s="44" t="s">
        <v>1003</v>
      </c>
      <c r="H292" s="86">
        <v>29000</v>
      </c>
      <c r="I292" s="86">
        <v>29000</v>
      </c>
      <c r="J292" s="86">
        <v>29000</v>
      </c>
      <c r="K292" s="86">
        <v>29000</v>
      </c>
      <c r="L292" s="86">
        <v>29000</v>
      </c>
      <c r="M292" s="86">
        <v>29000</v>
      </c>
      <c r="N292" s="86">
        <v>29000</v>
      </c>
      <c r="O292" s="86">
        <v>29000</v>
      </c>
      <c r="P292" s="86">
        <v>29000</v>
      </c>
      <c r="Q292" s="86">
        <v>29000</v>
      </c>
      <c r="R292" s="86">
        <v>29000</v>
      </c>
      <c r="S292" s="86">
        <v>29000</v>
      </c>
      <c r="T292" s="86">
        <v>29000</v>
      </c>
      <c r="V292" s="63" t="s">
        <v>4547</v>
      </c>
    </row>
    <row r="293" spans="2:22" x14ac:dyDescent="0.25">
      <c r="B293" s="23" t="s">
        <v>1004</v>
      </c>
      <c r="C293" s="28" t="s">
        <v>647</v>
      </c>
      <c r="D293" s="44" t="s">
        <v>4442</v>
      </c>
      <c r="F293" s="44" t="s">
        <v>1005</v>
      </c>
      <c r="H293" s="86">
        <v>55000</v>
      </c>
      <c r="I293" s="86">
        <v>55000</v>
      </c>
      <c r="J293" s="86">
        <v>55000</v>
      </c>
      <c r="K293" s="86">
        <v>55000</v>
      </c>
      <c r="L293" s="86">
        <v>55000</v>
      </c>
      <c r="M293" s="86">
        <v>55000</v>
      </c>
      <c r="N293" s="86">
        <v>55000</v>
      </c>
      <c r="O293" s="86">
        <v>55000</v>
      </c>
      <c r="P293" s="86">
        <v>55000</v>
      </c>
      <c r="Q293" s="86">
        <v>55000</v>
      </c>
      <c r="R293" s="86">
        <v>55000</v>
      </c>
      <c r="S293" s="86">
        <v>55000</v>
      </c>
      <c r="T293" s="86">
        <v>55000</v>
      </c>
      <c r="V293" s="63" t="s">
        <v>4548</v>
      </c>
    </row>
    <row r="294" spans="2:22" x14ac:dyDescent="0.25">
      <c r="B294" s="23" t="s">
        <v>1006</v>
      </c>
      <c r="C294" s="28" t="s">
        <v>630</v>
      </c>
      <c r="D294" s="44" t="s">
        <v>4442</v>
      </c>
      <c r="F294" s="44" t="s">
        <v>1007</v>
      </c>
      <c r="H294" s="86">
        <v>300000</v>
      </c>
      <c r="I294" s="86">
        <v>300000</v>
      </c>
      <c r="J294" s="86">
        <v>300000</v>
      </c>
      <c r="K294" s="86">
        <v>300000</v>
      </c>
      <c r="L294" s="86">
        <v>300000</v>
      </c>
      <c r="M294" s="86">
        <v>300000</v>
      </c>
      <c r="N294" s="86">
        <v>300000</v>
      </c>
      <c r="O294" s="86">
        <v>300000</v>
      </c>
      <c r="P294" s="86">
        <v>300000</v>
      </c>
      <c r="Q294" s="86">
        <v>300000</v>
      </c>
      <c r="R294" s="86">
        <v>300000</v>
      </c>
      <c r="S294" s="86">
        <v>300000</v>
      </c>
      <c r="T294" s="86">
        <v>300000</v>
      </c>
      <c r="V294" s="63" t="s">
        <v>4549</v>
      </c>
    </row>
    <row r="295" spans="2:22" x14ac:dyDescent="0.25">
      <c r="B295" s="42" t="s">
        <v>1008</v>
      </c>
    </row>
    <row r="296" spans="2:22" x14ac:dyDescent="0.25">
      <c r="B296" s="59" t="s">
        <v>1009</v>
      </c>
      <c r="C296" s="59" t="s">
        <v>466</v>
      </c>
      <c r="D296" s="59" t="s">
        <v>4429</v>
      </c>
      <c r="E296" s="59" t="s">
        <v>468</v>
      </c>
      <c r="F296" s="59" t="s">
        <v>469</v>
      </c>
      <c r="G296" s="80" t="s">
        <v>628</v>
      </c>
      <c r="H296" s="81">
        <v>2024</v>
      </c>
      <c r="I296" s="81">
        <v>2025</v>
      </c>
      <c r="J296" s="81">
        <v>2026</v>
      </c>
      <c r="K296" s="81">
        <v>2027</v>
      </c>
      <c r="L296" s="81">
        <v>2028</v>
      </c>
      <c r="M296" s="81">
        <v>2029</v>
      </c>
      <c r="N296" s="81">
        <v>2030</v>
      </c>
      <c r="O296" s="81">
        <v>2031</v>
      </c>
      <c r="P296" s="81">
        <v>2032</v>
      </c>
      <c r="Q296" s="81">
        <v>2033</v>
      </c>
      <c r="R296" s="81">
        <v>2034</v>
      </c>
      <c r="S296" s="81">
        <v>2035</v>
      </c>
      <c r="T296" s="81">
        <v>2036</v>
      </c>
      <c r="U296" s="59"/>
      <c r="V296" s="59" t="s">
        <v>4430</v>
      </c>
    </row>
    <row r="297" spans="2:22" x14ac:dyDescent="0.25">
      <c r="B297" s="23" t="s">
        <v>1010</v>
      </c>
      <c r="C297" s="28" t="s">
        <v>1011</v>
      </c>
      <c r="D297" s="44" t="s">
        <v>4442</v>
      </c>
      <c r="E297" s="86"/>
      <c r="F297" s="44" t="s">
        <v>1012</v>
      </c>
      <c r="V297" s="63" t="s">
        <v>4550</v>
      </c>
    </row>
    <row r="298" spans="2:22" x14ac:dyDescent="0.25">
      <c r="B298" s="23" t="s">
        <v>1014</v>
      </c>
      <c r="C298" s="28" t="s">
        <v>886</v>
      </c>
      <c r="D298" s="44" t="s">
        <v>4442</v>
      </c>
      <c r="E298" s="86">
        <v>55000</v>
      </c>
      <c r="F298" s="44" t="s">
        <v>1015</v>
      </c>
      <c r="V298" s="63" t="s">
        <v>4551</v>
      </c>
    </row>
    <row r="299" spans="2:22" x14ac:dyDescent="0.25">
      <c r="B299" s="23" t="s">
        <v>1017</v>
      </c>
      <c r="C299" s="28" t="s">
        <v>886</v>
      </c>
      <c r="D299" s="44" t="s">
        <v>4442</v>
      </c>
      <c r="E299" s="86">
        <v>65000</v>
      </c>
      <c r="F299" s="44" t="s">
        <v>1018</v>
      </c>
      <c r="V299" s="63" t="s">
        <v>4552</v>
      </c>
    </row>
    <row r="300" spans="2:22" x14ac:dyDescent="0.25">
      <c r="B300" s="23" t="s">
        <v>1019</v>
      </c>
      <c r="C300" s="28" t="s">
        <v>1020</v>
      </c>
      <c r="D300" s="44" t="s">
        <v>4442</v>
      </c>
      <c r="F300" s="44" t="s">
        <v>1021</v>
      </c>
      <c r="H300" s="86">
        <v>0</v>
      </c>
      <c r="I300" s="86">
        <v>0</v>
      </c>
      <c r="J300" s="86">
        <v>0</v>
      </c>
      <c r="K300" s="86">
        <v>0</v>
      </c>
      <c r="L300" s="86">
        <v>255000</v>
      </c>
      <c r="M300" s="86">
        <v>355000</v>
      </c>
      <c r="N300" s="86">
        <v>500000</v>
      </c>
      <c r="O300" s="86">
        <v>500000</v>
      </c>
      <c r="P300" s="86">
        <v>500000</v>
      </c>
      <c r="Q300" s="86">
        <v>500000</v>
      </c>
      <c r="R300" s="86">
        <v>500000</v>
      </c>
      <c r="S300" s="86">
        <v>500000</v>
      </c>
      <c r="T300" s="86">
        <v>500000</v>
      </c>
      <c r="V300" s="63" t="s">
        <v>4553</v>
      </c>
    </row>
    <row r="301" spans="2:22" x14ac:dyDescent="0.25">
      <c r="B301" s="23" t="s">
        <v>1022</v>
      </c>
      <c r="C301" s="28" t="s">
        <v>883</v>
      </c>
      <c r="D301" s="44" t="s">
        <v>4442</v>
      </c>
      <c r="F301" s="44" t="s">
        <v>1023</v>
      </c>
      <c r="H301" s="86">
        <v>0</v>
      </c>
      <c r="I301" s="86">
        <v>0</v>
      </c>
      <c r="J301" s="86">
        <v>0</v>
      </c>
      <c r="K301" s="86">
        <v>133333.33333333299</v>
      </c>
      <c r="L301" s="86">
        <v>133333.33333333299</v>
      </c>
      <c r="M301" s="86">
        <v>133333.33333333299</v>
      </c>
      <c r="N301" s="86">
        <v>240000</v>
      </c>
      <c r="O301" s="86">
        <v>240000</v>
      </c>
      <c r="P301" s="86">
        <v>240000</v>
      </c>
      <c r="Q301" s="86">
        <v>240000</v>
      </c>
      <c r="R301" s="86">
        <v>240000</v>
      </c>
      <c r="S301" s="86">
        <v>240000</v>
      </c>
      <c r="T301" s="86">
        <v>240000</v>
      </c>
      <c r="V301" s="63" t="s">
        <v>4554</v>
      </c>
    </row>
    <row r="302" spans="2:22" ht="26.25" customHeight="1" x14ac:dyDescent="0.25">
      <c r="B302" s="64" t="s">
        <v>1024</v>
      </c>
      <c r="C302" s="28" t="s">
        <v>883</v>
      </c>
      <c r="D302" s="44" t="s">
        <v>4442</v>
      </c>
      <c r="F302" s="44" t="s">
        <v>1025</v>
      </c>
      <c r="H302" s="86">
        <v>0</v>
      </c>
      <c r="I302" s="86">
        <v>0</v>
      </c>
      <c r="J302" s="86">
        <v>0</v>
      </c>
      <c r="K302" s="86">
        <v>83333.333333333299</v>
      </c>
      <c r="L302" s="86">
        <v>133333.33333333299</v>
      </c>
      <c r="M302" s="86">
        <v>90872.992737072607</v>
      </c>
      <c r="N302" s="86">
        <v>208000</v>
      </c>
      <c r="O302" s="86">
        <v>208000</v>
      </c>
      <c r="P302" s="86">
        <v>208000</v>
      </c>
      <c r="Q302" s="86">
        <v>208000</v>
      </c>
      <c r="R302" s="86">
        <v>208000</v>
      </c>
      <c r="S302" s="86">
        <v>208000</v>
      </c>
      <c r="T302" s="86">
        <v>208000</v>
      </c>
      <c r="V302" s="63" t="s">
        <v>4555</v>
      </c>
    </row>
    <row r="303" spans="2:22" x14ac:dyDescent="0.25">
      <c r="B303" s="23" t="s">
        <v>1027</v>
      </c>
      <c r="C303" s="28" t="s">
        <v>647</v>
      </c>
      <c r="D303" s="44" t="s">
        <v>4442</v>
      </c>
      <c r="F303" s="44" t="s">
        <v>1028</v>
      </c>
      <c r="H303" s="86">
        <v>0</v>
      </c>
      <c r="I303" s="86">
        <v>0</v>
      </c>
      <c r="J303" s="86">
        <v>0</v>
      </c>
      <c r="K303" s="86">
        <v>0</v>
      </c>
      <c r="L303" s="86">
        <v>15000</v>
      </c>
      <c r="M303" s="86">
        <v>15000</v>
      </c>
      <c r="N303" s="86">
        <v>15000</v>
      </c>
      <c r="O303" s="86">
        <v>15000</v>
      </c>
      <c r="P303" s="86">
        <v>15000</v>
      </c>
      <c r="Q303" s="86">
        <v>15000</v>
      </c>
      <c r="R303" s="86">
        <v>15000</v>
      </c>
      <c r="S303" s="86">
        <v>15000</v>
      </c>
      <c r="T303" s="86">
        <v>15000</v>
      </c>
      <c r="V303" s="63" t="s">
        <v>4556</v>
      </c>
    </row>
    <row r="304" spans="2:22" x14ac:dyDescent="0.25">
      <c r="B304" s="23" t="s">
        <v>1029</v>
      </c>
      <c r="C304" s="28" t="s">
        <v>292</v>
      </c>
      <c r="D304" s="44" t="s">
        <v>4442</v>
      </c>
      <c r="F304" s="44" t="s">
        <v>1030</v>
      </c>
      <c r="H304" s="87">
        <v>0</v>
      </c>
      <c r="I304" s="87">
        <v>0</v>
      </c>
      <c r="J304" s="87">
        <v>0</v>
      </c>
      <c r="K304" s="87">
        <v>0</v>
      </c>
      <c r="L304" s="87">
        <v>0</v>
      </c>
      <c r="M304" s="87">
        <v>0</v>
      </c>
      <c r="N304" s="87">
        <v>0.03</v>
      </c>
      <c r="O304" s="87">
        <v>0.03</v>
      </c>
      <c r="P304" s="87">
        <v>0.03</v>
      </c>
      <c r="Q304" s="87">
        <v>0.03</v>
      </c>
      <c r="R304" s="87">
        <v>0.03</v>
      </c>
      <c r="S304" s="87">
        <v>0.03</v>
      </c>
      <c r="T304" s="87">
        <v>0.03</v>
      </c>
      <c r="V304" s="63" t="s">
        <v>4557</v>
      </c>
    </row>
    <row r="305" spans="2:22" ht="24.75" customHeight="1" x14ac:dyDescent="0.25">
      <c r="B305" s="23" t="s">
        <v>1031</v>
      </c>
      <c r="C305" s="90" t="s">
        <v>1032</v>
      </c>
      <c r="D305" s="44" t="s">
        <v>4442</v>
      </c>
      <c r="F305" s="44" t="s">
        <v>1033</v>
      </c>
      <c r="H305" s="87">
        <v>0.3</v>
      </c>
      <c r="I305" s="87">
        <v>0.3</v>
      </c>
      <c r="J305" s="87">
        <v>0.3</v>
      </c>
      <c r="K305" s="87">
        <v>0.3</v>
      </c>
      <c r="L305" s="87">
        <v>0.3</v>
      </c>
      <c r="M305" s="87">
        <v>0.3</v>
      </c>
      <c r="N305" s="87">
        <v>0.3</v>
      </c>
      <c r="O305" s="87">
        <v>0.3</v>
      </c>
      <c r="P305" s="87">
        <v>0.3</v>
      </c>
      <c r="Q305" s="87">
        <v>0.3</v>
      </c>
      <c r="R305" s="87">
        <v>0.3</v>
      </c>
      <c r="S305" s="87">
        <v>0.3</v>
      </c>
      <c r="T305" s="87">
        <v>0.3</v>
      </c>
      <c r="V305" s="63" t="s">
        <v>4558</v>
      </c>
    </row>
    <row r="306" spans="2:22" x14ac:dyDescent="0.25">
      <c r="B306" s="23" t="s">
        <v>798</v>
      </c>
      <c r="C306" s="28" t="s">
        <v>799</v>
      </c>
      <c r="D306" s="44" t="s">
        <v>4442</v>
      </c>
      <c r="F306" s="44" t="s">
        <v>1034</v>
      </c>
      <c r="H306" s="87">
        <v>0.18</v>
      </c>
      <c r="I306" s="87">
        <v>0.18</v>
      </c>
      <c r="J306" s="87">
        <v>0.18</v>
      </c>
      <c r="K306" s="87">
        <v>0.18</v>
      </c>
      <c r="L306" s="87">
        <v>0.18</v>
      </c>
      <c r="M306" s="87">
        <v>0.18</v>
      </c>
      <c r="N306" s="87">
        <v>0.18</v>
      </c>
      <c r="O306" s="87">
        <v>0.18</v>
      </c>
      <c r="P306" s="87">
        <v>0.18</v>
      </c>
      <c r="Q306" s="87">
        <v>0.18</v>
      </c>
      <c r="R306" s="87">
        <v>0.18</v>
      </c>
      <c r="S306" s="87">
        <v>0.18</v>
      </c>
      <c r="T306" s="87">
        <v>0.18</v>
      </c>
      <c r="V306" s="63" t="s">
        <v>4559</v>
      </c>
    </row>
    <row r="307" spans="2:22" x14ac:dyDescent="0.25">
      <c r="B307" s="23" t="s">
        <v>1035</v>
      </c>
      <c r="C307" s="28" t="s">
        <v>806</v>
      </c>
      <c r="D307" s="44" t="s">
        <v>4442</v>
      </c>
      <c r="E307" s="94">
        <v>40.024592683676602</v>
      </c>
      <c r="F307" s="44" t="s">
        <v>1036</v>
      </c>
      <c r="V307" s="63" t="s">
        <v>4560</v>
      </c>
    </row>
    <row r="308" spans="2:22" ht="26.25" customHeight="1" x14ac:dyDescent="0.25">
      <c r="B308" s="64" t="s">
        <v>1038</v>
      </c>
      <c r="C308" s="28" t="s">
        <v>810</v>
      </c>
      <c r="D308" s="44" t="s">
        <v>4448</v>
      </c>
      <c r="F308" s="44" t="s">
        <v>1039</v>
      </c>
      <c r="G308" s="96">
        <v>0</v>
      </c>
      <c r="H308" s="96">
        <v>0</v>
      </c>
      <c r="I308" s="96">
        <v>0</v>
      </c>
      <c r="J308" s="96">
        <v>0</v>
      </c>
      <c r="K308" s="96">
        <v>0.7</v>
      </c>
      <c r="L308" s="96">
        <v>0.3</v>
      </c>
      <c r="M308" s="96">
        <v>0</v>
      </c>
      <c r="N308" s="96">
        <v>0</v>
      </c>
      <c r="O308" s="96">
        <v>0</v>
      </c>
      <c r="P308" s="96">
        <v>0</v>
      </c>
      <c r="Q308" s="96">
        <v>0</v>
      </c>
      <c r="R308" s="96">
        <v>0</v>
      </c>
      <c r="S308" s="96">
        <v>0</v>
      </c>
      <c r="T308" s="96">
        <v>0</v>
      </c>
      <c r="V308" s="63" t="s">
        <v>4561</v>
      </c>
    </row>
    <row r="309" spans="2:22" x14ac:dyDescent="0.25">
      <c r="B309" s="23" t="s">
        <v>1040</v>
      </c>
      <c r="C309" s="28" t="s">
        <v>292</v>
      </c>
      <c r="D309" s="44" t="s">
        <v>4442</v>
      </c>
      <c r="E309" s="87">
        <v>0.9</v>
      </c>
      <c r="F309" s="44" t="s">
        <v>1041</v>
      </c>
      <c r="V309" s="63" t="s">
        <v>1041</v>
      </c>
    </row>
    <row r="310" spans="2:22" x14ac:dyDescent="0.25">
      <c r="B310" s="23" t="s">
        <v>1042</v>
      </c>
      <c r="C310" s="28" t="s">
        <v>816</v>
      </c>
      <c r="D310" s="44" t="s">
        <v>4442</v>
      </c>
      <c r="E310" s="74">
        <v>20</v>
      </c>
      <c r="F310" s="44" t="s">
        <v>1043</v>
      </c>
      <c r="V310" s="63" t="s">
        <v>1043</v>
      </c>
    </row>
    <row r="311" spans="2:22" x14ac:dyDescent="0.25">
      <c r="B311" s="23" t="s">
        <v>1044</v>
      </c>
      <c r="C311" s="28" t="s">
        <v>816</v>
      </c>
      <c r="D311" s="44" t="s">
        <v>4442</v>
      </c>
      <c r="E311" s="74">
        <v>8</v>
      </c>
      <c r="F311" s="44" t="s">
        <v>1045</v>
      </c>
      <c r="V311" s="63" t="s">
        <v>1045</v>
      </c>
    </row>
    <row r="313" spans="2:22" x14ac:dyDescent="0.25">
      <c r="B313" s="58" t="s">
        <v>1046</v>
      </c>
      <c r="C313" s="19"/>
      <c r="D313" s="19"/>
      <c r="E313" s="19"/>
      <c r="F313" s="19"/>
      <c r="G313" s="19"/>
      <c r="H313" s="19"/>
      <c r="I313" s="19"/>
      <c r="J313" s="19"/>
      <c r="K313" s="19"/>
      <c r="L313" s="19"/>
      <c r="M313" s="19"/>
      <c r="N313" s="19"/>
      <c r="O313" s="19"/>
      <c r="P313" s="19"/>
      <c r="Q313" s="19"/>
      <c r="R313" s="19"/>
      <c r="S313" s="19"/>
      <c r="T313" s="19"/>
      <c r="U313" s="19"/>
      <c r="V313" s="19"/>
    </row>
    <row r="314" spans="2:22" x14ac:dyDescent="0.25">
      <c r="B314" s="63" t="s">
        <v>1047</v>
      </c>
    </row>
    <row r="315" spans="2:22" x14ac:dyDescent="0.25">
      <c r="B315" s="42" t="s">
        <v>1048</v>
      </c>
    </row>
    <row r="316" spans="2:22" x14ac:dyDescent="0.25">
      <c r="B316" s="59" t="s">
        <v>1050</v>
      </c>
      <c r="C316" s="59" t="s">
        <v>466</v>
      </c>
      <c r="D316" s="59" t="s">
        <v>4429</v>
      </c>
      <c r="E316" s="59" t="s">
        <v>1051</v>
      </c>
      <c r="F316" s="59" t="s">
        <v>1052</v>
      </c>
      <c r="G316" s="80" t="s">
        <v>628</v>
      </c>
      <c r="H316" s="81">
        <v>2024</v>
      </c>
      <c r="I316" s="81">
        <v>2025</v>
      </c>
      <c r="J316" s="81">
        <v>2026</v>
      </c>
      <c r="K316" s="81">
        <v>2027</v>
      </c>
      <c r="L316" s="81">
        <v>2028</v>
      </c>
      <c r="M316" s="81">
        <v>2029</v>
      </c>
      <c r="N316" s="81">
        <v>2030</v>
      </c>
      <c r="O316" s="81">
        <v>2031</v>
      </c>
      <c r="P316" s="81">
        <v>2032</v>
      </c>
      <c r="Q316" s="81">
        <v>2033</v>
      </c>
      <c r="R316" s="81">
        <v>2034</v>
      </c>
      <c r="S316" s="81">
        <v>2035</v>
      </c>
      <c r="T316" s="81">
        <v>2036</v>
      </c>
      <c r="U316" s="59"/>
      <c r="V316" s="59" t="s">
        <v>4430</v>
      </c>
    </row>
    <row r="317" spans="2:22" x14ac:dyDescent="0.25">
      <c r="B317" s="23" t="s">
        <v>1053</v>
      </c>
      <c r="C317" s="28" t="s">
        <v>493</v>
      </c>
      <c r="D317" s="44" t="s">
        <v>4442</v>
      </c>
      <c r="E317" s="92">
        <v>12.869295671530001</v>
      </c>
      <c r="F317" s="87">
        <v>1</v>
      </c>
      <c r="H317" s="93">
        <v>3.5000000000000003E-2</v>
      </c>
      <c r="I317" s="93">
        <v>3.5000000000000003E-2</v>
      </c>
      <c r="J317" s="93">
        <v>3.5000000000000003E-2</v>
      </c>
      <c r="K317" s="93">
        <v>3.5000000000000003E-2</v>
      </c>
      <c r="L317" s="93">
        <v>3.5000000000000003E-2</v>
      </c>
      <c r="M317" s="93">
        <v>3.5000000000000003E-2</v>
      </c>
      <c r="N317" s="93">
        <v>3.5000000000000003E-2</v>
      </c>
      <c r="O317" s="93">
        <v>3.5000000000000003E-2</v>
      </c>
      <c r="P317" s="93">
        <v>3.5000000000000003E-2</v>
      </c>
      <c r="Q317" s="93">
        <v>3.5000000000000003E-2</v>
      </c>
      <c r="R317" s="93">
        <v>3.5000000000000003E-2</v>
      </c>
      <c r="S317" s="93">
        <v>3.5000000000000003E-2</v>
      </c>
      <c r="T317" s="93">
        <v>3.5000000000000003E-2</v>
      </c>
      <c r="V317" s="63" t="s">
        <v>1054</v>
      </c>
    </row>
    <row r="318" spans="2:22" x14ac:dyDescent="0.25">
      <c r="B318" s="23" t="s">
        <v>1055</v>
      </c>
      <c r="C318" s="28" t="s">
        <v>1056</v>
      </c>
      <c r="D318" s="44" t="s">
        <v>4442</v>
      </c>
      <c r="E318" s="92">
        <v>4.3341669714466002</v>
      </c>
      <c r="F318" s="87">
        <v>1.2</v>
      </c>
      <c r="H318" s="93">
        <v>0.03</v>
      </c>
      <c r="I318" s="93">
        <v>0.03</v>
      </c>
      <c r="J318" s="93">
        <v>0.03</v>
      </c>
      <c r="K318" s="93">
        <v>0.03</v>
      </c>
      <c r="L318" s="93">
        <v>0.03</v>
      </c>
      <c r="M318" s="93">
        <v>0.03</v>
      </c>
      <c r="N318" s="93">
        <v>0.03</v>
      </c>
      <c r="O318" s="93">
        <v>0.03</v>
      </c>
      <c r="P318" s="93">
        <v>0.03</v>
      </c>
      <c r="Q318" s="93">
        <v>0.03</v>
      </c>
      <c r="R318" s="93">
        <v>0.03</v>
      </c>
      <c r="S318" s="93">
        <v>0.03</v>
      </c>
      <c r="T318" s="93">
        <v>0.03</v>
      </c>
      <c r="V318" s="63" t="s">
        <v>4562</v>
      </c>
    </row>
    <row r="319" spans="2:22" x14ac:dyDescent="0.25">
      <c r="B319" s="23" t="s">
        <v>1058</v>
      </c>
      <c r="C319" s="28" t="s">
        <v>1056</v>
      </c>
      <c r="D319" s="44" t="s">
        <v>4442</v>
      </c>
      <c r="E319" s="92">
        <v>2.5548429764420999</v>
      </c>
      <c r="F319" s="87">
        <v>1.2</v>
      </c>
      <c r="H319" s="93">
        <v>0.03</v>
      </c>
      <c r="I319" s="93">
        <v>0.03</v>
      </c>
      <c r="J319" s="93">
        <v>0.03</v>
      </c>
      <c r="K319" s="93">
        <v>0.03</v>
      </c>
      <c r="L319" s="93">
        <v>0.03</v>
      </c>
      <c r="M319" s="93">
        <v>0.03</v>
      </c>
      <c r="N319" s="93">
        <v>0.03</v>
      </c>
      <c r="O319" s="93">
        <v>0.03</v>
      </c>
      <c r="P319" s="93">
        <v>0.03</v>
      </c>
      <c r="Q319" s="93">
        <v>0.03</v>
      </c>
      <c r="R319" s="93">
        <v>0.03</v>
      </c>
      <c r="S319" s="93">
        <v>0.03</v>
      </c>
      <c r="T319" s="93">
        <v>0.03</v>
      </c>
      <c r="V319" s="63" t="s">
        <v>4563</v>
      </c>
    </row>
    <row r="320" spans="2:22" x14ac:dyDescent="0.25">
      <c r="B320" s="23" t="s">
        <v>1060</v>
      </c>
      <c r="C320" s="28" t="s">
        <v>493</v>
      </c>
      <c r="D320" s="44" t="s">
        <v>4442</v>
      </c>
      <c r="E320" s="92">
        <v>2.0920344480000002</v>
      </c>
      <c r="F320" s="87">
        <v>1</v>
      </c>
      <c r="H320" s="93">
        <v>3.5000000000000003E-2</v>
      </c>
      <c r="I320" s="93">
        <v>3.5000000000000003E-2</v>
      </c>
      <c r="J320" s="93">
        <v>3.5000000000000003E-2</v>
      </c>
      <c r="K320" s="93">
        <v>3.5000000000000003E-2</v>
      </c>
      <c r="L320" s="93">
        <v>3.5000000000000003E-2</v>
      </c>
      <c r="M320" s="93">
        <v>3.5000000000000003E-2</v>
      </c>
      <c r="N320" s="93">
        <v>3.5000000000000003E-2</v>
      </c>
      <c r="O320" s="93">
        <v>3.5000000000000003E-2</v>
      </c>
      <c r="P320" s="93">
        <v>3.5000000000000003E-2</v>
      </c>
      <c r="Q320" s="93">
        <v>3.5000000000000003E-2</v>
      </c>
      <c r="R320" s="93">
        <v>3.5000000000000003E-2</v>
      </c>
      <c r="S320" s="93">
        <v>3.5000000000000003E-2</v>
      </c>
      <c r="T320" s="93">
        <v>3.5000000000000003E-2</v>
      </c>
      <c r="V320" s="63" t="s">
        <v>1061</v>
      </c>
    </row>
    <row r="321" spans="2:22" x14ac:dyDescent="0.25">
      <c r="B321" s="23" t="s">
        <v>1062</v>
      </c>
      <c r="C321" s="28" t="s">
        <v>1056</v>
      </c>
      <c r="D321" s="44" t="s">
        <v>4442</v>
      </c>
      <c r="E321" s="92">
        <v>2.0448544530068999</v>
      </c>
      <c r="F321" s="87">
        <v>1.2</v>
      </c>
      <c r="H321" s="93">
        <v>0.03</v>
      </c>
      <c r="I321" s="93">
        <v>0.03</v>
      </c>
      <c r="J321" s="93">
        <v>0.03</v>
      </c>
      <c r="K321" s="93">
        <v>0.03</v>
      </c>
      <c r="L321" s="93">
        <v>0.03</v>
      </c>
      <c r="M321" s="93">
        <v>0.03</v>
      </c>
      <c r="N321" s="93">
        <v>0.03</v>
      </c>
      <c r="O321" s="93">
        <v>0.03</v>
      </c>
      <c r="P321" s="93">
        <v>0.03</v>
      </c>
      <c r="Q321" s="93">
        <v>0.03</v>
      </c>
      <c r="R321" s="93">
        <v>0.03</v>
      </c>
      <c r="S321" s="93">
        <v>0.03</v>
      </c>
      <c r="T321" s="93">
        <v>0.03</v>
      </c>
      <c r="V321" s="63" t="s">
        <v>4564</v>
      </c>
    </row>
    <row r="322" spans="2:22" x14ac:dyDescent="0.25">
      <c r="B322" s="23" t="s">
        <v>1064</v>
      </c>
      <c r="C322" s="28" t="s">
        <v>1056</v>
      </c>
      <c r="D322" s="44" t="s">
        <v>4442</v>
      </c>
      <c r="E322" s="92">
        <v>1.246304098</v>
      </c>
      <c r="F322" s="87">
        <v>1</v>
      </c>
      <c r="H322" s="93">
        <v>3.5000000000000003E-2</v>
      </c>
      <c r="I322" s="93">
        <v>3.5000000000000003E-2</v>
      </c>
      <c r="J322" s="93">
        <v>3.5000000000000003E-2</v>
      </c>
      <c r="K322" s="93">
        <v>3.5000000000000003E-2</v>
      </c>
      <c r="L322" s="93">
        <v>3.5000000000000003E-2</v>
      </c>
      <c r="M322" s="93">
        <v>3.5000000000000003E-2</v>
      </c>
      <c r="N322" s="93">
        <v>3.5000000000000003E-2</v>
      </c>
      <c r="O322" s="93">
        <v>3.5000000000000003E-2</v>
      </c>
      <c r="P322" s="93">
        <v>3.5000000000000003E-2</v>
      </c>
      <c r="Q322" s="93">
        <v>3.5000000000000003E-2</v>
      </c>
      <c r="R322" s="93">
        <v>3.5000000000000003E-2</v>
      </c>
      <c r="S322" s="93">
        <v>3.5000000000000003E-2</v>
      </c>
      <c r="T322" s="93">
        <v>3.5000000000000003E-2</v>
      </c>
      <c r="V322" s="63" t="s">
        <v>4565</v>
      </c>
    </row>
    <row r="323" spans="2:22" x14ac:dyDescent="0.25">
      <c r="B323" s="23" t="s">
        <v>1066</v>
      </c>
      <c r="C323" s="28" t="s">
        <v>1056</v>
      </c>
      <c r="D323" s="44" t="s">
        <v>4442</v>
      </c>
      <c r="E323" s="92">
        <v>0.64505999999999997</v>
      </c>
      <c r="F323" s="87">
        <v>1</v>
      </c>
      <c r="H323" s="93">
        <v>3.5000000000000003E-2</v>
      </c>
      <c r="I323" s="93">
        <v>3.5000000000000003E-2</v>
      </c>
      <c r="J323" s="93">
        <v>3.5000000000000003E-2</v>
      </c>
      <c r="K323" s="93">
        <v>3.5000000000000003E-2</v>
      </c>
      <c r="L323" s="93">
        <v>3.5000000000000003E-2</v>
      </c>
      <c r="M323" s="93">
        <v>3.5000000000000003E-2</v>
      </c>
      <c r="N323" s="93">
        <v>3.5000000000000003E-2</v>
      </c>
      <c r="O323" s="93">
        <v>3.5000000000000003E-2</v>
      </c>
      <c r="P323" s="93">
        <v>3.5000000000000003E-2</v>
      </c>
      <c r="Q323" s="93">
        <v>3.5000000000000003E-2</v>
      </c>
      <c r="R323" s="93">
        <v>3.5000000000000003E-2</v>
      </c>
      <c r="S323" s="93">
        <v>3.5000000000000003E-2</v>
      </c>
      <c r="T323" s="93">
        <v>3.5000000000000003E-2</v>
      </c>
      <c r="V323" s="63" t="s">
        <v>4566</v>
      </c>
    </row>
    <row r="324" spans="2:22" x14ac:dyDescent="0.25">
      <c r="B324" s="23" t="s">
        <v>1068</v>
      </c>
      <c r="C324" s="28" t="s">
        <v>1056</v>
      </c>
      <c r="D324" s="44" t="s">
        <v>4442</v>
      </c>
      <c r="E324" s="92">
        <v>0.2389568971904</v>
      </c>
      <c r="F324" s="87">
        <v>1</v>
      </c>
      <c r="H324" s="93">
        <v>0.03</v>
      </c>
      <c r="I324" s="93">
        <v>0.03</v>
      </c>
      <c r="J324" s="93">
        <v>0.03</v>
      </c>
      <c r="K324" s="93">
        <v>0.03</v>
      </c>
      <c r="L324" s="93">
        <v>0.03</v>
      </c>
      <c r="M324" s="93">
        <v>0.03</v>
      </c>
      <c r="N324" s="93">
        <v>0.03</v>
      </c>
      <c r="O324" s="93">
        <v>0.03</v>
      </c>
      <c r="P324" s="93">
        <v>0.03</v>
      </c>
      <c r="Q324" s="93">
        <v>0.03</v>
      </c>
      <c r="R324" s="93">
        <v>0.03</v>
      </c>
      <c r="S324" s="93">
        <v>0.03</v>
      </c>
      <c r="T324" s="93">
        <v>0.03</v>
      </c>
      <c r="V324" s="63" t="s">
        <v>4567</v>
      </c>
    </row>
    <row r="325" spans="2:22" x14ac:dyDescent="0.25">
      <c r="B325" s="23" t="s">
        <v>1070</v>
      </c>
      <c r="C325" s="28" t="s">
        <v>493</v>
      </c>
      <c r="D325" s="44" t="s">
        <v>4442</v>
      </c>
      <c r="E325" s="92">
        <v>4.4313345909633002</v>
      </c>
      <c r="F325" s="87">
        <v>1.5</v>
      </c>
      <c r="H325" s="93">
        <v>0.03</v>
      </c>
      <c r="I325" s="93">
        <v>0.03</v>
      </c>
      <c r="J325" s="93">
        <v>0.03</v>
      </c>
      <c r="K325" s="93">
        <v>0.03</v>
      </c>
      <c r="L325" s="93">
        <v>0.03</v>
      </c>
      <c r="M325" s="93">
        <v>0.03</v>
      </c>
      <c r="N325" s="93">
        <v>0.03</v>
      </c>
      <c r="O325" s="93">
        <v>0.03</v>
      </c>
      <c r="P325" s="93">
        <v>0.03</v>
      </c>
      <c r="Q325" s="93">
        <v>0.03</v>
      </c>
      <c r="R325" s="93">
        <v>0.03</v>
      </c>
      <c r="S325" s="93">
        <v>0.03</v>
      </c>
      <c r="T325" s="93">
        <v>0.03</v>
      </c>
      <c r="V325" s="63" t="s">
        <v>1071</v>
      </c>
    </row>
    <row r="326" spans="2:22" x14ac:dyDescent="0.25">
      <c r="B326" s="23" t="s">
        <v>1072</v>
      </c>
      <c r="C326" s="28" t="s">
        <v>493</v>
      </c>
      <c r="D326" s="44" t="s">
        <v>4442</v>
      </c>
      <c r="E326" s="92">
        <v>1.70485667995</v>
      </c>
      <c r="F326" s="87">
        <v>1.5</v>
      </c>
      <c r="H326" s="93">
        <v>0.03</v>
      </c>
      <c r="I326" s="93">
        <v>0.03</v>
      </c>
      <c r="J326" s="93">
        <v>0.03</v>
      </c>
      <c r="K326" s="93">
        <v>0.03</v>
      </c>
      <c r="L326" s="93">
        <v>0.03</v>
      </c>
      <c r="M326" s="93">
        <v>0.03</v>
      </c>
      <c r="N326" s="93">
        <v>0.03</v>
      </c>
      <c r="O326" s="93">
        <v>0.03</v>
      </c>
      <c r="P326" s="93">
        <v>0.03</v>
      </c>
      <c r="Q326" s="93">
        <v>0.03</v>
      </c>
      <c r="R326" s="93">
        <v>0.03</v>
      </c>
      <c r="S326" s="93">
        <v>0.03</v>
      </c>
      <c r="T326" s="93">
        <v>0.03</v>
      </c>
      <c r="V326" s="63" t="s">
        <v>4568</v>
      </c>
    </row>
    <row r="327" spans="2:22" x14ac:dyDescent="0.25">
      <c r="B327" s="23" t="s">
        <v>1074</v>
      </c>
      <c r="C327" s="28" t="s">
        <v>493</v>
      </c>
      <c r="D327" s="44" t="s">
        <v>4442</v>
      </c>
      <c r="E327" s="92">
        <v>0.69940016000000005</v>
      </c>
      <c r="F327" s="87">
        <v>1.5</v>
      </c>
      <c r="H327" s="93">
        <v>0.03</v>
      </c>
      <c r="I327" s="93">
        <v>0.03</v>
      </c>
      <c r="J327" s="93">
        <v>0.03</v>
      </c>
      <c r="K327" s="93">
        <v>0.03</v>
      </c>
      <c r="L327" s="93">
        <v>0.03</v>
      </c>
      <c r="M327" s="93">
        <v>0.03</v>
      </c>
      <c r="N327" s="93">
        <v>0.03</v>
      </c>
      <c r="O327" s="93">
        <v>0.03</v>
      </c>
      <c r="P327" s="93">
        <v>0.03</v>
      </c>
      <c r="Q327" s="93">
        <v>0.03</v>
      </c>
      <c r="R327" s="93">
        <v>0.03</v>
      </c>
      <c r="S327" s="93">
        <v>0.03</v>
      </c>
      <c r="T327" s="93">
        <v>0.03</v>
      </c>
      <c r="V327" s="63" t="s">
        <v>1075</v>
      </c>
    </row>
    <row r="328" spans="2:22" x14ac:dyDescent="0.25">
      <c r="B328" s="23" t="s">
        <v>1076</v>
      </c>
      <c r="C328" s="28" t="s">
        <v>493</v>
      </c>
      <c r="D328" s="44" t="s">
        <v>4442</v>
      </c>
      <c r="E328" s="92">
        <v>0.66299453613699999</v>
      </c>
      <c r="F328" s="87">
        <v>1.5</v>
      </c>
      <c r="H328" s="93">
        <v>0.03</v>
      </c>
      <c r="I328" s="93">
        <v>0.03</v>
      </c>
      <c r="J328" s="93">
        <v>0.03</v>
      </c>
      <c r="K328" s="93">
        <v>0.03</v>
      </c>
      <c r="L328" s="93">
        <v>0.03</v>
      </c>
      <c r="M328" s="93">
        <v>0.03</v>
      </c>
      <c r="N328" s="93">
        <v>0.03</v>
      </c>
      <c r="O328" s="93">
        <v>0.03</v>
      </c>
      <c r="P328" s="93">
        <v>0.03</v>
      </c>
      <c r="Q328" s="93">
        <v>0.03</v>
      </c>
      <c r="R328" s="93">
        <v>0.03</v>
      </c>
      <c r="S328" s="93">
        <v>0.03</v>
      </c>
      <c r="T328" s="93">
        <v>0.03</v>
      </c>
      <c r="V328" s="63" t="s">
        <v>1077</v>
      </c>
    </row>
    <row r="329" spans="2:22" x14ac:dyDescent="0.25">
      <c r="B329" s="23" t="s">
        <v>1078</v>
      </c>
      <c r="C329" s="28" t="s">
        <v>493</v>
      </c>
      <c r="D329" s="44" t="s">
        <v>4442</v>
      </c>
      <c r="E329" s="92">
        <v>0.5239755843467</v>
      </c>
      <c r="F329" s="87">
        <v>1.5</v>
      </c>
      <c r="H329" s="93">
        <v>0.02</v>
      </c>
      <c r="I329" s="93">
        <v>0.02</v>
      </c>
      <c r="J329" s="93">
        <v>0.02</v>
      </c>
      <c r="K329" s="93">
        <v>0.02</v>
      </c>
      <c r="L329" s="93">
        <v>0.02</v>
      </c>
      <c r="M329" s="93">
        <v>0.02</v>
      </c>
      <c r="N329" s="93">
        <v>0.02</v>
      </c>
      <c r="O329" s="93">
        <v>0.02</v>
      </c>
      <c r="P329" s="93">
        <v>0.02</v>
      </c>
      <c r="Q329" s="93">
        <v>0.02</v>
      </c>
      <c r="R329" s="93">
        <v>0.02</v>
      </c>
      <c r="S329" s="93">
        <v>0.02</v>
      </c>
      <c r="T329" s="93">
        <v>0.02</v>
      </c>
      <c r="V329" s="63" t="s">
        <v>1079</v>
      </c>
    </row>
    <row r="330" spans="2:22" x14ac:dyDescent="0.25">
      <c r="B330" s="23" t="s">
        <v>1080</v>
      </c>
      <c r="C330" s="28" t="s">
        <v>493</v>
      </c>
      <c r="D330" s="44" t="s">
        <v>4442</v>
      </c>
      <c r="E330" s="92">
        <v>0.43889630771830002</v>
      </c>
      <c r="F330" s="87">
        <v>1.5</v>
      </c>
      <c r="H330" s="93">
        <v>0.03</v>
      </c>
      <c r="I330" s="93">
        <v>0.03</v>
      </c>
      <c r="J330" s="93">
        <v>0.03</v>
      </c>
      <c r="K330" s="93">
        <v>0.03</v>
      </c>
      <c r="L330" s="93">
        <v>0.03</v>
      </c>
      <c r="M330" s="93">
        <v>0.03</v>
      </c>
      <c r="N330" s="93">
        <v>0.03</v>
      </c>
      <c r="O330" s="93">
        <v>0.03</v>
      </c>
      <c r="P330" s="93">
        <v>0.03</v>
      </c>
      <c r="Q330" s="93">
        <v>0.03</v>
      </c>
      <c r="R330" s="93">
        <v>0.03</v>
      </c>
      <c r="S330" s="93">
        <v>0.03</v>
      </c>
      <c r="T330" s="93">
        <v>0.03</v>
      </c>
      <c r="V330" s="63" t="s">
        <v>1081</v>
      </c>
    </row>
    <row r="331" spans="2:22" x14ac:dyDescent="0.25">
      <c r="B331" s="23" t="s">
        <v>1082</v>
      </c>
      <c r="C331" s="28" t="s">
        <v>493</v>
      </c>
      <c r="D331" s="44" t="s">
        <v>4442</v>
      </c>
      <c r="E331" s="92">
        <v>0.18272252599</v>
      </c>
      <c r="F331" s="87">
        <v>1.5</v>
      </c>
      <c r="H331" s="93">
        <v>0.02</v>
      </c>
      <c r="I331" s="93">
        <v>0.02</v>
      </c>
      <c r="J331" s="93">
        <v>0.02</v>
      </c>
      <c r="K331" s="93">
        <v>0.02</v>
      </c>
      <c r="L331" s="93">
        <v>0.02</v>
      </c>
      <c r="M331" s="93">
        <v>0.02</v>
      </c>
      <c r="N331" s="93">
        <v>0.02</v>
      </c>
      <c r="O331" s="93">
        <v>0.02</v>
      </c>
      <c r="P331" s="93">
        <v>0.02</v>
      </c>
      <c r="Q331" s="93">
        <v>0.02</v>
      </c>
      <c r="R331" s="93">
        <v>0.02</v>
      </c>
      <c r="S331" s="93">
        <v>0.02</v>
      </c>
      <c r="T331" s="93">
        <v>0.02</v>
      </c>
      <c r="V331" s="63" t="s">
        <v>1083</v>
      </c>
    </row>
    <row r="332" spans="2:22" x14ac:dyDescent="0.25">
      <c r="B332" s="23" t="s">
        <v>1084</v>
      </c>
      <c r="C332" s="28" t="s">
        <v>493</v>
      </c>
      <c r="D332" s="44" t="s">
        <v>4442</v>
      </c>
      <c r="E332" s="92">
        <v>0.17889313300000001</v>
      </c>
      <c r="F332" s="87">
        <v>1.5</v>
      </c>
      <c r="H332" s="93">
        <v>0.02</v>
      </c>
      <c r="I332" s="93">
        <v>0.02</v>
      </c>
      <c r="J332" s="93">
        <v>0.02</v>
      </c>
      <c r="K332" s="93">
        <v>0.02</v>
      </c>
      <c r="L332" s="93">
        <v>0.02</v>
      </c>
      <c r="M332" s="93">
        <v>0.02</v>
      </c>
      <c r="N332" s="93">
        <v>0.02</v>
      </c>
      <c r="O332" s="93">
        <v>0.02</v>
      </c>
      <c r="P332" s="93">
        <v>0.02</v>
      </c>
      <c r="Q332" s="93">
        <v>0.02</v>
      </c>
      <c r="R332" s="93">
        <v>0.02</v>
      </c>
      <c r="S332" s="93">
        <v>0.02</v>
      </c>
      <c r="T332" s="93">
        <v>0.02</v>
      </c>
      <c r="V332" s="63" t="s">
        <v>1085</v>
      </c>
    </row>
    <row r="333" spans="2:22" x14ac:dyDescent="0.25">
      <c r="B333" s="23" t="s">
        <v>1086</v>
      </c>
      <c r="C333" s="28" t="s">
        <v>493</v>
      </c>
      <c r="D333" s="44" t="s">
        <v>4442</v>
      </c>
      <c r="E333" s="92">
        <v>0.15018628395</v>
      </c>
      <c r="F333" s="87">
        <v>1.5</v>
      </c>
      <c r="H333" s="93">
        <v>0.02</v>
      </c>
      <c r="I333" s="93">
        <v>0.02</v>
      </c>
      <c r="J333" s="93">
        <v>0.02</v>
      </c>
      <c r="K333" s="93">
        <v>0.02</v>
      </c>
      <c r="L333" s="93">
        <v>0.02</v>
      </c>
      <c r="M333" s="93">
        <v>0.02</v>
      </c>
      <c r="N333" s="93">
        <v>0.02</v>
      </c>
      <c r="O333" s="93">
        <v>0.02</v>
      </c>
      <c r="P333" s="93">
        <v>0.02</v>
      </c>
      <c r="Q333" s="93">
        <v>0.02</v>
      </c>
      <c r="R333" s="93">
        <v>0.02</v>
      </c>
      <c r="S333" s="93">
        <v>0.02</v>
      </c>
      <c r="T333" s="93">
        <v>0.02</v>
      </c>
      <c r="V333" s="63" t="s">
        <v>1087</v>
      </c>
    </row>
    <row r="334" spans="2:22" x14ac:dyDescent="0.25">
      <c r="B334" s="23" t="s">
        <v>1088</v>
      </c>
      <c r="C334" s="28" t="s">
        <v>493</v>
      </c>
      <c r="D334" s="44" t="s">
        <v>4442</v>
      </c>
      <c r="E334" s="92">
        <v>0.14188256973999999</v>
      </c>
      <c r="F334" s="87">
        <v>1.5</v>
      </c>
      <c r="H334" s="93">
        <v>0.03</v>
      </c>
      <c r="I334" s="93">
        <v>0.03</v>
      </c>
      <c r="J334" s="93">
        <v>0.03</v>
      </c>
      <c r="K334" s="93">
        <v>0.03</v>
      </c>
      <c r="L334" s="93">
        <v>0.03</v>
      </c>
      <c r="M334" s="93">
        <v>0.03</v>
      </c>
      <c r="N334" s="93">
        <v>0.03</v>
      </c>
      <c r="O334" s="93">
        <v>0.03</v>
      </c>
      <c r="P334" s="93">
        <v>0.03</v>
      </c>
      <c r="Q334" s="93">
        <v>0.03</v>
      </c>
      <c r="R334" s="93">
        <v>0.03</v>
      </c>
      <c r="S334" s="93">
        <v>0.03</v>
      </c>
      <c r="T334" s="93">
        <v>0.03</v>
      </c>
      <c r="V334" s="63" t="s">
        <v>1089</v>
      </c>
    </row>
    <row r="335" spans="2:22" x14ac:dyDescent="0.25">
      <c r="B335" s="23" t="s">
        <v>1090</v>
      </c>
      <c r="C335" s="28" t="s">
        <v>493</v>
      </c>
      <c r="D335" s="44" t="s">
        <v>4442</v>
      </c>
      <c r="E335" s="92">
        <v>0.12822099967</v>
      </c>
      <c r="F335" s="87">
        <v>1.5</v>
      </c>
      <c r="H335" s="93">
        <v>0.03</v>
      </c>
      <c r="I335" s="93">
        <v>0.03</v>
      </c>
      <c r="J335" s="93">
        <v>0.03</v>
      </c>
      <c r="K335" s="93">
        <v>0.03</v>
      </c>
      <c r="L335" s="93">
        <v>0.03</v>
      </c>
      <c r="M335" s="93">
        <v>0.03</v>
      </c>
      <c r="N335" s="93">
        <v>0.03</v>
      </c>
      <c r="O335" s="93">
        <v>0.03</v>
      </c>
      <c r="P335" s="93">
        <v>0.03</v>
      </c>
      <c r="Q335" s="93">
        <v>0.03</v>
      </c>
      <c r="R335" s="93">
        <v>0.03</v>
      </c>
      <c r="S335" s="93">
        <v>0.03</v>
      </c>
      <c r="T335" s="93">
        <v>0.03</v>
      </c>
      <c r="V335" s="63" t="s">
        <v>1091</v>
      </c>
    </row>
    <row r="336" spans="2:22" x14ac:dyDescent="0.25">
      <c r="B336" s="23" t="s">
        <v>1092</v>
      </c>
      <c r="C336" s="28" t="s">
        <v>493</v>
      </c>
      <c r="D336" s="44" t="s">
        <v>4442</v>
      </c>
      <c r="E336" s="92">
        <v>1.400805E-3</v>
      </c>
      <c r="F336" s="87">
        <v>1.5</v>
      </c>
      <c r="H336" s="93">
        <v>0.02</v>
      </c>
      <c r="I336" s="93">
        <v>0.02</v>
      </c>
      <c r="J336" s="93">
        <v>0.02</v>
      </c>
      <c r="K336" s="93">
        <v>0.02</v>
      </c>
      <c r="L336" s="93">
        <v>0.02</v>
      </c>
      <c r="M336" s="93">
        <v>0.02</v>
      </c>
      <c r="N336" s="93">
        <v>0.02</v>
      </c>
      <c r="O336" s="93">
        <v>0.02</v>
      </c>
      <c r="P336" s="93">
        <v>0.02</v>
      </c>
      <c r="Q336" s="93">
        <v>0.02</v>
      </c>
      <c r="R336" s="93">
        <v>0.02</v>
      </c>
      <c r="S336" s="93">
        <v>0.02</v>
      </c>
      <c r="T336" s="93">
        <v>0.02</v>
      </c>
      <c r="V336" s="63" t="s">
        <v>1093</v>
      </c>
    </row>
    <row r="337" spans="2:22" x14ac:dyDescent="0.25">
      <c r="B337" s="42" t="s">
        <v>1094</v>
      </c>
    </row>
    <row r="338" spans="2:22" x14ac:dyDescent="0.25">
      <c r="B338" s="59" t="s">
        <v>1050</v>
      </c>
      <c r="C338" s="59" t="s">
        <v>466</v>
      </c>
      <c r="D338" s="59" t="s">
        <v>4429</v>
      </c>
      <c r="E338" s="59" t="s">
        <v>1051</v>
      </c>
      <c r="F338" s="59" t="s">
        <v>1052</v>
      </c>
      <c r="G338" s="80" t="s">
        <v>628</v>
      </c>
      <c r="H338" s="81">
        <v>2024</v>
      </c>
      <c r="I338" s="81">
        <v>2025</v>
      </c>
      <c r="J338" s="81">
        <v>2026</v>
      </c>
      <c r="K338" s="81">
        <v>2027</v>
      </c>
      <c r="L338" s="81">
        <v>2028</v>
      </c>
      <c r="M338" s="81">
        <v>2029</v>
      </c>
      <c r="N338" s="81">
        <v>2030</v>
      </c>
      <c r="O338" s="81">
        <v>2031</v>
      </c>
      <c r="P338" s="81">
        <v>2032</v>
      </c>
      <c r="Q338" s="81">
        <v>2033</v>
      </c>
      <c r="R338" s="81">
        <v>2034</v>
      </c>
      <c r="S338" s="81">
        <v>2035</v>
      </c>
      <c r="T338" s="81">
        <v>2036</v>
      </c>
      <c r="U338" s="59"/>
      <c r="V338" s="59" t="s">
        <v>4430</v>
      </c>
    </row>
    <row r="339" spans="2:22" x14ac:dyDescent="0.25">
      <c r="B339" s="23" t="s">
        <v>1053</v>
      </c>
      <c r="C339" s="28" t="s">
        <v>493</v>
      </c>
      <c r="D339" s="44" t="s">
        <v>4442</v>
      </c>
      <c r="E339" s="92">
        <v>5.423</v>
      </c>
      <c r="F339" s="87">
        <v>1</v>
      </c>
      <c r="H339" s="93">
        <v>3.5000000000000003E-2</v>
      </c>
      <c r="I339" s="93">
        <v>3.5000000000000003E-2</v>
      </c>
      <c r="J339" s="93">
        <v>3.5000000000000003E-2</v>
      </c>
      <c r="K339" s="93">
        <v>3.5000000000000003E-2</v>
      </c>
      <c r="L339" s="93">
        <v>3.5000000000000003E-2</v>
      </c>
      <c r="M339" s="93">
        <v>3.5000000000000003E-2</v>
      </c>
      <c r="N339" s="93">
        <v>3.5000000000000003E-2</v>
      </c>
      <c r="O339" s="93">
        <v>3.5000000000000003E-2</v>
      </c>
      <c r="P339" s="93">
        <v>3.5000000000000003E-2</v>
      </c>
      <c r="Q339" s="93">
        <v>3.5000000000000003E-2</v>
      </c>
      <c r="R339" s="93">
        <v>3.5000000000000003E-2</v>
      </c>
      <c r="S339" s="93">
        <v>3.5000000000000003E-2</v>
      </c>
      <c r="T339" s="93">
        <v>3.5000000000000003E-2</v>
      </c>
      <c r="V339" s="63" t="s">
        <v>1095</v>
      </c>
    </row>
    <row r="340" spans="2:22" x14ac:dyDescent="0.25">
      <c r="B340" s="23" t="s">
        <v>1055</v>
      </c>
      <c r="C340" s="28" t="s">
        <v>1056</v>
      </c>
      <c r="D340" s="44" t="s">
        <v>4442</v>
      </c>
      <c r="E340" s="92">
        <v>3.897911782</v>
      </c>
      <c r="F340" s="87">
        <v>1</v>
      </c>
      <c r="H340" s="93">
        <v>0.03</v>
      </c>
      <c r="I340" s="93">
        <v>0.03</v>
      </c>
      <c r="J340" s="93">
        <v>0.03</v>
      </c>
      <c r="K340" s="93">
        <v>0.03</v>
      </c>
      <c r="L340" s="93">
        <v>0.03</v>
      </c>
      <c r="M340" s="93">
        <v>0.03</v>
      </c>
      <c r="N340" s="93">
        <v>0.03</v>
      </c>
      <c r="O340" s="93">
        <v>0.03</v>
      </c>
      <c r="P340" s="93">
        <v>0.03</v>
      </c>
      <c r="Q340" s="93">
        <v>0.03</v>
      </c>
      <c r="R340" s="93">
        <v>0.03</v>
      </c>
      <c r="S340" s="93">
        <v>0.03</v>
      </c>
      <c r="T340" s="93">
        <v>0.03</v>
      </c>
      <c r="V340" s="63" t="s">
        <v>4569</v>
      </c>
    </row>
    <row r="341" spans="2:22" x14ac:dyDescent="0.25">
      <c r="B341" s="23" t="s">
        <v>1060</v>
      </c>
      <c r="C341" s="28" t="s">
        <v>493</v>
      </c>
      <c r="D341" s="44" t="s">
        <v>4442</v>
      </c>
      <c r="E341" s="92">
        <v>2.1486997309999998</v>
      </c>
      <c r="F341" s="87">
        <v>1</v>
      </c>
      <c r="H341" s="93">
        <v>3.5000000000000003E-2</v>
      </c>
      <c r="I341" s="93">
        <v>3.5000000000000003E-2</v>
      </c>
      <c r="J341" s="93">
        <v>3.5000000000000003E-2</v>
      </c>
      <c r="K341" s="93">
        <v>3.5000000000000003E-2</v>
      </c>
      <c r="L341" s="93">
        <v>3.5000000000000003E-2</v>
      </c>
      <c r="M341" s="93">
        <v>3.5000000000000003E-2</v>
      </c>
      <c r="N341" s="93">
        <v>3.5000000000000003E-2</v>
      </c>
      <c r="O341" s="93">
        <v>3.5000000000000003E-2</v>
      </c>
      <c r="P341" s="93">
        <v>3.5000000000000003E-2</v>
      </c>
      <c r="Q341" s="93">
        <v>3.5000000000000003E-2</v>
      </c>
      <c r="R341" s="93">
        <v>3.5000000000000003E-2</v>
      </c>
      <c r="S341" s="93">
        <v>3.5000000000000003E-2</v>
      </c>
      <c r="T341" s="93">
        <v>3.5000000000000003E-2</v>
      </c>
      <c r="V341" s="63" t="s">
        <v>1097</v>
      </c>
    </row>
    <row r="342" spans="2:22" x14ac:dyDescent="0.25">
      <c r="B342" s="23" t="s">
        <v>1062</v>
      </c>
      <c r="C342" s="28" t="s">
        <v>1056</v>
      </c>
      <c r="D342" s="44" t="s">
        <v>4442</v>
      </c>
      <c r="E342" s="92">
        <v>1.39158765303</v>
      </c>
      <c r="F342" s="87">
        <v>1</v>
      </c>
      <c r="H342" s="93">
        <v>0.03</v>
      </c>
      <c r="I342" s="93">
        <v>0.03</v>
      </c>
      <c r="J342" s="93">
        <v>0.03</v>
      </c>
      <c r="K342" s="93">
        <v>0.03</v>
      </c>
      <c r="L342" s="93">
        <v>0.03</v>
      </c>
      <c r="M342" s="93">
        <v>0.03</v>
      </c>
      <c r="N342" s="93">
        <v>0.03</v>
      </c>
      <c r="O342" s="93">
        <v>0.03</v>
      </c>
      <c r="P342" s="93">
        <v>0.03</v>
      </c>
      <c r="Q342" s="93">
        <v>0.03</v>
      </c>
      <c r="R342" s="93">
        <v>0.03</v>
      </c>
      <c r="S342" s="93">
        <v>0.03</v>
      </c>
      <c r="T342" s="93">
        <v>0.03</v>
      </c>
      <c r="V342" s="63" t="s">
        <v>4570</v>
      </c>
    </row>
    <row r="343" spans="2:22" x14ac:dyDescent="0.25">
      <c r="B343" s="23" t="s">
        <v>1099</v>
      </c>
      <c r="C343" s="28" t="s">
        <v>1056</v>
      </c>
      <c r="D343" s="44" t="s">
        <v>4442</v>
      </c>
      <c r="E343" s="92">
        <v>1.1984589640000001</v>
      </c>
      <c r="F343" s="87">
        <v>1</v>
      </c>
      <c r="H343" s="93">
        <v>0.03</v>
      </c>
      <c r="I343" s="93">
        <v>0.03</v>
      </c>
      <c r="J343" s="93">
        <v>0.03</v>
      </c>
      <c r="K343" s="93">
        <v>0.03</v>
      </c>
      <c r="L343" s="93">
        <v>0.03</v>
      </c>
      <c r="M343" s="93">
        <v>0.03</v>
      </c>
      <c r="N343" s="93">
        <v>0.03</v>
      </c>
      <c r="O343" s="93">
        <v>0.03</v>
      </c>
      <c r="P343" s="93">
        <v>0.03</v>
      </c>
      <c r="Q343" s="93">
        <v>0.03</v>
      </c>
      <c r="R343" s="93">
        <v>0.03</v>
      </c>
      <c r="S343" s="93">
        <v>0.03</v>
      </c>
      <c r="T343" s="93">
        <v>0.03</v>
      </c>
      <c r="V343" s="63" t="s">
        <v>4571</v>
      </c>
    </row>
    <row r="344" spans="2:22" x14ac:dyDescent="0.25">
      <c r="B344" s="23" t="s">
        <v>1068</v>
      </c>
      <c r="C344" s="28" t="s">
        <v>1056</v>
      </c>
      <c r="D344" s="44" t="s">
        <v>4442</v>
      </c>
      <c r="E344" s="92">
        <v>0.65990706099999996</v>
      </c>
      <c r="F344" s="87">
        <v>1</v>
      </c>
      <c r="H344" s="93">
        <v>0.02</v>
      </c>
      <c r="I344" s="93">
        <v>0.02</v>
      </c>
      <c r="J344" s="93">
        <v>0.02</v>
      </c>
      <c r="K344" s="93">
        <v>0.02</v>
      </c>
      <c r="L344" s="93">
        <v>0.02</v>
      </c>
      <c r="M344" s="93">
        <v>0.02</v>
      </c>
      <c r="N344" s="93">
        <v>0.02</v>
      </c>
      <c r="O344" s="93">
        <v>0.02</v>
      </c>
      <c r="P344" s="93">
        <v>0.02</v>
      </c>
      <c r="Q344" s="93">
        <v>0.02</v>
      </c>
      <c r="R344" s="93">
        <v>0.02</v>
      </c>
      <c r="S344" s="93">
        <v>0.02</v>
      </c>
      <c r="T344" s="93">
        <v>0.02</v>
      </c>
      <c r="V344" s="63" t="s">
        <v>4572</v>
      </c>
    </row>
    <row r="345" spans="2:22" x14ac:dyDescent="0.25">
      <c r="B345" s="23" t="s">
        <v>1064</v>
      </c>
      <c r="C345" s="28" t="s">
        <v>1056</v>
      </c>
      <c r="D345" s="44" t="s">
        <v>4442</v>
      </c>
      <c r="E345" s="92">
        <v>0.213092265</v>
      </c>
      <c r="F345" s="87">
        <v>1</v>
      </c>
      <c r="H345" s="93">
        <v>3.5000000000000003E-2</v>
      </c>
      <c r="I345" s="93">
        <v>3.5000000000000003E-2</v>
      </c>
      <c r="J345" s="93">
        <v>3.5000000000000003E-2</v>
      </c>
      <c r="K345" s="93">
        <v>3.5000000000000003E-2</v>
      </c>
      <c r="L345" s="93">
        <v>3.5000000000000003E-2</v>
      </c>
      <c r="M345" s="93">
        <v>3.5000000000000003E-2</v>
      </c>
      <c r="N345" s="93">
        <v>3.5000000000000003E-2</v>
      </c>
      <c r="O345" s="93">
        <v>3.5000000000000003E-2</v>
      </c>
      <c r="P345" s="93">
        <v>3.5000000000000003E-2</v>
      </c>
      <c r="Q345" s="93">
        <v>3.5000000000000003E-2</v>
      </c>
      <c r="R345" s="93">
        <v>3.5000000000000003E-2</v>
      </c>
      <c r="S345" s="93">
        <v>3.5000000000000003E-2</v>
      </c>
      <c r="T345" s="93">
        <v>3.5000000000000003E-2</v>
      </c>
      <c r="V345" s="63" t="s">
        <v>4573</v>
      </c>
    </row>
    <row r="346" spans="2:22" x14ac:dyDescent="0.25">
      <c r="B346" s="23" t="s">
        <v>1066</v>
      </c>
      <c r="C346" s="28" t="s">
        <v>1056</v>
      </c>
      <c r="D346" s="44" t="s">
        <v>4442</v>
      </c>
      <c r="E346" s="92">
        <v>7.0646302999999994E-2</v>
      </c>
      <c r="F346" s="87">
        <v>1</v>
      </c>
      <c r="H346" s="93">
        <v>3.5000000000000003E-2</v>
      </c>
      <c r="I346" s="93">
        <v>3.5000000000000003E-2</v>
      </c>
      <c r="J346" s="93">
        <v>3.5000000000000003E-2</v>
      </c>
      <c r="K346" s="93">
        <v>3.5000000000000003E-2</v>
      </c>
      <c r="L346" s="93">
        <v>3.5000000000000003E-2</v>
      </c>
      <c r="M346" s="93">
        <v>3.5000000000000003E-2</v>
      </c>
      <c r="N346" s="93">
        <v>3.5000000000000003E-2</v>
      </c>
      <c r="O346" s="93">
        <v>3.5000000000000003E-2</v>
      </c>
      <c r="P346" s="93">
        <v>3.5000000000000003E-2</v>
      </c>
      <c r="Q346" s="93">
        <v>3.5000000000000003E-2</v>
      </c>
      <c r="R346" s="93">
        <v>3.5000000000000003E-2</v>
      </c>
      <c r="S346" s="93">
        <v>3.5000000000000003E-2</v>
      </c>
      <c r="T346" s="93">
        <v>3.5000000000000003E-2</v>
      </c>
      <c r="V346" s="63" t="s">
        <v>4574</v>
      </c>
    </row>
    <row r="347" spans="2:22" x14ac:dyDescent="0.25">
      <c r="B347" s="23" t="s">
        <v>1104</v>
      </c>
      <c r="C347" s="28" t="s">
        <v>493</v>
      </c>
      <c r="D347" s="44" t="s">
        <v>4442</v>
      </c>
      <c r="E347" s="92">
        <v>2.5000000000000001E-3</v>
      </c>
      <c r="F347" s="87">
        <v>1</v>
      </c>
      <c r="H347" s="93">
        <v>0.02</v>
      </c>
      <c r="I347" s="93">
        <v>0.02</v>
      </c>
      <c r="J347" s="93">
        <v>0.02</v>
      </c>
      <c r="K347" s="93">
        <v>0.02</v>
      </c>
      <c r="L347" s="93">
        <v>0.02</v>
      </c>
      <c r="M347" s="93">
        <v>0.02</v>
      </c>
      <c r="N347" s="93">
        <v>0.02</v>
      </c>
      <c r="O347" s="93">
        <v>0.02</v>
      </c>
      <c r="P347" s="93">
        <v>0.02</v>
      </c>
      <c r="Q347" s="93">
        <v>0.02</v>
      </c>
      <c r="R347" s="93">
        <v>0.02</v>
      </c>
      <c r="S347" s="93">
        <v>0.02</v>
      </c>
      <c r="T347" s="93">
        <v>0.02</v>
      </c>
      <c r="V347" s="63" t="s">
        <v>1105</v>
      </c>
    </row>
    <row r="348" spans="2:22" x14ac:dyDescent="0.25">
      <c r="B348" s="23" t="s">
        <v>1072</v>
      </c>
      <c r="C348" s="28" t="s">
        <v>493</v>
      </c>
      <c r="D348" s="44" t="s">
        <v>4442</v>
      </c>
      <c r="E348" s="92">
        <v>4.2735000000000003</v>
      </c>
      <c r="F348" s="87">
        <v>1</v>
      </c>
      <c r="H348" s="93">
        <v>3.5000000000000003E-2</v>
      </c>
      <c r="I348" s="93">
        <v>3.5000000000000003E-2</v>
      </c>
      <c r="J348" s="93">
        <v>3.5000000000000003E-2</v>
      </c>
      <c r="K348" s="93">
        <v>3.5000000000000003E-2</v>
      </c>
      <c r="L348" s="93">
        <v>3.5000000000000003E-2</v>
      </c>
      <c r="M348" s="93">
        <v>3.5000000000000003E-2</v>
      </c>
      <c r="N348" s="93">
        <v>3.5000000000000003E-2</v>
      </c>
      <c r="O348" s="93">
        <v>3.5000000000000003E-2</v>
      </c>
      <c r="P348" s="93">
        <v>3.5000000000000003E-2</v>
      </c>
      <c r="Q348" s="93">
        <v>3.5000000000000003E-2</v>
      </c>
      <c r="R348" s="93">
        <v>3.5000000000000003E-2</v>
      </c>
      <c r="S348" s="93">
        <v>3.5000000000000003E-2</v>
      </c>
      <c r="T348" s="93">
        <v>3.5000000000000003E-2</v>
      </c>
      <c r="V348" s="63" t="s">
        <v>1106</v>
      </c>
    </row>
    <row r="349" spans="2:22" x14ac:dyDescent="0.25">
      <c r="B349" s="23" t="s">
        <v>1070</v>
      </c>
      <c r="C349" s="28" t="s">
        <v>493</v>
      </c>
      <c r="D349" s="44" t="s">
        <v>4442</v>
      </c>
      <c r="E349" s="92">
        <v>3.0775133239999999</v>
      </c>
      <c r="F349" s="87">
        <v>1</v>
      </c>
      <c r="H349" s="93">
        <v>0.03</v>
      </c>
      <c r="I349" s="93">
        <v>0.03</v>
      </c>
      <c r="J349" s="93">
        <v>0.03</v>
      </c>
      <c r="K349" s="93">
        <v>0.03</v>
      </c>
      <c r="L349" s="93">
        <v>0.03</v>
      </c>
      <c r="M349" s="93">
        <v>0.03</v>
      </c>
      <c r="N349" s="93">
        <v>0.03</v>
      </c>
      <c r="O349" s="93">
        <v>0.03</v>
      </c>
      <c r="P349" s="93">
        <v>0.03</v>
      </c>
      <c r="Q349" s="93">
        <v>0.03</v>
      </c>
      <c r="R349" s="93">
        <v>0.03</v>
      </c>
      <c r="S349" s="93">
        <v>0.03</v>
      </c>
      <c r="T349" s="93">
        <v>0.03</v>
      </c>
      <c r="V349" s="63" t="s">
        <v>1107</v>
      </c>
    </row>
    <row r="350" spans="2:22" x14ac:dyDescent="0.25">
      <c r="B350" s="23" t="s">
        <v>1088</v>
      </c>
      <c r="C350" s="28" t="s">
        <v>493</v>
      </c>
      <c r="D350" s="44" t="s">
        <v>4442</v>
      </c>
      <c r="E350" s="92">
        <v>0.43463408199999998</v>
      </c>
      <c r="F350" s="87">
        <v>1</v>
      </c>
      <c r="H350" s="93">
        <v>0.03</v>
      </c>
      <c r="I350" s="93">
        <v>0.03</v>
      </c>
      <c r="J350" s="93">
        <v>0.03</v>
      </c>
      <c r="K350" s="93">
        <v>0.03</v>
      </c>
      <c r="L350" s="93">
        <v>0.03</v>
      </c>
      <c r="M350" s="93">
        <v>0.03</v>
      </c>
      <c r="N350" s="93">
        <v>0.03</v>
      </c>
      <c r="O350" s="93">
        <v>0.03</v>
      </c>
      <c r="P350" s="93">
        <v>0.03</v>
      </c>
      <c r="Q350" s="93">
        <v>0.03</v>
      </c>
      <c r="R350" s="93">
        <v>0.03</v>
      </c>
      <c r="S350" s="93">
        <v>0.03</v>
      </c>
      <c r="T350" s="93">
        <v>0.03</v>
      </c>
      <c r="V350" s="63" t="s">
        <v>1108</v>
      </c>
    </row>
    <row r="351" spans="2:22" x14ac:dyDescent="0.25">
      <c r="B351" s="23" t="s">
        <v>1080</v>
      </c>
      <c r="C351" s="28" t="s">
        <v>493</v>
      </c>
      <c r="D351" s="44" t="s">
        <v>4442</v>
      </c>
      <c r="E351" s="92">
        <v>0.38632712999687502</v>
      </c>
      <c r="F351" s="87">
        <v>1</v>
      </c>
      <c r="H351" s="93">
        <v>0.03</v>
      </c>
      <c r="I351" s="93">
        <v>0.03</v>
      </c>
      <c r="J351" s="93">
        <v>0.03</v>
      </c>
      <c r="K351" s="93">
        <v>0.03</v>
      </c>
      <c r="L351" s="93">
        <v>0.03</v>
      </c>
      <c r="M351" s="93">
        <v>0.03</v>
      </c>
      <c r="N351" s="93">
        <v>0.03</v>
      </c>
      <c r="O351" s="93">
        <v>0.03</v>
      </c>
      <c r="P351" s="93">
        <v>0.03</v>
      </c>
      <c r="Q351" s="93">
        <v>0.03</v>
      </c>
      <c r="R351" s="93">
        <v>0.03</v>
      </c>
      <c r="S351" s="93">
        <v>0.03</v>
      </c>
      <c r="T351" s="93">
        <v>0.03</v>
      </c>
      <c r="V351" s="63" t="s">
        <v>1109</v>
      </c>
    </row>
    <row r="352" spans="2:22" x14ac:dyDescent="0.25">
      <c r="B352" s="23" t="s">
        <v>1074</v>
      </c>
      <c r="C352" s="28" t="s">
        <v>493</v>
      </c>
      <c r="D352" s="44" t="s">
        <v>4442</v>
      </c>
      <c r="E352" s="92">
        <v>0.35</v>
      </c>
      <c r="F352" s="87">
        <v>1</v>
      </c>
      <c r="H352" s="93">
        <v>0.03</v>
      </c>
      <c r="I352" s="93">
        <v>0.03</v>
      </c>
      <c r="J352" s="93">
        <v>0.03</v>
      </c>
      <c r="K352" s="93">
        <v>0.03</v>
      </c>
      <c r="L352" s="93">
        <v>0.03</v>
      </c>
      <c r="M352" s="93">
        <v>0.03</v>
      </c>
      <c r="N352" s="93">
        <v>0.03</v>
      </c>
      <c r="O352" s="93">
        <v>0.03</v>
      </c>
      <c r="P352" s="93">
        <v>0.03</v>
      </c>
      <c r="Q352" s="93">
        <v>0.03</v>
      </c>
      <c r="R352" s="93">
        <v>0.03</v>
      </c>
      <c r="S352" s="93">
        <v>0.03</v>
      </c>
      <c r="T352" s="93">
        <v>0.03</v>
      </c>
      <c r="V352" s="63" t="s">
        <v>1110</v>
      </c>
    </row>
    <row r="353" spans="2:22" x14ac:dyDescent="0.25">
      <c r="B353" s="23" t="s">
        <v>1076</v>
      </c>
      <c r="C353" s="28" t="s">
        <v>493</v>
      </c>
      <c r="D353" s="44" t="s">
        <v>4442</v>
      </c>
      <c r="E353" s="92">
        <v>0.24578808914</v>
      </c>
      <c r="F353" s="87">
        <v>1</v>
      </c>
      <c r="H353" s="93">
        <v>0.03</v>
      </c>
      <c r="I353" s="93">
        <v>0.03</v>
      </c>
      <c r="J353" s="93">
        <v>0.03</v>
      </c>
      <c r="K353" s="93">
        <v>0.03</v>
      </c>
      <c r="L353" s="93">
        <v>0.03</v>
      </c>
      <c r="M353" s="93">
        <v>0.03</v>
      </c>
      <c r="N353" s="93">
        <v>0.03</v>
      </c>
      <c r="O353" s="93">
        <v>0.03</v>
      </c>
      <c r="P353" s="93">
        <v>0.03</v>
      </c>
      <c r="Q353" s="93">
        <v>0.03</v>
      </c>
      <c r="R353" s="93">
        <v>0.03</v>
      </c>
      <c r="S353" s="93">
        <v>0.03</v>
      </c>
      <c r="T353" s="93">
        <v>0.03</v>
      </c>
      <c r="V353" s="63" t="s">
        <v>1111</v>
      </c>
    </row>
    <row r="354" spans="2:22" x14ac:dyDescent="0.25">
      <c r="B354" s="23" t="s">
        <v>1084</v>
      </c>
      <c r="C354" s="28" t="s">
        <v>493</v>
      </c>
      <c r="D354" s="44" t="s">
        <v>4442</v>
      </c>
      <c r="E354" s="92">
        <v>0.12710661314999999</v>
      </c>
      <c r="F354" s="87">
        <v>1</v>
      </c>
      <c r="H354" s="93">
        <v>0.02</v>
      </c>
      <c r="I354" s="93">
        <v>0.02</v>
      </c>
      <c r="J354" s="93">
        <v>0.02</v>
      </c>
      <c r="K354" s="93">
        <v>0.02</v>
      </c>
      <c r="L354" s="93">
        <v>0.02</v>
      </c>
      <c r="M354" s="93">
        <v>0.02</v>
      </c>
      <c r="N354" s="93">
        <v>0.02</v>
      </c>
      <c r="O354" s="93">
        <v>0.02</v>
      </c>
      <c r="P354" s="93">
        <v>0.02</v>
      </c>
      <c r="Q354" s="93">
        <v>0.02</v>
      </c>
      <c r="R354" s="93">
        <v>0.02</v>
      </c>
      <c r="S354" s="93">
        <v>0.02</v>
      </c>
      <c r="T354" s="93">
        <v>0.02</v>
      </c>
      <c r="V354" s="63" t="s">
        <v>1112</v>
      </c>
    </row>
    <row r="355" spans="2:22" x14ac:dyDescent="0.25">
      <c r="B355" s="23" t="s">
        <v>1090</v>
      </c>
      <c r="C355" s="28" t="s">
        <v>493</v>
      </c>
      <c r="D355" s="44" t="s">
        <v>4442</v>
      </c>
      <c r="E355" s="92">
        <v>4.7444699999999999E-2</v>
      </c>
      <c r="F355" s="87">
        <v>1</v>
      </c>
      <c r="H355" s="93">
        <v>0.03</v>
      </c>
      <c r="I355" s="93">
        <v>0.03</v>
      </c>
      <c r="J355" s="93">
        <v>0.03</v>
      </c>
      <c r="K355" s="93">
        <v>0.03</v>
      </c>
      <c r="L355" s="93">
        <v>0.03</v>
      </c>
      <c r="M355" s="93">
        <v>0.03</v>
      </c>
      <c r="N355" s="93">
        <v>0.03</v>
      </c>
      <c r="O355" s="93">
        <v>0.03</v>
      </c>
      <c r="P355" s="93">
        <v>0.03</v>
      </c>
      <c r="Q355" s="93">
        <v>0.03</v>
      </c>
      <c r="R355" s="93">
        <v>0.03</v>
      </c>
      <c r="S355" s="93">
        <v>0.03</v>
      </c>
      <c r="T355" s="93">
        <v>0.03</v>
      </c>
      <c r="V355" s="63" t="s">
        <v>1113</v>
      </c>
    </row>
    <row r="356" spans="2:22" x14ac:dyDescent="0.25">
      <c r="B356" s="23" t="s">
        <v>1078</v>
      </c>
      <c r="C356" s="28" t="s">
        <v>493</v>
      </c>
      <c r="D356" s="44" t="s">
        <v>4442</v>
      </c>
      <c r="E356" s="92">
        <v>2.0640441999999998E-2</v>
      </c>
      <c r="F356" s="87">
        <v>1</v>
      </c>
      <c r="H356" s="93">
        <v>0.02</v>
      </c>
      <c r="I356" s="93">
        <v>0.02</v>
      </c>
      <c r="J356" s="93">
        <v>0.02</v>
      </c>
      <c r="K356" s="93">
        <v>0.02</v>
      </c>
      <c r="L356" s="93">
        <v>0.02</v>
      </c>
      <c r="M356" s="93">
        <v>0.02</v>
      </c>
      <c r="N356" s="93">
        <v>0.02</v>
      </c>
      <c r="O356" s="93">
        <v>0.02</v>
      </c>
      <c r="P356" s="93">
        <v>0.02</v>
      </c>
      <c r="Q356" s="93">
        <v>0.02</v>
      </c>
      <c r="R356" s="93">
        <v>0.02</v>
      </c>
      <c r="S356" s="93">
        <v>0.02</v>
      </c>
      <c r="T356" s="93">
        <v>0.02</v>
      </c>
      <c r="V356" s="63" t="s">
        <v>1114</v>
      </c>
    </row>
    <row r="357" spans="2:22" x14ac:dyDescent="0.25">
      <c r="B357" s="23" t="s">
        <v>1086</v>
      </c>
      <c r="C357" s="28" t="s">
        <v>493</v>
      </c>
      <c r="D357" s="44" t="s">
        <v>4442</v>
      </c>
      <c r="E357" s="92">
        <v>1.7084203999999999E-2</v>
      </c>
      <c r="F357" s="87">
        <v>1</v>
      </c>
      <c r="H357" s="93">
        <v>0.02</v>
      </c>
      <c r="I357" s="93">
        <v>0.02</v>
      </c>
      <c r="J357" s="93">
        <v>0.02</v>
      </c>
      <c r="K357" s="93">
        <v>0.02</v>
      </c>
      <c r="L357" s="93">
        <v>0.02</v>
      </c>
      <c r="M357" s="93">
        <v>0.02</v>
      </c>
      <c r="N357" s="93">
        <v>0.02</v>
      </c>
      <c r="O357" s="93">
        <v>0.02</v>
      </c>
      <c r="P357" s="93">
        <v>0.02</v>
      </c>
      <c r="Q357" s="93">
        <v>0.02</v>
      </c>
      <c r="R357" s="93">
        <v>0.02</v>
      </c>
      <c r="S357" s="93">
        <v>0.02</v>
      </c>
      <c r="T357" s="93">
        <v>0.02</v>
      </c>
      <c r="V357" s="63" t="s">
        <v>1115</v>
      </c>
    </row>
    <row r="358" spans="2:22" x14ac:dyDescent="0.25">
      <c r="B358" s="23" t="s">
        <v>1082</v>
      </c>
      <c r="C358" s="28" t="s">
        <v>493</v>
      </c>
      <c r="D358" s="44" t="s">
        <v>4442</v>
      </c>
      <c r="E358" s="92">
        <v>1.29E-2</v>
      </c>
      <c r="F358" s="87">
        <v>1</v>
      </c>
      <c r="H358" s="93">
        <v>0.02</v>
      </c>
      <c r="I358" s="93">
        <v>0.02</v>
      </c>
      <c r="J358" s="93">
        <v>0.02</v>
      </c>
      <c r="K358" s="93">
        <v>0.02</v>
      </c>
      <c r="L358" s="93">
        <v>0.02</v>
      </c>
      <c r="M358" s="93">
        <v>0.02</v>
      </c>
      <c r="N358" s="93">
        <v>0.02</v>
      </c>
      <c r="O358" s="93">
        <v>0.02</v>
      </c>
      <c r="P358" s="93">
        <v>0.02</v>
      </c>
      <c r="Q358" s="93">
        <v>0.02</v>
      </c>
      <c r="R358" s="93">
        <v>0.02</v>
      </c>
      <c r="S358" s="93">
        <v>0.02</v>
      </c>
      <c r="T358" s="93">
        <v>0.02</v>
      </c>
      <c r="V358" s="63" t="s">
        <v>1116</v>
      </c>
    </row>
    <row r="359" spans="2:22" x14ac:dyDescent="0.25">
      <c r="B359" s="42" t="s">
        <v>1117</v>
      </c>
    </row>
    <row r="360" spans="2:22" x14ac:dyDescent="0.25">
      <c r="B360" s="59" t="s">
        <v>1050</v>
      </c>
      <c r="C360" s="59" t="s">
        <v>466</v>
      </c>
      <c r="D360" s="59" t="s">
        <v>4429</v>
      </c>
      <c r="E360" s="59" t="s">
        <v>1051</v>
      </c>
      <c r="F360" s="59" t="s">
        <v>1052</v>
      </c>
      <c r="G360" s="80" t="s">
        <v>628</v>
      </c>
      <c r="H360" s="81">
        <v>2024</v>
      </c>
      <c r="I360" s="81">
        <v>2025</v>
      </c>
      <c r="J360" s="81">
        <v>2026</v>
      </c>
      <c r="K360" s="81">
        <v>2027</v>
      </c>
      <c r="L360" s="81">
        <v>2028</v>
      </c>
      <c r="M360" s="81">
        <v>2029</v>
      </c>
      <c r="N360" s="81">
        <v>2030</v>
      </c>
      <c r="O360" s="81">
        <v>2031</v>
      </c>
      <c r="P360" s="81">
        <v>2032</v>
      </c>
      <c r="Q360" s="81">
        <v>2033</v>
      </c>
      <c r="R360" s="81">
        <v>2034</v>
      </c>
      <c r="S360" s="81">
        <v>2035</v>
      </c>
      <c r="T360" s="81">
        <v>2036</v>
      </c>
      <c r="U360" s="59"/>
      <c r="V360" s="59" t="s">
        <v>4430</v>
      </c>
    </row>
    <row r="361" spans="2:22" x14ac:dyDescent="0.25">
      <c r="B361" s="23" t="s">
        <v>1053</v>
      </c>
      <c r="C361" s="28" t="s">
        <v>493</v>
      </c>
      <c r="D361" s="44" t="s">
        <v>4442</v>
      </c>
      <c r="E361" s="92">
        <v>3.2796205180000002</v>
      </c>
      <c r="F361" s="87">
        <v>1</v>
      </c>
      <c r="H361" s="93">
        <v>3.5000000000000003E-2</v>
      </c>
      <c r="I361" s="93">
        <v>3.5000000000000003E-2</v>
      </c>
      <c r="J361" s="93">
        <v>3.5000000000000003E-2</v>
      </c>
      <c r="K361" s="93">
        <v>3.5000000000000003E-2</v>
      </c>
      <c r="L361" s="93">
        <v>3.5000000000000003E-2</v>
      </c>
      <c r="M361" s="93">
        <v>3.5000000000000003E-2</v>
      </c>
      <c r="N361" s="93">
        <v>3.5000000000000003E-2</v>
      </c>
      <c r="O361" s="93">
        <v>3.5000000000000003E-2</v>
      </c>
      <c r="P361" s="93">
        <v>3.5000000000000003E-2</v>
      </c>
      <c r="Q361" s="93">
        <v>3.5000000000000003E-2</v>
      </c>
      <c r="R361" s="93">
        <v>3.5000000000000003E-2</v>
      </c>
      <c r="S361" s="93">
        <v>3.5000000000000003E-2</v>
      </c>
      <c r="T361" s="93">
        <v>3.5000000000000003E-2</v>
      </c>
      <c r="V361" s="63" t="s">
        <v>1118</v>
      </c>
    </row>
    <row r="362" spans="2:22" x14ac:dyDescent="0.25">
      <c r="B362" s="23" t="s">
        <v>1060</v>
      </c>
      <c r="C362" s="28" t="s">
        <v>493</v>
      </c>
      <c r="D362" s="44" t="s">
        <v>4442</v>
      </c>
      <c r="E362" s="92">
        <v>1.9301774279999999</v>
      </c>
      <c r="F362" s="87">
        <v>1</v>
      </c>
      <c r="H362" s="93">
        <v>3.5000000000000003E-2</v>
      </c>
      <c r="I362" s="93">
        <v>3.5000000000000003E-2</v>
      </c>
      <c r="J362" s="93">
        <v>3.5000000000000003E-2</v>
      </c>
      <c r="K362" s="93">
        <v>3.5000000000000003E-2</v>
      </c>
      <c r="L362" s="93">
        <v>3.5000000000000003E-2</v>
      </c>
      <c r="M362" s="93">
        <v>3.5000000000000003E-2</v>
      </c>
      <c r="N362" s="93">
        <v>3.5000000000000003E-2</v>
      </c>
      <c r="O362" s="93">
        <v>3.5000000000000003E-2</v>
      </c>
      <c r="P362" s="93">
        <v>3.5000000000000003E-2</v>
      </c>
      <c r="Q362" s="93">
        <v>3.5000000000000003E-2</v>
      </c>
      <c r="R362" s="93">
        <v>3.5000000000000003E-2</v>
      </c>
      <c r="S362" s="93">
        <v>3.5000000000000003E-2</v>
      </c>
      <c r="T362" s="93">
        <v>3.5000000000000003E-2</v>
      </c>
      <c r="V362" s="63" t="s">
        <v>1119</v>
      </c>
    </row>
    <row r="363" spans="2:22" x14ac:dyDescent="0.25">
      <c r="B363" s="23" t="s">
        <v>1058</v>
      </c>
      <c r="C363" s="28" t="s">
        <v>1056</v>
      </c>
      <c r="D363" s="44" t="s">
        <v>4442</v>
      </c>
      <c r="E363" s="92">
        <v>0.82569621187999998</v>
      </c>
      <c r="F363" s="87">
        <v>1</v>
      </c>
      <c r="H363" s="93">
        <v>0.03</v>
      </c>
      <c r="I363" s="93">
        <v>0.03</v>
      </c>
      <c r="J363" s="93">
        <v>0.03</v>
      </c>
      <c r="K363" s="93">
        <v>0.03</v>
      </c>
      <c r="L363" s="93">
        <v>0.03</v>
      </c>
      <c r="M363" s="93">
        <v>0.03</v>
      </c>
      <c r="N363" s="93">
        <v>0.03</v>
      </c>
      <c r="O363" s="93">
        <v>0.03</v>
      </c>
      <c r="P363" s="93">
        <v>0.03</v>
      </c>
      <c r="Q363" s="93">
        <v>0.03</v>
      </c>
      <c r="R363" s="93">
        <v>0.03</v>
      </c>
      <c r="S363" s="93">
        <v>0.03</v>
      </c>
      <c r="T363" s="93">
        <v>0.03</v>
      </c>
      <c r="V363" s="63" t="s">
        <v>4575</v>
      </c>
    </row>
    <row r="364" spans="2:22" x14ac:dyDescent="0.25">
      <c r="B364" s="23" t="s">
        <v>1121</v>
      </c>
      <c r="C364" s="28" t="s">
        <v>1056</v>
      </c>
      <c r="D364" s="44" t="s">
        <v>4442</v>
      </c>
      <c r="E364" s="92">
        <v>0.63102144100000002</v>
      </c>
      <c r="F364" s="87">
        <v>1</v>
      </c>
      <c r="H364" s="93">
        <v>0.03</v>
      </c>
      <c r="I364" s="93">
        <v>0.03</v>
      </c>
      <c r="J364" s="93">
        <v>0.03</v>
      </c>
      <c r="K364" s="93">
        <v>0.03</v>
      </c>
      <c r="L364" s="93">
        <v>0.03</v>
      </c>
      <c r="M364" s="93">
        <v>0.03</v>
      </c>
      <c r="N364" s="93">
        <v>0.03</v>
      </c>
      <c r="O364" s="93">
        <v>0.03</v>
      </c>
      <c r="P364" s="93">
        <v>0.03</v>
      </c>
      <c r="Q364" s="93">
        <v>0.03</v>
      </c>
      <c r="R364" s="93">
        <v>0.03</v>
      </c>
      <c r="S364" s="93">
        <v>0.03</v>
      </c>
      <c r="T364" s="93">
        <v>0.03</v>
      </c>
      <c r="V364" s="63" t="s">
        <v>4576</v>
      </c>
    </row>
    <row r="365" spans="2:22" x14ac:dyDescent="0.25">
      <c r="B365" s="23" t="s">
        <v>1068</v>
      </c>
      <c r="C365" s="28" t="s">
        <v>1056</v>
      </c>
      <c r="D365" s="44" t="s">
        <v>4442</v>
      </c>
      <c r="E365" s="92">
        <v>0.41230965056000002</v>
      </c>
      <c r="F365" s="87">
        <v>1</v>
      </c>
      <c r="H365" s="93">
        <v>0.03</v>
      </c>
      <c r="I365" s="93">
        <v>0.03</v>
      </c>
      <c r="J365" s="93">
        <v>0.03</v>
      </c>
      <c r="K365" s="93">
        <v>0.03</v>
      </c>
      <c r="L365" s="93">
        <v>0.03</v>
      </c>
      <c r="M365" s="93">
        <v>0.03</v>
      </c>
      <c r="N365" s="93">
        <v>0.03</v>
      </c>
      <c r="O365" s="93">
        <v>0.03</v>
      </c>
      <c r="P365" s="93">
        <v>0.03</v>
      </c>
      <c r="Q365" s="93">
        <v>0.03</v>
      </c>
      <c r="R365" s="93">
        <v>0.03</v>
      </c>
      <c r="S365" s="93">
        <v>0.03</v>
      </c>
      <c r="T365" s="93">
        <v>0.03</v>
      </c>
      <c r="V365" s="63" t="s">
        <v>4577</v>
      </c>
    </row>
    <row r="366" spans="2:22" x14ac:dyDescent="0.25">
      <c r="B366" s="23" t="s">
        <v>1062</v>
      </c>
      <c r="C366" s="28" t="s">
        <v>1056</v>
      </c>
      <c r="D366" s="44" t="s">
        <v>4442</v>
      </c>
      <c r="E366" s="92">
        <v>0.28658186343999997</v>
      </c>
      <c r="F366" s="87">
        <v>1</v>
      </c>
      <c r="H366" s="93">
        <v>0.03</v>
      </c>
      <c r="I366" s="93">
        <v>0.03</v>
      </c>
      <c r="J366" s="93">
        <v>0.03</v>
      </c>
      <c r="K366" s="93">
        <v>0.03</v>
      </c>
      <c r="L366" s="93">
        <v>0.03</v>
      </c>
      <c r="M366" s="93">
        <v>0.03</v>
      </c>
      <c r="N366" s="93">
        <v>0.03</v>
      </c>
      <c r="O366" s="93">
        <v>0.03</v>
      </c>
      <c r="P366" s="93">
        <v>0.03</v>
      </c>
      <c r="Q366" s="93">
        <v>0.03</v>
      </c>
      <c r="R366" s="93">
        <v>0.03</v>
      </c>
      <c r="S366" s="93">
        <v>0.03</v>
      </c>
      <c r="T366" s="93">
        <v>0.03</v>
      </c>
      <c r="V366" s="63" t="s">
        <v>4578</v>
      </c>
    </row>
    <row r="367" spans="2:22" x14ac:dyDescent="0.25">
      <c r="B367" s="23" t="s">
        <v>1064</v>
      </c>
      <c r="C367" s="28" t="s">
        <v>1056</v>
      </c>
      <c r="D367" s="44" t="s">
        <v>4442</v>
      </c>
      <c r="E367" s="92">
        <v>0.24542317799999999</v>
      </c>
      <c r="F367" s="87">
        <v>1</v>
      </c>
      <c r="H367" s="93">
        <v>3.5000000000000003E-2</v>
      </c>
      <c r="I367" s="93">
        <v>3.5000000000000003E-2</v>
      </c>
      <c r="J367" s="93">
        <v>3.5000000000000003E-2</v>
      </c>
      <c r="K367" s="93">
        <v>3.5000000000000003E-2</v>
      </c>
      <c r="L367" s="93">
        <v>3.5000000000000003E-2</v>
      </c>
      <c r="M367" s="93">
        <v>3.5000000000000003E-2</v>
      </c>
      <c r="N367" s="93">
        <v>3.5000000000000003E-2</v>
      </c>
      <c r="O367" s="93">
        <v>3.5000000000000003E-2</v>
      </c>
      <c r="P367" s="93">
        <v>3.5000000000000003E-2</v>
      </c>
      <c r="Q367" s="93">
        <v>3.5000000000000003E-2</v>
      </c>
      <c r="R367" s="93">
        <v>3.5000000000000003E-2</v>
      </c>
      <c r="S367" s="93">
        <v>3.5000000000000003E-2</v>
      </c>
      <c r="T367" s="93">
        <v>3.5000000000000003E-2</v>
      </c>
      <c r="V367" s="63" t="s">
        <v>4579</v>
      </c>
    </row>
    <row r="368" spans="2:22" x14ac:dyDescent="0.25">
      <c r="B368" s="23" t="s">
        <v>1066</v>
      </c>
      <c r="C368" s="28" t="s">
        <v>1056</v>
      </c>
      <c r="D368" s="44" t="s">
        <v>4442</v>
      </c>
      <c r="E368" s="92">
        <v>1.1599999999999999E-2</v>
      </c>
      <c r="F368" s="87">
        <v>1</v>
      </c>
      <c r="H368" s="93">
        <v>3.5000000000000003E-2</v>
      </c>
      <c r="I368" s="93">
        <v>3.5000000000000003E-2</v>
      </c>
      <c r="J368" s="93">
        <v>3.5000000000000003E-2</v>
      </c>
      <c r="K368" s="93">
        <v>3.5000000000000003E-2</v>
      </c>
      <c r="L368" s="93">
        <v>3.5000000000000003E-2</v>
      </c>
      <c r="M368" s="93">
        <v>3.5000000000000003E-2</v>
      </c>
      <c r="N368" s="93">
        <v>3.5000000000000003E-2</v>
      </c>
      <c r="O368" s="93">
        <v>3.5000000000000003E-2</v>
      </c>
      <c r="P368" s="93">
        <v>3.5000000000000003E-2</v>
      </c>
      <c r="Q368" s="93">
        <v>3.5000000000000003E-2</v>
      </c>
      <c r="R368" s="93">
        <v>3.5000000000000003E-2</v>
      </c>
      <c r="S368" s="93">
        <v>3.5000000000000003E-2</v>
      </c>
      <c r="T368" s="93">
        <v>3.5000000000000003E-2</v>
      </c>
      <c r="V368" s="63" t="s">
        <v>4580</v>
      </c>
    </row>
    <row r="369" spans="2:22" x14ac:dyDescent="0.25">
      <c r="B369" s="23" t="s">
        <v>1070</v>
      </c>
      <c r="C369" s="28" t="s">
        <v>493</v>
      </c>
      <c r="D369" s="44" t="s">
        <v>4442</v>
      </c>
      <c r="E369" s="92">
        <v>1.7023670040000001</v>
      </c>
      <c r="F369" s="87">
        <v>1</v>
      </c>
      <c r="H369" s="93">
        <v>0.03</v>
      </c>
      <c r="I369" s="93">
        <v>0.03</v>
      </c>
      <c r="J369" s="93">
        <v>0.03</v>
      </c>
      <c r="K369" s="93">
        <v>0.03</v>
      </c>
      <c r="L369" s="93">
        <v>0.03</v>
      </c>
      <c r="M369" s="93">
        <v>0.03</v>
      </c>
      <c r="N369" s="93">
        <v>0.03</v>
      </c>
      <c r="O369" s="93">
        <v>0.03</v>
      </c>
      <c r="P369" s="93">
        <v>0.03</v>
      </c>
      <c r="Q369" s="93">
        <v>0.03</v>
      </c>
      <c r="R369" s="93">
        <v>0.03</v>
      </c>
      <c r="S369" s="93">
        <v>0.03</v>
      </c>
      <c r="T369" s="93">
        <v>0.03</v>
      </c>
      <c r="V369" s="63" t="s">
        <v>1127</v>
      </c>
    </row>
    <row r="370" spans="2:22" x14ac:dyDescent="0.25">
      <c r="B370" s="23" t="s">
        <v>1078</v>
      </c>
      <c r="C370" s="28" t="s">
        <v>493</v>
      </c>
      <c r="D370" s="44" t="s">
        <v>4442</v>
      </c>
      <c r="E370" s="92">
        <v>0.25867063399000001</v>
      </c>
      <c r="F370" s="87">
        <v>1</v>
      </c>
      <c r="H370" s="93">
        <v>0.02</v>
      </c>
      <c r="I370" s="93">
        <v>0.02</v>
      </c>
      <c r="J370" s="93">
        <v>0.02</v>
      </c>
      <c r="K370" s="93">
        <v>0.02</v>
      </c>
      <c r="L370" s="93">
        <v>0.02</v>
      </c>
      <c r="M370" s="93">
        <v>0.02</v>
      </c>
      <c r="N370" s="93">
        <v>0.02</v>
      </c>
      <c r="O370" s="93">
        <v>0.02</v>
      </c>
      <c r="P370" s="93">
        <v>0.02</v>
      </c>
      <c r="Q370" s="93">
        <v>0.02</v>
      </c>
      <c r="R370" s="93">
        <v>0.02</v>
      </c>
      <c r="S370" s="93">
        <v>0.02</v>
      </c>
      <c r="T370" s="93">
        <v>0.02</v>
      </c>
      <c r="V370" s="63" t="s">
        <v>1128</v>
      </c>
    </row>
    <row r="371" spans="2:22" x14ac:dyDescent="0.25">
      <c r="B371" s="23" t="s">
        <v>1076</v>
      </c>
      <c r="C371" s="28" t="s">
        <v>493</v>
      </c>
      <c r="D371" s="44" t="s">
        <v>4442</v>
      </c>
      <c r="E371" s="92">
        <v>0.23960182308</v>
      </c>
      <c r="F371" s="87">
        <v>1</v>
      </c>
      <c r="H371" s="93">
        <v>0.03</v>
      </c>
      <c r="I371" s="93">
        <v>0.03</v>
      </c>
      <c r="J371" s="93">
        <v>0.03</v>
      </c>
      <c r="K371" s="93">
        <v>0.03</v>
      </c>
      <c r="L371" s="93">
        <v>0.03</v>
      </c>
      <c r="M371" s="93">
        <v>0.03</v>
      </c>
      <c r="N371" s="93">
        <v>0.03</v>
      </c>
      <c r="O371" s="93">
        <v>0.03</v>
      </c>
      <c r="P371" s="93">
        <v>0.03</v>
      </c>
      <c r="Q371" s="93">
        <v>0.03</v>
      </c>
      <c r="R371" s="93">
        <v>0.03</v>
      </c>
      <c r="S371" s="93">
        <v>0.03</v>
      </c>
      <c r="T371" s="93">
        <v>0.03</v>
      </c>
      <c r="V371" s="63" t="s">
        <v>1129</v>
      </c>
    </row>
    <row r="372" spans="2:22" x14ac:dyDescent="0.25">
      <c r="B372" s="23" t="s">
        <v>1090</v>
      </c>
      <c r="C372" s="28" t="s">
        <v>493</v>
      </c>
      <c r="D372" s="44" t="s">
        <v>4442</v>
      </c>
      <c r="E372" s="92">
        <v>0.17580518882000001</v>
      </c>
      <c r="F372" s="87">
        <v>1</v>
      </c>
      <c r="H372" s="93">
        <v>0.03</v>
      </c>
      <c r="I372" s="93">
        <v>0.03</v>
      </c>
      <c r="J372" s="93">
        <v>0.03</v>
      </c>
      <c r="K372" s="93">
        <v>0.03</v>
      </c>
      <c r="L372" s="93">
        <v>0.03</v>
      </c>
      <c r="M372" s="93">
        <v>0.03</v>
      </c>
      <c r="N372" s="93">
        <v>0.03</v>
      </c>
      <c r="O372" s="93">
        <v>0.03</v>
      </c>
      <c r="P372" s="93">
        <v>0.03</v>
      </c>
      <c r="Q372" s="93">
        <v>0.03</v>
      </c>
      <c r="R372" s="93">
        <v>0.03</v>
      </c>
      <c r="S372" s="93">
        <v>0.03</v>
      </c>
      <c r="T372" s="93">
        <v>0.03</v>
      </c>
      <c r="V372" s="63" t="s">
        <v>1130</v>
      </c>
    </row>
    <row r="373" spans="2:22" x14ac:dyDescent="0.25">
      <c r="B373" s="23" t="s">
        <v>1082</v>
      </c>
      <c r="C373" s="28" t="s">
        <v>493</v>
      </c>
      <c r="D373" s="44" t="s">
        <v>4442</v>
      </c>
      <c r="E373" s="92">
        <v>0.14777611399999999</v>
      </c>
      <c r="F373" s="87">
        <v>1</v>
      </c>
      <c r="H373" s="93">
        <v>0.02</v>
      </c>
      <c r="I373" s="93">
        <v>0.02</v>
      </c>
      <c r="J373" s="93">
        <v>0.02</v>
      </c>
      <c r="K373" s="93">
        <v>0.02</v>
      </c>
      <c r="L373" s="93">
        <v>0.02</v>
      </c>
      <c r="M373" s="93">
        <v>0.02</v>
      </c>
      <c r="N373" s="93">
        <v>0.02</v>
      </c>
      <c r="O373" s="93">
        <v>0.02</v>
      </c>
      <c r="P373" s="93">
        <v>0.02</v>
      </c>
      <c r="Q373" s="93">
        <v>0.02</v>
      </c>
      <c r="R373" s="93">
        <v>0.02</v>
      </c>
      <c r="S373" s="93">
        <v>0.02</v>
      </c>
      <c r="T373" s="93">
        <v>0.02</v>
      </c>
      <c r="V373" s="63" t="s">
        <v>1131</v>
      </c>
    </row>
    <row r="374" spans="2:22" x14ac:dyDescent="0.25">
      <c r="B374" s="23" t="s">
        <v>1086</v>
      </c>
      <c r="C374" s="28" t="s">
        <v>493</v>
      </c>
      <c r="D374" s="44" t="s">
        <v>4442</v>
      </c>
      <c r="E374" s="92">
        <v>0.146392455</v>
      </c>
      <c r="F374" s="87">
        <v>1</v>
      </c>
      <c r="H374" s="93">
        <v>0.02</v>
      </c>
      <c r="I374" s="93">
        <v>0.02</v>
      </c>
      <c r="J374" s="93">
        <v>0.02</v>
      </c>
      <c r="K374" s="93">
        <v>0.02</v>
      </c>
      <c r="L374" s="93">
        <v>0.02</v>
      </c>
      <c r="M374" s="93">
        <v>0.02</v>
      </c>
      <c r="N374" s="93">
        <v>0.02</v>
      </c>
      <c r="O374" s="93">
        <v>0.02</v>
      </c>
      <c r="P374" s="93">
        <v>0.02</v>
      </c>
      <c r="Q374" s="93">
        <v>0.02</v>
      </c>
      <c r="R374" s="93">
        <v>0.02</v>
      </c>
      <c r="S374" s="93">
        <v>0.02</v>
      </c>
      <c r="T374" s="93">
        <v>0.02</v>
      </c>
      <c r="V374" s="63" t="s">
        <v>1132</v>
      </c>
    </row>
    <row r="375" spans="2:22" x14ac:dyDescent="0.25">
      <c r="B375" s="23" t="s">
        <v>1072</v>
      </c>
      <c r="C375" s="28" t="s">
        <v>493</v>
      </c>
      <c r="D375" s="44" t="s">
        <v>4442</v>
      </c>
      <c r="E375" s="92">
        <v>0.14099321300000001</v>
      </c>
      <c r="F375" s="87">
        <v>1</v>
      </c>
      <c r="H375" s="93">
        <v>3.5000000000000003E-2</v>
      </c>
      <c r="I375" s="93">
        <v>3.5000000000000003E-2</v>
      </c>
      <c r="J375" s="93">
        <v>3.5000000000000003E-2</v>
      </c>
      <c r="K375" s="93">
        <v>3.5000000000000003E-2</v>
      </c>
      <c r="L375" s="93">
        <v>3.5000000000000003E-2</v>
      </c>
      <c r="M375" s="93">
        <v>3.5000000000000003E-2</v>
      </c>
      <c r="N375" s="93">
        <v>3.5000000000000003E-2</v>
      </c>
      <c r="O375" s="93">
        <v>3.5000000000000003E-2</v>
      </c>
      <c r="P375" s="93">
        <v>3.5000000000000003E-2</v>
      </c>
      <c r="Q375" s="93">
        <v>3.5000000000000003E-2</v>
      </c>
      <c r="R375" s="93">
        <v>3.5000000000000003E-2</v>
      </c>
      <c r="S375" s="93">
        <v>3.5000000000000003E-2</v>
      </c>
      <c r="T375" s="93">
        <v>3.5000000000000003E-2</v>
      </c>
      <c r="V375" s="63" t="s">
        <v>1133</v>
      </c>
    </row>
    <row r="376" spans="2:22" x14ac:dyDescent="0.25">
      <c r="B376" s="23" t="s">
        <v>1088</v>
      </c>
      <c r="C376" s="28" t="s">
        <v>493</v>
      </c>
      <c r="D376" s="44" t="s">
        <v>4442</v>
      </c>
      <c r="E376" s="92">
        <v>0.13922671138000001</v>
      </c>
      <c r="F376" s="87">
        <v>1</v>
      </c>
      <c r="H376" s="93">
        <v>0.03</v>
      </c>
      <c r="I376" s="93">
        <v>0.03</v>
      </c>
      <c r="J376" s="93">
        <v>0.03</v>
      </c>
      <c r="K376" s="93">
        <v>0.03</v>
      </c>
      <c r="L376" s="93">
        <v>0.03</v>
      </c>
      <c r="M376" s="93">
        <v>0.03</v>
      </c>
      <c r="N376" s="93">
        <v>0.03</v>
      </c>
      <c r="O376" s="93">
        <v>0.03</v>
      </c>
      <c r="P376" s="93">
        <v>0.03</v>
      </c>
      <c r="Q376" s="93">
        <v>0.03</v>
      </c>
      <c r="R376" s="93">
        <v>0.03</v>
      </c>
      <c r="S376" s="93">
        <v>0.03</v>
      </c>
      <c r="T376" s="93">
        <v>0.03</v>
      </c>
      <c r="V376" s="63" t="s">
        <v>1134</v>
      </c>
    </row>
    <row r="377" spans="2:22" x14ac:dyDescent="0.25">
      <c r="B377" s="23" t="s">
        <v>1135</v>
      </c>
      <c r="C377" s="28" t="s">
        <v>493</v>
      </c>
      <c r="D377" s="44" t="s">
        <v>4442</v>
      </c>
      <c r="E377" s="92">
        <v>3.6134991999999998E-2</v>
      </c>
      <c r="F377" s="87">
        <v>1</v>
      </c>
      <c r="H377" s="93">
        <v>0.03</v>
      </c>
      <c r="I377" s="93">
        <v>0.03</v>
      </c>
      <c r="J377" s="93">
        <v>0.03</v>
      </c>
      <c r="K377" s="93">
        <v>0.03</v>
      </c>
      <c r="L377" s="93">
        <v>0.03</v>
      </c>
      <c r="M377" s="93">
        <v>0.03</v>
      </c>
      <c r="N377" s="93">
        <v>0.03</v>
      </c>
      <c r="O377" s="93">
        <v>0.03</v>
      </c>
      <c r="P377" s="93">
        <v>0.03</v>
      </c>
      <c r="Q377" s="93">
        <v>0.03</v>
      </c>
      <c r="R377" s="93">
        <v>0.03</v>
      </c>
      <c r="S377" s="93">
        <v>0.03</v>
      </c>
      <c r="T377" s="93">
        <v>0.03</v>
      </c>
      <c r="V377" s="63" t="s">
        <v>1136</v>
      </c>
    </row>
    <row r="378" spans="2:22" x14ac:dyDescent="0.25">
      <c r="B378" s="42" t="s">
        <v>1137</v>
      </c>
    </row>
    <row r="379" spans="2:22" x14ac:dyDescent="0.25">
      <c r="B379" s="59" t="s">
        <v>1050</v>
      </c>
      <c r="C379" s="59" t="s">
        <v>466</v>
      </c>
      <c r="D379" s="59" t="s">
        <v>4429</v>
      </c>
      <c r="E379" s="59" t="s">
        <v>1051</v>
      </c>
      <c r="F379" s="59" t="s">
        <v>1052</v>
      </c>
      <c r="G379" s="80" t="s">
        <v>628</v>
      </c>
      <c r="H379" s="81">
        <v>2024</v>
      </c>
      <c r="I379" s="81">
        <v>2025</v>
      </c>
      <c r="J379" s="81">
        <v>2026</v>
      </c>
      <c r="K379" s="81">
        <v>2027</v>
      </c>
      <c r="L379" s="81">
        <v>2028</v>
      </c>
      <c r="M379" s="81">
        <v>2029</v>
      </c>
      <c r="N379" s="81">
        <v>2030</v>
      </c>
      <c r="O379" s="81">
        <v>2031</v>
      </c>
      <c r="P379" s="81">
        <v>2032</v>
      </c>
      <c r="Q379" s="81">
        <v>2033</v>
      </c>
      <c r="R379" s="81">
        <v>2034</v>
      </c>
      <c r="S379" s="81">
        <v>2035</v>
      </c>
      <c r="T379" s="81">
        <v>2036</v>
      </c>
      <c r="U379" s="59"/>
      <c r="V379" s="59" t="s">
        <v>4430</v>
      </c>
    </row>
    <row r="380" spans="2:22" x14ac:dyDescent="0.25">
      <c r="B380" s="23" t="s">
        <v>1138</v>
      </c>
      <c r="C380" s="28" t="s">
        <v>493</v>
      </c>
      <c r="D380" s="44" t="s">
        <v>4442</v>
      </c>
      <c r="E380" s="92">
        <v>2.5544369389999999</v>
      </c>
      <c r="F380" s="87">
        <v>1</v>
      </c>
      <c r="H380" s="93">
        <v>3.5000000000000003E-2</v>
      </c>
      <c r="I380" s="93">
        <v>3.5000000000000003E-2</v>
      </c>
      <c r="J380" s="93">
        <v>3.5000000000000003E-2</v>
      </c>
      <c r="K380" s="93">
        <v>3.5000000000000003E-2</v>
      </c>
      <c r="L380" s="93">
        <v>3.5000000000000003E-2</v>
      </c>
      <c r="M380" s="93">
        <v>3.5000000000000003E-2</v>
      </c>
      <c r="N380" s="93">
        <v>3.5000000000000003E-2</v>
      </c>
      <c r="O380" s="93">
        <v>3.5000000000000003E-2</v>
      </c>
      <c r="P380" s="93">
        <v>3.5000000000000003E-2</v>
      </c>
      <c r="Q380" s="93">
        <v>3.5000000000000003E-2</v>
      </c>
      <c r="R380" s="93">
        <v>3.5000000000000003E-2</v>
      </c>
      <c r="S380" s="93">
        <v>3.5000000000000003E-2</v>
      </c>
      <c r="T380" s="93">
        <v>3.5000000000000003E-2</v>
      </c>
      <c r="V380" s="63" t="s">
        <v>1139</v>
      </c>
    </row>
    <row r="381" spans="2:22" x14ac:dyDescent="0.25">
      <c r="B381" s="23" t="s">
        <v>1140</v>
      </c>
      <c r="C381" s="28" t="s">
        <v>493</v>
      </c>
      <c r="D381" s="44" t="s">
        <v>4442</v>
      </c>
      <c r="E381" s="92">
        <v>8.5200650999999999E-3</v>
      </c>
      <c r="F381" s="87">
        <v>1</v>
      </c>
      <c r="H381" s="93">
        <v>0.01</v>
      </c>
      <c r="I381" s="93">
        <v>0.01</v>
      </c>
      <c r="J381" s="93">
        <v>0.01</v>
      </c>
      <c r="K381" s="93">
        <v>0.01</v>
      </c>
      <c r="L381" s="93">
        <v>0.01</v>
      </c>
      <c r="M381" s="93">
        <v>0.01</v>
      </c>
      <c r="N381" s="93">
        <v>0.01</v>
      </c>
      <c r="O381" s="93">
        <v>0.01</v>
      </c>
      <c r="P381" s="93">
        <v>0.01</v>
      </c>
      <c r="Q381" s="93">
        <v>0.01</v>
      </c>
      <c r="R381" s="93">
        <v>0.01</v>
      </c>
      <c r="S381" s="93">
        <v>0.01</v>
      </c>
      <c r="T381" s="93">
        <v>0.01</v>
      </c>
      <c r="V381" s="63" t="s">
        <v>1141</v>
      </c>
    </row>
    <row r="382" spans="2:22" x14ac:dyDescent="0.25">
      <c r="B382" s="23" t="s">
        <v>1142</v>
      </c>
      <c r="C382" s="28" t="s">
        <v>493</v>
      </c>
      <c r="D382" s="44" t="s">
        <v>4442</v>
      </c>
      <c r="E382" s="92">
        <v>0.80716489632999999</v>
      </c>
      <c r="F382" s="87">
        <v>1</v>
      </c>
      <c r="H382" s="93">
        <v>3.5000000000000003E-2</v>
      </c>
      <c r="I382" s="93">
        <v>3.5000000000000003E-2</v>
      </c>
      <c r="J382" s="93">
        <v>3.5000000000000003E-2</v>
      </c>
      <c r="K382" s="93">
        <v>3.5000000000000003E-2</v>
      </c>
      <c r="L382" s="93">
        <v>3.5000000000000003E-2</v>
      </c>
      <c r="M382" s="93">
        <v>3.5000000000000003E-2</v>
      </c>
      <c r="N382" s="93">
        <v>3.5000000000000003E-2</v>
      </c>
      <c r="O382" s="93">
        <v>3.5000000000000003E-2</v>
      </c>
      <c r="P382" s="93">
        <v>3.5000000000000003E-2</v>
      </c>
      <c r="Q382" s="93">
        <v>3.5000000000000003E-2</v>
      </c>
      <c r="R382" s="93">
        <v>3.5000000000000003E-2</v>
      </c>
      <c r="S382" s="93">
        <v>3.5000000000000003E-2</v>
      </c>
      <c r="T382" s="93">
        <v>3.5000000000000003E-2</v>
      </c>
      <c r="V382" s="63" t="s">
        <v>1143</v>
      </c>
    </row>
    <row r="383" spans="2:22" x14ac:dyDescent="0.25">
      <c r="B383" s="23" t="s">
        <v>1144</v>
      </c>
      <c r="C383" s="28" t="s">
        <v>493</v>
      </c>
      <c r="D383" s="44" t="s">
        <v>4442</v>
      </c>
      <c r="E383" s="92">
        <v>4.4701209999999996E-3</v>
      </c>
      <c r="F383" s="87">
        <v>1</v>
      </c>
      <c r="H383" s="93">
        <v>0</v>
      </c>
      <c r="I383" s="93">
        <v>0</v>
      </c>
      <c r="J383" s="93">
        <v>0</v>
      </c>
      <c r="K383" s="93">
        <v>0</v>
      </c>
      <c r="L383" s="93">
        <v>0</v>
      </c>
      <c r="M383" s="93">
        <v>0</v>
      </c>
      <c r="N383" s="93">
        <v>0</v>
      </c>
      <c r="O383" s="93">
        <v>0</v>
      </c>
      <c r="P383" s="93">
        <v>0</v>
      </c>
      <c r="Q383" s="93">
        <v>0</v>
      </c>
      <c r="R383" s="93">
        <v>0</v>
      </c>
      <c r="S383" s="93">
        <v>0</v>
      </c>
      <c r="T383" s="93">
        <v>0</v>
      </c>
      <c r="V383" s="63" t="s">
        <v>1145</v>
      </c>
    </row>
    <row r="384" spans="2:22" x14ac:dyDescent="0.25">
      <c r="B384" s="23" t="s">
        <v>1146</v>
      </c>
      <c r="C384" s="28" t="s">
        <v>493</v>
      </c>
      <c r="D384" s="44" t="s">
        <v>4442</v>
      </c>
      <c r="E384" s="92">
        <v>0.33450115960999999</v>
      </c>
      <c r="F384" s="87">
        <v>1</v>
      </c>
      <c r="H384" s="93">
        <v>3.5000000000000003E-2</v>
      </c>
      <c r="I384" s="93">
        <v>3.5000000000000003E-2</v>
      </c>
      <c r="J384" s="93">
        <v>3.5000000000000003E-2</v>
      </c>
      <c r="K384" s="93">
        <v>3.5000000000000003E-2</v>
      </c>
      <c r="L384" s="93">
        <v>3.5000000000000003E-2</v>
      </c>
      <c r="M384" s="93">
        <v>3.5000000000000003E-2</v>
      </c>
      <c r="N384" s="93">
        <v>3.5000000000000003E-2</v>
      </c>
      <c r="O384" s="93">
        <v>3.5000000000000003E-2</v>
      </c>
      <c r="P384" s="93">
        <v>3.5000000000000003E-2</v>
      </c>
      <c r="Q384" s="93">
        <v>3.5000000000000003E-2</v>
      </c>
      <c r="R384" s="93">
        <v>3.5000000000000003E-2</v>
      </c>
      <c r="S384" s="93">
        <v>3.5000000000000003E-2</v>
      </c>
      <c r="T384" s="93">
        <v>3.5000000000000003E-2</v>
      </c>
      <c r="V384" s="63" t="s">
        <v>1147</v>
      </c>
    </row>
    <row r="385" spans="2:22" x14ac:dyDescent="0.25">
      <c r="B385" s="23" t="s">
        <v>1148</v>
      </c>
      <c r="C385" s="28" t="s">
        <v>493</v>
      </c>
      <c r="D385" s="44" t="s">
        <v>4442</v>
      </c>
      <c r="E385" s="92">
        <v>2.652611E-3</v>
      </c>
      <c r="F385" s="87">
        <v>1</v>
      </c>
      <c r="H385" s="93">
        <v>0</v>
      </c>
      <c r="I385" s="93">
        <v>0</v>
      </c>
      <c r="J385" s="93">
        <v>0</v>
      </c>
      <c r="K385" s="93">
        <v>0</v>
      </c>
      <c r="L385" s="93">
        <v>0</v>
      </c>
      <c r="M385" s="93">
        <v>0</v>
      </c>
      <c r="N385" s="93">
        <v>0</v>
      </c>
      <c r="O385" s="93">
        <v>0</v>
      </c>
      <c r="P385" s="93">
        <v>0</v>
      </c>
      <c r="Q385" s="93">
        <v>0</v>
      </c>
      <c r="R385" s="93">
        <v>0</v>
      </c>
      <c r="S385" s="93">
        <v>0</v>
      </c>
      <c r="T385" s="93">
        <v>0</v>
      </c>
      <c r="V385" s="63" t="s">
        <v>1149</v>
      </c>
    </row>
    <row r="386" spans="2:22" x14ac:dyDescent="0.25">
      <c r="B386" s="23" t="s">
        <v>1150</v>
      </c>
      <c r="C386" s="28" t="s">
        <v>493</v>
      </c>
      <c r="D386" s="44" t="s">
        <v>4442</v>
      </c>
      <c r="E386" s="92">
        <v>0.25664334700000002</v>
      </c>
      <c r="F386" s="87">
        <v>1</v>
      </c>
      <c r="H386" s="93">
        <v>3.5000000000000003E-2</v>
      </c>
      <c r="I386" s="93">
        <v>3.5000000000000003E-2</v>
      </c>
      <c r="J386" s="93">
        <v>3.5000000000000003E-2</v>
      </c>
      <c r="K386" s="93">
        <v>3.5000000000000003E-2</v>
      </c>
      <c r="L386" s="93">
        <v>3.5000000000000003E-2</v>
      </c>
      <c r="M386" s="93">
        <v>3.5000000000000003E-2</v>
      </c>
      <c r="N386" s="93">
        <v>3.5000000000000003E-2</v>
      </c>
      <c r="O386" s="93">
        <v>3.5000000000000003E-2</v>
      </c>
      <c r="P386" s="93">
        <v>3.5000000000000003E-2</v>
      </c>
      <c r="Q386" s="93">
        <v>3.5000000000000003E-2</v>
      </c>
      <c r="R386" s="93">
        <v>3.5000000000000003E-2</v>
      </c>
      <c r="S386" s="93">
        <v>3.5000000000000003E-2</v>
      </c>
      <c r="T386" s="93">
        <v>3.5000000000000003E-2</v>
      </c>
      <c r="V386" s="63" t="s">
        <v>1151</v>
      </c>
    </row>
    <row r="387" spans="2:22" x14ac:dyDescent="0.25">
      <c r="B387" s="23" t="s">
        <v>1152</v>
      </c>
      <c r="C387" s="28" t="s">
        <v>493</v>
      </c>
      <c r="D387" s="44" t="s">
        <v>4442</v>
      </c>
      <c r="E387" s="92">
        <v>1.3845168216799999</v>
      </c>
      <c r="F387" s="87">
        <v>1</v>
      </c>
      <c r="H387" s="93">
        <v>0.01</v>
      </c>
      <c r="I387" s="93">
        <v>0.01</v>
      </c>
      <c r="J387" s="93">
        <v>0.01</v>
      </c>
      <c r="K387" s="93">
        <v>0.01</v>
      </c>
      <c r="L387" s="93">
        <v>0.01</v>
      </c>
      <c r="M387" s="93">
        <v>0.01</v>
      </c>
      <c r="N387" s="93">
        <v>0.01</v>
      </c>
      <c r="O387" s="93">
        <v>0.01</v>
      </c>
      <c r="P387" s="93">
        <v>0.01</v>
      </c>
      <c r="Q387" s="93">
        <v>0.01</v>
      </c>
      <c r="R387" s="93">
        <v>0.01</v>
      </c>
      <c r="S387" s="93">
        <v>0.01</v>
      </c>
      <c r="T387" s="93">
        <v>0.01</v>
      </c>
      <c r="V387" s="63" t="s">
        <v>1153</v>
      </c>
    </row>
    <row r="388" spans="2:22" x14ac:dyDescent="0.25">
      <c r="B388" s="23" t="s">
        <v>1154</v>
      </c>
      <c r="C388" s="28" t="s">
        <v>493</v>
      </c>
      <c r="D388" s="44" t="s">
        <v>4442</v>
      </c>
      <c r="E388" s="92">
        <v>9.1772826000000002E-2</v>
      </c>
      <c r="F388" s="87">
        <v>1</v>
      </c>
      <c r="H388" s="93">
        <v>0.01</v>
      </c>
      <c r="I388" s="93">
        <v>0.01</v>
      </c>
      <c r="J388" s="93">
        <v>0.01</v>
      </c>
      <c r="K388" s="93">
        <v>0.01</v>
      </c>
      <c r="L388" s="93">
        <v>0.01</v>
      </c>
      <c r="M388" s="93">
        <v>0.01</v>
      </c>
      <c r="N388" s="93">
        <v>0.01</v>
      </c>
      <c r="O388" s="93">
        <v>0.01</v>
      </c>
      <c r="P388" s="93">
        <v>0.01</v>
      </c>
      <c r="Q388" s="93">
        <v>0.01</v>
      </c>
      <c r="R388" s="93">
        <v>0.01</v>
      </c>
      <c r="S388" s="93">
        <v>0.01</v>
      </c>
      <c r="T388" s="93">
        <v>0.01</v>
      </c>
      <c r="V388" s="63" t="s">
        <v>1155</v>
      </c>
    </row>
    <row r="389" spans="2:22" x14ac:dyDescent="0.25">
      <c r="B389" s="23" t="s">
        <v>1156</v>
      </c>
      <c r="C389" s="28" t="s">
        <v>493</v>
      </c>
      <c r="D389" s="44" t="s">
        <v>4442</v>
      </c>
      <c r="E389" s="92">
        <v>0.09</v>
      </c>
      <c r="F389" s="87">
        <v>1</v>
      </c>
      <c r="H389" s="93">
        <v>0.01</v>
      </c>
      <c r="I389" s="93">
        <v>0.01</v>
      </c>
      <c r="J389" s="93">
        <v>0.01</v>
      </c>
      <c r="K389" s="93">
        <v>0.01</v>
      </c>
      <c r="L389" s="93">
        <v>0.01</v>
      </c>
      <c r="M389" s="93">
        <v>0.01</v>
      </c>
      <c r="N389" s="93">
        <v>0.01</v>
      </c>
      <c r="O389" s="93">
        <v>0.01</v>
      </c>
      <c r="P389" s="93">
        <v>0.01</v>
      </c>
      <c r="Q389" s="93">
        <v>0.01</v>
      </c>
      <c r="R389" s="93">
        <v>0.01</v>
      </c>
      <c r="S389" s="93">
        <v>0.01</v>
      </c>
      <c r="T389" s="93">
        <v>0.01</v>
      </c>
      <c r="V389" s="63" t="s">
        <v>1157</v>
      </c>
    </row>
    <row r="390" spans="2:22" x14ac:dyDescent="0.25">
      <c r="B390" s="23" t="s">
        <v>1158</v>
      </c>
      <c r="C390" s="28" t="s">
        <v>493</v>
      </c>
      <c r="D390" s="44" t="s">
        <v>4442</v>
      </c>
      <c r="E390" s="92">
        <v>4.422234244E-2</v>
      </c>
      <c r="F390" s="87">
        <v>1</v>
      </c>
      <c r="H390" s="93">
        <v>0.01</v>
      </c>
      <c r="I390" s="93">
        <v>0.01</v>
      </c>
      <c r="J390" s="93">
        <v>0.01</v>
      </c>
      <c r="K390" s="93">
        <v>0.01</v>
      </c>
      <c r="L390" s="93">
        <v>0.01</v>
      </c>
      <c r="M390" s="93">
        <v>0.01</v>
      </c>
      <c r="N390" s="93">
        <v>0.01</v>
      </c>
      <c r="O390" s="93">
        <v>0.01</v>
      </c>
      <c r="P390" s="93">
        <v>0.01</v>
      </c>
      <c r="Q390" s="93">
        <v>0.01</v>
      </c>
      <c r="R390" s="93">
        <v>0.01</v>
      </c>
      <c r="S390" s="93">
        <v>0.01</v>
      </c>
      <c r="T390" s="93">
        <v>0.01</v>
      </c>
      <c r="V390" s="63" t="s">
        <v>1159</v>
      </c>
    </row>
    <row r="391" spans="2:22" x14ac:dyDescent="0.25">
      <c r="B391" s="23" t="s">
        <v>1160</v>
      </c>
      <c r="C391" s="28" t="s">
        <v>493</v>
      </c>
      <c r="D391" s="44" t="s">
        <v>4442</v>
      </c>
      <c r="E391" s="92">
        <v>1.1234156E-2</v>
      </c>
      <c r="F391" s="87">
        <v>1</v>
      </c>
      <c r="H391" s="93">
        <v>0.01</v>
      </c>
      <c r="I391" s="93">
        <v>0.01</v>
      </c>
      <c r="J391" s="93">
        <v>0.01</v>
      </c>
      <c r="K391" s="93">
        <v>0.01</v>
      </c>
      <c r="L391" s="93">
        <v>0.01</v>
      </c>
      <c r="M391" s="93">
        <v>0.01</v>
      </c>
      <c r="N391" s="93">
        <v>0.01</v>
      </c>
      <c r="O391" s="93">
        <v>0.01</v>
      </c>
      <c r="P391" s="93">
        <v>0.01</v>
      </c>
      <c r="Q391" s="93">
        <v>0.01</v>
      </c>
      <c r="R391" s="93">
        <v>0.01</v>
      </c>
      <c r="S391" s="93">
        <v>0.01</v>
      </c>
      <c r="T391" s="93">
        <v>0.01</v>
      </c>
      <c r="V391" s="63" t="s">
        <v>1161</v>
      </c>
    </row>
    <row r="392" spans="2:22" x14ac:dyDescent="0.25">
      <c r="B392" s="23" t="s">
        <v>1162</v>
      </c>
      <c r="C392" s="28" t="s">
        <v>493</v>
      </c>
      <c r="D392" s="44" t="s">
        <v>4442</v>
      </c>
      <c r="E392" s="92">
        <v>4.1260885999999997E-2</v>
      </c>
      <c r="F392" s="87">
        <v>1</v>
      </c>
      <c r="H392" s="93">
        <v>0.01</v>
      </c>
      <c r="I392" s="93">
        <v>0.01</v>
      </c>
      <c r="J392" s="93">
        <v>0.01</v>
      </c>
      <c r="K392" s="93">
        <v>0.01</v>
      </c>
      <c r="L392" s="93">
        <v>0.01</v>
      </c>
      <c r="M392" s="93">
        <v>0.01</v>
      </c>
      <c r="N392" s="93">
        <v>0.01</v>
      </c>
      <c r="O392" s="93">
        <v>0.01</v>
      </c>
      <c r="P392" s="93">
        <v>0.01</v>
      </c>
      <c r="Q392" s="93">
        <v>0.01</v>
      </c>
      <c r="R392" s="93">
        <v>0.01</v>
      </c>
      <c r="S392" s="93">
        <v>0.01</v>
      </c>
      <c r="T392" s="93">
        <v>0.01</v>
      </c>
      <c r="V392" s="63" t="s">
        <v>1163</v>
      </c>
    </row>
    <row r="393" spans="2:22" x14ac:dyDescent="0.25">
      <c r="B393" s="23" t="s">
        <v>1164</v>
      </c>
      <c r="C393" s="28" t="s">
        <v>493</v>
      </c>
      <c r="D393" s="44" t="s">
        <v>4442</v>
      </c>
      <c r="E393" s="92">
        <v>1.7500000000000002E-2</v>
      </c>
      <c r="F393" s="87">
        <v>1</v>
      </c>
      <c r="H393" s="93">
        <v>0.01</v>
      </c>
      <c r="I393" s="93">
        <v>0.01</v>
      </c>
      <c r="J393" s="93">
        <v>0.01</v>
      </c>
      <c r="K393" s="93">
        <v>0.01</v>
      </c>
      <c r="L393" s="93">
        <v>0.01</v>
      </c>
      <c r="M393" s="93">
        <v>0.01</v>
      </c>
      <c r="N393" s="93">
        <v>0.01</v>
      </c>
      <c r="O393" s="93">
        <v>0.01</v>
      </c>
      <c r="P393" s="93">
        <v>0.01</v>
      </c>
      <c r="Q393" s="93">
        <v>0.01</v>
      </c>
      <c r="R393" s="93">
        <v>0.01</v>
      </c>
      <c r="S393" s="93">
        <v>0.01</v>
      </c>
      <c r="T393" s="93">
        <v>0.01</v>
      </c>
      <c r="V393" s="63" t="s">
        <v>1165</v>
      </c>
    </row>
    <row r="394" spans="2:22" x14ac:dyDescent="0.25">
      <c r="B394" s="23" t="s">
        <v>1166</v>
      </c>
      <c r="C394" s="28" t="s">
        <v>493</v>
      </c>
      <c r="D394" s="44" t="s">
        <v>4442</v>
      </c>
      <c r="E394" s="92">
        <v>3.0499999999999999E-2</v>
      </c>
      <c r="F394" s="87">
        <v>1</v>
      </c>
      <c r="H394" s="93">
        <v>0.01</v>
      </c>
      <c r="I394" s="93">
        <v>0.01</v>
      </c>
      <c r="J394" s="93">
        <v>0.01</v>
      </c>
      <c r="K394" s="93">
        <v>0.01</v>
      </c>
      <c r="L394" s="93">
        <v>0.01</v>
      </c>
      <c r="M394" s="93">
        <v>0.01</v>
      </c>
      <c r="N394" s="93">
        <v>0.01</v>
      </c>
      <c r="O394" s="93">
        <v>0.01</v>
      </c>
      <c r="P394" s="93">
        <v>0.01</v>
      </c>
      <c r="Q394" s="93">
        <v>0.01</v>
      </c>
      <c r="R394" s="93">
        <v>0.01</v>
      </c>
      <c r="S394" s="93">
        <v>0.01</v>
      </c>
      <c r="T394" s="93">
        <v>0.01</v>
      </c>
      <c r="V394" s="63" t="s">
        <v>1167</v>
      </c>
    </row>
    <row r="395" spans="2:22" x14ac:dyDescent="0.25">
      <c r="B395" s="23" t="s">
        <v>1168</v>
      </c>
      <c r="C395" s="28" t="s">
        <v>493</v>
      </c>
      <c r="D395" s="44" t="s">
        <v>4442</v>
      </c>
      <c r="E395" s="92">
        <v>5.0327157329999997E-2</v>
      </c>
      <c r="F395" s="87">
        <v>1</v>
      </c>
      <c r="H395" s="93">
        <v>0.01</v>
      </c>
      <c r="I395" s="93">
        <v>0.01</v>
      </c>
      <c r="J395" s="93">
        <v>0.01</v>
      </c>
      <c r="K395" s="93">
        <v>0.01</v>
      </c>
      <c r="L395" s="93">
        <v>0.01</v>
      </c>
      <c r="M395" s="93">
        <v>0.01</v>
      </c>
      <c r="N395" s="93">
        <v>0.01</v>
      </c>
      <c r="O395" s="93">
        <v>0.01</v>
      </c>
      <c r="P395" s="93">
        <v>0.01</v>
      </c>
      <c r="Q395" s="93">
        <v>0.01</v>
      </c>
      <c r="R395" s="93">
        <v>0.01</v>
      </c>
      <c r="S395" s="93">
        <v>0.01</v>
      </c>
      <c r="T395" s="93">
        <v>0.01</v>
      </c>
      <c r="V395" s="63" t="s">
        <v>1169</v>
      </c>
    </row>
    <row r="396" spans="2:22" x14ac:dyDescent="0.25">
      <c r="B396" s="23" t="s">
        <v>1170</v>
      </c>
      <c r="C396" s="28" t="s">
        <v>493</v>
      </c>
      <c r="D396" s="44" t="s">
        <v>4442</v>
      </c>
      <c r="E396" s="92">
        <v>3.8320400000000001E-3</v>
      </c>
      <c r="F396" s="87">
        <v>1</v>
      </c>
      <c r="H396" s="93">
        <v>0.01</v>
      </c>
      <c r="I396" s="93">
        <v>0.01</v>
      </c>
      <c r="J396" s="93">
        <v>0.01</v>
      </c>
      <c r="K396" s="93">
        <v>0.01</v>
      </c>
      <c r="L396" s="93">
        <v>0.01</v>
      </c>
      <c r="M396" s="93">
        <v>0.01</v>
      </c>
      <c r="N396" s="93">
        <v>0.01</v>
      </c>
      <c r="O396" s="93">
        <v>0.01</v>
      </c>
      <c r="P396" s="93">
        <v>0.01</v>
      </c>
      <c r="Q396" s="93">
        <v>0.01</v>
      </c>
      <c r="R396" s="93">
        <v>0.01</v>
      </c>
      <c r="S396" s="93">
        <v>0.01</v>
      </c>
      <c r="T396" s="93">
        <v>0.01</v>
      </c>
      <c r="V396" s="63" t="s">
        <v>1171</v>
      </c>
    </row>
    <row r="397" spans="2:22" x14ac:dyDescent="0.25">
      <c r="B397" s="23" t="s">
        <v>1172</v>
      </c>
      <c r="C397" s="28" t="s">
        <v>493</v>
      </c>
      <c r="D397" s="44" t="s">
        <v>4442</v>
      </c>
      <c r="E397" s="92">
        <v>6.0000000000000001E-3</v>
      </c>
      <c r="F397" s="87">
        <v>1</v>
      </c>
      <c r="H397" s="93">
        <v>0.01</v>
      </c>
      <c r="I397" s="93">
        <v>0.01</v>
      </c>
      <c r="J397" s="93">
        <v>0.01</v>
      </c>
      <c r="K397" s="93">
        <v>0.01</v>
      </c>
      <c r="L397" s="93">
        <v>0.01</v>
      </c>
      <c r="M397" s="93">
        <v>0.01</v>
      </c>
      <c r="N397" s="93">
        <v>0.01</v>
      </c>
      <c r="O397" s="93">
        <v>0.01</v>
      </c>
      <c r="P397" s="93">
        <v>0.01</v>
      </c>
      <c r="Q397" s="93">
        <v>0.01</v>
      </c>
      <c r="R397" s="93">
        <v>0.01</v>
      </c>
      <c r="S397" s="93">
        <v>0.01</v>
      </c>
      <c r="T397" s="93">
        <v>0.01</v>
      </c>
      <c r="V397" s="63" t="s">
        <v>1173</v>
      </c>
    </row>
    <row r="398" spans="2:22" x14ac:dyDescent="0.25">
      <c r="B398" s="23" t="s">
        <v>1174</v>
      </c>
      <c r="C398" s="28" t="s">
        <v>493</v>
      </c>
      <c r="D398" s="44" t="s">
        <v>4442</v>
      </c>
      <c r="E398" s="92">
        <v>3.800000001E-2</v>
      </c>
      <c r="F398" s="87">
        <v>1</v>
      </c>
      <c r="H398" s="93">
        <v>0.01</v>
      </c>
      <c r="I398" s="93">
        <v>0.01</v>
      </c>
      <c r="J398" s="93">
        <v>0.01</v>
      </c>
      <c r="K398" s="93">
        <v>0.01</v>
      </c>
      <c r="L398" s="93">
        <v>0.01</v>
      </c>
      <c r="M398" s="93">
        <v>0.01</v>
      </c>
      <c r="N398" s="93">
        <v>0.01</v>
      </c>
      <c r="O398" s="93">
        <v>0.01</v>
      </c>
      <c r="P398" s="93">
        <v>0.01</v>
      </c>
      <c r="Q398" s="93">
        <v>0.01</v>
      </c>
      <c r="R398" s="93">
        <v>0.01</v>
      </c>
      <c r="S398" s="93">
        <v>0.01</v>
      </c>
      <c r="T398" s="93">
        <v>0.01</v>
      </c>
      <c r="V398" s="63" t="s">
        <v>1175</v>
      </c>
    </row>
    <row r="399" spans="2:22" x14ac:dyDescent="0.25">
      <c r="B399" s="23" t="s">
        <v>1176</v>
      </c>
      <c r="C399" s="28" t="s">
        <v>493</v>
      </c>
      <c r="D399" s="44" t="s">
        <v>4442</v>
      </c>
      <c r="E399" s="92">
        <v>1.8822505E-2</v>
      </c>
      <c r="F399" s="87">
        <v>1</v>
      </c>
      <c r="H399" s="93">
        <v>0.01</v>
      </c>
      <c r="I399" s="93">
        <v>0.01</v>
      </c>
      <c r="J399" s="93">
        <v>0.01</v>
      </c>
      <c r="K399" s="93">
        <v>0.01</v>
      </c>
      <c r="L399" s="93">
        <v>0.01</v>
      </c>
      <c r="M399" s="93">
        <v>0.01</v>
      </c>
      <c r="N399" s="93">
        <v>0.01</v>
      </c>
      <c r="O399" s="93">
        <v>0.01</v>
      </c>
      <c r="P399" s="93">
        <v>0.01</v>
      </c>
      <c r="Q399" s="93">
        <v>0.01</v>
      </c>
      <c r="R399" s="93">
        <v>0.01</v>
      </c>
      <c r="S399" s="93">
        <v>0.01</v>
      </c>
      <c r="T399" s="93">
        <v>0.01</v>
      </c>
      <c r="V399" s="63" t="s">
        <v>1177</v>
      </c>
    </row>
    <row r="400" spans="2:22" x14ac:dyDescent="0.25">
      <c r="B400" s="23" t="s">
        <v>1178</v>
      </c>
      <c r="C400" s="28" t="s">
        <v>493</v>
      </c>
      <c r="D400" s="44" t="s">
        <v>4442</v>
      </c>
      <c r="E400" s="92">
        <v>1.5713000670000001E-2</v>
      </c>
      <c r="F400" s="87">
        <v>1</v>
      </c>
      <c r="H400" s="93">
        <v>0.01</v>
      </c>
      <c r="I400" s="93">
        <v>0.01</v>
      </c>
      <c r="J400" s="93">
        <v>0.01</v>
      </c>
      <c r="K400" s="93">
        <v>0.01</v>
      </c>
      <c r="L400" s="93">
        <v>0.01</v>
      </c>
      <c r="M400" s="93">
        <v>0.01</v>
      </c>
      <c r="N400" s="93">
        <v>0.01</v>
      </c>
      <c r="O400" s="93">
        <v>0.01</v>
      </c>
      <c r="P400" s="93">
        <v>0.01</v>
      </c>
      <c r="Q400" s="93">
        <v>0.01</v>
      </c>
      <c r="R400" s="93">
        <v>0.01</v>
      </c>
      <c r="S400" s="93">
        <v>0.01</v>
      </c>
      <c r="T400" s="93">
        <v>0.01</v>
      </c>
      <c r="V400" s="63" t="s">
        <v>1179</v>
      </c>
    </row>
    <row r="401" spans="2:22" x14ac:dyDescent="0.25">
      <c r="B401" s="23" t="s">
        <v>1180</v>
      </c>
      <c r="C401" s="28" t="s">
        <v>493</v>
      </c>
      <c r="D401" s="44" t="s">
        <v>4442</v>
      </c>
      <c r="E401" s="92">
        <v>9.3991999999999999E-3</v>
      </c>
      <c r="F401" s="87">
        <v>1</v>
      </c>
      <c r="H401" s="93">
        <v>0.01</v>
      </c>
      <c r="I401" s="93">
        <v>0.01</v>
      </c>
      <c r="J401" s="93">
        <v>0.01</v>
      </c>
      <c r="K401" s="93">
        <v>0.01</v>
      </c>
      <c r="L401" s="93">
        <v>0.01</v>
      </c>
      <c r="M401" s="93">
        <v>0.01</v>
      </c>
      <c r="N401" s="93">
        <v>0.01</v>
      </c>
      <c r="O401" s="93">
        <v>0.01</v>
      </c>
      <c r="P401" s="93">
        <v>0.01</v>
      </c>
      <c r="Q401" s="93">
        <v>0.01</v>
      </c>
      <c r="R401" s="93">
        <v>0.01</v>
      </c>
      <c r="S401" s="93">
        <v>0.01</v>
      </c>
      <c r="T401" s="93">
        <v>0.01</v>
      </c>
      <c r="V401" s="63" t="s">
        <v>1181</v>
      </c>
    </row>
    <row r="402" spans="2:22" x14ac:dyDescent="0.25">
      <c r="B402" s="23" t="s">
        <v>1182</v>
      </c>
      <c r="C402" s="28" t="s">
        <v>493</v>
      </c>
      <c r="D402" s="44" t="s">
        <v>4442</v>
      </c>
      <c r="E402" s="92">
        <v>2.5705493999999999E-2</v>
      </c>
      <c r="F402" s="87">
        <v>1</v>
      </c>
      <c r="H402" s="93">
        <v>0.01</v>
      </c>
      <c r="I402" s="93">
        <v>0.01</v>
      </c>
      <c r="J402" s="93">
        <v>0.01</v>
      </c>
      <c r="K402" s="93">
        <v>0.01</v>
      </c>
      <c r="L402" s="93">
        <v>0.01</v>
      </c>
      <c r="M402" s="93">
        <v>0.01</v>
      </c>
      <c r="N402" s="93">
        <v>0.01</v>
      </c>
      <c r="O402" s="93">
        <v>0.01</v>
      </c>
      <c r="P402" s="93">
        <v>0.01</v>
      </c>
      <c r="Q402" s="93">
        <v>0.01</v>
      </c>
      <c r="R402" s="93">
        <v>0.01</v>
      </c>
      <c r="S402" s="93">
        <v>0.01</v>
      </c>
      <c r="T402" s="93">
        <v>0.01</v>
      </c>
      <c r="V402" s="63" t="s">
        <v>1183</v>
      </c>
    </row>
    <row r="403" spans="2:22" x14ac:dyDescent="0.25">
      <c r="B403" s="23" t="s">
        <v>1184</v>
      </c>
      <c r="C403" s="28" t="s">
        <v>493</v>
      </c>
      <c r="D403" s="44" t="s">
        <v>4442</v>
      </c>
      <c r="E403" s="92">
        <v>0.20696752500000001</v>
      </c>
      <c r="F403" s="87">
        <v>1</v>
      </c>
      <c r="H403" s="93">
        <v>0.01</v>
      </c>
      <c r="I403" s="93">
        <v>0.01</v>
      </c>
      <c r="J403" s="93">
        <v>0.01</v>
      </c>
      <c r="K403" s="93">
        <v>0.01</v>
      </c>
      <c r="L403" s="93">
        <v>0.01</v>
      </c>
      <c r="M403" s="93">
        <v>0.01</v>
      </c>
      <c r="N403" s="93">
        <v>0.01</v>
      </c>
      <c r="O403" s="93">
        <v>0.01</v>
      </c>
      <c r="P403" s="93">
        <v>0.01</v>
      </c>
      <c r="Q403" s="93">
        <v>0.01</v>
      </c>
      <c r="R403" s="93">
        <v>0.01</v>
      </c>
      <c r="S403" s="93">
        <v>0.01</v>
      </c>
      <c r="T403" s="93">
        <v>0.01</v>
      </c>
      <c r="V403" s="63" t="s">
        <v>1185</v>
      </c>
    </row>
    <row r="404" spans="2:22" x14ac:dyDescent="0.25">
      <c r="B404" s="23" t="s">
        <v>1186</v>
      </c>
      <c r="C404" s="28" t="s">
        <v>493</v>
      </c>
      <c r="D404" s="44" t="s">
        <v>4442</v>
      </c>
      <c r="E404" s="92">
        <v>3.3630008000000003E-2</v>
      </c>
      <c r="F404" s="87">
        <v>1</v>
      </c>
      <c r="H404" s="93">
        <v>0.01</v>
      </c>
      <c r="I404" s="93">
        <v>0.01</v>
      </c>
      <c r="J404" s="93">
        <v>0.01</v>
      </c>
      <c r="K404" s="93">
        <v>0.01</v>
      </c>
      <c r="L404" s="93">
        <v>0.01</v>
      </c>
      <c r="M404" s="93">
        <v>0.01</v>
      </c>
      <c r="N404" s="93">
        <v>0.01</v>
      </c>
      <c r="O404" s="93">
        <v>0.01</v>
      </c>
      <c r="P404" s="93">
        <v>0.01</v>
      </c>
      <c r="Q404" s="93">
        <v>0.01</v>
      </c>
      <c r="R404" s="93">
        <v>0.01</v>
      </c>
      <c r="S404" s="93">
        <v>0.01</v>
      </c>
      <c r="T404" s="93">
        <v>0.01</v>
      </c>
      <c r="V404" s="63" t="s">
        <v>1187</v>
      </c>
    </row>
    <row r="405" spans="2:22" x14ac:dyDescent="0.25">
      <c r="B405" s="23" t="s">
        <v>1188</v>
      </c>
      <c r="C405" s="28" t="s">
        <v>493</v>
      </c>
      <c r="D405" s="44" t="s">
        <v>4442</v>
      </c>
      <c r="E405" s="92">
        <v>9.6439427130000005E-2</v>
      </c>
      <c r="F405" s="87">
        <v>1</v>
      </c>
      <c r="H405" s="93">
        <v>0.01</v>
      </c>
      <c r="I405" s="93">
        <v>0.01</v>
      </c>
      <c r="J405" s="93">
        <v>0.01</v>
      </c>
      <c r="K405" s="93">
        <v>0.01</v>
      </c>
      <c r="L405" s="93">
        <v>0.01</v>
      </c>
      <c r="M405" s="93">
        <v>0.01</v>
      </c>
      <c r="N405" s="93">
        <v>0.01</v>
      </c>
      <c r="O405" s="93">
        <v>0.01</v>
      </c>
      <c r="P405" s="93">
        <v>0.01</v>
      </c>
      <c r="Q405" s="93">
        <v>0.01</v>
      </c>
      <c r="R405" s="93">
        <v>0.01</v>
      </c>
      <c r="S405" s="93">
        <v>0.01</v>
      </c>
      <c r="T405" s="93">
        <v>0.01</v>
      </c>
      <c r="V405" s="63" t="s">
        <v>1189</v>
      </c>
    </row>
    <row r="406" spans="2:22" x14ac:dyDescent="0.25">
      <c r="B406" s="23" t="s">
        <v>1190</v>
      </c>
      <c r="C406" s="28" t="s">
        <v>493</v>
      </c>
      <c r="D406" s="44" t="s">
        <v>4442</v>
      </c>
      <c r="E406" s="92">
        <v>1.65E-3</v>
      </c>
      <c r="F406" s="87">
        <v>1</v>
      </c>
      <c r="H406" s="93">
        <v>0.01</v>
      </c>
      <c r="I406" s="93">
        <v>0.01</v>
      </c>
      <c r="J406" s="93">
        <v>0.01</v>
      </c>
      <c r="K406" s="93">
        <v>0.01</v>
      </c>
      <c r="L406" s="93">
        <v>0.01</v>
      </c>
      <c r="M406" s="93">
        <v>0.01</v>
      </c>
      <c r="N406" s="93">
        <v>0.01</v>
      </c>
      <c r="O406" s="93">
        <v>0.01</v>
      </c>
      <c r="P406" s="93">
        <v>0.01</v>
      </c>
      <c r="Q406" s="93">
        <v>0.01</v>
      </c>
      <c r="R406" s="93">
        <v>0.01</v>
      </c>
      <c r="S406" s="93">
        <v>0.01</v>
      </c>
      <c r="T406" s="93">
        <v>0.01</v>
      </c>
      <c r="V406" s="63" t="s">
        <v>1191</v>
      </c>
    </row>
    <row r="407" spans="2:22" x14ac:dyDescent="0.25">
      <c r="B407" s="23" t="s">
        <v>1192</v>
      </c>
      <c r="C407" s="28" t="s">
        <v>493</v>
      </c>
      <c r="D407" s="44" t="s">
        <v>4442</v>
      </c>
      <c r="E407" s="92">
        <v>5.16E-2</v>
      </c>
      <c r="F407" s="87">
        <v>1</v>
      </c>
      <c r="H407" s="93">
        <v>0.01</v>
      </c>
      <c r="I407" s="93">
        <v>0.01</v>
      </c>
      <c r="J407" s="93">
        <v>0.01</v>
      </c>
      <c r="K407" s="93">
        <v>0.01</v>
      </c>
      <c r="L407" s="93">
        <v>0.01</v>
      </c>
      <c r="M407" s="93">
        <v>0.01</v>
      </c>
      <c r="N407" s="93">
        <v>0.01</v>
      </c>
      <c r="O407" s="93">
        <v>0.01</v>
      </c>
      <c r="P407" s="93">
        <v>0.01</v>
      </c>
      <c r="Q407" s="93">
        <v>0.01</v>
      </c>
      <c r="R407" s="93">
        <v>0.01</v>
      </c>
      <c r="S407" s="93">
        <v>0.01</v>
      </c>
      <c r="T407" s="93">
        <v>0.01</v>
      </c>
      <c r="V407" s="63" t="s">
        <v>1193</v>
      </c>
    </row>
    <row r="408" spans="2:22" x14ac:dyDescent="0.25">
      <c r="B408" s="42" t="s">
        <v>1194</v>
      </c>
    </row>
    <row r="409" spans="2:22" x14ac:dyDescent="0.25">
      <c r="B409" s="59" t="s">
        <v>1195</v>
      </c>
      <c r="C409" s="59" t="s">
        <v>466</v>
      </c>
      <c r="D409" s="59" t="s">
        <v>4429</v>
      </c>
      <c r="E409" s="59" t="s">
        <v>468</v>
      </c>
      <c r="F409" s="59" t="s">
        <v>469</v>
      </c>
      <c r="G409" s="80" t="s">
        <v>628</v>
      </c>
      <c r="H409" s="81">
        <v>2024</v>
      </c>
      <c r="I409" s="81">
        <v>2025</v>
      </c>
      <c r="J409" s="81">
        <v>2026</v>
      </c>
      <c r="K409" s="81">
        <v>2027</v>
      </c>
      <c r="L409" s="81">
        <v>2028</v>
      </c>
      <c r="M409" s="81">
        <v>2029</v>
      </c>
      <c r="N409" s="81">
        <v>2030</v>
      </c>
      <c r="O409" s="81">
        <v>2031</v>
      </c>
      <c r="P409" s="81">
        <v>2032</v>
      </c>
      <c r="Q409" s="81">
        <v>2033</v>
      </c>
      <c r="R409" s="81">
        <v>2034</v>
      </c>
      <c r="S409" s="81">
        <v>2035</v>
      </c>
      <c r="T409" s="81">
        <v>2036</v>
      </c>
      <c r="U409" s="59"/>
      <c r="V409" s="59" t="s">
        <v>4430</v>
      </c>
    </row>
    <row r="410" spans="2:22" ht="24.75" customHeight="1" x14ac:dyDescent="0.25">
      <c r="B410" s="23" t="s">
        <v>1196</v>
      </c>
      <c r="C410" s="90" t="s">
        <v>1197</v>
      </c>
      <c r="D410" s="44" t="s">
        <v>4442</v>
      </c>
      <c r="F410" s="44" t="s">
        <v>1198</v>
      </c>
      <c r="H410" s="93">
        <v>2.1302304373178801E-2</v>
      </c>
      <c r="I410" s="93">
        <v>2.1302304373178801E-2</v>
      </c>
      <c r="J410" s="93">
        <v>2.1302304373178801E-2</v>
      </c>
      <c r="K410" s="93">
        <v>2.1302304373178801E-2</v>
      </c>
      <c r="L410" s="93">
        <v>2.1302304373178801E-2</v>
      </c>
      <c r="M410" s="93">
        <v>2.1302304373178801E-2</v>
      </c>
      <c r="N410" s="93">
        <v>2.1302304373178801E-2</v>
      </c>
      <c r="O410" s="93">
        <v>2.1302304373178801E-2</v>
      </c>
      <c r="P410" s="93">
        <v>2.1302304373178801E-2</v>
      </c>
      <c r="Q410" s="93">
        <v>2.1302304373178801E-2</v>
      </c>
      <c r="R410" s="93">
        <v>2.1302304373178801E-2</v>
      </c>
      <c r="S410" s="93">
        <v>2.1302304373178801E-2</v>
      </c>
      <c r="T410" s="93">
        <v>2.1302304373178801E-2</v>
      </c>
      <c r="V410" s="63" t="s">
        <v>4581</v>
      </c>
    </row>
    <row r="411" spans="2:22" ht="24.75" customHeight="1" x14ac:dyDescent="0.25">
      <c r="B411" s="23" t="s">
        <v>1199</v>
      </c>
      <c r="C411" s="90" t="s">
        <v>1197</v>
      </c>
      <c r="D411" s="44" t="s">
        <v>4442</v>
      </c>
      <c r="F411" s="44" t="s">
        <v>1200</v>
      </c>
      <c r="H411" s="93">
        <v>3.31675255830471E-2</v>
      </c>
      <c r="I411" s="93">
        <v>3.31675255830471E-2</v>
      </c>
      <c r="J411" s="93">
        <v>3.31675255830471E-2</v>
      </c>
      <c r="K411" s="93">
        <v>3.31675255830471E-2</v>
      </c>
      <c r="L411" s="93">
        <v>3.31675255830471E-2</v>
      </c>
      <c r="M411" s="93">
        <v>3.31675255830471E-2</v>
      </c>
      <c r="N411" s="93">
        <v>3.31675255830471E-2</v>
      </c>
      <c r="O411" s="93">
        <v>3.31675255830471E-2</v>
      </c>
      <c r="P411" s="93">
        <v>3.31675255830471E-2</v>
      </c>
      <c r="Q411" s="93">
        <v>3.31675255830471E-2</v>
      </c>
      <c r="R411" s="93">
        <v>3.31675255830471E-2</v>
      </c>
      <c r="S411" s="93">
        <v>3.31675255830471E-2</v>
      </c>
      <c r="T411" s="93">
        <v>3.31675255830471E-2</v>
      </c>
      <c r="V411" s="63" t="s">
        <v>4582</v>
      </c>
    </row>
    <row r="412" spans="2:22" x14ac:dyDescent="0.25">
      <c r="B412" s="23" t="s">
        <v>1201</v>
      </c>
      <c r="C412" s="28" t="s">
        <v>799</v>
      </c>
      <c r="D412" s="44" t="s">
        <v>4442</v>
      </c>
      <c r="F412" s="44" t="s">
        <v>1202</v>
      </c>
      <c r="H412" s="93">
        <v>2.5000000000000001E-2</v>
      </c>
      <c r="I412" s="93">
        <v>2.5000000000000001E-2</v>
      </c>
      <c r="J412" s="93">
        <v>2.5000000000000001E-2</v>
      </c>
      <c r="K412" s="93">
        <v>2.5000000000000001E-2</v>
      </c>
      <c r="L412" s="93">
        <v>2.5000000000000001E-2</v>
      </c>
      <c r="M412" s="93">
        <v>2.5000000000000001E-2</v>
      </c>
      <c r="N412" s="93">
        <v>2.5000000000000001E-2</v>
      </c>
      <c r="O412" s="93">
        <v>2.5000000000000001E-2</v>
      </c>
      <c r="P412" s="93">
        <v>2.5000000000000001E-2</v>
      </c>
      <c r="Q412" s="93">
        <v>2.5000000000000001E-2</v>
      </c>
      <c r="R412" s="93">
        <v>2.5000000000000001E-2</v>
      </c>
      <c r="S412" s="93">
        <v>2.5000000000000001E-2</v>
      </c>
      <c r="T412" s="93">
        <v>2.5000000000000001E-2</v>
      </c>
      <c r="V412" s="63" t="s">
        <v>4583</v>
      </c>
    </row>
    <row r="413" spans="2:22" x14ac:dyDescent="0.25">
      <c r="B413" s="23" t="s">
        <v>1203</v>
      </c>
      <c r="C413" s="28" t="s">
        <v>799</v>
      </c>
      <c r="D413" s="44" t="s">
        <v>4442</v>
      </c>
      <c r="F413" s="44" t="s">
        <v>1204</v>
      </c>
      <c r="H413" s="91">
        <v>1.49746834669823E-4</v>
      </c>
      <c r="I413" s="91">
        <v>1.49746834669823E-4</v>
      </c>
      <c r="J413" s="91">
        <v>1.49746834669823E-4</v>
      </c>
      <c r="K413" s="91">
        <v>1.49746834669823E-4</v>
      </c>
      <c r="L413" s="91">
        <v>1.49746834669823E-4</v>
      </c>
      <c r="M413" s="91">
        <v>1.49746834669823E-4</v>
      </c>
      <c r="N413" s="91">
        <v>1.49746834669823E-4</v>
      </c>
      <c r="O413" s="91">
        <v>1.49746834669823E-4</v>
      </c>
      <c r="P413" s="91">
        <v>1.49746834669823E-4</v>
      </c>
      <c r="Q413" s="91">
        <v>1.49746834669823E-4</v>
      </c>
      <c r="R413" s="91">
        <v>1.49746834669823E-4</v>
      </c>
      <c r="S413" s="91">
        <v>1.49746834669823E-4</v>
      </c>
      <c r="T413" s="91">
        <v>1.49746834669823E-4</v>
      </c>
      <c r="V413" s="63" t="s">
        <v>4584</v>
      </c>
    </row>
    <row r="414" spans="2:22" x14ac:dyDescent="0.25">
      <c r="B414" s="23" t="s">
        <v>1205</v>
      </c>
      <c r="C414" s="28" t="s">
        <v>799</v>
      </c>
      <c r="D414" s="44" t="s">
        <v>4442</v>
      </c>
      <c r="F414" s="44" t="s">
        <v>1206</v>
      </c>
      <c r="H414" s="91">
        <v>1.10651926007953E-3</v>
      </c>
      <c r="I414" s="91">
        <v>1.10651926007953E-3</v>
      </c>
      <c r="J414" s="91">
        <v>1.10651926007953E-3</v>
      </c>
      <c r="K414" s="91">
        <v>1.10651926007953E-3</v>
      </c>
      <c r="L414" s="91">
        <v>1.10651926007953E-3</v>
      </c>
      <c r="M414" s="91">
        <v>1.10651926007953E-3</v>
      </c>
      <c r="N414" s="91">
        <v>1.10651926007953E-3</v>
      </c>
      <c r="O414" s="91">
        <v>1.10651926007953E-3</v>
      </c>
      <c r="P414" s="91">
        <v>1.10651926007953E-3</v>
      </c>
      <c r="Q414" s="91">
        <v>1.10651926007953E-3</v>
      </c>
      <c r="R414" s="91">
        <v>1.10651926007953E-3</v>
      </c>
      <c r="S414" s="91">
        <v>1.10651926007953E-3</v>
      </c>
      <c r="T414" s="91">
        <v>1.10651926007953E-3</v>
      </c>
      <c r="V414" s="63" t="s">
        <v>4585</v>
      </c>
    </row>
    <row r="415" spans="2:22" x14ac:dyDescent="0.25">
      <c r="B415" s="23" t="s">
        <v>1207</v>
      </c>
      <c r="C415" s="28" t="s">
        <v>799</v>
      </c>
      <c r="D415" s="44" t="s">
        <v>4442</v>
      </c>
      <c r="F415" s="44" t="s">
        <v>1208</v>
      </c>
      <c r="H415" s="91">
        <v>4.6250166566207698E-5</v>
      </c>
      <c r="I415" s="91">
        <v>4.6250166566207698E-5</v>
      </c>
      <c r="J415" s="91">
        <v>4.6250166566207698E-5</v>
      </c>
      <c r="K415" s="91">
        <v>4.6250166566207698E-5</v>
      </c>
      <c r="L415" s="91">
        <v>4.6250166566207698E-5</v>
      </c>
      <c r="M415" s="91">
        <v>4.6250166566207698E-5</v>
      </c>
      <c r="N415" s="91">
        <v>4.6250166566207698E-5</v>
      </c>
      <c r="O415" s="91">
        <v>4.6250166566207698E-5</v>
      </c>
      <c r="P415" s="91">
        <v>4.6250166566207698E-5</v>
      </c>
      <c r="Q415" s="91">
        <v>4.6250166566207698E-5</v>
      </c>
      <c r="R415" s="91">
        <v>4.6250166566207698E-5</v>
      </c>
      <c r="S415" s="91">
        <v>4.6250166566207698E-5</v>
      </c>
      <c r="T415" s="91">
        <v>4.6250166566207698E-5</v>
      </c>
      <c r="V415" s="63" t="s">
        <v>4586</v>
      </c>
    </row>
    <row r="416" spans="2:22" x14ac:dyDescent="0.25">
      <c r="B416" s="23" t="s">
        <v>1209</v>
      </c>
      <c r="C416" s="28" t="s">
        <v>799</v>
      </c>
      <c r="D416" s="44" t="s">
        <v>4442</v>
      </c>
      <c r="F416" s="44" t="s">
        <v>1210</v>
      </c>
      <c r="H416" s="91">
        <v>5.2761990118853996E-6</v>
      </c>
      <c r="I416" s="91">
        <v>5.2761990118853996E-6</v>
      </c>
      <c r="J416" s="91">
        <v>5.2761990118853996E-6</v>
      </c>
      <c r="K416" s="91">
        <v>5.2761990118853996E-6</v>
      </c>
      <c r="L416" s="91">
        <v>5.2761990118853996E-6</v>
      </c>
      <c r="M416" s="91">
        <v>5.2761990118853996E-6</v>
      </c>
      <c r="N416" s="91">
        <v>5.2761990118853996E-6</v>
      </c>
      <c r="O416" s="91">
        <v>5.2761990118853996E-6</v>
      </c>
      <c r="P416" s="91">
        <v>5.2761990118853996E-6</v>
      </c>
      <c r="Q416" s="91">
        <v>5.2761990118853996E-6</v>
      </c>
      <c r="R416" s="91">
        <v>5.2761990118853996E-6</v>
      </c>
      <c r="S416" s="91">
        <v>5.2761990118853996E-6</v>
      </c>
      <c r="T416" s="91">
        <v>5.2761990118853996E-6</v>
      </c>
      <c r="V416" s="63" t="s">
        <v>4587</v>
      </c>
    </row>
    <row r="417" spans="2:22" x14ac:dyDescent="0.25">
      <c r="B417" s="23" t="s">
        <v>1211</v>
      </c>
      <c r="C417" s="28" t="s">
        <v>799</v>
      </c>
      <c r="D417" s="44" t="s">
        <v>4442</v>
      </c>
      <c r="F417" s="44" t="s">
        <v>1212</v>
      </c>
      <c r="H417" s="93">
        <v>0.83903628405324504</v>
      </c>
      <c r="I417" s="93">
        <v>0.83903628405324504</v>
      </c>
      <c r="J417" s="93">
        <v>0.83903628405324504</v>
      </c>
      <c r="K417" s="93">
        <v>0.83903628405324504</v>
      </c>
      <c r="L417" s="93">
        <v>0.83903628405324504</v>
      </c>
      <c r="M417" s="93">
        <v>0.83903628405324504</v>
      </c>
      <c r="N417" s="93">
        <v>0.83903628405324504</v>
      </c>
      <c r="O417" s="93">
        <v>0.83903628405324504</v>
      </c>
      <c r="P417" s="93">
        <v>0.83903628405324504</v>
      </c>
      <c r="Q417" s="93">
        <v>0.83903628405324504</v>
      </c>
      <c r="R417" s="93">
        <v>0.83903628405324504</v>
      </c>
      <c r="S417" s="93">
        <v>0.83903628405324504</v>
      </c>
      <c r="T417" s="93">
        <v>0.83903628405324504</v>
      </c>
      <c r="V417" s="63" t="s">
        <v>4588</v>
      </c>
    </row>
    <row r="418" spans="2:22" x14ac:dyDescent="0.25">
      <c r="B418" s="23" t="s">
        <v>1213</v>
      </c>
      <c r="C418" s="28" t="s">
        <v>799</v>
      </c>
      <c r="D418" s="44" t="s">
        <v>4442</v>
      </c>
      <c r="F418" s="44" t="s">
        <v>1214</v>
      </c>
      <c r="H418" s="93">
        <v>0.74876623324901403</v>
      </c>
      <c r="I418" s="93">
        <v>0.74876623324901403</v>
      </c>
      <c r="J418" s="93">
        <v>0.74876623324901403</v>
      </c>
      <c r="K418" s="93">
        <v>0.74876623324901403</v>
      </c>
      <c r="L418" s="93">
        <v>0.74876623324901403</v>
      </c>
      <c r="M418" s="93">
        <v>0.74876623324901403</v>
      </c>
      <c r="N418" s="93">
        <v>0.74876623324901403</v>
      </c>
      <c r="O418" s="93">
        <v>0.74876623324901403</v>
      </c>
      <c r="P418" s="93">
        <v>0.74876623324901403</v>
      </c>
      <c r="Q418" s="93">
        <v>0.74876623324901403</v>
      </c>
      <c r="R418" s="93">
        <v>0.74876623324901403</v>
      </c>
      <c r="S418" s="93">
        <v>0.74876623324901403</v>
      </c>
      <c r="T418" s="93">
        <v>0.74876623324901403</v>
      </c>
      <c r="V418" s="63" t="s">
        <v>4589</v>
      </c>
    </row>
    <row r="419" spans="2:22" x14ac:dyDescent="0.25">
      <c r="B419" s="23" t="s">
        <v>1215</v>
      </c>
      <c r="C419" s="28" t="s">
        <v>799</v>
      </c>
      <c r="D419" s="44" t="s">
        <v>4442</v>
      </c>
      <c r="F419" s="44" t="s">
        <v>1216</v>
      </c>
      <c r="H419" s="93">
        <v>0.48880442370025501</v>
      </c>
      <c r="I419" s="93">
        <v>0.48880442370025501</v>
      </c>
      <c r="J419" s="93">
        <v>0.48880442370025501</v>
      </c>
      <c r="K419" s="93">
        <v>0.48880442370025501</v>
      </c>
      <c r="L419" s="93">
        <v>0.48880442370025501</v>
      </c>
      <c r="M419" s="93">
        <v>0.48880442370025501</v>
      </c>
      <c r="N419" s="93">
        <v>0.48880442370025501</v>
      </c>
      <c r="O419" s="93">
        <v>0.48880442370025501</v>
      </c>
      <c r="P419" s="93">
        <v>0.48880442370025501</v>
      </c>
      <c r="Q419" s="93">
        <v>0.48880442370025501</v>
      </c>
      <c r="R419" s="93">
        <v>0.48880442370025501</v>
      </c>
      <c r="S419" s="93">
        <v>0.48880442370025501</v>
      </c>
      <c r="T419" s="93">
        <v>0.48880442370025501</v>
      </c>
      <c r="V419" s="63" t="s">
        <v>4590</v>
      </c>
    </row>
    <row r="420" spans="2:22" x14ac:dyDescent="0.25">
      <c r="B420" s="23" t="s">
        <v>1217</v>
      </c>
      <c r="C420" s="28" t="s">
        <v>799</v>
      </c>
      <c r="D420" s="44" t="s">
        <v>4442</v>
      </c>
      <c r="F420" s="44" t="s">
        <v>1218</v>
      </c>
      <c r="H420" s="93">
        <v>0.85137574334741195</v>
      </c>
      <c r="I420" s="93">
        <v>0</v>
      </c>
      <c r="J420" s="93">
        <v>0</v>
      </c>
      <c r="K420" s="93">
        <v>0</v>
      </c>
      <c r="L420" s="93">
        <v>0</v>
      </c>
      <c r="M420" s="93">
        <v>0</v>
      </c>
      <c r="N420" s="93">
        <v>0</v>
      </c>
      <c r="O420" s="93">
        <v>0</v>
      </c>
      <c r="P420" s="93">
        <v>0</v>
      </c>
      <c r="Q420" s="93">
        <v>0</v>
      </c>
      <c r="R420" s="93">
        <v>0</v>
      </c>
      <c r="S420" s="93">
        <v>0</v>
      </c>
      <c r="T420" s="93">
        <v>0</v>
      </c>
      <c r="V420" s="63" t="s">
        <v>4591</v>
      </c>
    </row>
    <row r="421" spans="2:22" x14ac:dyDescent="0.25">
      <c r="B421" s="23" t="s">
        <v>1219</v>
      </c>
      <c r="C421" s="28" t="s">
        <v>799</v>
      </c>
      <c r="D421" s="44" t="s">
        <v>4442</v>
      </c>
      <c r="F421" s="44" t="s">
        <v>1220</v>
      </c>
      <c r="H421" s="87">
        <v>0</v>
      </c>
      <c r="I421" s="87">
        <v>0.35120000000000001</v>
      </c>
      <c r="J421" s="87">
        <v>0.35120000000000001</v>
      </c>
      <c r="K421" s="87">
        <v>0.35120000000000001</v>
      </c>
      <c r="L421" s="87">
        <v>0.35120000000000001</v>
      </c>
      <c r="M421" s="87">
        <v>0.35120000000000001</v>
      </c>
      <c r="N421" s="87">
        <v>0.35120000000000001</v>
      </c>
      <c r="O421" s="87">
        <v>0.35120000000000001</v>
      </c>
      <c r="P421" s="87">
        <v>0.35120000000000001</v>
      </c>
      <c r="Q421" s="87">
        <v>0.35120000000000001</v>
      </c>
      <c r="R421" s="87">
        <v>0.35120000000000001</v>
      </c>
      <c r="S421" s="87">
        <v>0.35120000000000001</v>
      </c>
      <c r="T421" s="87">
        <v>0.35120000000000001</v>
      </c>
      <c r="V421" s="63" t="s">
        <v>4592</v>
      </c>
    </row>
    <row r="422" spans="2:22" x14ac:dyDescent="0.25">
      <c r="B422" s="23" t="s">
        <v>1221</v>
      </c>
      <c r="C422" s="28" t="s">
        <v>799</v>
      </c>
      <c r="D422" s="44" t="s">
        <v>4442</v>
      </c>
      <c r="F422" s="44" t="s">
        <v>1222</v>
      </c>
      <c r="H422" s="87">
        <v>0</v>
      </c>
      <c r="I422" s="87">
        <v>0.45200000000000001</v>
      </c>
      <c r="J422" s="87">
        <v>0.45200000000000001</v>
      </c>
      <c r="K422" s="87">
        <v>0.45200000000000001</v>
      </c>
      <c r="L422" s="87">
        <v>0.45200000000000001</v>
      </c>
      <c r="M422" s="87">
        <v>0.45200000000000001</v>
      </c>
      <c r="N422" s="87">
        <v>0.45200000000000001</v>
      </c>
      <c r="O422" s="87">
        <v>0.45200000000000001</v>
      </c>
      <c r="P422" s="87">
        <v>0.45200000000000001</v>
      </c>
      <c r="Q422" s="87">
        <v>0.45200000000000001</v>
      </c>
      <c r="R422" s="87">
        <v>0.45200000000000001</v>
      </c>
      <c r="S422" s="87">
        <v>0.45200000000000001</v>
      </c>
      <c r="T422" s="87">
        <v>0.45200000000000001</v>
      </c>
      <c r="V422" s="63" t="s">
        <v>4593</v>
      </c>
    </row>
    <row r="423" spans="2:22" x14ac:dyDescent="0.25">
      <c r="B423" s="23" t="s">
        <v>1223</v>
      </c>
      <c r="C423" s="28" t="s">
        <v>799</v>
      </c>
      <c r="D423" s="44" t="s">
        <v>4442</v>
      </c>
      <c r="F423" s="44" t="s">
        <v>1224</v>
      </c>
      <c r="H423" s="87">
        <v>0</v>
      </c>
      <c r="I423" s="87">
        <v>0.3528</v>
      </c>
      <c r="J423" s="87">
        <v>0.3528</v>
      </c>
      <c r="K423" s="87">
        <v>0.3528</v>
      </c>
      <c r="L423" s="87">
        <v>0.3528</v>
      </c>
      <c r="M423" s="87">
        <v>0.3528</v>
      </c>
      <c r="N423" s="87">
        <v>0.3528</v>
      </c>
      <c r="O423" s="87">
        <v>0.3528</v>
      </c>
      <c r="P423" s="87">
        <v>0.3528</v>
      </c>
      <c r="Q423" s="87">
        <v>0.3528</v>
      </c>
      <c r="R423" s="87">
        <v>0.3528</v>
      </c>
      <c r="S423" s="87">
        <v>0.3528</v>
      </c>
      <c r="T423" s="87">
        <v>0.3528</v>
      </c>
      <c r="V423" s="63" t="s">
        <v>4594</v>
      </c>
    </row>
    <row r="424" spans="2:22" x14ac:dyDescent="0.25">
      <c r="B424" s="23" t="s">
        <v>1225</v>
      </c>
      <c r="C424" s="28" t="s">
        <v>799</v>
      </c>
      <c r="D424" s="44" t="s">
        <v>4442</v>
      </c>
      <c r="F424" s="44" t="s">
        <v>1226</v>
      </c>
      <c r="H424" s="87">
        <v>0</v>
      </c>
      <c r="I424" s="87">
        <v>0.87190366972477096</v>
      </c>
      <c r="J424" s="87">
        <v>0.3528</v>
      </c>
      <c r="K424" s="87">
        <v>0.3528</v>
      </c>
      <c r="L424" s="87">
        <v>0.3528</v>
      </c>
      <c r="M424" s="87">
        <v>0.3528</v>
      </c>
      <c r="N424" s="87">
        <v>0.3528</v>
      </c>
      <c r="O424" s="87">
        <v>0.3528</v>
      </c>
      <c r="P424" s="87">
        <v>0.3528</v>
      </c>
      <c r="Q424" s="87">
        <v>0.3528</v>
      </c>
      <c r="R424" s="87">
        <v>0.3528</v>
      </c>
      <c r="S424" s="87">
        <v>0.3528</v>
      </c>
      <c r="T424" s="87">
        <v>0.3528</v>
      </c>
      <c r="V424" s="63" t="s">
        <v>4595</v>
      </c>
    </row>
    <row r="425" spans="2:22" x14ac:dyDescent="0.25">
      <c r="B425" s="23" t="s">
        <v>1227</v>
      </c>
      <c r="C425" s="28" t="s">
        <v>799</v>
      </c>
      <c r="D425" s="44" t="s">
        <v>4442</v>
      </c>
      <c r="F425" s="44" t="s">
        <v>1228</v>
      </c>
      <c r="H425" s="87">
        <v>0</v>
      </c>
      <c r="I425" s="87">
        <v>0.34689845910707201</v>
      </c>
      <c r="J425" s="87">
        <v>0.34689845910707201</v>
      </c>
      <c r="K425" s="87">
        <v>0.34689845910707201</v>
      </c>
      <c r="L425" s="87">
        <v>0.34689845910707201</v>
      </c>
      <c r="M425" s="87">
        <v>0.34689845910707201</v>
      </c>
      <c r="N425" s="87">
        <v>0.34689845910707201</v>
      </c>
      <c r="O425" s="87">
        <v>0.34689845910707201</v>
      </c>
      <c r="P425" s="87">
        <v>0.34689845910707201</v>
      </c>
      <c r="Q425" s="87">
        <v>0.34689845910707201</v>
      </c>
      <c r="R425" s="87">
        <v>0.34689845910707201</v>
      </c>
      <c r="S425" s="87">
        <v>0.34689845910707201</v>
      </c>
      <c r="T425" s="87">
        <v>0.34689845910707201</v>
      </c>
      <c r="V425" s="63" t="s">
        <v>4596</v>
      </c>
    </row>
    <row r="427" spans="2:22" x14ac:dyDescent="0.25">
      <c r="B427" s="58" t="s">
        <v>1229</v>
      </c>
      <c r="C427" s="19"/>
      <c r="D427" s="19"/>
      <c r="E427" s="19"/>
      <c r="F427" s="19"/>
      <c r="G427" s="19"/>
      <c r="H427" s="19"/>
      <c r="I427" s="19"/>
      <c r="J427" s="19"/>
      <c r="K427" s="19"/>
      <c r="L427" s="19"/>
      <c r="M427" s="19"/>
      <c r="N427" s="19"/>
      <c r="O427" s="19"/>
      <c r="P427" s="19"/>
      <c r="Q427" s="19"/>
      <c r="R427" s="19"/>
      <c r="S427" s="19"/>
      <c r="T427" s="19"/>
      <c r="U427" s="19"/>
      <c r="V427" s="19"/>
    </row>
    <row r="428" spans="2:22" x14ac:dyDescent="0.25">
      <c r="B428" s="63" t="s">
        <v>1230</v>
      </c>
    </row>
    <row r="429" spans="2:22" x14ac:dyDescent="0.25">
      <c r="B429" s="59" t="s">
        <v>1231</v>
      </c>
      <c r="C429" s="59" t="s">
        <v>466</v>
      </c>
      <c r="D429" s="59" t="s">
        <v>4429</v>
      </c>
      <c r="E429" s="59" t="s">
        <v>468</v>
      </c>
      <c r="F429" s="59" t="s">
        <v>469</v>
      </c>
      <c r="G429" s="80" t="s">
        <v>628</v>
      </c>
      <c r="H429" s="81">
        <v>2024</v>
      </c>
      <c r="I429" s="81">
        <v>2025</v>
      </c>
      <c r="J429" s="81">
        <v>2026</v>
      </c>
      <c r="K429" s="81">
        <v>2027</v>
      </c>
      <c r="L429" s="81">
        <v>2028</v>
      </c>
      <c r="M429" s="81">
        <v>2029</v>
      </c>
      <c r="N429" s="81">
        <v>2030</v>
      </c>
      <c r="O429" s="81">
        <v>2031</v>
      </c>
      <c r="P429" s="81">
        <v>2032</v>
      </c>
      <c r="Q429" s="81">
        <v>2033</v>
      </c>
      <c r="R429" s="81">
        <v>2034</v>
      </c>
      <c r="S429" s="81">
        <v>2035</v>
      </c>
      <c r="T429" s="81">
        <v>2036</v>
      </c>
      <c r="U429" s="59"/>
      <c r="V429" s="59" t="s">
        <v>4430</v>
      </c>
    </row>
    <row r="430" spans="2:22" ht="24.75" customHeight="1" x14ac:dyDescent="0.25">
      <c r="B430" s="23" t="s">
        <v>1232</v>
      </c>
      <c r="C430" s="90" t="s">
        <v>1233</v>
      </c>
      <c r="D430" s="44" t="s">
        <v>4442</v>
      </c>
      <c r="F430" s="44" t="s">
        <v>1234</v>
      </c>
      <c r="H430" s="87">
        <v>0.27</v>
      </c>
      <c r="I430" s="87">
        <v>0.27</v>
      </c>
      <c r="J430" s="87">
        <v>0.27</v>
      </c>
      <c r="K430" s="87">
        <v>0.27</v>
      </c>
      <c r="L430" s="87">
        <v>0.27</v>
      </c>
      <c r="M430" s="87">
        <v>0.27</v>
      </c>
      <c r="N430" s="87">
        <v>0.27</v>
      </c>
      <c r="O430" s="87">
        <v>0.27</v>
      </c>
      <c r="P430" s="87">
        <v>0.27</v>
      </c>
      <c r="Q430" s="87">
        <v>0.27</v>
      </c>
      <c r="R430" s="87">
        <v>0.27</v>
      </c>
      <c r="S430" s="87">
        <v>0.27</v>
      </c>
      <c r="T430" s="87">
        <v>0.27</v>
      </c>
      <c r="V430" s="63" t="s">
        <v>4597</v>
      </c>
    </row>
    <row r="431" spans="2:22" x14ac:dyDescent="0.25">
      <c r="B431" s="23" t="s">
        <v>1235</v>
      </c>
      <c r="C431" s="28" t="s">
        <v>647</v>
      </c>
      <c r="D431" s="44" t="s">
        <v>4442</v>
      </c>
      <c r="F431" s="44" t="s">
        <v>1236</v>
      </c>
      <c r="H431" s="86">
        <v>2526</v>
      </c>
      <c r="I431" s="86">
        <v>2526</v>
      </c>
      <c r="J431" s="86">
        <v>2526</v>
      </c>
      <c r="K431" s="86">
        <v>2526</v>
      </c>
      <c r="L431" s="86">
        <v>2526</v>
      </c>
      <c r="M431" s="86">
        <v>2526</v>
      </c>
      <c r="N431" s="86">
        <v>2526</v>
      </c>
      <c r="O431" s="86">
        <v>2526</v>
      </c>
      <c r="P431" s="86">
        <v>2526</v>
      </c>
      <c r="Q431" s="86">
        <v>2526</v>
      </c>
      <c r="R431" s="86">
        <v>2526</v>
      </c>
      <c r="S431" s="86">
        <v>2526</v>
      </c>
      <c r="T431" s="86">
        <v>2526</v>
      </c>
      <c r="V431" s="63" t="s">
        <v>4598</v>
      </c>
    </row>
    <row r="432" spans="2:22" x14ac:dyDescent="0.25">
      <c r="B432" s="23" t="s">
        <v>1237</v>
      </c>
      <c r="C432" s="28" t="s">
        <v>647</v>
      </c>
      <c r="D432" s="44" t="s">
        <v>4442</v>
      </c>
      <c r="F432" s="44" t="s">
        <v>1238</v>
      </c>
      <c r="H432" s="86">
        <v>36303</v>
      </c>
      <c r="I432" s="86">
        <v>36303</v>
      </c>
      <c r="J432" s="86">
        <v>36303</v>
      </c>
      <c r="K432" s="86">
        <v>36303</v>
      </c>
      <c r="L432" s="86">
        <v>36303</v>
      </c>
      <c r="M432" s="86">
        <v>36303</v>
      </c>
      <c r="N432" s="86">
        <v>36303</v>
      </c>
      <c r="O432" s="86">
        <v>36303</v>
      </c>
      <c r="P432" s="86">
        <v>36303</v>
      </c>
      <c r="Q432" s="86">
        <v>36303</v>
      </c>
      <c r="R432" s="86">
        <v>36303</v>
      </c>
      <c r="S432" s="86">
        <v>36303</v>
      </c>
      <c r="T432" s="86">
        <v>36303</v>
      </c>
      <c r="V432" s="63" t="s">
        <v>4599</v>
      </c>
    </row>
    <row r="433" spans="2:22" x14ac:dyDescent="0.25">
      <c r="B433" s="23" t="s">
        <v>1239</v>
      </c>
      <c r="C433" s="28" t="s">
        <v>647</v>
      </c>
      <c r="D433" s="44" t="s">
        <v>4442</v>
      </c>
      <c r="F433" s="44" t="s">
        <v>1240</v>
      </c>
      <c r="H433" s="86">
        <v>23777</v>
      </c>
      <c r="I433" s="86">
        <v>23777</v>
      </c>
      <c r="J433" s="86">
        <v>23777</v>
      </c>
      <c r="K433" s="86">
        <v>23777</v>
      </c>
      <c r="L433" s="86">
        <v>23777</v>
      </c>
      <c r="M433" s="86">
        <v>23777</v>
      </c>
      <c r="N433" s="86">
        <v>23777</v>
      </c>
      <c r="O433" s="86">
        <v>23777</v>
      </c>
      <c r="P433" s="86">
        <v>23777</v>
      </c>
      <c r="Q433" s="86">
        <v>23777</v>
      </c>
      <c r="R433" s="86">
        <v>23777</v>
      </c>
      <c r="S433" s="86">
        <v>23777</v>
      </c>
      <c r="T433" s="86">
        <v>23777</v>
      </c>
      <c r="V433" s="63" t="s">
        <v>4600</v>
      </c>
    </row>
    <row r="434" spans="2:22" x14ac:dyDescent="0.25">
      <c r="B434" s="23" t="s">
        <v>1241</v>
      </c>
      <c r="C434" s="28" t="s">
        <v>647</v>
      </c>
      <c r="D434" s="44" t="s">
        <v>4442</v>
      </c>
      <c r="F434" s="44" t="s">
        <v>1242</v>
      </c>
      <c r="H434" s="86">
        <v>8421</v>
      </c>
      <c r="I434" s="86">
        <v>8421</v>
      </c>
      <c r="J434" s="86">
        <v>8421</v>
      </c>
      <c r="K434" s="86">
        <v>8421</v>
      </c>
      <c r="L434" s="86">
        <v>8421</v>
      </c>
      <c r="M434" s="86">
        <v>8421</v>
      </c>
      <c r="N434" s="86">
        <v>8421</v>
      </c>
      <c r="O434" s="86">
        <v>8421</v>
      </c>
      <c r="P434" s="86">
        <v>8421</v>
      </c>
      <c r="Q434" s="86">
        <v>8421</v>
      </c>
      <c r="R434" s="86">
        <v>8421</v>
      </c>
      <c r="S434" s="86">
        <v>8421</v>
      </c>
      <c r="T434" s="86">
        <v>8421</v>
      </c>
      <c r="V434" s="63" t="s">
        <v>4601</v>
      </c>
    </row>
    <row r="435" spans="2:22" x14ac:dyDescent="0.25">
      <c r="B435" s="23" t="s">
        <v>1243</v>
      </c>
      <c r="C435" s="28" t="s">
        <v>647</v>
      </c>
      <c r="D435" s="44" t="s">
        <v>4442</v>
      </c>
      <c r="F435" s="44" t="s">
        <v>1244</v>
      </c>
      <c r="H435" s="86">
        <v>6935</v>
      </c>
      <c r="I435" s="86">
        <v>6935</v>
      </c>
      <c r="J435" s="86">
        <v>6935</v>
      </c>
      <c r="K435" s="86">
        <v>6935</v>
      </c>
      <c r="L435" s="86">
        <v>6935</v>
      </c>
      <c r="M435" s="86">
        <v>6935</v>
      </c>
      <c r="N435" s="86">
        <v>6935</v>
      </c>
      <c r="O435" s="86">
        <v>6935</v>
      </c>
      <c r="P435" s="86">
        <v>6935</v>
      </c>
      <c r="Q435" s="86">
        <v>6935</v>
      </c>
      <c r="R435" s="86">
        <v>6935</v>
      </c>
      <c r="S435" s="86">
        <v>6935</v>
      </c>
      <c r="T435" s="86">
        <v>6935</v>
      </c>
      <c r="V435" s="63" t="s">
        <v>4602</v>
      </c>
    </row>
    <row r="436" spans="2:22" x14ac:dyDescent="0.25">
      <c r="B436" s="23" t="s">
        <v>1245</v>
      </c>
      <c r="C436" s="28" t="s">
        <v>647</v>
      </c>
      <c r="D436" s="44" t="s">
        <v>4442</v>
      </c>
      <c r="F436" s="44" t="s">
        <v>1246</v>
      </c>
      <c r="H436" s="86">
        <v>297</v>
      </c>
      <c r="I436" s="86">
        <v>297</v>
      </c>
      <c r="J436" s="86">
        <v>297</v>
      </c>
      <c r="K436" s="86">
        <v>297</v>
      </c>
      <c r="L436" s="86">
        <v>297</v>
      </c>
      <c r="M436" s="86">
        <v>297</v>
      </c>
      <c r="N436" s="86">
        <v>297</v>
      </c>
      <c r="O436" s="86">
        <v>297</v>
      </c>
      <c r="P436" s="86">
        <v>297</v>
      </c>
      <c r="Q436" s="86">
        <v>297</v>
      </c>
      <c r="R436" s="86">
        <v>297</v>
      </c>
      <c r="S436" s="86">
        <v>297</v>
      </c>
      <c r="T436" s="86">
        <v>297</v>
      </c>
      <c r="V436" s="63" t="s">
        <v>4603</v>
      </c>
    </row>
    <row r="437" spans="2:22" x14ac:dyDescent="0.25">
      <c r="B437" s="23" t="s">
        <v>1247</v>
      </c>
      <c r="C437" s="28" t="s">
        <v>647</v>
      </c>
      <c r="D437" s="44" t="s">
        <v>4442</v>
      </c>
      <c r="F437" s="44" t="s">
        <v>1248</v>
      </c>
      <c r="H437" s="86">
        <v>3705</v>
      </c>
      <c r="I437" s="86">
        <v>3705</v>
      </c>
      <c r="J437" s="86">
        <v>3705</v>
      </c>
      <c r="K437" s="86">
        <v>3705</v>
      </c>
      <c r="L437" s="86">
        <v>3705</v>
      </c>
      <c r="M437" s="86">
        <v>3705</v>
      </c>
      <c r="N437" s="86">
        <v>3705</v>
      </c>
      <c r="O437" s="86">
        <v>3705</v>
      </c>
      <c r="P437" s="86">
        <v>3705</v>
      </c>
      <c r="Q437" s="86">
        <v>3705</v>
      </c>
      <c r="R437" s="86">
        <v>3705</v>
      </c>
      <c r="S437" s="86">
        <v>3705</v>
      </c>
      <c r="T437" s="86">
        <v>3705</v>
      </c>
      <c r="V437" s="63" t="s">
        <v>4604</v>
      </c>
    </row>
    <row r="438" spans="2:22" x14ac:dyDescent="0.25">
      <c r="B438" s="23" t="s">
        <v>1249</v>
      </c>
      <c r="C438" s="28" t="s">
        <v>647</v>
      </c>
      <c r="D438" s="44" t="s">
        <v>4442</v>
      </c>
      <c r="F438" s="44" t="s">
        <v>1250</v>
      </c>
      <c r="H438" s="86">
        <v>42588</v>
      </c>
      <c r="I438" s="86">
        <v>42588</v>
      </c>
      <c r="J438" s="86">
        <v>42588</v>
      </c>
      <c r="K438" s="86">
        <v>42588</v>
      </c>
      <c r="L438" s="86">
        <v>42588</v>
      </c>
      <c r="M438" s="86">
        <v>42588</v>
      </c>
      <c r="N438" s="86">
        <v>42588</v>
      </c>
      <c r="O438" s="86">
        <v>42588</v>
      </c>
      <c r="P438" s="86">
        <v>42588</v>
      </c>
      <c r="Q438" s="86">
        <v>42588</v>
      </c>
      <c r="R438" s="86">
        <v>42588</v>
      </c>
      <c r="S438" s="86">
        <v>42588</v>
      </c>
      <c r="T438" s="86">
        <v>42588</v>
      </c>
      <c r="V438" s="63" t="s">
        <v>4605</v>
      </c>
    </row>
    <row r="439" spans="2:22" x14ac:dyDescent="0.25">
      <c r="B439" s="23" t="s">
        <v>1251</v>
      </c>
      <c r="C439" s="28" t="s">
        <v>647</v>
      </c>
      <c r="D439" s="44" t="s">
        <v>4442</v>
      </c>
      <c r="F439" s="44" t="s">
        <v>1252</v>
      </c>
      <c r="H439" s="86">
        <v>23245</v>
      </c>
      <c r="I439" s="86">
        <v>23245</v>
      </c>
      <c r="J439" s="86">
        <v>23245</v>
      </c>
      <c r="K439" s="86">
        <v>23245</v>
      </c>
      <c r="L439" s="86">
        <v>23245</v>
      </c>
      <c r="M439" s="86">
        <v>23245</v>
      </c>
      <c r="N439" s="86">
        <v>23245</v>
      </c>
      <c r="O439" s="86">
        <v>23245</v>
      </c>
      <c r="P439" s="86">
        <v>23245</v>
      </c>
      <c r="Q439" s="86">
        <v>23245</v>
      </c>
      <c r="R439" s="86">
        <v>23245</v>
      </c>
      <c r="S439" s="86">
        <v>23245</v>
      </c>
      <c r="T439" s="86">
        <v>23245</v>
      </c>
      <c r="V439" s="63" t="s">
        <v>4606</v>
      </c>
    </row>
    <row r="440" spans="2:22" x14ac:dyDescent="0.25">
      <c r="B440" s="23" t="s">
        <v>1253</v>
      </c>
      <c r="C440" s="28" t="s">
        <v>647</v>
      </c>
      <c r="D440" s="44" t="s">
        <v>4442</v>
      </c>
      <c r="F440" s="44" t="s">
        <v>1254</v>
      </c>
      <c r="H440" s="86">
        <v>8232</v>
      </c>
      <c r="I440" s="86">
        <v>8232</v>
      </c>
      <c r="J440" s="86">
        <v>8232</v>
      </c>
      <c r="K440" s="86">
        <v>8232</v>
      </c>
      <c r="L440" s="86">
        <v>8232</v>
      </c>
      <c r="M440" s="86">
        <v>8232</v>
      </c>
      <c r="N440" s="86">
        <v>8232</v>
      </c>
      <c r="O440" s="86">
        <v>8232</v>
      </c>
      <c r="P440" s="86">
        <v>8232</v>
      </c>
      <c r="Q440" s="86">
        <v>8232</v>
      </c>
      <c r="R440" s="86">
        <v>8232</v>
      </c>
      <c r="S440" s="86">
        <v>8232</v>
      </c>
      <c r="T440" s="86">
        <v>8232</v>
      </c>
      <c r="V440" s="63" t="s">
        <v>4607</v>
      </c>
    </row>
    <row r="441" spans="2:22" x14ac:dyDescent="0.25">
      <c r="B441" s="23" t="s">
        <v>1255</v>
      </c>
      <c r="C441" s="28" t="s">
        <v>647</v>
      </c>
      <c r="D441" s="44" t="s">
        <v>4442</v>
      </c>
      <c r="F441" s="44" t="s">
        <v>1256</v>
      </c>
      <c r="H441" s="86">
        <v>6780</v>
      </c>
      <c r="I441" s="86">
        <v>6780</v>
      </c>
      <c r="J441" s="86">
        <v>6780</v>
      </c>
      <c r="K441" s="86">
        <v>6780</v>
      </c>
      <c r="L441" s="86">
        <v>6780</v>
      </c>
      <c r="M441" s="86">
        <v>6780</v>
      </c>
      <c r="N441" s="86">
        <v>6780</v>
      </c>
      <c r="O441" s="86">
        <v>6780</v>
      </c>
      <c r="P441" s="86">
        <v>6780</v>
      </c>
      <c r="Q441" s="86">
        <v>6780</v>
      </c>
      <c r="R441" s="86">
        <v>6780</v>
      </c>
      <c r="S441" s="86">
        <v>6780</v>
      </c>
      <c r="T441" s="86">
        <v>6780</v>
      </c>
      <c r="V441" s="63" t="s">
        <v>4608</v>
      </c>
    </row>
    <row r="442" spans="2:22" x14ac:dyDescent="0.25">
      <c r="B442" s="23" t="s">
        <v>1257</v>
      </c>
      <c r="C442" s="28" t="s">
        <v>647</v>
      </c>
      <c r="D442" s="44" t="s">
        <v>4442</v>
      </c>
      <c r="F442" s="44" t="s">
        <v>1258</v>
      </c>
      <c r="H442" s="86">
        <v>291</v>
      </c>
      <c r="I442" s="86">
        <v>291</v>
      </c>
      <c r="J442" s="86">
        <v>291</v>
      </c>
      <c r="K442" s="86">
        <v>291</v>
      </c>
      <c r="L442" s="86">
        <v>291</v>
      </c>
      <c r="M442" s="86">
        <v>291</v>
      </c>
      <c r="N442" s="86">
        <v>291</v>
      </c>
      <c r="O442" s="86">
        <v>291</v>
      </c>
      <c r="P442" s="86">
        <v>291</v>
      </c>
      <c r="Q442" s="86">
        <v>291</v>
      </c>
      <c r="R442" s="86">
        <v>291</v>
      </c>
      <c r="S442" s="86">
        <v>291</v>
      </c>
      <c r="T442" s="86">
        <v>291</v>
      </c>
      <c r="V442" s="63" t="s">
        <v>4609</v>
      </c>
    </row>
    <row r="443" spans="2:22" x14ac:dyDescent="0.25">
      <c r="B443" s="23" t="s">
        <v>1259</v>
      </c>
      <c r="C443" s="28" t="s">
        <v>647</v>
      </c>
      <c r="D443" s="44" t="s">
        <v>4442</v>
      </c>
      <c r="F443" s="44" t="s">
        <v>1260</v>
      </c>
      <c r="H443" s="86">
        <v>6748.59024058253</v>
      </c>
      <c r="I443" s="86">
        <v>6748.59024058253</v>
      </c>
      <c r="J443" s="86">
        <v>6748.59024058253</v>
      </c>
      <c r="K443" s="86">
        <v>6748.59024058253</v>
      </c>
      <c r="L443" s="86">
        <v>6748.59024058253</v>
      </c>
      <c r="M443" s="86">
        <v>6748.59024058253</v>
      </c>
      <c r="N443" s="86">
        <v>6748.59024058253</v>
      </c>
      <c r="O443" s="86">
        <v>6748.59024058253</v>
      </c>
      <c r="P443" s="86">
        <v>6748.59024058253</v>
      </c>
      <c r="Q443" s="86">
        <v>6748.59024058253</v>
      </c>
      <c r="R443" s="86">
        <v>6748.59024058253</v>
      </c>
      <c r="S443" s="86">
        <v>6748.59024058253</v>
      </c>
      <c r="T443" s="86">
        <v>6748.59024058253</v>
      </c>
      <c r="V443" s="63" t="s">
        <v>4610</v>
      </c>
    </row>
    <row r="444" spans="2:22" x14ac:dyDescent="0.25">
      <c r="B444" s="23" t="s">
        <v>1261</v>
      </c>
      <c r="C444" s="28" t="s">
        <v>647</v>
      </c>
      <c r="D444" s="44" t="s">
        <v>4442</v>
      </c>
      <c r="F444" s="44" t="s">
        <v>1262</v>
      </c>
      <c r="H444" s="86">
        <v>4185.74</v>
      </c>
      <c r="I444" s="86">
        <v>4185.74</v>
      </c>
      <c r="J444" s="86">
        <v>4185.74</v>
      </c>
      <c r="K444" s="86">
        <v>4185.74</v>
      </c>
      <c r="L444" s="86">
        <v>4185.74</v>
      </c>
      <c r="M444" s="86">
        <v>4185.74</v>
      </c>
      <c r="N444" s="86">
        <v>4185.74</v>
      </c>
      <c r="O444" s="86">
        <v>4185.74</v>
      </c>
      <c r="P444" s="86">
        <v>4185.74</v>
      </c>
      <c r="Q444" s="86">
        <v>4185.74</v>
      </c>
      <c r="R444" s="86">
        <v>4185.74</v>
      </c>
      <c r="S444" s="86">
        <v>4185.74</v>
      </c>
      <c r="T444" s="86">
        <v>4185.74</v>
      </c>
      <c r="V444" s="63" t="s">
        <v>4611</v>
      </c>
    </row>
    <row r="445" spans="2:22" x14ac:dyDescent="0.25">
      <c r="B445" s="23" t="s">
        <v>1263</v>
      </c>
      <c r="C445" s="28" t="s">
        <v>647</v>
      </c>
      <c r="D445" s="44" t="s">
        <v>4442</v>
      </c>
      <c r="F445" s="44" t="s">
        <v>1264</v>
      </c>
      <c r="H445" s="86">
        <v>12570.209759417499</v>
      </c>
      <c r="I445" s="86">
        <v>12570.209759417499</v>
      </c>
      <c r="J445" s="86">
        <v>12570.209759417499</v>
      </c>
      <c r="K445" s="86">
        <v>12570.209759417499</v>
      </c>
      <c r="L445" s="86">
        <v>12570.209759417499</v>
      </c>
      <c r="M445" s="86">
        <v>12570.209759417499</v>
      </c>
      <c r="N445" s="86">
        <v>12570.209759417499</v>
      </c>
      <c r="O445" s="86">
        <v>12570.209759417499</v>
      </c>
      <c r="P445" s="86">
        <v>12570.209759417499</v>
      </c>
      <c r="Q445" s="86">
        <v>12570.209759417499</v>
      </c>
      <c r="R445" s="86">
        <v>12570.209759417499</v>
      </c>
      <c r="S445" s="86">
        <v>12570.209759417499</v>
      </c>
      <c r="T445" s="86">
        <v>12570.209759417499</v>
      </c>
      <c r="V445" s="63" t="s">
        <v>4612</v>
      </c>
    </row>
    <row r="446" spans="2:22" x14ac:dyDescent="0.25">
      <c r="B446" s="23" t="s">
        <v>1265</v>
      </c>
      <c r="C446" s="28" t="s">
        <v>647</v>
      </c>
      <c r="D446" s="44" t="s">
        <v>4442</v>
      </c>
      <c r="F446" s="44" t="s">
        <v>1266</v>
      </c>
      <c r="H446" s="86">
        <v>9220.5995016695306</v>
      </c>
      <c r="I446" s="86">
        <v>9220.5995016695306</v>
      </c>
      <c r="J446" s="86">
        <v>9220.5995016695306</v>
      </c>
      <c r="K446" s="86">
        <v>9220.5995016695306</v>
      </c>
      <c r="L446" s="86">
        <v>9220.5995016695306</v>
      </c>
      <c r="M446" s="86">
        <v>9220.5995016695306</v>
      </c>
      <c r="N446" s="86">
        <v>9220.5995016695306</v>
      </c>
      <c r="O446" s="86">
        <v>9220.5995016695306</v>
      </c>
      <c r="P446" s="86">
        <v>9220.5995016695306</v>
      </c>
      <c r="Q446" s="86">
        <v>9220.5995016695306</v>
      </c>
      <c r="R446" s="86">
        <v>9220.5995016695306</v>
      </c>
      <c r="S446" s="86">
        <v>9220.5995016695306</v>
      </c>
      <c r="T446" s="86">
        <v>9220.5995016695306</v>
      </c>
      <c r="V446" s="63" t="s">
        <v>4613</v>
      </c>
    </row>
    <row r="447" spans="2:22" x14ac:dyDescent="0.25">
      <c r="B447" s="23" t="s">
        <v>1267</v>
      </c>
      <c r="C447" s="28" t="s">
        <v>647</v>
      </c>
      <c r="D447" s="44" t="s">
        <v>4442</v>
      </c>
      <c r="F447" s="44" t="s">
        <v>1268</v>
      </c>
      <c r="H447" s="86">
        <v>4092.01</v>
      </c>
      <c r="I447" s="86">
        <v>4092.01</v>
      </c>
      <c r="J447" s="86">
        <v>4092.01</v>
      </c>
      <c r="K447" s="86">
        <v>4092.01</v>
      </c>
      <c r="L447" s="86">
        <v>4092.01</v>
      </c>
      <c r="M447" s="86">
        <v>4092.01</v>
      </c>
      <c r="N447" s="86">
        <v>4092.01</v>
      </c>
      <c r="O447" s="86">
        <v>4092.01</v>
      </c>
      <c r="P447" s="86">
        <v>4092.01</v>
      </c>
      <c r="Q447" s="86">
        <v>4092.01</v>
      </c>
      <c r="R447" s="86">
        <v>4092.01</v>
      </c>
      <c r="S447" s="86">
        <v>4092.01</v>
      </c>
      <c r="T447" s="86">
        <v>4092.01</v>
      </c>
      <c r="V447" s="63" t="s">
        <v>4614</v>
      </c>
    </row>
    <row r="448" spans="2:22" x14ac:dyDescent="0.25">
      <c r="B448" s="23" t="s">
        <v>1269</v>
      </c>
      <c r="C448" s="28" t="s">
        <v>647</v>
      </c>
      <c r="D448" s="44" t="s">
        <v>4442</v>
      </c>
      <c r="F448" s="44" t="s">
        <v>1270</v>
      </c>
      <c r="H448" s="86">
        <v>9665.6004983304592</v>
      </c>
      <c r="I448" s="86">
        <v>9665.6004983304592</v>
      </c>
      <c r="J448" s="86">
        <v>9665.6004983304592</v>
      </c>
      <c r="K448" s="86">
        <v>9665.6004983304592</v>
      </c>
      <c r="L448" s="86">
        <v>9665.6004983304592</v>
      </c>
      <c r="M448" s="86">
        <v>9665.6004983304592</v>
      </c>
      <c r="N448" s="86">
        <v>9665.6004983304592</v>
      </c>
      <c r="O448" s="86">
        <v>9665.6004983304592</v>
      </c>
      <c r="P448" s="86">
        <v>9665.6004983304592</v>
      </c>
      <c r="Q448" s="86">
        <v>9665.6004983304592</v>
      </c>
      <c r="R448" s="86">
        <v>9665.6004983304592</v>
      </c>
      <c r="S448" s="86">
        <v>9665.6004983304592</v>
      </c>
      <c r="T448" s="86">
        <v>9665.6004983304592</v>
      </c>
      <c r="V448" s="63" t="s">
        <v>4615</v>
      </c>
    </row>
    <row r="449" spans="2:22" x14ac:dyDescent="0.25">
      <c r="B449" s="23" t="s">
        <v>1271</v>
      </c>
      <c r="C449" s="28" t="s">
        <v>647</v>
      </c>
      <c r="D449" s="44" t="s">
        <v>4442</v>
      </c>
      <c r="F449" s="44" t="s">
        <v>1272</v>
      </c>
      <c r="H449" s="86">
        <v>3175.8071720388398</v>
      </c>
      <c r="I449" s="86">
        <v>3175.8071720388398</v>
      </c>
      <c r="J449" s="86">
        <v>3175.8071720388398</v>
      </c>
      <c r="K449" s="86">
        <v>3175.8071720388398</v>
      </c>
      <c r="L449" s="86">
        <v>3175.8071720388398</v>
      </c>
      <c r="M449" s="86">
        <v>3175.8071720388398</v>
      </c>
      <c r="N449" s="86">
        <v>3175.8071720388398</v>
      </c>
      <c r="O449" s="86">
        <v>3175.8071720388398</v>
      </c>
      <c r="P449" s="86">
        <v>3175.8071720388398</v>
      </c>
      <c r="Q449" s="86">
        <v>3175.8071720388398</v>
      </c>
      <c r="R449" s="86">
        <v>3175.8071720388398</v>
      </c>
      <c r="S449" s="86">
        <v>3175.8071720388398</v>
      </c>
      <c r="T449" s="86">
        <v>3175.8071720388398</v>
      </c>
      <c r="V449" s="63" t="s">
        <v>4616</v>
      </c>
    </row>
    <row r="450" spans="2:22" x14ac:dyDescent="0.25">
      <c r="B450" s="23" t="s">
        <v>1273</v>
      </c>
      <c r="C450" s="28" t="s">
        <v>647</v>
      </c>
      <c r="D450" s="44" t="s">
        <v>4442</v>
      </c>
      <c r="F450" s="44" t="s">
        <v>1274</v>
      </c>
      <c r="H450" s="86">
        <v>3091.01</v>
      </c>
      <c r="I450" s="86">
        <v>3091.01</v>
      </c>
      <c r="J450" s="86">
        <v>3091.01</v>
      </c>
      <c r="K450" s="86">
        <v>3091.01</v>
      </c>
      <c r="L450" s="86">
        <v>3091.01</v>
      </c>
      <c r="M450" s="86">
        <v>3091.01</v>
      </c>
      <c r="N450" s="86">
        <v>3091.01</v>
      </c>
      <c r="O450" s="86">
        <v>3091.01</v>
      </c>
      <c r="P450" s="86">
        <v>3091.01</v>
      </c>
      <c r="Q450" s="86">
        <v>3091.01</v>
      </c>
      <c r="R450" s="86">
        <v>3091.01</v>
      </c>
      <c r="S450" s="86">
        <v>3091.01</v>
      </c>
      <c r="T450" s="86">
        <v>3091.01</v>
      </c>
      <c r="V450" s="63" t="s">
        <v>4617</v>
      </c>
    </row>
    <row r="451" spans="2:22" x14ac:dyDescent="0.25">
      <c r="B451" s="23" t="s">
        <v>1275</v>
      </c>
      <c r="C451" s="28" t="s">
        <v>647</v>
      </c>
      <c r="D451" s="44" t="s">
        <v>4442</v>
      </c>
      <c r="F451" s="44" t="s">
        <v>1276</v>
      </c>
      <c r="H451" s="86">
        <v>3572.7830685436902</v>
      </c>
      <c r="I451" s="86">
        <v>3572.7830685436902</v>
      </c>
      <c r="J451" s="86">
        <v>3572.7830685436902</v>
      </c>
      <c r="K451" s="86">
        <v>3572.7830685436902</v>
      </c>
      <c r="L451" s="86">
        <v>3572.7830685436902</v>
      </c>
      <c r="M451" s="86">
        <v>3572.7830685436902</v>
      </c>
      <c r="N451" s="86">
        <v>3572.7830685436902</v>
      </c>
      <c r="O451" s="86">
        <v>3572.7830685436902</v>
      </c>
      <c r="P451" s="86">
        <v>3572.7830685436902</v>
      </c>
      <c r="Q451" s="86">
        <v>3572.7830685436902</v>
      </c>
      <c r="R451" s="86">
        <v>3572.7830685436902</v>
      </c>
      <c r="S451" s="86">
        <v>3572.7830685436902</v>
      </c>
      <c r="T451" s="86">
        <v>3572.7830685436902</v>
      </c>
      <c r="V451" s="63" t="s">
        <v>4618</v>
      </c>
    </row>
    <row r="452" spans="2:22" x14ac:dyDescent="0.25">
      <c r="B452" s="23" t="s">
        <v>1277</v>
      </c>
      <c r="C452" s="28" t="s">
        <v>647</v>
      </c>
      <c r="D452" s="44" t="s">
        <v>4442</v>
      </c>
      <c r="F452" s="44" t="s">
        <v>1278</v>
      </c>
      <c r="H452" s="86">
        <v>1094.73</v>
      </c>
      <c r="I452" s="86">
        <v>1094.73</v>
      </c>
      <c r="J452" s="86">
        <v>1094.73</v>
      </c>
      <c r="K452" s="86">
        <v>1094.73</v>
      </c>
      <c r="L452" s="86">
        <v>1094.73</v>
      </c>
      <c r="M452" s="86">
        <v>1094.73</v>
      </c>
      <c r="N452" s="86">
        <v>1094.73</v>
      </c>
      <c r="O452" s="86">
        <v>1094.73</v>
      </c>
      <c r="P452" s="86">
        <v>1094.73</v>
      </c>
      <c r="Q452" s="86">
        <v>1094.73</v>
      </c>
      <c r="R452" s="86">
        <v>1094.73</v>
      </c>
      <c r="S452" s="86">
        <v>1094.73</v>
      </c>
      <c r="T452" s="86">
        <v>1094.73</v>
      </c>
      <c r="V452" s="63" t="s">
        <v>4619</v>
      </c>
    </row>
    <row r="453" spans="2:22" x14ac:dyDescent="0.25">
      <c r="B453" s="23" t="s">
        <v>1279</v>
      </c>
      <c r="C453" s="28" t="s">
        <v>647</v>
      </c>
      <c r="D453" s="44" t="s">
        <v>4442</v>
      </c>
      <c r="F453" s="44" t="s">
        <v>1280</v>
      </c>
      <c r="H453" s="86">
        <v>4339.1056478444898</v>
      </c>
      <c r="I453" s="86">
        <v>4339.1056478444898</v>
      </c>
      <c r="J453" s="86">
        <v>4339.1056478444898</v>
      </c>
      <c r="K453" s="86">
        <v>4339.1056478444898</v>
      </c>
      <c r="L453" s="86">
        <v>4339.1056478444898</v>
      </c>
      <c r="M453" s="86">
        <v>4339.1056478444898</v>
      </c>
      <c r="N453" s="86">
        <v>4339.1056478444898</v>
      </c>
      <c r="O453" s="86">
        <v>4339.1056478444898</v>
      </c>
      <c r="P453" s="86">
        <v>4339.1056478444898</v>
      </c>
      <c r="Q453" s="86">
        <v>4339.1056478444898</v>
      </c>
      <c r="R453" s="86">
        <v>4339.1056478444898</v>
      </c>
      <c r="S453" s="86">
        <v>4339.1056478444898</v>
      </c>
      <c r="T453" s="86">
        <v>4339.1056478444898</v>
      </c>
      <c r="V453" s="63" t="s">
        <v>4620</v>
      </c>
    </row>
    <row r="454" spans="2:22" x14ac:dyDescent="0.25">
      <c r="B454" s="23" t="s">
        <v>1281</v>
      </c>
      <c r="C454" s="28" t="s">
        <v>647</v>
      </c>
      <c r="D454" s="44" t="s">
        <v>4442</v>
      </c>
      <c r="F454" s="44" t="s">
        <v>1282</v>
      </c>
      <c r="H454" s="86">
        <v>3021.85</v>
      </c>
      <c r="I454" s="86">
        <v>3021.85</v>
      </c>
      <c r="J454" s="86">
        <v>3021.85</v>
      </c>
      <c r="K454" s="86">
        <v>3021.85</v>
      </c>
      <c r="L454" s="86">
        <v>3021.85</v>
      </c>
      <c r="M454" s="86">
        <v>3021.85</v>
      </c>
      <c r="N454" s="86">
        <v>3021.85</v>
      </c>
      <c r="O454" s="86">
        <v>3021.85</v>
      </c>
      <c r="P454" s="86">
        <v>3021.85</v>
      </c>
      <c r="Q454" s="86">
        <v>3021.85</v>
      </c>
      <c r="R454" s="86">
        <v>3021.85</v>
      </c>
      <c r="S454" s="86">
        <v>3021.85</v>
      </c>
      <c r="T454" s="86">
        <v>3021.85</v>
      </c>
      <c r="V454" s="63" t="s">
        <v>4621</v>
      </c>
    </row>
    <row r="455" spans="2:22" x14ac:dyDescent="0.25">
      <c r="B455" s="23" t="s">
        <v>1283</v>
      </c>
      <c r="C455" s="28" t="s">
        <v>647</v>
      </c>
      <c r="D455" s="44" t="s">
        <v>4442</v>
      </c>
      <c r="F455" s="44" t="s">
        <v>1284</v>
      </c>
      <c r="H455" s="86">
        <v>4881.4938538250499</v>
      </c>
      <c r="I455" s="86">
        <v>4881.4938538250499</v>
      </c>
      <c r="J455" s="86">
        <v>4881.4938538250499</v>
      </c>
      <c r="K455" s="86">
        <v>4881.4938538250499</v>
      </c>
      <c r="L455" s="86">
        <v>4881.4938538250499</v>
      </c>
      <c r="M455" s="86">
        <v>4881.4938538250499</v>
      </c>
      <c r="N455" s="86">
        <v>4881.4938538250499</v>
      </c>
      <c r="O455" s="86">
        <v>4881.4938538250499</v>
      </c>
      <c r="P455" s="86">
        <v>4881.4938538250499</v>
      </c>
      <c r="Q455" s="86">
        <v>4881.4938538250499</v>
      </c>
      <c r="R455" s="86">
        <v>4881.4938538250499</v>
      </c>
      <c r="S455" s="86">
        <v>4881.4938538250499</v>
      </c>
      <c r="T455" s="86">
        <v>4881.4938538250499</v>
      </c>
      <c r="V455" s="63" t="s">
        <v>4622</v>
      </c>
    </row>
    <row r="456" spans="2:22" x14ac:dyDescent="0.25">
      <c r="B456" s="23" t="s">
        <v>1285</v>
      </c>
      <c r="C456" s="28" t="s">
        <v>647</v>
      </c>
      <c r="D456" s="44" t="s">
        <v>4442</v>
      </c>
      <c r="F456" s="44" t="s">
        <v>1286</v>
      </c>
      <c r="H456" s="86">
        <v>1070.1600000000001</v>
      </c>
      <c r="I456" s="86">
        <v>1070.1600000000001</v>
      </c>
      <c r="J456" s="86">
        <v>1070.1600000000001</v>
      </c>
      <c r="K456" s="86">
        <v>1070.1600000000001</v>
      </c>
      <c r="L456" s="86">
        <v>1070.1600000000001</v>
      </c>
      <c r="M456" s="86">
        <v>1070.1600000000001</v>
      </c>
      <c r="N456" s="86">
        <v>1070.1600000000001</v>
      </c>
      <c r="O456" s="86">
        <v>1070.1600000000001</v>
      </c>
      <c r="P456" s="86">
        <v>1070.1600000000001</v>
      </c>
      <c r="Q456" s="86">
        <v>1070.1600000000001</v>
      </c>
      <c r="R456" s="86">
        <v>1070.1600000000001</v>
      </c>
      <c r="S456" s="86">
        <v>1070.1600000000001</v>
      </c>
      <c r="T456" s="86">
        <v>1070.1600000000001</v>
      </c>
      <c r="V456" s="63" t="s">
        <v>4623</v>
      </c>
    </row>
    <row r="457" spans="2:22" x14ac:dyDescent="0.25">
      <c r="B457" s="23" t="s">
        <v>1287</v>
      </c>
      <c r="C457" s="28" t="s">
        <v>292</v>
      </c>
      <c r="D457" s="44" t="s">
        <v>4442</v>
      </c>
      <c r="F457" s="44" t="s">
        <v>1288</v>
      </c>
      <c r="H457" s="87">
        <v>0.49</v>
      </c>
      <c r="I457" s="87">
        <v>0.49</v>
      </c>
      <c r="J457" s="87">
        <v>0.49</v>
      </c>
      <c r="K457" s="87">
        <v>0.49</v>
      </c>
      <c r="L457" s="87">
        <v>0.49</v>
      </c>
      <c r="M457" s="87">
        <v>0.49</v>
      </c>
      <c r="N457" s="87">
        <v>0.49</v>
      </c>
      <c r="O457" s="87">
        <v>0.49</v>
      </c>
      <c r="P457" s="87">
        <v>0.49</v>
      </c>
      <c r="Q457" s="87">
        <v>0.49</v>
      </c>
      <c r="R457" s="87">
        <v>0.49</v>
      </c>
      <c r="S457" s="87">
        <v>0.49</v>
      </c>
      <c r="T457" s="87">
        <v>0.49</v>
      </c>
      <c r="V457" s="63" t="s">
        <v>4624</v>
      </c>
    </row>
    <row r="458" spans="2:22" x14ac:dyDescent="0.25">
      <c r="B458" s="23" t="s">
        <v>1290</v>
      </c>
      <c r="C458" s="28" t="s">
        <v>647</v>
      </c>
      <c r="D458" s="44" t="s">
        <v>4442</v>
      </c>
      <c r="F458" s="44" t="s">
        <v>1291</v>
      </c>
      <c r="H458" s="86">
        <v>34880</v>
      </c>
      <c r="I458" s="86">
        <v>34880</v>
      </c>
      <c r="J458" s="86">
        <v>34880</v>
      </c>
      <c r="K458" s="86">
        <v>34880</v>
      </c>
      <c r="L458" s="86">
        <v>34880</v>
      </c>
      <c r="M458" s="86">
        <v>34880</v>
      </c>
      <c r="N458" s="86">
        <v>34880</v>
      </c>
      <c r="O458" s="86">
        <v>34880</v>
      </c>
      <c r="P458" s="86">
        <v>34880</v>
      </c>
      <c r="Q458" s="86">
        <v>34880</v>
      </c>
      <c r="R458" s="86">
        <v>34880</v>
      </c>
      <c r="S458" s="86">
        <v>34880</v>
      </c>
      <c r="T458" s="86">
        <v>34880</v>
      </c>
      <c r="V458" s="63" t="s">
        <v>4625</v>
      </c>
    </row>
    <row r="459" spans="2:22" x14ac:dyDescent="0.25">
      <c r="B459" s="23" t="s">
        <v>1292</v>
      </c>
      <c r="C459" s="28" t="s">
        <v>292</v>
      </c>
      <c r="D459" s="44" t="s">
        <v>4442</v>
      </c>
      <c r="F459" s="44" t="s">
        <v>1293</v>
      </c>
      <c r="H459" s="87">
        <v>0.7</v>
      </c>
      <c r="I459" s="87">
        <v>0.7</v>
      </c>
      <c r="J459" s="87">
        <v>0.7</v>
      </c>
      <c r="K459" s="87">
        <v>0.7</v>
      </c>
      <c r="L459" s="87">
        <v>0.7</v>
      </c>
      <c r="M459" s="87">
        <v>0.7</v>
      </c>
      <c r="N459" s="87">
        <v>0.7</v>
      </c>
      <c r="O459" s="87">
        <v>0.7</v>
      </c>
      <c r="P459" s="87">
        <v>0.7</v>
      </c>
      <c r="Q459" s="87">
        <v>0.7</v>
      </c>
      <c r="R459" s="87">
        <v>0.7</v>
      </c>
      <c r="S459" s="87">
        <v>0.7</v>
      </c>
      <c r="T459" s="87">
        <v>0.7</v>
      </c>
      <c r="V459" s="63" t="s">
        <v>4626</v>
      </c>
    </row>
    <row r="460" spans="2:22" x14ac:dyDescent="0.25">
      <c r="B460" s="23" t="s">
        <v>1294</v>
      </c>
      <c r="C460" s="28" t="s">
        <v>647</v>
      </c>
      <c r="D460" s="44" t="s">
        <v>4442</v>
      </c>
      <c r="F460" s="44" t="s">
        <v>1295</v>
      </c>
      <c r="H460" s="86">
        <v>2377</v>
      </c>
      <c r="I460" s="86">
        <v>2377</v>
      </c>
      <c r="J460" s="86">
        <v>2377</v>
      </c>
      <c r="K460" s="86">
        <v>2377</v>
      </c>
      <c r="L460" s="86">
        <v>2377</v>
      </c>
      <c r="M460" s="86">
        <v>2377</v>
      </c>
      <c r="N460" s="86">
        <v>2377</v>
      </c>
      <c r="O460" s="86">
        <v>2377</v>
      </c>
      <c r="P460" s="86">
        <v>2377</v>
      </c>
      <c r="Q460" s="86">
        <v>2377</v>
      </c>
      <c r="R460" s="86">
        <v>2377</v>
      </c>
      <c r="S460" s="86">
        <v>2377</v>
      </c>
      <c r="T460" s="86">
        <v>2377</v>
      </c>
      <c r="V460" s="63" t="s">
        <v>4627</v>
      </c>
    </row>
    <row r="461" spans="2:22" x14ac:dyDescent="0.25">
      <c r="B461" s="23" t="s">
        <v>1296</v>
      </c>
      <c r="C461" s="28" t="s">
        <v>647</v>
      </c>
      <c r="D461" s="44" t="s">
        <v>4442</v>
      </c>
      <c r="F461" s="44" t="s">
        <v>1297</v>
      </c>
      <c r="H461" s="86">
        <v>3174.08</v>
      </c>
      <c r="I461" s="86">
        <v>3174.08</v>
      </c>
      <c r="J461" s="86">
        <v>3174.08</v>
      </c>
      <c r="K461" s="86">
        <v>3174.08</v>
      </c>
      <c r="L461" s="86">
        <v>3174.08</v>
      </c>
      <c r="M461" s="86">
        <v>3174.08</v>
      </c>
      <c r="N461" s="86">
        <v>3174.08</v>
      </c>
      <c r="O461" s="86">
        <v>3174.08</v>
      </c>
      <c r="P461" s="86">
        <v>3174.08</v>
      </c>
      <c r="Q461" s="86">
        <v>3174.08</v>
      </c>
      <c r="R461" s="86">
        <v>3174.08</v>
      </c>
      <c r="S461" s="86">
        <v>3174.08</v>
      </c>
      <c r="T461" s="86">
        <v>3174.08</v>
      </c>
      <c r="V461" s="63" t="s">
        <v>4628</v>
      </c>
    </row>
    <row r="462" spans="2:22" x14ac:dyDescent="0.25">
      <c r="B462" s="23" t="s">
        <v>1298</v>
      </c>
      <c r="C462" s="28" t="s">
        <v>647</v>
      </c>
      <c r="D462" s="44" t="s">
        <v>4442</v>
      </c>
      <c r="F462" s="44" t="s">
        <v>1299</v>
      </c>
      <c r="H462" s="86">
        <v>12272.1430163898</v>
      </c>
      <c r="I462" s="86">
        <v>12272.1430163898</v>
      </c>
      <c r="J462" s="86">
        <v>12272.1430163898</v>
      </c>
      <c r="K462" s="86">
        <v>12272.1430163898</v>
      </c>
      <c r="L462" s="86">
        <v>12272.1430163898</v>
      </c>
      <c r="M462" s="86">
        <v>12272.1430163898</v>
      </c>
      <c r="N462" s="86">
        <v>12272.1430163898</v>
      </c>
      <c r="O462" s="86">
        <v>12272.1430163898</v>
      </c>
      <c r="P462" s="86">
        <v>12272.1430163898</v>
      </c>
      <c r="Q462" s="86">
        <v>12272.1430163898</v>
      </c>
      <c r="R462" s="86">
        <v>12272.1430163898</v>
      </c>
      <c r="S462" s="86">
        <v>12272.1430163898</v>
      </c>
      <c r="T462" s="86">
        <v>12272.1430163898</v>
      </c>
      <c r="V462" s="63" t="s">
        <v>4629</v>
      </c>
    </row>
    <row r="463" spans="2:22" x14ac:dyDescent="0.25">
      <c r="B463" s="23" t="s">
        <v>1300</v>
      </c>
      <c r="C463" s="28" t="s">
        <v>647</v>
      </c>
      <c r="D463" s="44" t="s">
        <v>4442</v>
      </c>
      <c r="F463" s="44" t="s">
        <v>1301</v>
      </c>
      <c r="H463" s="86">
        <v>2377.45698361021</v>
      </c>
      <c r="I463" s="86">
        <v>2377.45698361021</v>
      </c>
      <c r="J463" s="86">
        <v>2377.45698361021</v>
      </c>
      <c r="K463" s="86">
        <v>2377.45698361021</v>
      </c>
      <c r="L463" s="86">
        <v>2377.45698361021</v>
      </c>
      <c r="M463" s="86">
        <v>2377.45698361021</v>
      </c>
      <c r="N463" s="86">
        <v>2377.45698361021</v>
      </c>
      <c r="O463" s="86">
        <v>2377.45698361021</v>
      </c>
      <c r="P463" s="86">
        <v>2377.45698361021</v>
      </c>
      <c r="Q463" s="86">
        <v>2377.45698361021</v>
      </c>
      <c r="R463" s="86">
        <v>2377.45698361021</v>
      </c>
      <c r="S463" s="86">
        <v>2377.45698361021</v>
      </c>
      <c r="T463" s="86">
        <v>2377.45698361021</v>
      </c>
      <c r="V463" s="63" t="s">
        <v>4630</v>
      </c>
    </row>
    <row r="464" spans="2:22" x14ac:dyDescent="0.25">
      <c r="B464" s="23" t="s">
        <v>1302</v>
      </c>
      <c r="C464" s="28" t="s">
        <v>497</v>
      </c>
      <c r="D464" s="44" t="s">
        <v>4442</v>
      </c>
      <c r="F464" s="44" t="s">
        <v>1303</v>
      </c>
      <c r="H464" s="97">
        <v>1.2</v>
      </c>
      <c r="I464" s="97">
        <v>1.2</v>
      </c>
      <c r="J464" s="97">
        <v>1.2</v>
      </c>
      <c r="K464" s="97">
        <v>1.2</v>
      </c>
      <c r="L464" s="97">
        <v>1.2</v>
      </c>
      <c r="M464" s="97">
        <v>1.2</v>
      </c>
      <c r="N464" s="97">
        <v>1.2</v>
      </c>
      <c r="O464" s="97">
        <v>1.2</v>
      </c>
      <c r="P464" s="97">
        <v>1.2</v>
      </c>
      <c r="Q464" s="97">
        <v>1.2</v>
      </c>
      <c r="R464" s="97">
        <v>1.2</v>
      </c>
      <c r="S464" s="97">
        <v>1.2</v>
      </c>
      <c r="T464" s="97">
        <v>1.2</v>
      </c>
      <c r="V464" s="63" t="s">
        <v>4631</v>
      </c>
    </row>
    <row r="465" spans="2:22" x14ac:dyDescent="0.25">
      <c r="B465" s="23" t="s">
        <v>1304</v>
      </c>
      <c r="C465" s="28" t="s">
        <v>292</v>
      </c>
      <c r="D465" s="44" t="s">
        <v>4442</v>
      </c>
      <c r="F465" s="44" t="s">
        <v>1305</v>
      </c>
      <c r="H465" s="87">
        <v>0.43</v>
      </c>
      <c r="I465" s="87">
        <v>0.43</v>
      </c>
      <c r="J465" s="87">
        <v>0.43</v>
      </c>
      <c r="K465" s="87">
        <v>0.43</v>
      </c>
      <c r="L465" s="87">
        <v>0.43</v>
      </c>
      <c r="M465" s="87">
        <v>0.43</v>
      </c>
      <c r="N465" s="87">
        <v>0.43</v>
      </c>
      <c r="O465" s="87">
        <v>0.43</v>
      </c>
      <c r="P465" s="87">
        <v>0.43</v>
      </c>
      <c r="Q465" s="87">
        <v>0.43</v>
      </c>
      <c r="R465" s="87">
        <v>0.43</v>
      </c>
      <c r="S465" s="87">
        <v>0.43</v>
      </c>
      <c r="T465" s="87">
        <v>0.43</v>
      </c>
      <c r="V465" s="63" t="s">
        <v>4632</v>
      </c>
    </row>
    <row r="466" spans="2:22" x14ac:dyDescent="0.25">
      <c r="B466" s="23" t="s">
        <v>1306</v>
      </c>
      <c r="C466" s="28" t="s">
        <v>647</v>
      </c>
      <c r="D466" s="44" t="s">
        <v>4442</v>
      </c>
      <c r="F466" s="44" t="s">
        <v>1307</v>
      </c>
      <c r="H466" s="86">
        <v>26000</v>
      </c>
      <c r="I466" s="86">
        <v>26000</v>
      </c>
      <c r="J466" s="86">
        <v>26000</v>
      </c>
      <c r="K466" s="86">
        <v>26000</v>
      </c>
      <c r="L466" s="86">
        <v>26000</v>
      </c>
      <c r="M466" s="86">
        <v>26000</v>
      </c>
      <c r="N466" s="86">
        <v>26000</v>
      </c>
      <c r="O466" s="86">
        <v>26000</v>
      </c>
      <c r="P466" s="86">
        <v>26000</v>
      </c>
      <c r="Q466" s="86">
        <v>26000</v>
      </c>
      <c r="R466" s="86">
        <v>26000</v>
      </c>
      <c r="S466" s="86">
        <v>26000</v>
      </c>
      <c r="T466" s="86">
        <v>26000</v>
      </c>
      <c r="V466" s="63" t="s">
        <v>4633</v>
      </c>
    </row>
    <row r="467" spans="2:22" x14ac:dyDescent="0.25">
      <c r="B467" s="23" t="s">
        <v>1309</v>
      </c>
      <c r="C467" s="28" t="s">
        <v>647</v>
      </c>
      <c r="D467" s="44" t="s">
        <v>4442</v>
      </c>
      <c r="F467" s="44" t="s">
        <v>1310</v>
      </c>
      <c r="H467" s="86">
        <v>29000</v>
      </c>
      <c r="I467" s="86">
        <v>29000</v>
      </c>
      <c r="J467" s="86">
        <v>29000</v>
      </c>
      <c r="K467" s="86">
        <v>29000</v>
      </c>
      <c r="L467" s="86">
        <v>29000</v>
      </c>
      <c r="M467" s="86">
        <v>29000</v>
      </c>
      <c r="N467" s="86">
        <v>29000</v>
      </c>
      <c r="O467" s="86">
        <v>29000</v>
      </c>
      <c r="P467" s="86">
        <v>29000</v>
      </c>
      <c r="Q467" s="86">
        <v>29000</v>
      </c>
      <c r="R467" s="86">
        <v>29000</v>
      </c>
      <c r="S467" s="86">
        <v>29000</v>
      </c>
      <c r="T467" s="86">
        <v>29000</v>
      </c>
      <c r="V467" s="63" t="s">
        <v>4634</v>
      </c>
    </row>
    <row r="468" spans="2:22" x14ac:dyDescent="0.25">
      <c r="B468" s="23" t="s">
        <v>1311</v>
      </c>
      <c r="C468" s="28" t="s">
        <v>647</v>
      </c>
      <c r="D468" s="44" t="s">
        <v>4442</v>
      </c>
      <c r="F468" s="44" t="s">
        <v>1312</v>
      </c>
      <c r="H468" s="86">
        <v>3770</v>
      </c>
      <c r="I468" s="86">
        <v>3770</v>
      </c>
      <c r="J468" s="86">
        <v>3770</v>
      </c>
      <c r="K468" s="86">
        <v>3770</v>
      </c>
      <c r="L468" s="86">
        <v>3770</v>
      </c>
      <c r="M468" s="86">
        <v>3770</v>
      </c>
      <c r="N468" s="86">
        <v>3770</v>
      </c>
      <c r="O468" s="86">
        <v>3770</v>
      </c>
      <c r="P468" s="86">
        <v>3770</v>
      </c>
      <c r="Q468" s="86">
        <v>3770</v>
      </c>
      <c r="R468" s="86">
        <v>3770</v>
      </c>
      <c r="S468" s="86">
        <v>3770</v>
      </c>
      <c r="T468" s="86">
        <v>3770</v>
      </c>
      <c r="V468" s="63" t="s">
        <v>4635</v>
      </c>
    </row>
    <row r="469" spans="2:22" x14ac:dyDescent="0.25">
      <c r="B469" s="23" t="s">
        <v>1313</v>
      </c>
      <c r="C469" s="28" t="s">
        <v>647</v>
      </c>
      <c r="D469" s="44" t="s">
        <v>4442</v>
      </c>
      <c r="F469" s="44" t="s">
        <v>1314</v>
      </c>
      <c r="H469" s="86">
        <v>11745.1629765407</v>
      </c>
      <c r="I469" s="86">
        <v>11745.1629765407</v>
      </c>
      <c r="J469" s="86">
        <v>11745.1629765407</v>
      </c>
      <c r="K469" s="86">
        <v>11745.1629765407</v>
      </c>
      <c r="L469" s="86">
        <v>11745.1629765407</v>
      </c>
      <c r="M469" s="86">
        <v>11745.1629765407</v>
      </c>
      <c r="N469" s="86">
        <v>11745.1629765407</v>
      </c>
      <c r="O469" s="86">
        <v>11745.1629765407</v>
      </c>
      <c r="P469" s="86">
        <v>11745.1629765407</v>
      </c>
      <c r="Q469" s="86">
        <v>11745.1629765407</v>
      </c>
      <c r="R469" s="86">
        <v>11745.1629765407</v>
      </c>
      <c r="S469" s="86">
        <v>11745.1629765407</v>
      </c>
      <c r="T469" s="86">
        <v>11745.1629765407</v>
      </c>
      <c r="V469" s="63" t="s">
        <v>4636</v>
      </c>
    </row>
    <row r="470" spans="2:22" x14ac:dyDescent="0.25">
      <c r="B470" s="23" t="s">
        <v>1315</v>
      </c>
      <c r="C470" s="28" t="s">
        <v>647</v>
      </c>
      <c r="D470" s="44" t="s">
        <v>4442</v>
      </c>
      <c r="F470" s="44" t="s">
        <v>1316</v>
      </c>
      <c r="H470" s="86">
        <v>5654.8370234593003</v>
      </c>
      <c r="I470" s="86">
        <v>5654.8370234593003</v>
      </c>
      <c r="J470" s="86">
        <v>5654.8370234593003</v>
      </c>
      <c r="K470" s="86">
        <v>5654.8370234593003</v>
      </c>
      <c r="L470" s="86">
        <v>5654.8370234593003</v>
      </c>
      <c r="M470" s="86">
        <v>5654.8370234593003</v>
      </c>
      <c r="N470" s="86">
        <v>5654.8370234593003</v>
      </c>
      <c r="O470" s="86">
        <v>5654.8370234593003</v>
      </c>
      <c r="P470" s="86">
        <v>5654.8370234593003</v>
      </c>
      <c r="Q470" s="86">
        <v>5654.8370234593003</v>
      </c>
      <c r="R470" s="86">
        <v>5654.8370234593003</v>
      </c>
      <c r="S470" s="86">
        <v>5654.8370234593003</v>
      </c>
      <c r="T470" s="86">
        <v>5654.8370234593003</v>
      </c>
      <c r="V470" s="63" t="s">
        <v>4637</v>
      </c>
    </row>
    <row r="471" spans="2:22" x14ac:dyDescent="0.25">
      <c r="B471" s="23" t="s">
        <v>1317</v>
      </c>
      <c r="C471" s="28" t="s">
        <v>647</v>
      </c>
      <c r="D471" s="44" t="s">
        <v>4442</v>
      </c>
      <c r="F471" s="44" t="s">
        <v>1318</v>
      </c>
      <c r="H471" s="86">
        <v>12910.7356485744</v>
      </c>
      <c r="I471" s="86">
        <v>12910.7356485744</v>
      </c>
      <c r="J471" s="86">
        <v>12910.7356485744</v>
      </c>
      <c r="K471" s="86">
        <v>12910.7356485744</v>
      </c>
      <c r="L471" s="86">
        <v>12910.7356485744</v>
      </c>
      <c r="M471" s="86">
        <v>12910.7356485744</v>
      </c>
      <c r="N471" s="86">
        <v>12910.7356485744</v>
      </c>
      <c r="O471" s="86">
        <v>12910.7356485744</v>
      </c>
      <c r="P471" s="86">
        <v>12910.7356485744</v>
      </c>
      <c r="Q471" s="86">
        <v>12910.7356485744</v>
      </c>
      <c r="R471" s="86">
        <v>12910.7356485744</v>
      </c>
      <c r="S471" s="86">
        <v>12910.7356485744</v>
      </c>
      <c r="T471" s="86">
        <v>12910.7356485744</v>
      </c>
      <c r="V471" s="63" t="s">
        <v>4638</v>
      </c>
    </row>
    <row r="472" spans="2:22" x14ac:dyDescent="0.25">
      <c r="B472" s="23" t="s">
        <v>1319</v>
      </c>
      <c r="C472" s="28" t="s">
        <v>292</v>
      </c>
      <c r="D472" s="44" t="s">
        <v>4442</v>
      </c>
      <c r="F472" s="44" t="s">
        <v>1320</v>
      </c>
      <c r="H472" s="87">
        <v>0.43</v>
      </c>
      <c r="I472" s="87">
        <v>0.43</v>
      </c>
      <c r="J472" s="87">
        <v>0.43</v>
      </c>
      <c r="K472" s="87">
        <v>0.43</v>
      </c>
      <c r="L472" s="87">
        <v>0.43</v>
      </c>
      <c r="M472" s="87">
        <v>0.43</v>
      </c>
      <c r="N472" s="87">
        <v>0.43</v>
      </c>
      <c r="O472" s="87">
        <v>0.43</v>
      </c>
      <c r="P472" s="87">
        <v>0.43</v>
      </c>
      <c r="Q472" s="87">
        <v>0.43</v>
      </c>
      <c r="R472" s="87">
        <v>0.43</v>
      </c>
      <c r="S472" s="87">
        <v>0.43</v>
      </c>
      <c r="T472" s="87">
        <v>0.43</v>
      </c>
      <c r="V472" s="63" t="s">
        <v>4639</v>
      </c>
    </row>
    <row r="473" spans="2:22" ht="26.25" customHeight="1" x14ac:dyDescent="0.25">
      <c r="B473" s="64" t="s">
        <v>1321</v>
      </c>
      <c r="C473" s="28" t="s">
        <v>493</v>
      </c>
      <c r="D473" s="44" t="s">
        <v>4442</v>
      </c>
      <c r="F473" s="44" t="s">
        <v>1322</v>
      </c>
      <c r="H473" s="89">
        <v>0</v>
      </c>
      <c r="I473" s="89">
        <v>0</v>
      </c>
      <c r="J473" s="89">
        <v>0</v>
      </c>
      <c r="K473" s="89">
        <v>0</v>
      </c>
      <c r="L473" s="89">
        <v>0</v>
      </c>
      <c r="M473" s="89">
        <v>0</v>
      </c>
      <c r="N473" s="89">
        <v>0</v>
      </c>
      <c r="O473" s="89">
        <v>0</v>
      </c>
      <c r="P473" s="89">
        <v>0</v>
      </c>
      <c r="Q473" s="89">
        <v>0</v>
      </c>
      <c r="R473" s="89">
        <v>0</v>
      </c>
      <c r="S473" s="89">
        <v>0</v>
      </c>
      <c r="T473" s="89">
        <v>0</v>
      </c>
      <c r="V473" s="63" t="s">
        <v>4640</v>
      </c>
    </row>
    <row r="474" spans="2:22" x14ac:dyDescent="0.25">
      <c r="B474" s="23" t="s">
        <v>1324</v>
      </c>
      <c r="C474" s="28" t="s">
        <v>816</v>
      </c>
      <c r="D474" s="44" t="s">
        <v>4448</v>
      </c>
      <c r="E474" s="98">
        <v>10</v>
      </c>
      <c r="F474" s="44" t="s">
        <v>1325</v>
      </c>
      <c r="V474" s="63" t="s">
        <v>4641</v>
      </c>
    </row>
    <row r="475" spans="2:22" x14ac:dyDescent="0.25">
      <c r="B475" s="63" t="s">
        <v>1327</v>
      </c>
    </row>
    <row r="477" spans="2:22" x14ac:dyDescent="0.25">
      <c r="B477" s="58" t="s">
        <v>1328</v>
      </c>
      <c r="C477" s="19"/>
      <c r="D477" s="19"/>
      <c r="E477" s="19"/>
      <c r="F477" s="19"/>
      <c r="G477" s="19"/>
      <c r="H477" s="19"/>
      <c r="I477" s="19"/>
      <c r="J477" s="19"/>
      <c r="K477" s="19"/>
      <c r="L477" s="19"/>
      <c r="M477" s="19"/>
      <c r="N477" s="19"/>
      <c r="O477" s="19"/>
      <c r="P477" s="19"/>
      <c r="Q477" s="19"/>
      <c r="R477" s="19"/>
      <c r="S477" s="19"/>
      <c r="T477" s="19"/>
      <c r="U477" s="19"/>
      <c r="V477" s="19"/>
    </row>
    <row r="478" spans="2:22" x14ac:dyDescent="0.25">
      <c r="B478" s="59" t="s">
        <v>610</v>
      </c>
      <c r="C478" s="59" t="s">
        <v>466</v>
      </c>
      <c r="D478" s="59" t="s">
        <v>4429</v>
      </c>
      <c r="E478" s="59" t="s">
        <v>468</v>
      </c>
      <c r="F478" s="59" t="s">
        <v>469</v>
      </c>
      <c r="G478" s="80" t="s">
        <v>628</v>
      </c>
      <c r="H478" s="81">
        <v>2024</v>
      </c>
      <c r="I478" s="81">
        <v>2025</v>
      </c>
      <c r="J478" s="81">
        <v>2026</v>
      </c>
      <c r="K478" s="81">
        <v>2027</v>
      </c>
      <c r="L478" s="81">
        <v>2028</v>
      </c>
      <c r="M478" s="81">
        <v>2029</v>
      </c>
      <c r="N478" s="81">
        <v>2030</v>
      </c>
      <c r="O478" s="81">
        <v>2031</v>
      </c>
      <c r="P478" s="81">
        <v>2032</v>
      </c>
      <c r="Q478" s="81">
        <v>2033</v>
      </c>
      <c r="R478" s="81">
        <v>2034</v>
      </c>
      <c r="S478" s="81">
        <v>2035</v>
      </c>
      <c r="T478" s="81">
        <v>2036</v>
      </c>
      <c r="U478" s="59"/>
      <c r="V478" s="59" t="s">
        <v>4430</v>
      </c>
    </row>
    <row r="479" spans="2:22" x14ac:dyDescent="0.25">
      <c r="B479" s="23" t="s">
        <v>1329</v>
      </c>
      <c r="C479" s="28" t="s">
        <v>799</v>
      </c>
      <c r="D479" s="44" t="s">
        <v>4442</v>
      </c>
      <c r="F479" s="44" t="s">
        <v>1330</v>
      </c>
      <c r="H479" s="87">
        <v>0</v>
      </c>
      <c r="I479" s="87">
        <v>0</v>
      </c>
      <c r="J479" s="87">
        <v>0</v>
      </c>
      <c r="K479" s="87">
        <v>0</v>
      </c>
      <c r="L479" s="87">
        <v>0</v>
      </c>
      <c r="M479" s="87">
        <v>0</v>
      </c>
      <c r="N479" s="87">
        <v>0</v>
      </c>
      <c r="O479" s="87">
        <v>0</v>
      </c>
      <c r="P479" s="87">
        <v>0</v>
      </c>
      <c r="Q479" s="87">
        <v>0</v>
      </c>
      <c r="R479" s="87">
        <v>0</v>
      </c>
      <c r="S479" s="87">
        <v>0</v>
      </c>
      <c r="T479" s="87">
        <v>0</v>
      </c>
      <c r="V479" s="63" t="s">
        <v>4642</v>
      </c>
    </row>
    <row r="480" spans="2:22" x14ac:dyDescent="0.25">
      <c r="B480" s="23" t="s">
        <v>1332</v>
      </c>
      <c r="C480" s="28" t="s">
        <v>816</v>
      </c>
      <c r="D480" s="44" t="s">
        <v>4448</v>
      </c>
      <c r="E480" s="98">
        <v>10</v>
      </c>
      <c r="F480" s="44" t="s">
        <v>1333</v>
      </c>
      <c r="V480" s="63" t="s">
        <v>4643</v>
      </c>
    </row>
    <row r="481" spans="2:22" ht="24.75" customHeight="1" x14ac:dyDescent="0.25">
      <c r="B481" s="23" t="s">
        <v>1335</v>
      </c>
      <c r="C481" s="90" t="s">
        <v>1336</v>
      </c>
      <c r="D481" s="85" t="s">
        <v>4440</v>
      </c>
      <c r="E481" s="99">
        <v>0.1</v>
      </c>
      <c r="F481" s="44" t="s">
        <v>274</v>
      </c>
      <c r="V481" s="63" t="s">
        <v>4644</v>
      </c>
    </row>
    <row r="483" spans="2:22" x14ac:dyDescent="0.25">
      <c r="B483" s="58" t="s">
        <v>1338</v>
      </c>
      <c r="C483" s="19"/>
      <c r="D483" s="19"/>
      <c r="E483" s="19"/>
      <c r="F483" s="19"/>
      <c r="G483" s="19"/>
      <c r="H483" s="19"/>
      <c r="I483" s="19"/>
      <c r="J483" s="19"/>
      <c r="K483" s="19"/>
      <c r="L483" s="19"/>
      <c r="M483" s="19"/>
      <c r="N483" s="19"/>
      <c r="O483" s="19"/>
      <c r="P483" s="19"/>
      <c r="Q483" s="19"/>
      <c r="R483" s="19"/>
      <c r="S483" s="19"/>
      <c r="T483" s="19"/>
      <c r="U483" s="19"/>
      <c r="V483" s="19"/>
    </row>
    <row r="484" spans="2:22" x14ac:dyDescent="0.25">
      <c r="B484" s="59" t="s">
        <v>610</v>
      </c>
      <c r="C484" s="59" t="s">
        <v>466</v>
      </c>
      <c r="D484" s="59" t="s">
        <v>4429</v>
      </c>
      <c r="E484" s="59" t="s">
        <v>468</v>
      </c>
      <c r="F484" s="59" t="s">
        <v>469</v>
      </c>
      <c r="G484" s="80" t="s">
        <v>628</v>
      </c>
      <c r="H484" s="81">
        <v>2024</v>
      </c>
      <c r="I484" s="81">
        <v>2025</v>
      </c>
      <c r="J484" s="81">
        <v>2026</v>
      </c>
      <c r="K484" s="81">
        <v>2027</v>
      </c>
      <c r="L484" s="81">
        <v>2028</v>
      </c>
      <c r="M484" s="81">
        <v>2029</v>
      </c>
      <c r="N484" s="81">
        <v>2030</v>
      </c>
      <c r="O484" s="81">
        <v>2031</v>
      </c>
      <c r="P484" s="81">
        <v>2032</v>
      </c>
      <c r="Q484" s="81">
        <v>2033</v>
      </c>
      <c r="R484" s="81">
        <v>2034</v>
      </c>
      <c r="S484" s="81">
        <v>2035</v>
      </c>
      <c r="T484" s="81">
        <v>2036</v>
      </c>
      <c r="U484" s="59"/>
      <c r="V484" s="59" t="s">
        <v>4430</v>
      </c>
    </row>
    <row r="485" spans="2:22" x14ac:dyDescent="0.25">
      <c r="B485" s="23" t="s">
        <v>1339</v>
      </c>
      <c r="C485" s="28" t="s">
        <v>1340</v>
      </c>
      <c r="D485" s="44" t="s">
        <v>4442</v>
      </c>
      <c r="F485" s="44" t="s">
        <v>1341</v>
      </c>
      <c r="H485" s="89">
        <v>45</v>
      </c>
      <c r="I485" s="89">
        <v>45</v>
      </c>
      <c r="J485" s="89">
        <v>45</v>
      </c>
      <c r="K485" s="89">
        <v>45</v>
      </c>
      <c r="L485" s="89">
        <v>45</v>
      </c>
      <c r="M485" s="89">
        <v>45</v>
      </c>
      <c r="N485" s="89">
        <v>45</v>
      </c>
      <c r="O485" s="89">
        <v>45</v>
      </c>
      <c r="P485" s="89">
        <v>45</v>
      </c>
      <c r="Q485" s="89">
        <v>45</v>
      </c>
      <c r="R485" s="89">
        <v>45</v>
      </c>
      <c r="S485" s="89">
        <v>45</v>
      </c>
      <c r="T485" s="89">
        <v>45</v>
      </c>
      <c r="V485" s="63" t="s">
        <v>4645</v>
      </c>
    </row>
    <row r="486" spans="2:22" x14ac:dyDescent="0.25">
      <c r="B486" s="23" t="s">
        <v>1343</v>
      </c>
      <c r="C486" s="28" t="s">
        <v>1340</v>
      </c>
      <c r="D486" s="44" t="s">
        <v>4442</v>
      </c>
      <c r="F486" s="44" t="s">
        <v>1344</v>
      </c>
      <c r="H486" s="89">
        <v>30</v>
      </c>
      <c r="I486" s="89">
        <v>30</v>
      </c>
      <c r="J486" s="89">
        <v>30</v>
      </c>
      <c r="K486" s="89">
        <v>30</v>
      </c>
      <c r="L486" s="89">
        <v>30</v>
      </c>
      <c r="M486" s="89">
        <v>30</v>
      </c>
      <c r="N486" s="89">
        <v>30</v>
      </c>
      <c r="O486" s="89">
        <v>30</v>
      </c>
      <c r="P486" s="89">
        <v>30</v>
      </c>
      <c r="Q486" s="89">
        <v>30</v>
      </c>
      <c r="R486" s="89">
        <v>30</v>
      </c>
      <c r="S486" s="89">
        <v>30</v>
      </c>
      <c r="T486" s="89">
        <v>30</v>
      </c>
      <c r="V486" s="63" t="s">
        <v>4646</v>
      </c>
    </row>
    <row r="487" spans="2:22" ht="26.25" customHeight="1" x14ac:dyDescent="0.25">
      <c r="B487" s="64" t="s">
        <v>1345</v>
      </c>
      <c r="C487" s="28" t="s">
        <v>493</v>
      </c>
      <c r="D487" s="44" t="s">
        <v>4442</v>
      </c>
      <c r="F487" s="44" t="s">
        <v>1346</v>
      </c>
      <c r="H487" s="92">
        <v>0.51981068748259995</v>
      </c>
      <c r="I487" s="92">
        <v>0.51981068748259995</v>
      </c>
      <c r="J487" s="92">
        <v>0.51981068748259995</v>
      </c>
      <c r="K487" s="92">
        <v>0.51981068748259995</v>
      </c>
      <c r="L487" s="92">
        <v>0.51981068748259995</v>
      </c>
      <c r="M487" s="92">
        <v>0.51981068748259995</v>
      </c>
      <c r="N487" s="92">
        <v>0.51981068748259995</v>
      </c>
      <c r="O487" s="92">
        <v>0.51981068748259995</v>
      </c>
      <c r="P487" s="92">
        <v>0.51981068748259995</v>
      </c>
      <c r="Q487" s="92">
        <v>0.51981068748259995</v>
      </c>
      <c r="R487" s="92">
        <v>0</v>
      </c>
      <c r="S487" s="92">
        <v>0</v>
      </c>
      <c r="T487" s="92">
        <v>0</v>
      </c>
      <c r="V487" s="63" t="s">
        <v>4647</v>
      </c>
    </row>
    <row r="489" spans="2:22" x14ac:dyDescent="0.25">
      <c r="B489" s="58" t="s">
        <v>1348</v>
      </c>
      <c r="C489" s="19"/>
      <c r="D489" s="19"/>
      <c r="E489" s="19"/>
      <c r="F489" s="19"/>
      <c r="G489" s="19"/>
      <c r="H489" s="19"/>
      <c r="I489" s="19"/>
      <c r="J489" s="19"/>
      <c r="K489" s="19"/>
      <c r="L489" s="19"/>
      <c r="M489" s="19"/>
      <c r="N489" s="19"/>
      <c r="O489" s="19"/>
      <c r="P489" s="19"/>
      <c r="Q489" s="19"/>
      <c r="R489" s="19"/>
      <c r="S489" s="19"/>
      <c r="T489" s="19"/>
      <c r="U489" s="19"/>
      <c r="V489" s="19"/>
    </row>
    <row r="490" spans="2:22" x14ac:dyDescent="0.25">
      <c r="B490" s="59" t="s">
        <v>610</v>
      </c>
      <c r="C490" s="59" t="s">
        <v>466</v>
      </c>
      <c r="D490" s="59" t="s">
        <v>4429</v>
      </c>
      <c r="E490" s="59" t="s">
        <v>468</v>
      </c>
      <c r="F490" s="59" t="s">
        <v>469</v>
      </c>
      <c r="G490" s="80" t="s">
        <v>628</v>
      </c>
      <c r="H490" s="81">
        <v>2024</v>
      </c>
      <c r="I490" s="81">
        <v>2025</v>
      </c>
      <c r="J490" s="81">
        <v>2026</v>
      </c>
      <c r="K490" s="81">
        <v>2027</v>
      </c>
      <c r="L490" s="81">
        <v>2028</v>
      </c>
      <c r="M490" s="81">
        <v>2029</v>
      </c>
      <c r="N490" s="81">
        <v>2030</v>
      </c>
      <c r="O490" s="81">
        <v>2031</v>
      </c>
      <c r="P490" s="81">
        <v>2032</v>
      </c>
      <c r="Q490" s="81">
        <v>2033</v>
      </c>
      <c r="R490" s="81">
        <v>2034</v>
      </c>
      <c r="S490" s="81">
        <v>2035</v>
      </c>
      <c r="T490" s="81">
        <v>2036</v>
      </c>
      <c r="U490" s="59"/>
      <c r="V490" s="59" t="s">
        <v>4430</v>
      </c>
    </row>
    <row r="491" spans="2:22" x14ac:dyDescent="0.25">
      <c r="B491" s="42" t="s">
        <v>1349</v>
      </c>
    </row>
    <row r="492" spans="2:22" x14ac:dyDescent="0.25">
      <c r="B492" s="23" t="s">
        <v>1350</v>
      </c>
      <c r="C492" s="28" t="s">
        <v>806</v>
      </c>
      <c r="D492" s="44" t="s">
        <v>4442</v>
      </c>
      <c r="E492" s="94">
        <v>12</v>
      </c>
      <c r="F492" s="44" t="s">
        <v>1351</v>
      </c>
      <c r="V492" s="63" t="s">
        <v>4648</v>
      </c>
    </row>
    <row r="493" spans="2:22" x14ac:dyDescent="0.25">
      <c r="B493" s="23" t="s">
        <v>1353</v>
      </c>
      <c r="C493" s="28" t="s">
        <v>493</v>
      </c>
      <c r="D493" s="44" t="s">
        <v>4442</v>
      </c>
      <c r="E493" s="92">
        <v>195.18</v>
      </c>
      <c r="F493" s="44" t="s">
        <v>1354</v>
      </c>
      <c r="V493" s="63" t="s">
        <v>4649</v>
      </c>
    </row>
    <row r="494" spans="2:22" ht="36" customHeight="1" x14ac:dyDescent="0.25">
      <c r="B494" s="23" t="s">
        <v>1356</v>
      </c>
      <c r="C494" s="28" t="s">
        <v>613</v>
      </c>
      <c r="D494" s="85" t="s">
        <v>4433</v>
      </c>
      <c r="E494" s="82">
        <v>46568</v>
      </c>
      <c r="F494" s="44" t="s">
        <v>1357</v>
      </c>
      <c r="V494" s="63" t="s">
        <v>4650</v>
      </c>
    </row>
    <row r="495" spans="2:22" x14ac:dyDescent="0.25">
      <c r="B495" s="23" t="s">
        <v>1359</v>
      </c>
      <c r="C495" s="28" t="s">
        <v>1360</v>
      </c>
      <c r="D495" s="44" t="s">
        <v>4448</v>
      </c>
      <c r="E495" s="96">
        <v>7.8253151848394598E-2</v>
      </c>
      <c r="F495" s="44" t="s">
        <v>1361</v>
      </c>
      <c r="V495" s="63" t="s">
        <v>4651</v>
      </c>
    </row>
    <row r="496" spans="2:22" ht="26.25" customHeight="1" x14ac:dyDescent="0.25">
      <c r="B496" s="64" t="s">
        <v>1363</v>
      </c>
      <c r="C496" s="28" t="s">
        <v>292</v>
      </c>
      <c r="D496" s="44" t="s">
        <v>4448</v>
      </c>
      <c r="E496" s="100">
        <v>0.127159969500307</v>
      </c>
      <c r="F496" s="44" t="s">
        <v>1364</v>
      </c>
      <c r="V496" s="63" t="s">
        <v>4652</v>
      </c>
    </row>
    <row r="497" spans="2:22" x14ac:dyDescent="0.25">
      <c r="B497" s="23" t="s">
        <v>1366</v>
      </c>
      <c r="C497" s="28" t="s">
        <v>493</v>
      </c>
      <c r="D497" s="44" t="s">
        <v>4442</v>
      </c>
      <c r="F497" s="44" t="s">
        <v>1367</v>
      </c>
      <c r="H497" s="92">
        <v>29.338465248760102</v>
      </c>
      <c r="I497" s="92">
        <v>0</v>
      </c>
      <c r="J497" s="92">
        <v>0</v>
      </c>
      <c r="K497" s="92">
        <v>0</v>
      </c>
      <c r="L497" s="92">
        <v>0</v>
      </c>
      <c r="M497" s="92">
        <v>0</v>
      </c>
      <c r="N497" s="92">
        <v>0</v>
      </c>
      <c r="O497" s="92">
        <v>0</v>
      </c>
      <c r="P497" s="92">
        <v>0</v>
      </c>
      <c r="Q497" s="92">
        <v>0</v>
      </c>
      <c r="R497" s="92">
        <v>0</v>
      </c>
      <c r="S497" s="92">
        <v>0</v>
      </c>
      <c r="T497" s="92">
        <v>0</v>
      </c>
      <c r="V497" s="63" t="s">
        <v>4653</v>
      </c>
    </row>
    <row r="498" spans="2:22" ht="26.25" customHeight="1" x14ac:dyDescent="0.25">
      <c r="B498" s="64" t="s">
        <v>1369</v>
      </c>
      <c r="C498" s="28" t="s">
        <v>493</v>
      </c>
      <c r="D498" s="44" t="s">
        <v>4442</v>
      </c>
      <c r="F498" s="44" t="s">
        <v>1370</v>
      </c>
      <c r="H498" s="92">
        <v>5.4709055176610004</v>
      </c>
      <c r="I498" s="92">
        <v>1.9421714587696599</v>
      </c>
      <c r="J498" s="92">
        <v>0</v>
      </c>
      <c r="K498" s="92">
        <v>0</v>
      </c>
      <c r="L498" s="92">
        <v>0</v>
      </c>
      <c r="M498" s="92">
        <v>0</v>
      </c>
      <c r="N498" s="92">
        <v>0</v>
      </c>
      <c r="O498" s="92">
        <v>0</v>
      </c>
      <c r="P498" s="92">
        <v>0</v>
      </c>
      <c r="Q498" s="92">
        <v>0</v>
      </c>
      <c r="R498" s="92">
        <v>0</v>
      </c>
      <c r="S498" s="92">
        <v>0</v>
      </c>
      <c r="T498" s="92">
        <v>0</v>
      </c>
      <c r="V498" s="63" t="s">
        <v>4654</v>
      </c>
    </row>
    <row r="499" spans="2:22" x14ac:dyDescent="0.25">
      <c r="B499" s="23" t="s">
        <v>1372</v>
      </c>
      <c r="C499" s="28" t="s">
        <v>493</v>
      </c>
      <c r="D499" s="44" t="s">
        <v>4442</v>
      </c>
      <c r="F499" s="44" t="s">
        <v>1373</v>
      </c>
      <c r="H499" s="92">
        <v>0</v>
      </c>
      <c r="I499" s="92">
        <v>13.331278719</v>
      </c>
      <c r="J499" s="92">
        <v>0</v>
      </c>
      <c r="K499" s="92">
        <v>0</v>
      </c>
      <c r="L499" s="92">
        <v>0</v>
      </c>
      <c r="M499" s="92">
        <v>0</v>
      </c>
      <c r="N499" s="92">
        <v>0</v>
      </c>
      <c r="O499" s="92">
        <v>0</v>
      </c>
      <c r="P499" s="92">
        <v>0</v>
      </c>
      <c r="Q499" s="92">
        <v>0</v>
      </c>
      <c r="R499" s="92">
        <v>0</v>
      </c>
      <c r="S499" s="92">
        <v>0</v>
      </c>
      <c r="T499" s="92">
        <v>0</v>
      </c>
      <c r="V499" s="63" t="s">
        <v>4655</v>
      </c>
    </row>
    <row r="500" spans="2:22" x14ac:dyDescent="0.25">
      <c r="B500" s="42" t="s">
        <v>1375</v>
      </c>
    </row>
    <row r="501" spans="2:22" ht="24.75" customHeight="1" x14ac:dyDescent="0.25">
      <c r="B501" s="23" t="s">
        <v>1376</v>
      </c>
      <c r="C501" s="28" t="s">
        <v>493</v>
      </c>
      <c r="D501" s="85" t="s">
        <v>4440</v>
      </c>
      <c r="E501" s="101">
        <v>800</v>
      </c>
      <c r="F501" s="44" t="s">
        <v>274</v>
      </c>
      <c r="V501" s="63" t="s">
        <v>4656</v>
      </c>
    </row>
    <row r="502" spans="2:22" ht="24.75" customHeight="1" x14ac:dyDescent="0.25">
      <c r="B502" s="23" t="s">
        <v>1378</v>
      </c>
      <c r="C502" s="28" t="s">
        <v>1379</v>
      </c>
      <c r="D502" s="85" t="s">
        <v>4440</v>
      </c>
      <c r="E502" s="102">
        <v>0.01</v>
      </c>
      <c r="F502" s="44" t="s">
        <v>274</v>
      </c>
      <c r="V502" s="63" t="s">
        <v>4657</v>
      </c>
    </row>
    <row r="503" spans="2:22" x14ac:dyDescent="0.25">
      <c r="B503" s="23" t="s">
        <v>1381</v>
      </c>
      <c r="C503" s="28" t="s">
        <v>816</v>
      </c>
      <c r="D503" s="44" t="s">
        <v>4448</v>
      </c>
      <c r="E503" s="98">
        <v>5</v>
      </c>
      <c r="F503" s="44" t="s">
        <v>1382</v>
      </c>
      <c r="V503" s="63" t="s">
        <v>4658</v>
      </c>
    </row>
    <row r="504" spans="2:22" x14ac:dyDescent="0.25">
      <c r="B504" s="23" t="s">
        <v>1384</v>
      </c>
      <c r="C504" s="28" t="s">
        <v>816</v>
      </c>
      <c r="D504" s="44" t="s">
        <v>4448</v>
      </c>
      <c r="E504" s="98">
        <v>1</v>
      </c>
      <c r="F504" s="44" t="s">
        <v>1385</v>
      </c>
      <c r="V504" s="63" t="s">
        <v>4659</v>
      </c>
    </row>
    <row r="505" spans="2:22" ht="24.75" customHeight="1" x14ac:dyDescent="0.25">
      <c r="B505" s="23" t="s">
        <v>1387</v>
      </c>
      <c r="C505" s="28" t="s">
        <v>497</v>
      </c>
      <c r="D505" s="85" t="s">
        <v>4440</v>
      </c>
      <c r="E505" s="103">
        <v>1.2</v>
      </c>
      <c r="F505" s="44" t="s">
        <v>274</v>
      </c>
      <c r="V505" s="63" t="s">
        <v>4660</v>
      </c>
    </row>
    <row r="506" spans="2:22" x14ac:dyDescent="0.25">
      <c r="B506" s="23" t="s">
        <v>1389</v>
      </c>
      <c r="C506" s="28" t="s">
        <v>292</v>
      </c>
      <c r="D506" s="44" t="s">
        <v>4442</v>
      </c>
      <c r="F506" s="44" t="s">
        <v>1390</v>
      </c>
      <c r="H506" s="87">
        <v>0</v>
      </c>
      <c r="I506" s="87">
        <v>0</v>
      </c>
      <c r="J506" s="87">
        <v>0</v>
      </c>
      <c r="K506" s="87">
        <v>0</v>
      </c>
      <c r="L506" s="87">
        <v>0</v>
      </c>
      <c r="M506" s="87">
        <v>0</v>
      </c>
      <c r="N506" s="87">
        <v>0</v>
      </c>
      <c r="O506" s="87">
        <v>0</v>
      </c>
      <c r="P506" s="87">
        <v>0</v>
      </c>
      <c r="Q506" s="87">
        <v>0</v>
      </c>
      <c r="R506" s="87">
        <v>0</v>
      </c>
      <c r="S506" s="87">
        <v>0</v>
      </c>
      <c r="T506" s="87">
        <v>0</v>
      </c>
      <c r="V506" s="63" t="s">
        <v>4661</v>
      </c>
    </row>
    <row r="507" spans="2:22" x14ac:dyDescent="0.25">
      <c r="B507" s="23" t="s">
        <v>1392</v>
      </c>
      <c r="C507" s="28" t="s">
        <v>1360</v>
      </c>
      <c r="D507" s="44" t="s">
        <v>4448</v>
      </c>
      <c r="F507" s="44" t="s">
        <v>1393</v>
      </c>
      <c r="H507" s="96">
        <v>0.105</v>
      </c>
      <c r="I507" s="96">
        <v>0.105</v>
      </c>
      <c r="J507" s="96">
        <v>0.105</v>
      </c>
      <c r="K507" s="96">
        <v>0.105</v>
      </c>
      <c r="L507" s="96">
        <v>0.105</v>
      </c>
      <c r="M507" s="96">
        <v>0.105</v>
      </c>
      <c r="N507" s="96">
        <v>0.105</v>
      </c>
      <c r="O507" s="96">
        <v>0.105</v>
      </c>
      <c r="P507" s="96">
        <v>0.105</v>
      </c>
      <c r="Q507" s="96">
        <v>0.105</v>
      </c>
      <c r="R507" s="96">
        <v>0.105</v>
      </c>
      <c r="S507" s="96">
        <v>0.105</v>
      </c>
      <c r="T507" s="96">
        <v>0.105</v>
      </c>
      <c r="V507" s="63" t="s">
        <v>4662</v>
      </c>
    </row>
    <row r="508" spans="2:22" x14ac:dyDescent="0.25">
      <c r="B508" s="23" t="s">
        <v>1395</v>
      </c>
      <c r="C508" s="28" t="s">
        <v>493</v>
      </c>
      <c r="D508" s="44" t="s">
        <v>4440</v>
      </c>
      <c r="F508" s="44" t="s">
        <v>274</v>
      </c>
      <c r="H508" s="101">
        <v>0</v>
      </c>
      <c r="I508" s="101">
        <v>0</v>
      </c>
      <c r="J508" s="101">
        <v>0</v>
      </c>
      <c r="K508" s="101">
        <v>0</v>
      </c>
      <c r="L508" s="101">
        <v>0</v>
      </c>
      <c r="M508" s="101">
        <v>0</v>
      </c>
      <c r="N508" s="101">
        <v>0</v>
      </c>
      <c r="O508" s="101">
        <v>0</v>
      </c>
      <c r="P508" s="101">
        <v>0</v>
      </c>
      <c r="Q508" s="101">
        <v>0</v>
      </c>
      <c r="R508" s="101">
        <v>0</v>
      </c>
      <c r="S508" s="101">
        <v>0</v>
      </c>
      <c r="T508" s="101">
        <v>0</v>
      </c>
      <c r="V508" s="63" t="s">
        <v>4663</v>
      </c>
    </row>
    <row r="509" spans="2:22" x14ac:dyDescent="0.25">
      <c r="B509" s="42" t="s">
        <v>1397</v>
      </c>
    </row>
    <row r="510" spans="2:22" ht="26.25" customHeight="1" x14ac:dyDescent="0.25">
      <c r="B510" s="64" t="s">
        <v>1398</v>
      </c>
      <c r="C510" s="28" t="s">
        <v>1399</v>
      </c>
      <c r="D510" s="44" t="s">
        <v>4442</v>
      </c>
      <c r="F510" s="44" t="s">
        <v>1400</v>
      </c>
      <c r="H510" s="87">
        <v>0</v>
      </c>
      <c r="I510" s="87">
        <v>0</v>
      </c>
      <c r="J510" s="87">
        <v>1</v>
      </c>
      <c r="K510" s="87">
        <v>1</v>
      </c>
      <c r="L510" s="87">
        <v>0</v>
      </c>
      <c r="M510" s="87">
        <v>0</v>
      </c>
      <c r="N510" s="87">
        <v>0</v>
      </c>
      <c r="O510" s="87">
        <v>0</v>
      </c>
      <c r="P510" s="87">
        <v>0</v>
      </c>
      <c r="Q510" s="87">
        <v>0</v>
      </c>
      <c r="R510" s="87">
        <v>0</v>
      </c>
      <c r="S510" s="87">
        <v>0</v>
      </c>
      <c r="T510" s="87">
        <v>0</v>
      </c>
      <c r="V510" s="63" t="s">
        <v>4664</v>
      </c>
    </row>
    <row r="511" spans="2:22" ht="26.25" customHeight="1" x14ac:dyDescent="0.25">
      <c r="B511" s="64" t="s">
        <v>1402</v>
      </c>
      <c r="C511" s="28" t="s">
        <v>806</v>
      </c>
      <c r="D511" s="44" t="s">
        <v>4442</v>
      </c>
      <c r="E511" s="94">
        <v>110</v>
      </c>
      <c r="F511" s="44" t="s">
        <v>1403</v>
      </c>
      <c r="V511" s="63" t="s">
        <v>4665</v>
      </c>
    </row>
    <row r="512" spans="2:22" x14ac:dyDescent="0.25">
      <c r="B512" s="23" t="s">
        <v>1405</v>
      </c>
      <c r="C512" s="28" t="s">
        <v>493</v>
      </c>
      <c r="D512" s="44" t="s">
        <v>4442</v>
      </c>
      <c r="F512" s="44" t="s">
        <v>1406</v>
      </c>
      <c r="H512" s="89">
        <v>3</v>
      </c>
      <c r="I512" s="89">
        <v>3</v>
      </c>
      <c r="J512" s="89">
        <v>3</v>
      </c>
      <c r="K512" s="89">
        <v>3</v>
      </c>
      <c r="L512" s="89">
        <v>3</v>
      </c>
      <c r="M512" s="89">
        <v>3</v>
      </c>
      <c r="N512" s="89">
        <v>3</v>
      </c>
      <c r="O512" s="89">
        <v>3</v>
      </c>
      <c r="P512" s="89">
        <v>3</v>
      </c>
      <c r="Q512" s="89">
        <v>3</v>
      </c>
      <c r="R512" s="89">
        <v>3</v>
      </c>
      <c r="S512" s="89">
        <v>3</v>
      </c>
      <c r="T512" s="89">
        <v>3</v>
      </c>
      <c r="V512" s="63" t="s">
        <v>4666</v>
      </c>
    </row>
    <row r="513" spans="2:22" x14ac:dyDescent="0.25">
      <c r="B513" s="23" t="s">
        <v>1408</v>
      </c>
      <c r="C513" s="28" t="s">
        <v>1360</v>
      </c>
      <c r="D513" s="44" t="s">
        <v>4442</v>
      </c>
      <c r="F513" s="44" t="s">
        <v>1409</v>
      </c>
      <c r="H513" s="93">
        <v>0</v>
      </c>
      <c r="I513" s="93">
        <v>0</v>
      </c>
      <c r="J513" s="93">
        <v>0</v>
      </c>
      <c r="K513" s="93">
        <v>0</v>
      </c>
      <c r="L513" s="93">
        <v>0</v>
      </c>
      <c r="M513" s="93">
        <v>0</v>
      </c>
      <c r="N513" s="93">
        <v>0</v>
      </c>
      <c r="O513" s="93">
        <v>0</v>
      </c>
      <c r="P513" s="93">
        <v>0</v>
      </c>
      <c r="Q513" s="93">
        <v>0</v>
      </c>
      <c r="R513" s="93">
        <v>0</v>
      </c>
      <c r="S513" s="93">
        <v>0</v>
      </c>
      <c r="T513" s="93">
        <v>0</v>
      </c>
      <c r="V513" s="63" t="s">
        <v>4667</v>
      </c>
    </row>
    <row r="514" spans="2:22" x14ac:dyDescent="0.25">
      <c r="B514" s="42" t="s">
        <v>1411</v>
      </c>
    </row>
    <row r="515" spans="2:22" x14ac:dyDescent="0.25">
      <c r="B515" s="23" t="s">
        <v>1412</v>
      </c>
      <c r="C515" s="28" t="s">
        <v>806</v>
      </c>
      <c r="D515" s="44" t="s">
        <v>4442</v>
      </c>
      <c r="E515" s="94">
        <v>18</v>
      </c>
      <c r="F515" s="44" t="s">
        <v>1413</v>
      </c>
      <c r="V515" s="63" t="s">
        <v>4668</v>
      </c>
    </row>
    <row r="516" spans="2:22" x14ac:dyDescent="0.25">
      <c r="B516" s="23" t="s">
        <v>1415</v>
      </c>
      <c r="C516" s="28" t="s">
        <v>292</v>
      </c>
      <c r="D516" s="44" t="s">
        <v>4442</v>
      </c>
      <c r="E516" s="87">
        <v>0.2</v>
      </c>
      <c r="F516" s="44" t="s">
        <v>1416</v>
      </c>
      <c r="V516" s="63" t="s">
        <v>4669</v>
      </c>
    </row>
    <row r="517" spans="2:22" x14ac:dyDescent="0.25">
      <c r="B517" s="23" t="s">
        <v>1417</v>
      </c>
      <c r="C517" s="28" t="s">
        <v>292</v>
      </c>
      <c r="D517" s="44" t="s">
        <v>4442</v>
      </c>
      <c r="F517" s="44" t="s">
        <v>1418</v>
      </c>
      <c r="H517" s="87">
        <v>0.3</v>
      </c>
      <c r="I517" s="87">
        <v>0.3</v>
      </c>
      <c r="J517" s="87">
        <v>0.3</v>
      </c>
      <c r="K517" s="87">
        <v>0.3</v>
      </c>
      <c r="L517" s="87">
        <v>0.3</v>
      </c>
      <c r="M517" s="87">
        <v>0.3</v>
      </c>
      <c r="N517" s="87">
        <v>0.3</v>
      </c>
      <c r="O517" s="87">
        <v>0.3</v>
      </c>
      <c r="P517" s="87">
        <v>0.3</v>
      </c>
      <c r="Q517" s="87">
        <v>0.3</v>
      </c>
      <c r="R517" s="87">
        <v>0.3</v>
      </c>
      <c r="S517" s="87">
        <v>0.3</v>
      </c>
      <c r="T517" s="87">
        <v>0.3</v>
      </c>
      <c r="V517" s="63" t="s">
        <v>4670</v>
      </c>
    </row>
    <row r="518" spans="2:22" ht="26.25" customHeight="1" x14ac:dyDescent="0.25">
      <c r="B518" s="64" t="s">
        <v>1420</v>
      </c>
      <c r="C518" s="28" t="s">
        <v>1421</v>
      </c>
      <c r="D518" s="44" t="s">
        <v>4442</v>
      </c>
      <c r="F518" s="44" t="s">
        <v>1422</v>
      </c>
      <c r="H518" s="87">
        <v>0</v>
      </c>
      <c r="I518" s="87">
        <v>0</v>
      </c>
      <c r="J518" s="87">
        <v>0</v>
      </c>
      <c r="K518" s="87">
        <v>0</v>
      </c>
      <c r="L518" s="87">
        <v>0</v>
      </c>
      <c r="M518" s="87">
        <v>0</v>
      </c>
      <c r="N518" s="87">
        <v>0</v>
      </c>
      <c r="O518" s="87">
        <v>0</v>
      </c>
      <c r="P518" s="87">
        <v>0</v>
      </c>
      <c r="Q518" s="87">
        <v>0</v>
      </c>
      <c r="R518" s="87">
        <v>0</v>
      </c>
      <c r="S518" s="87">
        <v>0</v>
      </c>
      <c r="T518" s="87">
        <v>0</v>
      </c>
      <c r="V518" s="63" t="s">
        <v>4671</v>
      </c>
    </row>
    <row r="520" spans="2:22" x14ac:dyDescent="0.25">
      <c r="B520" s="58" t="s">
        <v>1424</v>
      </c>
      <c r="C520" s="19"/>
      <c r="D520" s="19"/>
      <c r="E520" s="19"/>
      <c r="F520" s="19"/>
      <c r="G520" s="19"/>
      <c r="H520" s="19"/>
      <c r="I520" s="19"/>
      <c r="J520" s="19"/>
      <c r="K520" s="19"/>
      <c r="L520" s="19"/>
      <c r="M520" s="19"/>
      <c r="N520" s="19"/>
      <c r="O520" s="19"/>
      <c r="P520" s="19"/>
      <c r="Q520" s="19"/>
      <c r="R520" s="19"/>
      <c r="S520" s="19"/>
      <c r="T520" s="19"/>
      <c r="U520" s="19"/>
      <c r="V520" s="19"/>
    </row>
    <row r="521" spans="2:22" x14ac:dyDescent="0.25">
      <c r="B521" s="59" t="s">
        <v>610</v>
      </c>
      <c r="C521" s="59" t="s">
        <v>466</v>
      </c>
      <c r="D521" s="59" t="s">
        <v>4429</v>
      </c>
      <c r="E521" s="59" t="s">
        <v>468</v>
      </c>
      <c r="F521" s="59" t="s">
        <v>469</v>
      </c>
      <c r="G521" s="80" t="s">
        <v>628</v>
      </c>
      <c r="H521" s="81">
        <v>2024</v>
      </c>
      <c r="I521" s="81">
        <v>2025</v>
      </c>
      <c r="J521" s="81">
        <v>2026</v>
      </c>
      <c r="K521" s="81">
        <v>2027</v>
      </c>
      <c r="L521" s="81">
        <v>2028</v>
      </c>
      <c r="M521" s="81">
        <v>2029</v>
      </c>
      <c r="N521" s="81">
        <v>2030</v>
      </c>
      <c r="O521" s="81">
        <v>2031</v>
      </c>
      <c r="P521" s="81">
        <v>2032</v>
      </c>
      <c r="Q521" s="81">
        <v>2033</v>
      </c>
      <c r="R521" s="81">
        <v>2034</v>
      </c>
      <c r="S521" s="81">
        <v>2035</v>
      </c>
      <c r="T521" s="81">
        <v>2036</v>
      </c>
      <c r="U521" s="59"/>
      <c r="V521" s="59" t="s">
        <v>4430</v>
      </c>
    </row>
    <row r="522" spans="2:22" x14ac:dyDescent="0.25">
      <c r="B522" s="23" t="s">
        <v>1425</v>
      </c>
      <c r="C522" s="28" t="s">
        <v>292</v>
      </c>
      <c r="D522" s="44" t="s">
        <v>4442</v>
      </c>
      <c r="F522" s="44" t="s">
        <v>1426</v>
      </c>
      <c r="H522" s="87">
        <v>0.22</v>
      </c>
      <c r="I522" s="87">
        <v>0.22</v>
      </c>
      <c r="J522" s="87">
        <v>0.22</v>
      </c>
      <c r="K522" s="87">
        <v>0.22</v>
      </c>
      <c r="L522" s="87">
        <v>0.22</v>
      </c>
      <c r="M522" s="87">
        <v>0.22</v>
      </c>
      <c r="N522" s="87">
        <v>0.22</v>
      </c>
      <c r="O522" s="87">
        <v>0.22</v>
      </c>
      <c r="P522" s="87">
        <v>0.22</v>
      </c>
      <c r="Q522" s="87">
        <v>0.22</v>
      </c>
      <c r="R522" s="87">
        <v>0.22</v>
      </c>
      <c r="S522" s="87">
        <v>0.22</v>
      </c>
      <c r="T522" s="87">
        <v>0.22</v>
      </c>
      <c r="V522" s="63" t="s">
        <v>4672</v>
      </c>
    </row>
    <row r="523" spans="2:22" x14ac:dyDescent="0.25">
      <c r="B523" s="63" t="s">
        <v>1427</v>
      </c>
    </row>
    <row r="524" spans="2:22" ht="26.25" customHeight="1" x14ac:dyDescent="0.25">
      <c r="B524" s="64" t="s">
        <v>1428</v>
      </c>
      <c r="C524" s="28" t="s">
        <v>493</v>
      </c>
      <c r="D524" s="85" t="s">
        <v>4440</v>
      </c>
      <c r="E524" s="101">
        <v>0</v>
      </c>
      <c r="F524" s="44" t="s">
        <v>274</v>
      </c>
      <c r="V524" s="63" t="s">
        <v>4673</v>
      </c>
    </row>
    <row r="525" spans="2:22" ht="26.25" customHeight="1" x14ac:dyDescent="0.25">
      <c r="B525" s="64" t="s">
        <v>1430</v>
      </c>
      <c r="C525" s="28" t="s">
        <v>493</v>
      </c>
      <c r="D525" s="85" t="s">
        <v>4440</v>
      </c>
      <c r="E525" s="101">
        <v>0</v>
      </c>
      <c r="F525" s="44" t="s">
        <v>274</v>
      </c>
      <c r="V525" s="63" t="s">
        <v>4674</v>
      </c>
    </row>
    <row r="526" spans="2:22" ht="26.25" customHeight="1" x14ac:dyDescent="0.25">
      <c r="B526" s="64" t="s">
        <v>1432</v>
      </c>
      <c r="C526" s="28" t="s">
        <v>493</v>
      </c>
      <c r="D526" s="85" t="s">
        <v>4440</v>
      </c>
      <c r="E526" s="101">
        <v>0</v>
      </c>
      <c r="F526" s="44" t="s">
        <v>274</v>
      </c>
      <c r="V526" s="63" t="s">
        <v>4674</v>
      </c>
    </row>
    <row r="527" spans="2:22" ht="24.75" customHeight="1" x14ac:dyDescent="0.25">
      <c r="B527" s="23" t="s">
        <v>1433</v>
      </c>
      <c r="C527" s="28" t="s">
        <v>493</v>
      </c>
      <c r="D527" s="85" t="s">
        <v>4440</v>
      </c>
      <c r="E527" s="101">
        <v>0</v>
      </c>
      <c r="F527" s="44" t="s">
        <v>274</v>
      </c>
      <c r="V527" s="63" t="s">
        <v>4674</v>
      </c>
    </row>
    <row r="528" spans="2:22" ht="26.25" customHeight="1" x14ac:dyDescent="0.25">
      <c r="B528" s="64" t="s">
        <v>1434</v>
      </c>
      <c r="C528" s="28" t="s">
        <v>493</v>
      </c>
      <c r="D528" s="85" t="s">
        <v>4440</v>
      </c>
      <c r="E528" s="101">
        <v>0</v>
      </c>
      <c r="F528" s="44" t="s">
        <v>274</v>
      </c>
      <c r="V528" s="63" t="s">
        <v>4674</v>
      </c>
    </row>
    <row r="529" spans="2:22" ht="26.25" customHeight="1" x14ac:dyDescent="0.25">
      <c r="B529" s="64" t="s">
        <v>1435</v>
      </c>
      <c r="C529" s="28" t="s">
        <v>493</v>
      </c>
      <c r="D529" s="85" t="s">
        <v>4440</v>
      </c>
      <c r="E529" s="101">
        <v>0</v>
      </c>
      <c r="F529" s="44" t="s">
        <v>274</v>
      </c>
      <c r="V529" s="63" t="s">
        <v>4674</v>
      </c>
    </row>
    <row r="530" spans="2:22" ht="26.25" customHeight="1" x14ac:dyDescent="0.25">
      <c r="B530" s="64" t="s">
        <v>1436</v>
      </c>
      <c r="C530" s="28" t="s">
        <v>493</v>
      </c>
      <c r="D530" s="85" t="s">
        <v>4440</v>
      </c>
      <c r="E530" s="101">
        <v>0</v>
      </c>
      <c r="F530" s="44" t="s">
        <v>274</v>
      </c>
      <c r="V530" s="63" t="s">
        <v>4674</v>
      </c>
    </row>
    <row r="531" spans="2:22" x14ac:dyDescent="0.25">
      <c r="B531" s="23" t="s">
        <v>1437</v>
      </c>
      <c r="C531" s="28" t="s">
        <v>292</v>
      </c>
      <c r="D531" s="44" t="s">
        <v>4442</v>
      </c>
      <c r="E531" s="87">
        <v>0.65</v>
      </c>
      <c r="F531" s="44" t="s">
        <v>1438</v>
      </c>
      <c r="V531" s="63" t="s">
        <v>4675</v>
      </c>
    </row>
    <row r="532" spans="2:22" x14ac:dyDescent="0.25">
      <c r="B532" s="23" t="s">
        <v>1440</v>
      </c>
      <c r="C532" s="28" t="s">
        <v>292</v>
      </c>
      <c r="D532" s="44" t="s">
        <v>4442</v>
      </c>
      <c r="E532" s="87">
        <v>1</v>
      </c>
      <c r="F532" s="44" t="s">
        <v>1441</v>
      </c>
      <c r="V532" s="63" t="s">
        <v>4676</v>
      </c>
    </row>
    <row r="533" spans="2:22" x14ac:dyDescent="0.25">
      <c r="B533" s="23" t="s">
        <v>1443</v>
      </c>
      <c r="C533" s="28" t="s">
        <v>292</v>
      </c>
      <c r="D533" s="44" t="s">
        <v>4442</v>
      </c>
      <c r="E533" s="87">
        <v>1</v>
      </c>
      <c r="F533" s="44" t="s">
        <v>1441</v>
      </c>
      <c r="V533" s="63" t="s">
        <v>4676</v>
      </c>
    </row>
    <row r="534" spans="2:22" x14ac:dyDescent="0.25">
      <c r="B534" s="23" t="s">
        <v>1444</v>
      </c>
      <c r="C534" s="28" t="s">
        <v>292</v>
      </c>
      <c r="D534" s="44" t="s">
        <v>4442</v>
      </c>
      <c r="E534" s="87">
        <v>1</v>
      </c>
      <c r="F534" s="44" t="s">
        <v>1441</v>
      </c>
      <c r="V534" s="63" t="s">
        <v>4676</v>
      </c>
    </row>
    <row r="535" spans="2:22" x14ac:dyDescent="0.25">
      <c r="B535" s="23" t="s">
        <v>1445</v>
      </c>
      <c r="C535" s="28" t="s">
        <v>292</v>
      </c>
      <c r="D535" s="44" t="s">
        <v>4442</v>
      </c>
      <c r="E535" s="87">
        <v>1</v>
      </c>
      <c r="F535" s="44" t="s">
        <v>1441</v>
      </c>
      <c r="V535" s="63" t="s">
        <v>4677</v>
      </c>
    </row>
    <row r="536" spans="2:22" x14ac:dyDescent="0.25">
      <c r="B536" s="23" t="s">
        <v>1447</v>
      </c>
      <c r="C536" s="28" t="s">
        <v>292</v>
      </c>
      <c r="D536" s="44" t="s">
        <v>4442</v>
      </c>
      <c r="E536" s="87">
        <v>1</v>
      </c>
      <c r="F536" s="44" t="s">
        <v>1441</v>
      </c>
      <c r="V536" s="63" t="s">
        <v>4677</v>
      </c>
    </row>
    <row r="537" spans="2:22" x14ac:dyDescent="0.25">
      <c r="B537" s="23" t="s">
        <v>1448</v>
      </c>
      <c r="C537" s="28" t="s">
        <v>292</v>
      </c>
      <c r="D537" s="44" t="s">
        <v>4442</v>
      </c>
      <c r="E537" s="87">
        <v>1</v>
      </c>
      <c r="F537" s="44" t="s">
        <v>1441</v>
      </c>
      <c r="V537" s="63" t="s">
        <v>4677</v>
      </c>
    </row>
    <row r="538" spans="2:22" x14ac:dyDescent="0.25">
      <c r="B538" s="63" t="s">
        <v>1449</v>
      </c>
    </row>
    <row r="540" spans="2:22" x14ac:dyDescent="0.25">
      <c r="B540" s="58" t="s">
        <v>1450</v>
      </c>
      <c r="C540" s="19"/>
      <c r="D540" s="19"/>
      <c r="E540" s="19"/>
      <c r="F540" s="19"/>
      <c r="G540" s="19"/>
      <c r="H540" s="19"/>
      <c r="I540" s="19"/>
      <c r="J540" s="19"/>
      <c r="K540" s="19"/>
      <c r="L540" s="19"/>
      <c r="M540" s="19"/>
      <c r="N540" s="19"/>
      <c r="O540" s="19"/>
      <c r="P540" s="19"/>
      <c r="Q540" s="19"/>
      <c r="R540" s="19"/>
      <c r="S540" s="19"/>
      <c r="T540" s="19"/>
      <c r="U540" s="19"/>
      <c r="V540" s="19"/>
    </row>
    <row r="541" spans="2:22" x14ac:dyDescent="0.25">
      <c r="B541" s="59" t="s">
        <v>610</v>
      </c>
      <c r="C541" s="59" t="s">
        <v>466</v>
      </c>
      <c r="D541" s="59" t="s">
        <v>4429</v>
      </c>
      <c r="E541" s="59" t="s">
        <v>468</v>
      </c>
      <c r="F541" s="59" t="s">
        <v>469</v>
      </c>
      <c r="G541" s="80" t="s">
        <v>628</v>
      </c>
      <c r="H541" s="81">
        <v>2024</v>
      </c>
      <c r="I541" s="81">
        <v>2025</v>
      </c>
      <c r="J541" s="81">
        <v>2026</v>
      </c>
      <c r="K541" s="81">
        <v>2027</v>
      </c>
      <c r="L541" s="81">
        <v>2028</v>
      </c>
      <c r="M541" s="81">
        <v>2029</v>
      </c>
      <c r="N541" s="81">
        <v>2030</v>
      </c>
      <c r="O541" s="81">
        <v>2031</v>
      </c>
      <c r="P541" s="81">
        <v>2032</v>
      </c>
      <c r="Q541" s="81">
        <v>2033</v>
      </c>
      <c r="R541" s="81">
        <v>2034</v>
      </c>
      <c r="S541" s="81">
        <v>2035</v>
      </c>
      <c r="T541" s="81">
        <v>2036</v>
      </c>
      <c r="U541" s="59"/>
      <c r="V541" s="59" t="s">
        <v>4430</v>
      </c>
    </row>
    <row r="542" spans="2:22" ht="24.75" customHeight="1" x14ac:dyDescent="0.25">
      <c r="B542" s="23" t="s">
        <v>1451</v>
      </c>
      <c r="C542" s="28" t="s">
        <v>292</v>
      </c>
      <c r="D542" s="85" t="s">
        <v>4440</v>
      </c>
      <c r="E542" s="102">
        <v>7.0099999999999996E-2</v>
      </c>
      <c r="F542" s="44" t="s">
        <v>274</v>
      </c>
      <c r="V542" s="63" t="s">
        <v>4678</v>
      </c>
    </row>
    <row r="543" spans="2:22" ht="24.75" customHeight="1" x14ac:dyDescent="0.25">
      <c r="B543" s="23" t="s">
        <v>1453</v>
      </c>
      <c r="C543" s="28" t="s">
        <v>292</v>
      </c>
      <c r="D543" s="85" t="s">
        <v>4440</v>
      </c>
      <c r="E543" s="102">
        <v>1.6199999999999999E-2</v>
      </c>
      <c r="F543" s="44" t="s">
        <v>274</v>
      </c>
      <c r="V543" s="63" t="s">
        <v>4679</v>
      </c>
    </row>
    <row r="544" spans="2:22" ht="24.75" customHeight="1" x14ac:dyDescent="0.25">
      <c r="B544" s="23" t="s">
        <v>1455</v>
      </c>
      <c r="C544" s="28" t="s">
        <v>292</v>
      </c>
      <c r="D544" s="85" t="s">
        <v>4440</v>
      </c>
      <c r="E544" s="102">
        <v>6.6900000000000001E-2</v>
      </c>
      <c r="F544" s="44" t="s">
        <v>274</v>
      </c>
      <c r="V544" s="63" t="s">
        <v>4680</v>
      </c>
    </row>
    <row r="545" spans="2:22" ht="24.75" customHeight="1" x14ac:dyDescent="0.25">
      <c r="B545" s="23" t="s">
        <v>1457</v>
      </c>
      <c r="C545" s="28" t="s">
        <v>497</v>
      </c>
      <c r="D545" s="85" t="s">
        <v>4440</v>
      </c>
      <c r="E545" s="103">
        <v>0.8</v>
      </c>
      <c r="F545" s="44" t="s">
        <v>274</v>
      </c>
      <c r="V545" s="63" t="s">
        <v>4681</v>
      </c>
    </row>
    <row r="546" spans="2:22" ht="24.75" customHeight="1" x14ac:dyDescent="0.25">
      <c r="B546" s="23" t="s">
        <v>1459</v>
      </c>
      <c r="C546" s="28" t="s">
        <v>292</v>
      </c>
      <c r="D546" s="85" t="s">
        <v>4440</v>
      </c>
      <c r="E546" s="99">
        <v>0.2</v>
      </c>
      <c r="F546" s="44" t="s">
        <v>274</v>
      </c>
      <c r="V546" s="63" t="s">
        <v>4682</v>
      </c>
    </row>
    <row r="547" spans="2:22" x14ac:dyDescent="0.25">
      <c r="B547" s="23" t="s">
        <v>1461</v>
      </c>
      <c r="C547" s="28" t="s">
        <v>292</v>
      </c>
      <c r="D547" s="44" t="s">
        <v>4448</v>
      </c>
      <c r="E547" s="96">
        <v>0.105</v>
      </c>
      <c r="F547" s="44" t="s">
        <v>1462</v>
      </c>
      <c r="V547" s="63" t="s">
        <v>4683</v>
      </c>
    </row>
    <row r="548" spans="2:22" ht="24.75" customHeight="1" x14ac:dyDescent="0.25">
      <c r="B548" s="23" t="s">
        <v>1464</v>
      </c>
      <c r="C548" s="28" t="s">
        <v>292</v>
      </c>
      <c r="D548" s="85" t="s">
        <v>4440</v>
      </c>
      <c r="E548" s="102">
        <v>0.01</v>
      </c>
      <c r="F548" s="44" t="s">
        <v>274</v>
      </c>
      <c r="V548" s="63" t="s">
        <v>4684</v>
      </c>
    </row>
    <row r="549" spans="2:22" ht="24.75" customHeight="1" x14ac:dyDescent="0.25">
      <c r="B549" s="23" t="s">
        <v>1466</v>
      </c>
      <c r="C549" s="28" t="s">
        <v>292</v>
      </c>
      <c r="D549" s="85" t="s">
        <v>4440</v>
      </c>
      <c r="E549" s="102">
        <v>0.03</v>
      </c>
      <c r="F549" s="44" t="s">
        <v>274</v>
      </c>
      <c r="V549" s="63" t="s">
        <v>4685</v>
      </c>
    </row>
    <row r="550" spans="2:22" ht="24.75" customHeight="1" x14ac:dyDescent="0.25">
      <c r="B550" s="23" t="s">
        <v>1468</v>
      </c>
      <c r="C550" s="28" t="s">
        <v>292</v>
      </c>
      <c r="D550" s="85" t="s">
        <v>4440</v>
      </c>
      <c r="E550" s="102">
        <v>0.04</v>
      </c>
      <c r="F550" s="44" t="s">
        <v>274</v>
      </c>
      <c r="V550" s="63" t="s">
        <v>4686</v>
      </c>
    </row>
    <row r="562" spans="2:22" x14ac:dyDescent="0.25">
      <c r="B562" s="63" t="s">
        <v>1481</v>
      </c>
    </row>
    <row r="564" spans="2:22" x14ac:dyDescent="0.25">
      <c r="B564" s="58" t="s">
        <v>1482</v>
      </c>
      <c r="C564" s="19"/>
      <c r="D564" s="19"/>
      <c r="E564" s="19"/>
      <c r="F564" s="19"/>
      <c r="G564" s="19"/>
      <c r="H564" s="19"/>
      <c r="I564" s="19"/>
      <c r="J564" s="19"/>
      <c r="K564" s="19"/>
      <c r="L564" s="19"/>
      <c r="M564" s="19"/>
      <c r="N564" s="19"/>
      <c r="O564" s="19"/>
      <c r="P564" s="19"/>
      <c r="Q564" s="19"/>
      <c r="R564" s="19"/>
      <c r="S564" s="19"/>
      <c r="T564" s="19"/>
      <c r="U564" s="19"/>
      <c r="V564" s="19"/>
    </row>
    <row r="565" spans="2:22" x14ac:dyDescent="0.25">
      <c r="B565" s="63" t="s">
        <v>1483</v>
      </c>
    </row>
    <row r="566" spans="2:22" x14ac:dyDescent="0.25">
      <c r="B566" s="63" t="s">
        <v>1484</v>
      </c>
    </row>
    <row r="567" spans="2:22" x14ac:dyDescent="0.25">
      <c r="B567" s="59" t="s">
        <v>1485</v>
      </c>
      <c r="C567" s="59" t="s">
        <v>466</v>
      </c>
      <c r="D567" s="59" t="s">
        <v>4429</v>
      </c>
      <c r="E567" s="59" t="s">
        <v>468</v>
      </c>
      <c r="F567" s="59" t="s">
        <v>469</v>
      </c>
      <c r="G567" s="80" t="s">
        <v>611</v>
      </c>
      <c r="H567" s="81">
        <v>2024</v>
      </c>
      <c r="I567" s="81">
        <v>2025</v>
      </c>
      <c r="J567" s="81">
        <v>2026</v>
      </c>
      <c r="K567" s="81">
        <v>2027</v>
      </c>
      <c r="L567" s="81">
        <v>2028</v>
      </c>
      <c r="M567" s="81">
        <v>2029</v>
      </c>
      <c r="N567" s="81">
        <v>2030</v>
      </c>
      <c r="O567" s="81">
        <v>2031</v>
      </c>
      <c r="P567" s="81">
        <v>2032</v>
      </c>
      <c r="Q567" s="81">
        <v>2033</v>
      </c>
      <c r="R567" s="81">
        <v>2034</v>
      </c>
      <c r="S567" s="81">
        <v>2035</v>
      </c>
      <c r="T567" s="81">
        <v>2036</v>
      </c>
      <c r="U567" s="59"/>
      <c r="V567" s="59" t="s">
        <v>4430</v>
      </c>
    </row>
    <row r="568" spans="2:22" ht="26.25" customHeight="1" x14ac:dyDescent="0.25">
      <c r="B568" s="64" t="s">
        <v>1486</v>
      </c>
      <c r="C568" s="28" t="s">
        <v>477</v>
      </c>
      <c r="D568" s="44" t="s">
        <v>484</v>
      </c>
      <c r="E568" s="61">
        <v>1</v>
      </c>
      <c r="F568" s="44" t="s">
        <v>484</v>
      </c>
      <c r="V568" s="63" t="s">
        <v>4687</v>
      </c>
    </row>
    <row r="569" spans="2:22" ht="24.75" customHeight="1" x14ac:dyDescent="0.25">
      <c r="B569" s="23" t="s">
        <v>1488</v>
      </c>
      <c r="C569" s="28" t="s">
        <v>292</v>
      </c>
      <c r="D569" s="85" t="s">
        <v>4688</v>
      </c>
      <c r="E569" s="111">
        <v>1</v>
      </c>
      <c r="F569" s="44" t="s">
        <v>274</v>
      </c>
      <c r="V569" s="63" t="s">
        <v>4689</v>
      </c>
    </row>
    <row r="570" spans="2:22" ht="26.25" customHeight="1" x14ac:dyDescent="0.25">
      <c r="B570" s="64" t="s">
        <v>1491</v>
      </c>
      <c r="C570" s="28" t="s">
        <v>292</v>
      </c>
      <c r="D570" s="85" t="s">
        <v>4688</v>
      </c>
      <c r="E570" s="111">
        <v>1</v>
      </c>
      <c r="F570" s="44" t="s">
        <v>274</v>
      </c>
      <c r="V570" s="63" t="s">
        <v>4690</v>
      </c>
    </row>
    <row r="571" spans="2:22" ht="24.75" customHeight="1" x14ac:dyDescent="0.25">
      <c r="B571" s="23" t="s">
        <v>1493</v>
      </c>
      <c r="C571" s="28" t="s">
        <v>613</v>
      </c>
      <c r="D571" s="85" t="s">
        <v>4688</v>
      </c>
      <c r="E571" s="114">
        <v>47119</v>
      </c>
      <c r="F571" s="44" t="s">
        <v>274</v>
      </c>
      <c r="V571" s="63" t="s">
        <v>4691</v>
      </c>
    </row>
    <row r="572" spans="2:22" ht="24.75" customHeight="1" x14ac:dyDescent="0.25">
      <c r="B572" s="23" t="s">
        <v>1495</v>
      </c>
      <c r="C572" s="28" t="s">
        <v>1496</v>
      </c>
      <c r="D572" s="85" t="s">
        <v>4688</v>
      </c>
      <c r="E572" s="115">
        <v>1000000</v>
      </c>
      <c r="F572" s="44" t="s">
        <v>274</v>
      </c>
      <c r="V572" s="63" t="s">
        <v>274</v>
      </c>
    </row>
    <row r="573" spans="2:22" ht="24.75" customHeight="1" x14ac:dyDescent="0.25">
      <c r="B573" s="23" t="s">
        <v>1497</v>
      </c>
      <c r="C573" s="28" t="s">
        <v>292</v>
      </c>
      <c r="D573" s="85" t="s">
        <v>4688</v>
      </c>
      <c r="E573" s="111">
        <v>0.5</v>
      </c>
      <c r="F573" s="44" t="s">
        <v>274</v>
      </c>
      <c r="V573" s="63" t="s">
        <v>274</v>
      </c>
    </row>
    <row r="574" spans="2:22" ht="24.75" customHeight="1" x14ac:dyDescent="0.25">
      <c r="B574" s="23" t="s">
        <v>1498</v>
      </c>
      <c r="C574" s="28" t="s">
        <v>1499</v>
      </c>
      <c r="D574" s="85" t="s">
        <v>4688</v>
      </c>
      <c r="E574" s="116">
        <v>1.5</v>
      </c>
      <c r="F574" s="44" t="s">
        <v>274</v>
      </c>
      <c r="V574" s="63" t="s">
        <v>274</v>
      </c>
    </row>
    <row r="575" spans="2:22" ht="24.75" customHeight="1" x14ac:dyDescent="0.25">
      <c r="B575" s="23" t="s">
        <v>1500</v>
      </c>
      <c r="C575" s="28" t="s">
        <v>292</v>
      </c>
      <c r="D575" s="85" t="s">
        <v>4688</v>
      </c>
      <c r="E575" s="111">
        <v>0.3</v>
      </c>
      <c r="F575" s="44" t="s">
        <v>274</v>
      </c>
      <c r="V575" s="63" t="s">
        <v>274</v>
      </c>
    </row>
    <row r="576" spans="2:22" ht="24.75" customHeight="1" x14ac:dyDescent="0.25">
      <c r="B576" s="23" t="s">
        <v>1501</v>
      </c>
      <c r="C576" s="28" t="s">
        <v>493</v>
      </c>
      <c r="D576" s="85" t="s">
        <v>4688</v>
      </c>
      <c r="E576" s="116">
        <v>1.5</v>
      </c>
      <c r="F576" s="44" t="s">
        <v>274</v>
      </c>
      <c r="V576" s="63" t="s">
        <v>4692</v>
      </c>
    </row>
    <row r="577" spans="2:22" ht="24.75" customHeight="1" x14ac:dyDescent="0.25">
      <c r="B577" s="23" t="s">
        <v>1503</v>
      </c>
      <c r="C577" s="28" t="s">
        <v>806</v>
      </c>
      <c r="D577" s="85" t="s">
        <v>4440</v>
      </c>
      <c r="E577" s="117">
        <v>10</v>
      </c>
      <c r="F577" s="44" t="s">
        <v>1504</v>
      </c>
      <c r="V577" s="63" t="s">
        <v>4693</v>
      </c>
    </row>
    <row r="578" spans="2:22" x14ac:dyDescent="0.25">
      <c r="B578" s="23" t="s">
        <v>1506</v>
      </c>
      <c r="C578" s="28" t="s">
        <v>810</v>
      </c>
      <c r="D578" s="44" t="s">
        <v>4688</v>
      </c>
      <c r="F578" s="44" t="s">
        <v>274</v>
      </c>
      <c r="H578" s="118">
        <v>0</v>
      </c>
      <c r="I578" s="118">
        <v>0</v>
      </c>
      <c r="J578" s="118">
        <v>0</v>
      </c>
      <c r="K578" s="118">
        <v>0.4</v>
      </c>
      <c r="L578" s="118">
        <v>0.6</v>
      </c>
      <c r="M578" s="118">
        <v>0</v>
      </c>
      <c r="N578" s="118">
        <v>0</v>
      </c>
      <c r="O578" s="118">
        <v>0</v>
      </c>
      <c r="P578" s="118">
        <v>0</v>
      </c>
      <c r="Q578" s="118">
        <v>0</v>
      </c>
      <c r="R578" s="118">
        <v>0</v>
      </c>
      <c r="S578" s="118">
        <v>0</v>
      </c>
      <c r="T578" s="118">
        <v>0</v>
      </c>
      <c r="V578" s="63" t="s">
        <v>4694</v>
      </c>
    </row>
    <row r="579" spans="2:22" ht="24.75" customHeight="1" x14ac:dyDescent="0.25">
      <c r="B579" s="23" t="s">
        <v>1508</v>
      </c>
      <c r="C579" s="28" t="s">
        <v>292</v>
      </c>
      <c r="D579" s="85" t="s">
        <v>4688</v>
      </c>
      <c r="E579" s="111">
        <v>0.6</v>
      </c>
      <c r="F579" s="44" t="s">
        <v>274</v>
      </c>
      <c r="V579" s="63" t="s">
        <v>4695</v>
      </c>
    </row>
    <row r="580" spans="2:22" ht="24.75" customHeight="1" x14ac:dyDescent="0.25">
      <c r="B580" s="23" t="s">
        <v>1510</v>
      </c>
      <c r="C580" s="28" t="s">
        <v>816</v>
      </c>
      <c r="D580" s="85" t="s">
        <v>4688</v>
      </c>
      <c r="E580" s="119">
        <v>20</v>
      </c>
      <c r="F580" s="44" t="s">
        <v>274</v>
      </c>
      <c r="V580" s="63" t="s">
        <v>274</v>
      </c>
    </row>
    <row r="581" spans="2:22" ht="24.75" customHeight="1" x14ac:dyDescent="0.25">
      <c r="B581" s="23" t="s">
        <v>1511</v>
      </c>
      <c r="C581" s="28" t="s">
        <v>816</v>
      </c>
      <c r="D581" s="85" t="s">
        <v>4688</v>
      </c>
      <c r="E581" s="119">
        <v>10</v>
      </c>
      <c r="F581" s="44" t="s">
        <v>274</v>
      </c>
      <c r="V581" s="63" t="s">
        <v>274</v>
      </c>
    </row>
    <row r="582" spans="2:22" ht="24.75" customHeight="1" x14ac:dyDescent="0.25">
      <c r="B582" s="23" t="s">
        <v>1339</v>
      </c>
      <c r="C582" s="28" t="s">
        <v>1340</v>
      </c>
      <c r="D582" s="85" t="s">
        <v>4688</v>
      </c>
      <c r="E582" s="120">
        <v>45</v>
      </c>
      <c r="F582" s="44" t="s">
        <v>274</v>
      </c>
      <c r="V582" s="63" t="s">
        <v>274</v>
      </c>
    </row>
    <row r="583" spans="2:22" ht="24.75" customHeight="1" x14ac:dyDescent="0.25">
      <c r="B583" s="23" t="s">
        <v>1343</v>
      </c>
      <c r="C583" s="28" t="s">
        <v>1340</v>
      </c>
      <c r="D583" s="85" t="s">
        <v>4688</v>
      </c>
      <c r="E583" s="120">
        <v>30</v>
      </c>
      <c r="F583" s="44" t="s">
        <v>274</v>
      </c>
      <c r="V583" s="63" t="s">
        <v>274</v>
      </c>
    </row>
    <row r="584" spans="2:22" ht="24.75" customHeight="1" x14ac:dyDescent="0.25">
      <c r="B584" s="23" t="s">
        <v>1512</v>
      </c>
      <c r="C584" s="28" t="s">
        <v>292</v>
      </c>
      <c r="D584" s="85" t="s">
        <v>4688</v>
      </c>
      <c r="E584" s="111">
        <v>0.5</v>
      </c>
      <c r="F584" s="44" t="s">
        <v>274</v>
      </c>
      <c r="V584" s="63" t="s">
        <v>4696</v>
      </c>
    </row>
    <row r="585" spans="2:22" ht="24.75" customHeight="1" x14ac:dyDescent="0.25">
      <c r="B585" s="23" t="s">
        <v>1514</v>
      </c>
      <c r="C585" s="28" t="s">
        <v>816</v>
      </c>
      <c r="D585" s="85" t="s">
        <v>4688</v>
      </c>
      <c r="E585" s="119">
        <v>7</v>
      </c>
      <c r="F585" s="44" t="s">
        <v>274</v>
      </c>
      <c r="V585" s="63" t="s">
        <v>274</v>
      </c>
    </row>
    <row r="586" spans="2:22" ht="24.75" customHeight="1" x14ac:dyDescent="0.25">
      <c r="B586" s="23" t="s">
        <v>1515</v>
      </c>
      <c r="C586" s="28" t="s">
        <v>816</v>
      </c>
      <c r="D586" s="85" t="s">
        <v>4688</v>
      </c>
      <c r="E586" s="119">
        <v>2</v>
      </c>
      <c r="F586" s="44" t="s">
        <v>274</v>
      </c>
      <c r="V586" s="63" t="s">
        <v>4697</v>
      </c>
    </row>
    <row r="587" spans="2:22" x14ac:dyDescent="0.25">
      <c r="B587" s="23" t="s">
        <v>1517</v>
      </c>
      <c r="C587" s="28" t="s">
        <v>1518</v>
      </c>
      <c r="D587" s="44" t="s">
        <v>4688</v>
      </c>
      <c r="F587" s="44" t="s">
        <v>274</v>
      </c>
      <c r="H587" s="111">
        <v>0.55000000000000004</v>
      </c>
      <c r="I587" s="111">
        <v>0.55000000000000004</v>
      </c>
      <c r="J587" s="111">
        <v>0.55000000000000004</v>
      </c>
      <c r="K587" s="111">
        <v>0.55000000000000004</v>
      </c>
      <c r="L587" s="111">
        <v>0.55000000000000004</v>
      </c>
      <c r="M587" s="111">
        <v>0.55000000000000004</v>
      </c>
      <c r="N587" s="111">
        <v>0.7</v>
      </c>
      <c r="O587" s="111">
        <v>0.8</v>
      </c>
      <c r="P587" s="111">
        <v>0.85</v>
      </c>
      <c r="Q587" s="111">
        <v>0.85</v>
      </c>
      <c r="R587" s="111">
        <v>0.85</v>
      </c>
      <c r="S587" s="111">
        <v>0.85</v>
      </c>
      <c r="T587" s="111">
        <v>0.85</v>
      </c>
      <c r="V587" s="63" t="s">
        <v>4694</v>
      </c>
    </row>
    <row r="588" spans="2:22" x14ac:dyDescent="0.25">
      <c r="B588" s="23" t="s">
        <v>1520</v>
      </c>
      <c r="C588" s="28" t="s">
        <v>647</v>
      </c>
      <c r="D588" s="44" t="s">
        <v>4688</v>
      </c>
      <c r="F588" s="44" t="s">
        <v>274</v>
      </c>
      <c r="H588" s="115">
        <v>45000</v>
      </c>
      <c r="I588" s="115">
        <v>45000</v>
      </c>
      <c r="J588" s="115">
        <v>45000</v>
      </c>
      <c r="K588" s="115">
        <v>45000</v>
      </c>
      <c r="L588" s="115">
        <v>45000</v>
      </c>
      <c r="M588" s="115">
        <v>45000</v>
      </c>
      <c r="N588" s="115">
        <v>45000</v>
      </c>
      <c r="O588" s="115">
        <v>45000</v>
      </c>
      <c r="P588" s="115">
        <v>45000</v>
      </c>
      <c r="Q588" s="115">
        <v>45000</v>
      </c>
      <c r="R588" s="115">
        <v>45000</v>
      </c>
      <c r="S588" s="115">
        <v>45000</v>
      </c>
      <c r="T588" s="115">
        <v>45000</v>
      </c>
      <c r="V588" s="63" t="s">
        <v>4698</v>
      </c>
    </row>
    <row r="589" spans="2:22" x14ac:dyDescent="0.25">
      <c r="B589" s="23" t="s">
        <v>1522</v>
      </c>
      <c r="C589" s="28" t="s">
        <v>886</v>
      </c>
      <c r="D589" s="44" t="s">
        <v>4688</v>
      </c>
      <c r="F589" s="44" t="s">
        <v>274</v>
      </c>
      <c r="H589" s="115">
        <v>12000</v>
      </c>
      <c r="I589" s="115">
        <v>12000</v>
      </c>
      <c r="J589" s="115">
        <v>12000</v>
      </c>
      <c r="K589" s="115">
        <v>12000</v>
      </c>
      <c r="L589" s="115">
        <v>12000</v>
      </c>
      <c r="M589" s="115">
        <v>12000</v>
      </c>
      <c r="N589" s="115">
        <v>12000</v>
      </c>
      <c r="O589" s="115">
        <v>12000</v>
      </c>
      <c r="P589" s="115">
        <v>12000</v>
      </c>
      <c r="Q589" s="115">
        <v>12000</v>
      </c>
      <c r="R589" s="115">
        <v>12000</v>
      </c>
      <c r="S589" s="115">
        <v>12000</v>
      </c>
      <c r="T589" s="115">
        <v>12000</v>
      </c>
      <c r="V589" s="63" t="s">
        <v>4698</v>
      </c>
    </row>
    <row r="590" spans="2:22" x14ac:dyDescent="0.25">
      <c r="B590" s="23" t="s">
        <v>1523</v>
      </c>
      <c r="C590" s="28" t="s">
        <v>647</v>
      </c>
      <c r="D590" s="44" t="s">
        <v>4688</v>
      </c>
      <c r="F590" s="44" t="s">
        <v>274</v>
      </c>
      <c r="H590" s="115">
        <v>9000</v>
      </c>
      <c r="I590" s="115">
        <v>9000</v>
      </c>
      <c r="J590" s="115">
        <v>9000</v>
      </c>
      <c r="K590" s="115">
        <v>9000</v>
      </c>
      <c r="L590" s="115">
        <v>9000</v>
      </c>
      <c r="M590" s="115">
        <v>9000</v>
      </c>
      <c r="N590" s="115">
        <v>9000</v>
      </c>
      <c r="O590" s="115">
        <v>9000</v>
      </c>
      <c r="P590" s="115">
        <v>9000</v>
      </c>
      <c r="Q590" s="115">
        <v>9000</v>
      </c>
      <c r="R590" s="115">
        <v>9000</v>
      </c>
      <c r="S590" s="115">
        <v>9000</v>
      </c>
      <c r="T590" s="115">
        <v>9000</v>
      </c>
      <c r="V590" s="63" t="s">
        <v>4698</v>
      </c>
    </row>
    <row r="591" spans="2:22" x14ac:dyDescent="0.25">
      <c r="B591" s="23" t="s">
        <v>1524</v>
      </c>
      <c r="C591" s="28" t="s">
        <v>647</v>
      </c>
      <c r="D591" s="44" t="s">
        <v>4688</v>
      </c>
      <c r="F591" s="44" t="s">
        <v>274</v>
      </c>
      <c r="H591" s="115">
        <v>8500</v>
      </c>
      <c r="I591" s="115">
        <v>8500</v>
      </c>
      <c r="J591" s="115">
        <v>8500</v>
      </c>
      <c r="K591" s="115">
        <v>8500</v>
      </c>
      <c r="L591" s="115">
        <v>8500</v>
      </c>
      <c r="M591" s="115">
        <v>8500</v>
      </c>
      <c r="N591" s="115">
        <v>8500</v>
      </c>
      <c r="O591" s="115">
        <v>8500</v>
      </c>
      <c r="P591" s="115">
        <v>8500</v>
      </c>
      <c r="Q591" s="115">
        <v>8500</v>
      </c>
      <c r="R591" s="115">
        <v>8500</v>
      </c>
      <c r="S591" s="115">
        <v>8500</v>
      </c>
      <c r="T591" s="115">
        <v>8500</v>
      </c>
      <c r="V591" s="63" t="s">
        <v>4698</v>
      </c>
    </row>
    <row r="592" spans="2:22" x14ac:dyDescent="0.25">
      <c r="B592" s="23" t="s">
        <v>1525</v>
      </c>
      <c r="C592" s="28" t="s">
        <v>1526</v>
      </c>
      <c r="D592" s="44" t="s">
        <v>4688</v>
      </c>
      <c r="F592" s="44" t="s">
        <v>274</v>
      </c>
      <c r="H592" s="119">
        <v>40</v>
      </c>
      <c r="I592" s="119">
        <v>40</v>
      </c>
      <c r="J592" s="119">
        <v>40</v>
      </c>
      <c r="K592" s="119">
        <v>40</v>
      </c>
      <c r="L592" s="119">
        <v>40</v>
      </c>
      <c r="M592" s="119">
        <v>40</v>
      </c>
      <c r="N592" s="119">
        <v>40</v>
      </c>
      <c r="O592" s="119">
        <v>40</v>
      </c>
      <c r="P592" s="119">
        <v>40</v>
      </c>
      <c r="Q592" s="119">
        <v>40</v>
      </c>
      <c r="R592" s="119">
        <v>40</v>
      </c>
      <c r="S592" s="119">
        <v>40</v>
      </c>
      <c r="T592" s="119">
        <v>40</v>
      </c>
      <c r="V592" s="63" t="s">
        <v>4698</v>
      </c>
    </row>
    <row r="593" spans="2:22" x14ac:dyDescent="0.25">
      <c r="B593" s="23" t="s">
        <v>1527</v>
      </c>
      <c r="C593" s="28" t="s">
        <v>1528</v>
      </c>
      <c r="D593" s="44" t="s">
        <v>4688</v>
      </c>
      <c r="F593" s="44" t="s">
        <v>274</v>
      </c>
      <c r="H593" s="115">
        <v>150</v>
      </c>
      <c r="I593" s="115">
        <v>150</v>
      </c>
      <c r="J593" s="115">
        <v>150</v>
      </c>
      <c r="K593" s="115">
        <v>150</v>
      </c>
      <c r="L593" s="115">
        <v>150</v>
      </c>
      <c r="M593" s="115">
        <v>150</v>
      </c>
      <c r="N593" s="115">
        <v>150</v>
      </c>
      <c r="O593" s="115">
        <v>150</v>
      </c>
      <c r="P593" s="115">
        <v>150</v>
      </c>
      <c r="Q593" s="115">
        <v>150</v>
      </c>
      <c r="R593" s="115">
        <v>150</v>
      </c>
      <c r="S593" s="115">
        <v>150</v>
      </c>
      <c r="T593" s="115">
        <v>150</v>
      </c>
      <c r="V593" s="63" t="s">
        <v>4698</v>
      </c>
    </row>
    <row r="594" spans="2:22" x14ac:dyDescent="0.25">
      <c r="B594" s="23" t="s">
        <v>1529</v>
      </c>
      <c r="C594" s="28" t="s">
        <v>1530</v>
      </c>
      <c r="D594" s="44" t="s">
        <v>4688</v>
      </c>
      <c r="F594" s="44" t="s">
        <v>274</v>
      </c>
      <c r="H594" s="116">
        <v>2.5</v>
      </c>
      <c r="I594" s="116">
        <v>2.5</v>
      </c>
      <c r="J594" s="116">
        <v>2.5</v>
      </c>
      <c r="K594" s="116">
        <v>2.5</v>
      </c>
      <c r="L594" s="116">
        <v>2.5</v>
      </c>
      <c r="M594" s="116">
        <v>2.5</v>
      </c>
      <c r="N594" s="116">
        <v>2.5</v>
      </c>
      <c r="O594" s="116">
        <v>2.5</v>
      </c>
      <c r="P594" s="116">
        <v>2.5</v>
      </c>
      <c r="Q594" s="116">
        <v>2.5</v>
      </c>
      <c r="R594" s="116">
        <v>2.5</v>
      </c>
      <c r="S594" s="116">
        <v>2.5</v>
      </c>
      <c r="T594" s="116">
        <v>2.5</v>
      </c>
      <c r="V594" s="63" t="s">
        <v>4698</v>
      </c>
    </row>
    <row r="595" spans="2:22" x14ac:dyDescent="0.25">
      <c r="B595" s="23" t="s">
        <v>1531</v>
      </c>
      <c r="C595" s="28" t="s">
        <v>802</v>
      </c>
      <c r="D595" s="44" t="s">
        <v>4688</v>
      </c>
      <c r="F595" s="44" t="s">
        <v>274</v>
      </c>
      <c r="H595" s="118">
        <v>1.4999999999999999E-2</v>
      </c>
      <c r="I595" s="118">
        <v>1.4999999999999999E-2</v>
      </c>
      <c r="J595" s="118">
        <v>1.4999999999999999E-2</v>
      </c>
      <c r="K595" s="118">
        <v>1.4999999999999999E-2</v>
      </c>
      <c r="L595" s="118">
        <v>1.4999999999999999E-2</v>
      </c>
      <c r="M595" s="118">
        <v>1.4999999999999999E-2</v>
      </c>
      <c r="N595" s="118">
        <v>1.4999999999999999E-2</v>
      </c>
      <c r="O595" s="118">
        <v>1.4999999999999999E-2</v>
      </c>
      <c r="P595" s="118">
        <v>1.4999999999999999E-2</v>
      </c>
      <c r="Q595" s="118">
        <v>1.4999999999999999E-2</v>
      </c>
      <c r="R595" s="118">
        <v>1.4999999999999999E-2</v>
      </c>
      <c r="S595" s="118">
        <v>1.4999999999999999E-2</v>
      </c>
      <c r="T595" s="118">
        <v>1.4999999999999999E-2</v>
      </c>
      <c r="V595" s="63" t="s">
        <v>4698</v>
      </c>
    </row>
    <row r="596" spans="2:22" x14ac:dyDescent="0.25">
      <c r="B596" s="23" t="s">
        <v>801</v>
      </c>
      <c r="C596" s="28" t="s">
        <v>802</v>
      </c>
      <c r="D596" s="44" t="s">
        <v>4688</v>
      </c>
      <c r="F596" s="44" t="s">
        <v>274</v>
      </c>
      <c r="H596" s="118">
        <v>5.0000000000000001E-3</v>
      </c>
      <c r="I596" s="118">
        <v>5.0000000000000001E-3</v>
      </c>
      <c r="J596" s="118">
        <v>5.0000000000000001E-3</v>
      </c>
      <c r="K596" s="118">
        <v>5.0000000000000001E-3</v>
      </c>
      <c r="L596" s="118">
        <v>5.0000000000000001E-3</v>
      </c>
      <c r="M596" s="118">
        <v>5.0000000000000001E-3</v>
      </c>
      <c r="N596" s="118">
        <v>5.0000000000000001E-3</v>
      </c>
      <c r="O596" s="118">
        <v>5.0000000000000001E-3</v>
      </c>
      <c r="P596" s="118">
        <v>5.0000000000000001E-3</v>
      </c>
      <c r="Q596" s="118">
        <v>5.0000000000000001E-3</v>
      </c>
      <c r="R596" s="118">
        <v>5.0000000000000001E-3</v>
      </c>
      <c r="S596" s="118">
        <v>5.0000000000000001E-3</v>
      </c>
      <c r="T596" s="118">
        <v>5.0000000000000001E-3</v>
      </c>
      <c r="V596" s="63" t="s">
        <v>4698</v>
      </c>
    </row>
    <row r="597" spans="2:22" x14ac:dyDescent="0.25">
      <c r="B597" s="23" t="s">
        <v>1532</v>
      </c>
      <c r="C597" s="28" t="s">
        <v>799</v>
      </c>
      <c r="D597" s="44" t="s">
        <v>4688</v>
      </c>
      <c r="F597" s="44" t="s">
        <v>274</v>
      </c>
      <c r="H597" s="118">
        <v>0.05</v>
      </c>
      <c r="I597" s="118">
        <v>0.05</v>
      </c>
      <c r="J597" s="118">
        <v>0.05</v>
      </c>
      <c r="K597" s="118">
        <v>0.05</v>
      </c>
      <c r="L597" s="118">
        <v>0.05</v>
      </c>
      <c r="M597" s="118">
        <v>0.05</v>
      </c>
      <c r="N597" s="118">
        <v>0.05</v>
      </c>
      <c r="O597" s="118">
        <v>0.05</v>
      </c>
      <c r="P597" s="118">
        <v>0.05</v>
      </c>
      <c r="Q597" s="118">
        <v>0.05</v>
      </c>
      <c r="R597" s="118">
        <v>0.05</v>
      </c>
      <c r="S597" s="118">
        <v>0.05</v>
      </c>
      <c r="T597" s="118">
        <v>0.05</v>
      </c>
      <c r="V597" s="63" t="s">
        <v>4698</v>
      </c>
    </row>
    <row r="598" spans="2:22" x14ac:dyDescent="0.25">
      <c r="B598" s="23" t="s">
        <v>1533</v>
      </c>
      <c r="C598" s="28" t="s">
        <v>1360</v>
      </c>
      <c r="D598" s="44" t="s">
        <v>4688</v>
      </c>
      <c r="F598" s="44" t="s">
        <v>274</v>
      </c>
      <c r="H598" s="118">
        <v>0.105</v>
      </c>
      <c r="I598" s="118">
        <v>0.105</v>
      </c>
      <c r="J598" s="118">
        <v>0.105</v>
      </c>
      <c r="K598" s="118">
        <v>0.105</v>
      </c>
      <c r="L598" s="118">
        <v>0.105</v>
      </c>
      <c r="M598" s="118">
        <v>0.105</v>
      </c>
      <c r="N598" s="118">
        <v>0.105</v>
      </c>
      <c r="O598" s="118">
        <v>0.105</v>
      </c>
      <c r="P598" s="118">
        <v>0.105</v>
      </c>
      <c r="Q598" s="118">
        <v>0.105</v>
      </c>
      <c r="R598" s="118">
        <v>0.105</v>
      </c>
      <c r="S598" s="118">
        <v>0.105</v>
      </c>
      <c r="T598" s="118">
        <v>0.105</v>
      </c>
      <c r="V598" s="63" t="s">
        <v>4698</v>
      </c>
    </row>
    <row r="599" spans="2:22" x14ac:dyDescent="0.25">
      <c r="B599" s="63" t="s">
        <v>1535</v>
      </c>
    </row>
    <row r="601" spans="2:22" x14ac:dyDescent="0.25">
      <c r="B601" s="58" t="s">
        <v>1536</v>
      </c>
      <c r="C601" s="19"/>
      <c r="D601" s="19"/>
      <c r="E601" s="19"/>
      <c r="F601" s="19"/>
      <c r="G601" s="19"/>
      <c r="H601" s="19"/>
      <c r="I601" s="19"/>
      <c r="J601" s="19"/>
      <c r="K601" s="19"/>
      <c r="L601" s="19"/>
      <c r="M601" s="19"/>
      <c r="N601" s="19"/>
      <c r="O601" s="19"/>
      <c r="P601" s="19"/>
      <c r="Q601" s="19"/>
      <c r="R601" s="19"/>
      <c r="S601" s="19"/>
      <c r="T601" s="19"/>
      <c r="U601" s="19"/>
      <c r="V601" s="19"/>
    </row>
    <row r="602" spans="2:22" x14ac:dyDescent="0.25">
      <c r="B602" s="63" t="s">
        <v>1537</v>
      </c>
    </row>
    <row r="603" spans="2:22" x14ac:dyDescent="0.25">
      <c r="B603" s="42" t="s">
        <v>1538</v>
      </c>
    </row>
    <row r="604" spans="2:22" x14ac:dyDescent="0.25">
      <c r="B604" s="59" t="s">
        <v>1539</v>
      </c>
      <c r="C604" s="59" t="s">
        <v>466</v>
      </c>
      <c r="D604" s="59" t="s">
        <v>4429</v>
      </c>
      <c r="E604" s="59" t="s">
        <v>468</v>
      </c>
      <c r="F604" s="59" t="s">
        <v>469</v>
      </c>
      <c r="G604" s="80" t="s">
        <v>628</v>
      </c>
      <c r="H604" s="81">
        <v>2024</v>
      </c>
      <c r="I604" s="81">
        <v>2025</v>
      </c>
      <c r="J604" s="81">
        <v>2026</v>
      </c>
      <c r="K604" s="81">
        <v>2027</v>
      </c>
      <c r="L604" s="81">
        <v>2028</v>
      </c>
      <c r="M604" s="81">
        <v>2029</v>
      </c>
      <c r="N604" s="81">
        <v>2030</v>
      </c>
      <c r="O604" s="81">
        <v>2031</v>
      </c>
      <c r="P604" s="81">
        <v>2032</v>
      </c>
      <c r="Q604" s="81">
        <v>2033</v>
      </c>
      <c r="R604" s="81">
        <v>2034</v>
      </c>
      <c r="S604" s="81">
        <v>2035</v>
      </c>
      <c r="T604" s="81">
        <v>2036</v>
      </c>
      <c r="U604" s="59"/>
      <c r="V604" s="59" t="s">
        <v>4430</v>
      </c>
    </row>
    <row r="605" spans="2:22" x14ac:dyDescent="0.25">
      <c r="B605" s="23" t="s">
        <v>1540</v>
      </c>
      <c r="C605" s="28" t="s">
        <v>1541</v>
      </c>
      <c r="D605" s="44" t="s">
        <v>4699</v>
      </c>
      <c r="E605" s="121" t="s">
        <v>1542</v>
      </c>
      <c r="F605" s="72" t="s">
        <v>274</v>
      </c>
      <c r="V605" s="63" t="s">
        <v>1543</v>
      </c>
    </row>
    <row r="606" spans="2:22" x14ac:dyDescent="0.25">
      <c r="B606" s="23" t="s">
        <v>1544</v>
      </c>
      <c r="C606" s="28" t="s">
        <v>292</v>
      </c>
      <c r="D606" s="44" t="s">
        <v>4699</v>
      </c>
      <c r="E606" s="122"/>
      <c r="F606" s="72" t="s">
        <v>274</v>
      </c>
      <c r="V606" s="63" t="s">
        <v>1545</v>
      </c>
    </row>
    <row r="607" spans="2:22" x14ac:dyDescent="0.25">
      <c r="B607" s="23" t="s">
        <v>1546</v>
      </c>
      <c r="C607" s="28" t="s">
        <v>613</v>
      </c>
      <c r="D607" s="44" t="s">
        <v>4699</v>
      </c>
      <c r="E607" s="123"/>
      <c r="F607" s="72" t="s">
        <v>274</v>
      </c>
      <c r="V607" s="63" t="s">
        <v>1547</v>
      </c>
    </row>
    <row r="608" spans="2:22" x14ac:dyDescent="0.25">
      <c r="B608" s="23" t="s">
        <v>1495</v>
      </c>
      <c r="C608" s="28" t="s">
        <v>1496</v>
      </c>
      <c r="D608" s="44" t="s">
        <v>4699</v>
      </c>
      <c r="E608" s="124"/>
      <c r="F608" s="72" t="s">
        <v>274</v>
      </c>
      <c r="V608" s="63" t="s">
        <v>1548</v>
      </c>
    </row>
    <row r="609" spans="2:22" x14ac:dyDescent="0.25">
      <c r="B609" s="23" t="s">
        <v>1549</v>
      </c>
      <c r="C609" s="28" t="s">
        <v>806</v>
      </c>
      <c r="D609" s="44" t="s">
        <v>4699</v>
      </c>
      <c r="E609" s="125"/>
      <c r="F609" s="72" t="s">
        <v>274</v>
      </c>
      <c r="V609" s="63" t="s">
        <v>1550</v>
      </c>
    </row>
    <row r="610" spans="2:22" x14ac:dyDescent="0.25">
      <c r="B610" s="23" t="s">
        <v>1508</v>
      </c>
      <c r="C610" s="28" t="s">
        <v>292</v>
      </c>
      <c r="D610" s="44" t="s">
        <v>4699</v>
      </c>
      <c r="E610" s="122"/>
      <c r="F610" s="72" t="s">
        <v>274</v>
      </c>
      <c r="V610" s="63" t="s">
        <v>1551</v>
      </c>
    </row>
    <row r="611" spans="2:22" x14ac:dyDescent="0.25">
      <c r="B611" s="23" t="s">
        <v>1510</v>
      </c>
      <c r="C611" s="28" t="s">
        <v>816</v>
      </c>
      <c r="D611" s="44" t="s">
        <v>4699</v>
      </c>
      <c r="E611" s="126"/>
      <c r="F611" s="72" t="s">
        <v>274</v>
      </c>
      <c r="V611" s="63" t="s">
        <v>1552</v>
      </c>
    </row>
    <row r="612" spans="2:22" x14ac:dyDescent="0.25">
      <c r="B612" s="23" t="s">
        <v>1511</v>
      </c>
      <c r="C612" s="28" t="s">
        <v>816</v>
      </c>
      <c r="D612" s="44" t="s">
        <v>4699</v>
      </c>
      <c r="E612" s="126"/>
      <c r="F612" s="72" t="s">
        <v>274</v>
      </c>
      <c r="V612" s="63" t="s">
        <v>1552</v>
      </c>
    </row>
    <row r="613" spans="2:22" x14ac:dyDescent="0.25">
      <c r="B613" s="23" t="s">
        <v>1553</v>
      </c>
      <c r="C613" s="28" t="s">
        <v>1340</v>
      </c>
      <c r="D613" s="44" t="s">
        <v>4699</v>
      </c>
      <c r="E613" s="127"/>
      <c r="F613" s="72" t="s">
        <v>274</v>
      </c>
      <c r="V613" s="63" t="s">
        <v>1554</v>
      </c>
    </row>
    <row r="614" spans="2:22" x14ac:dyDescent="0.25">
      <c r="B614" s="23" t="s">
        <v>1555</v>
      </c>
      <c r="C614" s="28" t="s">
        <v>1340</v>
      </c>
      <c r="D614" s="44" t="s">
        <v>4699</v>
      </c>
      <c r="E614" s="127"/>
      <c r="F614" s="72" t="s">
        <v>274</v>
      </c>
      <c r="V614" s="63" t="s">
        <v>1556</v>
      </c>
    </row>
    <row r="615" spans="2:22" x14ac:dyDescent="0.25">
      <c r="B615" s="23" t="s">
        <v>1557</v>
      </c>
      <c r="C615" s="28" t="s">
        <v>1518</v>
      </c>
      <c r="D615" s="44" t="s">
        <v>4699</v>
      </c>
      <c r="F615" s="72" t="s">
        <v>274</v>
      </c>
      <c r="H615" s="122"/>
      <c r="I615" s="122"/>
      <c r="J615" s="122"/>
      <c r="K615" s="122"/>
      <c r="L615" s="122"/>
      <c r="M615" s="122"/>
      <c r="N615" s="122"/>
      <c r="O615" s="122"/>
      <c r="P615" s="122"/>
      <c r="Q615" s="122"/>
      <c r="R615" s="122"/>
      <c r="S615" s="122"/>
      <c r="T615" s="122"/>
      <c r="V615" s="63" t="s">
        <v>1558</v>
      </c>
    </row>
    <row r="616" spans="2:22" x14ac:dyDescent="0.25">
      <c r="B616" s="23" t="s">
        <v>1559</v>
      </c>
      <c r="C616" s="28" t="s">
        <v>647</v>
      </c>
      <c r="D616" s="44" t="s">
        <v>4699</v>
      </c>
      <c r="F616" s="72" t="s">
        <v>274</v>
      </c>
      <c r="H616" s="124"/>
      <c r="I616" s="124"/>
      <c r="J616" s="124"/>
      <c r="K616" s="124"/>
      <c r="L616" s="124"/>
      <c r="M616" s="124"/>
      <c r="N616" s="124"/>
      <c r="O616" s="124"/>
      <c r="P616" s="124"/>
      <c r="Q616" s="124"/>
      <c r="R616" s="124"/>
      <c r="S616" s="124"/>
      <c r="T616" s="124"/>
      <c r="V616" s="63" t="s">
        <v>1560</v>
      </c>
    </row>
    <row r="617" spans="2:22" x14ac:dyDescent="0.25">
      <c r="B617" s="23" t="s">
        <v>1561</v>
      </c>
      <c r="C617" s="28" t="s">
        <v>647</v>
      </c>
      <c r="D617" s="44" t="s">
        <v>4699</v>
      </c>
      <c r="F617" s="72" t="s">
        <v>274</v>
      </c>
      <c r="H617" s="124"/>
      <c r="I617" s="124"/>
      <c r="J617" s="124"/>
      <c r="K617" s="124"/>
      <c r="L617" s="124"/>
      <c r="M617" s="124"/>
      <c r="N617" s="124"/>
      <c r="O617" s="124"/>
      <c r="P617" s="124"/>
      <c r="Q617" s="124"/>
      <c r="R617" s="124"/>
      <c r="S617" s="124"/>
      <c r="T617" s="124"/>
      <c r="V617" s="63" t="s">
        <v>1562</v>
      </c>
    </row>
    <row r="618" spans="2:22" x14ac:dyDescent="0.25">
      <c r="B618" s="23" t="s">
        <v>1563</v>
      </c>
      <c r="C618" s="28" t="s">
        <v>1530</v>
      </c>
      <c r="D618" s="44" t="s">
        <v>4699</v>
      </c>
      <c r="F618" s="72" t="s">
        <v>274</v>
      </c>
      <c r="H618" s="125"/>
      <c r="I618" s="125"/>
      <c r="J618" s="125"/>
      <c r="K618" s="125"/>
      <c r="L618" s="125"/>
      <c r="M618" s="125"/>
      <c r="N618" s="125"/>
      <c r="O618" s="125"/>
      <c r="P618" s="125"/>
      <c r="Q618" s="125"/>
      <c r="R618" s="125"/>
      <c r="S618" s="125"/>
      <c r="T618" s="125"/>
      <c r="V618" s="63" t="s">
        <v>1564</v>
      </c>
    </row>
    <row r="619" spans="2:22" x14ac:dyDescent="0.25">
      <c r="B619" s="23" t="s">
        <v>1565</v>
      </c>
      <c r="C619" s="28" t="s">
        <v>1399</v>
      </c>
      <c r="D619" s="44" t="s">
        <v>4699</v>
      </c>
      <c r="F619" s="72" t="s">
        <v>274</v>
      </c>
      <c r="H619" s="122"/>
      <c r="I619" s="122"/>
      <c r="J619" s="122"/>
      <c r="K619" s="122"/>
      <c r="L619" s="122"/>
      <c r="M619" s="122"/>
      <c r="N619" s="122"/>
      <c r="O619" s="122"/>
      <c r="P619" s="122"/>
      <c r="Q619" s="122"/>
      <c r="R619" s="122"/>
      <c r="S619" s="122"/>
      <c r="T619" s="122"/>
      <c r="V619" s="63" t="s">
        <v>1566</v>
      </c>
    </row>
    <row r="620" spans="2:22" x14ac:dyDescent="0.25">
      <c r="B620" s="21" t="s">
        <v>1567</v>
      </c>
    </row>
    <row r="621" spans="2:22" x14ac:dyDescent="0.25">
      <c r="B621" s="70" t="s">
        <v>1568</v>
      </c>
      <c r="E621" s="129">
        <f>IF(LEN(TRIM(E605&amp;""))&gt;0,1,0)</f>
        <v>1</v>
      </c>
    </row>
    <row r="622" spans="2:22" x14ac:dyDescent="0.25">
      <c r="B622" s="70" t="s">
        <v>1569</v>
      </c>
      <c r="E622" s="129">
        <f>IF(AND(ISNUMBER(E606),N(E606)&gt;0,N(E606)&lt;=1),1,0)</f>
        <v>0</v>
      </c>
    </row>
    <row r="623" spans="2:22" x14ac:dyDescent="0.25">
      <c r="B623" s="70" t="s">
        <v>1570</v>
      </c>
      <c r="E623" s="129">
        <f>IF(AND(ISNUMBER(E607),YEAR(N(E607))&gt;=2026,YEAR(N(E607))&lt;=2036),1,0)</f>
        <v>0</v>
      </c>
    </row>
    <row r="624" spans="2:22" x14ac:dyDescent="0.25">
      <c r="B624" s="70" t="s">
        <v>1571</v>
      </c>
      <c r="E624" s="129">
        <f>IF(AND(ISNUMBER(E608),N(E608)&gt;0),1,0)</f>
        <v>0</v>
      </c>
    </row>
    <row r="625" spans="2:22" x14ac:dyDescent="0.25">
      <c r="B625" s="70" t="s">
        <v>1572</v>
      </c>
      <c r="E625" s="129">
        <f>IF(AND(ISNUMBER(E607),SUMPRODUCT(--('Revenue Calculation'!$H$7:$T$7&gt;=YEAR(N(E607))),--ISNUMBER(H615:T615))=2036-YEAR(N(E607))+1),1,0)</f>
        <v>0</v>
      </c>
    </row>
    <row r="626" spans="2:22" x14ac:dyDescent="0.25">
      <c r="B626" s="70" t="s">
        <v>1573</v>
      </c>
      <c r="E626" s="129">
        <f>IF(AND(ISNUMBER(E607),SUMPRODUCT(--('Revenue Calculation'!$H$7:$T$7&gt;=YEAR(N(E607))),--ISNUMBER(H616:T616))=2036-YEAR(N(E607))+1),1,0)</f>
        <v>0</v>
      </c>
    </row>
    <row r="627" spans="2:22" x14ac:dyDescent="0.25">
      <c r="B627" s="70" t="s">
        <v>1574</v>
      </c>
      <c r="E627" s="129">
        <f>IF(AND(ISNUMBER(E607),SUMPRODUCT(--('Revenue Calculation'!$H$7:$T$7&gt;=YEAR(N(E607))),--ISNUMBER(H617:T617))=2036-YEAR(N(E607))+1),1,0)</f>
        <v>0</v>
      </c>
    </row>
    <row r="628" spans="2:22" x14ac:dyDescent="0.25">
      <c r="B628" s="70" t="s">
        <v>1575</v>
      </c>
      <c r="E628" s="129">
        <f>IF(AND(ISNUMBER(E607),SUMPRODUCT(--('Revenue Calculation'!$H$7:$T$7&gt;=YEAR(N(E607))),--ISNUMBER(H618:T618))=2036-YEAR(N(E607))+1),1,0)</f>
        <v>0</v>
      </c>
    </row>
    <row r="629" spans="2:22" x14ac:dyDescent="0.25">
      <c r="B629" s="70" t="s">
        <v>1576</v>
      </c>
      <c r="E629" s="129">
        <f>IF(ISNUMBER(E609),1,0)</f>
        <v>0</v>
      </c>
    </row>
    <row r="630" spans="2:22" x14ac:dyDescent="0.25">
      <c r="B630" s="70" t="s">
        <v>1577</v>
      </c>
      <c r="E630" s="129">
        <f>IF(ABS(SUM(H619:T619)-1)&lt;0.0001,1,0)</f>
        <v>0</v>
      </c>
    </row>
    <row r="631" spans="2:22" x14ac:dyDescent="0.25">
      <c r="B631" s="70" t="s">
        <v>1578</v>
      </c>
      <c r="E631" s="129">
        <f>IF(AND(ISNUMBER(E610),N(E610)&gt;=0,N(E610)&lt;=1,N(E611)&gt;0,N(E612)&gt;0),1,0)</f>
        <v>0</v>
      </c>
    </row>
    <row r="632" spans="2:22" x14ac:dyDescent="0.25">
      <c r="B632" s="70" t="s">
        <v>1579</v>
      </c>
      <c r="E632" s="129">
        <f>IF(AND(OR(ISBLANK(E613),N(E613)&gt;=0),OR(ISBLANK(E614),N(E614)&gt;=0)),1,0)</f>
        <v>1</v>
      </c>
    </row>
    <row r="634" spans="2:22" x14ac:dyDescent="0.25">
      <c r="E634" s="73">
        <f>MIN(E621:E632)</f>
        <v>0</v>
      </c>
    </row>
    <row r="637" spans="2:22" x14ac:dyDescent="0.25">
      <c r="B637" s="42" t="s">
        <v>1583</v>
      </c>
    </row>
    <row r="638" spans="2:22" x14ac:dyDescent="0.25">
      <c r="B638" s="59" t="s">
        <v>1584</v>
      </c>
      <c r="C638" s="59" t="s">
        <v>466</v>
      </c>
      <c r="D638" s="59" t="s">
        <v>4429</v>
      </c>
      <c r="E638" s="59" t="s">
        <v>468</v>
      </c>
      <c r="F638" s="59" t="s">
        <v>469</v>
      </c>
      <c r="G638" s="80" t="s">
        <v>628</v>
      </c>
      <c r="H638" s="81">
        <v>2024</v>
      </c>
      <c r="I638" s="81">
        <v>2025</v>
      </c>
      <c r="J638" s="81">
        <v>2026</v>
      </c>
      <c r="K638" s="81">
        <v>2027</v>
      </c>
      <c r="L638" s="81">
        <v>2028</v>
      </c>
      <c r="M638" s="81">
        <v>2029</v>
      </c>
      <c r="N638" s="81">
        <v>2030</v>
      </c>
      <c r="O638" s="81">
        <v>2031</v>
      </c>
      <c r="P638" s="81">
        <v>2032</v>
      </c>
      <c r="Q638" s="81">
        <v>2033</v>
      </c>
      <c r="R638" s="81">
        <v>2034</v>
      </c>
      <c r="S638" s="81">
        <v>2035</v>
      </c>
      <c r="T638" s="81">
        <v>2036</v>
      </c>
      <c r="U638" s="59"/>
      <c r="V638" s="59" t="s">
        <v>4430</v>
      </c>
    </row>
    <row r="639" spans="2:22" x14ac:dyDescent="0.25">
      <c r="B639" s="23" t="s">
        <v>1540</v>
      </c>
      <c r="C639" s="28" t="s">
        <v>1541</v>
      </c>
      <c r="D639" s="44" t="s">
        <v>4699</v>
      </c>
      <c r="E639" s="121" t="s">
        <v>1585</v>
      </c>
      <c r="F639" s="72" t="s">
        <v>274</v>
      </c>
      <c r="V639" s="63" t="s">
        <v>1543</v>
      </c>
    </row>
    <row r="640" spans="2:22" x14ac:dyDescent="0.25">
      <c r="B640" s="23" t="s">
        <v>1544</v>
      </c>
      <c r="C640" s="28" t="s">
        <v>292</v>
      </c>
      <c r="D640" s="44" t="s">
        <v>4699</v>
      </c>
      <c r="E640" s="122"/>
      <c r="F640" s="72" t="s">
        <v>274</v>
      </c>
      <c r="V640" s="63" t="s">
        <v>1545</v>
      </c>
    </row>
    <row r="641" spans="2:22" x14ac:dyDescent="0.25">
      <c r="B641" s="23" t="s">
        <v>1546</v>
      </c>
      <c r="C641" s="28" t="s">
        <v>613</v>
      </c>
      <c r="D641" s="44" t="s">
        <v>4699</v>
      </c>
      <c r="E641" s="123"/>
      <c r="F641" s="72" t="s">
        <v>274</v>
      </c>
      <c r="V641" s="63" t="s">
        <v>1547</v>
      </c>
    </row>
    <row r="642" spans="2:22" x14ac:dyDescent="0.25">
      <c r="B642" s="23" t="s">
        <v>1495</v>
      </c>
      <c r="C642" s="28" t="s">
        <v>1496</v>
      </c>
      <c r="D642" s="44" t="s">
        <v>4699</v>
      </c>
      <c r="E642" s="124"/>
      <c r="F642" s="72" t="s">
        <v>274</v>
      </c>
      <c r="V642" s="63" t="s">
        <v>1548</v>
      </c>
    </row>
    <row r="643" spans="2:22" x14ac:dyDescent="0.25">
      <c r="B643" s="23" t="s">
        <v>1549</v>
      </c>
      <c r="C643" s="28" t="s">
        <v>806</v>
      </c>
      <c r="D643" s="44" t="s">
        <v>4699</v>
      </c>
      <c r="E643" s="125"/>
      <c r="F643" s="72" t="s">
        <v>274</v>
      </c>
      <c r="V643" s="63" t="s">
        <v>1550</v>
      </c>
    </row>
    <row r="644" spans="2:22" x14ac:dyDescent="0.25">
      <c r="B644" s="23" t="s">
        <v>1508</v>
      </c>
      <c r="C644" s="28" t="s">
        <v>292</v>
      </c>
      <c r="D644" s="44" t="s">
        <v>4699</v>
      </c>
      <c r="E644" s="122"/>
      <c r="F644" s="72" t="s">
        <v>274</v>
      </c>
      <c r="V644" s="63" t="s">
        <v>1551</v>
      </c>
    </row>
    <row r="645" spans="2:22" x14ac:dyDescent="0.25">
      <c r="B645" s="23" t="s">
        <v>1510</v>
      </c>
      <c r="C645" s="28" t="s">
        <v>816</v>
      </c>
      <c r="D645" s="44" t="s">
        <v>4699</v>
      </c>
      <c r="E645" s="126"/>
      <c r="F645" s="72" t="s">
        <v>274</v>
      </c>
      <c r="V645" s="63" t="s">
        <v>1552</v>
      </c>
    </row>
    <row r="646" spans="2:22" x14ac:dyDescent="0.25">
      <c r="B646" s="23" t="s">
        <v>1511</v>
      </c>
      <c r="C646" s="28" t="s">
        <v>816</v>
      </c>
      <c r="D646" s="44" t="s">
        <v>4699</v>
      </c>
      <c r="E646" s="126"/>
      <c r="F646" s="72" t="s">
        <v>274</v>
      </c>
      <c r="V646" s="63" t="s">
        <v>1552</v>
      </c>
    </row>
    <row r="647" spans="2:22" x14ac:dyDescent="0.25">
      <c r="B647" s="23" t="s">
        <v>1553</v>
      </c>
      <c r="C647" s="28" t="s">
        <v>1340</v>
      </c>
      <c r="D647" s="44" t="s">
        <v>4699</v>
      </c>
      <c r="E647" s="127"/>
      <c r="F647" s="72" t="s">
        <v>274</v>
      </c>
      <c r="V647" s="63" t="s">
        <v>1554</v>
      </c>
    </row>
    <row r="648" spans="2:22" x14ac:dyDescent="0.25">
      <c r="B648" s="23" t="s">
        <v>1555</v>
      </c>
      <c r="C648" s="28" t="s">
        <v>1340</v>
      </c>
      <c r="D648" s="44" t="s">
        <v>4699</v>
      </c>
      <c r="E648" s="127"/>
      <c r="F648" s="72" t="s">
        <v>274</v>
      </c>
      <c r="V648" s="63" t="s">
        <v>1556</v>
      </c>
    </row>
    <row r="649" spans="2:22" x14ac:dyDescent="0.25">
      <c r="B649" s="23" t="s">
        <v>1557</v>
      </c>
      <c r="C649" s="28" t="s">
        <v>1518</v>
      </c>
      <c r="D649" s="44" t="s">
        <v>4699</v>
      </c>
      <c r="F649" s="72" t="s">
        <v>274</v>
      </c>
      <c r="H649" s="122"/>
      <c r="I649" s="122"/>
      <c r="J649" s="122"/>
      <c r="K649" s="122"/>
      <c r="L649" s="122"/>
      <c r="M649" s="122"/>
      <c r="N649" s="122"/>
      <c r="O649" s="122"/>
      <c r="P649" s="122"/>
      <c r="Q649" s="122"/>
      <c r="R649" s="122"/>
      <c r="S649" s="122"/>
      <c r="T649" s="122"/>
      <c r="V649" s="63" t="s">
        <v>1558</v>
      </c>
    </row>
    <row r="650" spans="2:22" x14ac:dyDescent="0.25">
      <c r="B650" s="23" t="s">
        <v>1559</v>
      </c>
      <c r="C650" s="28" t="s">
        <v>647</v>
      </c>
      <c r="D650" s="44" t="s">
        <v>4699</v>
      </c>
      <c r="F650" s="72" t="s">
        <v>274</v>
      </c>
      <c r="H650" s="124"/>
      <c r="I650" s="124"/>
      <c r="J650" s="124"/>
      <c r="K650" s="124"/>
      <c r="L650" s="124"/>
      <c r="M650" s="124"/>
      <c r="N650" s="124"/>
      <c r="O650" s="124"/>
      <c r="P650" s="124"/>
      <c r="Q650" s="124"/>
      <c r="R650" s="124"/>
      <c r="S650" s="124"/>
      <c r="T650" s="124"/>
      <c r="V650" s="63" t="s">
        <v>1560</v>
      </c>
    </row>
    <row r="651" spans="2:22" x14ac:dyDescent="0.25">
      <c r="B651" s="23" t="s">
        <v>1561</v>
      </c>
      <c r="C651" s="28" t="s">
        <v>647</v>
      </c>
      <c r="D651" s="44" t="s">
        <v>4699</v>
      </c>
      <c r="F651" s="72" t="s">
        <v>274</v>
      </c>
      <c r="H651" s="124"/>
      <c r="I651" s="124"/>
      <c r="J651" s="124"/>
      <c r="K651" s="124"/>
      <c r="L651" s="124"/>
      <c r="M651" s="124"/>
      <c r="N651" s="124"/>
      <c r="O651" s="124"/>
      <c r="P651" s="124"/>
      <c r="Q651" s="124"/>
      <c r="R651" s="124"/>
      <c r="S651" s="124"/>
      <c r="T651" s="124"/>
      <c r="V651" s="63" t="s">
        <v>1562</v>
      </c>
    </row>
    <row r="652" spans="2:22" x14ac:dyDescent="0.25">
      <c r="B652" s="23" t="s">
        <v>1563</v>
      </c>
      <c r="C652" s="28" t="s">
        <v>1530</v>
      </c>
      <c r="D652" s="44" t="s">
        <v>4699</v>
      </c>
      <c r="F652" s="72" t="s">
        <v>274</v>
      </c>
      <c r="H652" s="125"/>
      <c r="I652" s="125"/>
      <c r="J652" s="125"/>
      <c r="K652" s="125"/>
      <c r="L652" s="125"/>
      <c r="M652" s="125"/>
      <c r="N652" s="125"/>
      <c r="O652" s="125"/>
      <c r="P652" s="125"/>
      <c r="Q652" s="125"/>
      <c r="R652" s="125"/>
      <c r="S652" s="125"/>
      <c r="T652" s="125"/>
      <c r="V652" s="63" t="s">
        <v>1564</v>
      </c>
    </row>
    <row r="653" spans="2:22" x14ac:dyDescent="0.25">
      <c r="B653" s="23" t="s">
        <v>1565</v>
      </c>
      <c r="C653" s="28" t="s">
        <v>1399</v>
      </c>
      <c r="D653" s="44" t="s">
        <v>4699</v>
      </c>
      <c r="F653" s="72" t="s">
        <v>274</v>
      </c>
      <c r="H653" s="122"/>
      <c r="I653" s="122"/>
      <c r="J653" s="122"/>
      <c r="K653" s="122"/>
      <c r="L653" s="122"/>
      <c r="M653" s="122"/>
      <c r="N653" s="122"/>
      <c r="O653" s="122"/>
      <c r="P653" s="122"/>
      <c r="Q653" s="122"/>
      <c r="R653" s="122"/>
      <c r="S653" s="122"/>
      <c r="T653" s="122"/>
      <c r="V653" s="63" t="s">
        <v>1566</v>
      </c>
    </row>
    <row r="654" spans="2:22" x14ac:dyDescent="0.25">
      <c r="B654" s="21" t="s">
        <v>1586</v>
      </c>
    </row>
    <row r="655" spans="2:22" x14ac:dyDescent="0.25">
      <c r="B655" s="70" t="s">
        <v>1568</v>
      </c>
      <c r="E655" s="129">
        <f>IF(LEN(TRIM(E639&amp;""))&gt;0,1,0)</f>
        <v>1</v>
      </c>
    </row>
    <row r="656" spans="2:22" x14ac:dyDescent="0.25">
      <c r="B656" s="70" t="s">
        <v>1569</v>
      </c>
      <c r="E656" s="129">
        <f>IF(AND(ISNUMBER(E640),N(E640)&gt;0,N(E640)&lt;=1),1,0)</f>
        <v>0</v>
      </c>
    </row>
    <row r="657" spans="2:22" x14ac:dyDescent="0.25">
      <c r="B657" s="70" t="s">
        <v>1570</v>
      </c>
      <c r="E657" s="129">
        <f>IF(AND(ISNUMBER(E641),YEAR(N(E641))&gt;=2026,YEAR(N(E641))&lt;=2036),1,0)</f>
        <v>0</v>
      </c>
    </row>
    <row r="658" spans="2:22" x14ac:dyDescent="0.25">
      <c r="B658" s="70" t="s">
        <v>1571</v>
      </c>
      <c r="E658" s="129">
        <f>IF(AND(ISNUMBER(E642),N(E642)&gt;0),1,0)</f>
        <v>0</v>
      </c>
    </row>
    <row r="659" spans="2:22" x14ac:dyDescent="0.25">
      <c r="B659" s="70" t="s">
        <v>1572</v>
      </c>
      <c r="E659" s="129">
        <f>IF(AND(ISNUMBER(E641),SUMPRODUCT(--('Revenue Calculation'!$H$7:$T$7&gt;=YEAR(N(E641))),--ISNUMBER(H649:T649))=2036-YEAR(N(E641))+1),1,0)</f>
        <v>0</v>
      </c>
    </row>
    <row r="660" spans="2:22" x14ac:dyDescent="0.25">
      <c r="B660" s="70" t="s">
        <v>1573</v>
      </c>
      <c r="E660" s="129">
        <f>IF(AND(ISNUMBER(E641),SUMPRODUCT(--('Revenue Calculation'!$H$7:$T$7&gt;=YEAR(N(E641))),--ISNUMBER(H650:T650))=2036-YEAR(N(E641))+1),1,0)</f>
        <v>0</v>
      </c>
    </row>
    <row r="661" spans="2:22" x14ac:dyDescent="0.25">
      <c r="B661" s="70" t="s">
        <v>1574</v>
      </c>
      <c r="E661" s="129">
        <f>IF(AND(ISNUMBER(E641),SUMPRODUCT(--('Revenue Calculation'!$H$7:$T$7&gt;=YEAR(N(E641))),--ISNUMBER(H651:T651))=2036-YEAR(N(E641))+1),1,0)</f>
        <v>0</v>
      </c>
    </row>
    <row r="662" spans="2:22" x14ac:dyDescent="0.25">
      <c r="B662" s="70" t="s">
        <v>1575</v>
      </c>
      <c r="E662" s="129">
        <f>IF(AND(ISNUMBER(E641),SUMPRODUCT(--('Revenue Calculation'!$H$7:$T$7&gt;=YEAR(N(E641))),--ISNUMBER(H652:T652))=2036-YEAR(N(E641))+1),1,0)</f>
        <v>0</v>
      </c>
    </row>
    <row r="663" spans="2:22" x14ac:dyDescent="0.25">
      <c r="B663" s="70" t="s">
        <v>1576</v>
      </c>
      <c r="E663" s="129">
        <f>IF(ISNUMBER(E643),1,0)</f>
        <v>0</v>
      </c>
    </row>
    <row r="664" spans="2:22" x14ac:dyDescent="0.25">
      <c r="B664" s="70" t="s">
        <v>1577</v>
      </c>
      <c r="E664" s="129">
        <f>IF(ABS(SUM(H653:T653)-1)&lt;0.0001,1,0)</f>
        <v>0</v>
      </c>
    </row>
    <row r="665" spans="2:22" x14ac:dyDescent="0.25">
      <c r="B665" s="70" t="s">
        <v>1578</v>
      </c>
      <c r="E665" s="129">
        <f>IF(AND(ISNUMBER(E644),N(E644)&gt;=0,N(E644)&lt;=1,N(E645)&gt;0,N(E646)&gt;0),1,0)</f>
        <v>0</v>
      </c>
    </row>
    <row r="666" spans="2:22" x14ac:dyDescent="0.25">
      <c r="B666" s="70" t="s">
        <v>1579</v>
      </c>
      <c r="E666" s="129">
        <f>IF(AND(OR(ISBLANK(E647),N(E647)&gt;=0),OR(ISBLANK(E648),N(E648)&gt;=0)),1,0)</f>
        <v>1</v>
      </c>
    </row>
    <row r="668" spans="2:22" x14ac:dyDescent="0.25">
      <c r="E668" s="73">
        <f>MIN(E655:E666)</f>
        <v>0</v>
      </c>
    </row>
    <row r="671" spans="2:22" x14ac:dyDescent="0.25">
      <c r="B671" s="42" t="s">
        <v>1590</v>
      </c>
    </row>
    <row r="672" spans="2:22" x14ac:dyDescent="0.25">
      <c r="B672" s="59" t="s">
        <v>1591</v>
      </c>
      <c r="C672" s="59" t="s">
        <v>466</v>
      </c>
      <c r="D672" s="59" t="s">
        <v>4429</v>
      </c>
      <c r="E672" s="59" t="s">
        <v>468</v>
      </c>
      <c r="F672" s="59" t="s">
        <v>469</v>
      </c>
      <c r="G672" s="80" t="s">
        <v>628</v>
      </c>
      <c r="H672" s="81">
        <v>2024</v>
      </c>
      <c r="I672" s="81">
        <v>2025</v>
      </c>
      <c r="J672" s="81">
        <v>2026</v>
      </c>
      <c r="K672" s="81">
        <v>2027</v>
      </c>
      <c r="L672" s="81">
        <v>2028</v>
      </c>
      <c r="M672" s="81">
        <v>2029</v>
      </c>
      <c r="N672" s="81">
        <v>2030</v>
      </c>
      <c r="O672" s="81">
        <v>2031</v>
      </c>
      <c r="P672" s="81">
        <v>2032</v>
      </c>
      <c r="Q672" s="81">
        <v>2033</v>
      </c>
      <c r="R672" s="81">
        <v>2034</v>
      </c>
      <c r="S672" s="81">
        <v>2035</v>
      </c>
      <c r="T672" s="81">
        <v>2036</v>
      </c>
      <c r="U672" s="59"/>
      <c r="V672" s="59" t="s">
        <v>4430</v>
      </c>
    </row>
    <row r="673" spans="2:22" x14ac:dyDescent="0.25">
      <c r="B673" s="23" t="s">
        <v>1540</v>
      </c>
      <c r="C673" s="28" t="s">
        <v>1541</v>
      </c>
      <c r="D673" s="44" t="s">
        <v>4699</v>
      </c>
      <c r="E673" s="121" t="s">
        <v>1592</v>
      </c>
      <c r="F673" s="72" t="s">
        <v>274</v>
      </c>
      <c r="V673" s="63" t="s">
        <v>1543</v>
      </c>
    </row>
    <row r="674" spans="2:22" x14ac:dyDescent="0.25">
      <c r="B674" s="23" t="s">
        <v>1544</v>
      </c>
      <c r="C674" s="28" t="s">
        <v>292</v>
      </c>
      <c r="D674" s="44" t="s">
        <v>4699</v>
      </c>
      <c r="E674" s="122"/>
      <c r="F674" s="72" t="s">
        <v>274</v>
      </c>
      <c r="V674" s="63" t="s">
        <v>1545</v>
      </c>
    </row>
    <row r="675" spans="2:22" x14ac:dyDescent="0.25">
      <c r="B675" s="23" t="s">
        <v>1546</v>
      </c>
      <c r="C675" s="28" t="s">
        <v>613</v>
      </c>
      <c r="D675" s="44" t="s">
        <v>4699</v>
      </c>
      <c r="E675" s="123"/>
      <c r="F675" s="72" t="s">
        <v>274</v>
      </c>
      <c r="V675" s="63" t="s">
        <v>1547</v>
      </c>
    </row>
    <row r="676" spans="2:22" x14ac:dyDescent="0.25">
      <c r="B676" s="23" t="s">
        <v>1495</v>
      </c>
      <c r="C676" s="28" t="s">
        <v>1496</v>
      </c>
      <c r="D676" s="44" t="s">
        <v>4699</v>
      </c>
      <c r="E676" s="124"/>
      <c r="F676" s="72" t="s">
        <v>274</v>
      </c>
      <c r="V676" s="63" t="s">
        <v>1548</v>
      </c>
    </row>
    <row r="677" spans="2:22" x14ac:dyDescent="0.25">
      <c r="B677" s="23" t="s">
        <v>1549</v>
      </c>
      <c r="C677" s="28" t="s">
        <v>806</v>
      </c>
      <c r="D677" s="44" t="s">
        <v>4699</v>
      </c>
      <c r="E677" s="125"/>
      <c r="F677" s="72" t="s">
        <v>274</v>
      </c>
      <c r="V677" s="63" t="s">
        <v>1550</v>
      </c>
    </row>
    <row r="678" spans="2:22" x14ac:dyDescent="0.25">
      <c r="B678" s="23" t="s">
        <v>1508</v>
      </c>
      <c r="C678" s="28" t="s">
        <v>292</v>
      </c>
      <c r="D678" s="44" t="s">
        <v>4699</v>
      </c>
      <c r="E678" s="122"/>
      <c r="F678" s="72" t="s">
        <v>274</v>
      </c>
      <c r="V678" s="63" t="s">
        <v>1551</v>
      </c>
    </row>
    <row r="679" spans="2:22" x14ac:dyDescent="0.25">
      <c r="B679" s="23" t="s">
        <v>1510</v>
      </c>
      <c r="C679" s="28" t="s">
        <v>816</v>
      </c>
      <c r="D679" s="44" t="s">
        <v>4699</v>
      </c>
      <c r="E679" s="126"/>
      <c r="F679" s="72" t="s">
        <v>274</v>
      </c>
      <c r="V679" s="63" t="s">
        <v>1552</v>
      </c>
    </row>
    <row r="680" spans="2:22" x14ac:dyDescent="0.25">
      <c r="B680" s="23" t="s">
        <v>1511</v>
      </c>
      <c r="C680" s="28" t="s">
        <v>816</v>
      </c>
      <c r="D680" s="44" t="s">
        <v>4699</v>
      </c>
      <c r="E680" s="126"/>
      <c r="F680" s="72" t="s">
        <v>274</v>
      </c>
      <c r="V680" s="63" t="s">
        <v>1552</v>
      </c>
    </row>
    <row r="681" spans="2:22" x14ac:dyDescent="0.25">
      <c r="B681" s="23" t="s">
        <v>1553</v>
      </c>
      <c r="C681" s="28" t="s">
        <v>1340</v>
      </c>
      <c r="D681" s="44" t="s">
        <v>4699</v>
      </c>
      <c r="E681" s="127"/>
      <c r="F681" s="72" t="s">
        <v>274</v>
      </c>
      <c r="V681" s="63" t="s">
        <v>1554</v>
      </c>
    </row>
    <row r="682" spans="2:22" x14ac:dyDescent="0.25">
      <c r="B682" s="23" t="s">
        <v>1555</v>
      </c>
      <c r="C682" s="28" t="s">
        <v>1340</v>
      </c>
      <c r="D682" s="44" t="s">
        <v>4699</v>
      </c>
      <c r="E682" s="127"/>
      <c r="F682" s="72" t="s">
        <v>274</v>
      </c>
      <c r="V682" s="63" t="s">
        <v>1556</v>
      </c>
    </row>
    <row r="683" spans="2:22" x14ac:dyDescent="0.25">
      <c r="B683" s="23" t="s">
        <v>1557</v>
      </c>
      <c r="C683" s="28" t="s">
        <v>1518</v>
      </c>
      <c r="D683" s="44" t="s">
        <v>4699</v>
      </c>
      <c r="F683" s="72" t="s">
        <v>274</v>
      </c>
      <c r="H683" s="122"/>
      <c r="I683" s="122"/>
      <c r="J683" s="122"/>
      <c r="K683" s="122"/>
      <c r="L683" s="122"/>
      <c r="M683" s="122"/>
      <c r="N683" s="122"/>
      <c r="O683" s="122"/>
      <c r="P683" s="122"/>
      <c r="Q683" s="122"/>
      <c r="R683" s="122"/>
      <c r="S683" s="122"/>
      <c r="T683" s="122"/>
      <c r="V683" s="63" t="s">
        <v>1558</v>
      </c>
    </row>
    <row r="684" spans="2:22" x14ac:dyDescent="0.25">
      <c r="B684" s="23" t="s">
        <v>1559</v>
      </c>
      <c r="C684" s="28" t="s">
        <v>647</v>
      </c>
      <c r="D684" s="44" t="s">
        <v>4699</v>
      </c>
      <c r="F684" s="72" t="s">
        <v>274</v>
      </c>
      <c r="H684" s="124"/>
      <c r="I684" s="124"/>
      <c r="J684" s="124"/>
      <c r="K684" s="124"/>
      <c r="L684" s="124"/>
      <c r="M684" s="124"/>
      <c r="N684" s="124"/>
      <c r="O684" s="124"/>
      <c r="P684" s="124"/>
      <c r="Q684" s="124"/>
      <c r="R684" s="124"/>
      <c r="S684" s="124"/>
      <c r="T684" s="124"/>
      <c r="V684" s="63" t="s">
        <v>1560</v>
      </c>
    </row>
    <row r="685" spans="2:22" x14ac:dyDescent="0.25">
      <c r="B685" s="23" t="s">
        <v>1561</v>
      </c>
      <c r="C685" s="28" t="s">
        <v>647</v>
      </c>
      <c r="D685" s="44" t="s">
        <v>4699</v>
      </c>
      <c r="F685" s="72" t="s">
        <v>274</v>
      </c>
      <c r="H685" s="124"/>
      <c r="I685" s="124"/>
      <c r="J685" s="124"/>
      <c r="K685" s="124"/>
      <c r="L685" s="124"/>
      <c r="M685" s="124"/>
      <c r="N685" s="124"/>
      <c r="O685" s="124"/>
      <c r="P685" s="124"/>
      <c r="Q685" s="124"/>
      <c r="R685" s="124"/>
      <c r="S685" s="124"/>
      <c r="T685" s="124"/>
      <c r="V685" s="63" t="s">
        <v>1562</v>
      </c>
    </row>
    <row r="686" spans="2:22" x14ac:dyDescent="0.25">
      <c r="B686" s="23" t="s">
        <v>1563</v>
      </c>
      <c r="C686" s="28" t="s">
        <v>1530</v>
      </c>
      <c r="D686" s="44" t="s">
        <v>4699</v>
      </c>
      <c r="F686" s="72" t="s">
        <v>274</v>
      </c>
      <c r="H686" s="125"/>
      <c r="I686" s="125"/>
      <c r="J686" s="125"/>
      <c r="K686" s="125"/>
      <c r="L686" s="125"/>
      <c r="M686" s="125"/>
      <c r="N686" s="125"/>
      <c r="O686" s="125"/>
      <c r="P686" s="125"/>
      <c r="Q686" s="125"/>
      <c r="R686" s="125"/>
      <c r="S686" s="125"/>
      <c r="T686" s="125"/>
      <c r="V686" s="63" t="s">
        <v>1564</v>
      </c>
    </row>
    <row r="687" spans="2:22" x14ac:dyDescent="0.25">
      <c r="B687" s="23" t="s">
        <v>1565</v>
      </c>
      <c r="C687" s="28" t="s">
        <v>1399</v>
      </c>
      <c r="D687" s="44" t="s">
        <v>4699</v>
      </c>
      <c r="F687" s="72" t="s">
        <v>274</v>
      </c>
      <c r="H687" s="122"/>
      <c r="I687" s="122"/>
      <c r="J687" s="122"/>
      <c r="K687" s="122"/>
      <c r="L687" s="122"/>
      <c r="M687" s="122"/>
      <c r="N687" s="122"/>
      <c r="O687" s="122"/>
      <c r="P687" s="122"/>
      <c r="Q687" s="122"/>
      <c r="R687" s="122"/>
      <c r="S687" s="122"/>
      <c r="T687" s="122"/>
      <c r="V687" s="63" t="s">
        <v>1566</v>
      </c>
    </row>
    <row r="688" spans="2:22" x14ac:dyDescent="0.25">
      <c r="B688" s="21" t="s">
        <v>1593</v>
      </c>
    </row>
    <row r="689" spans="2:5" x14ac:dyDescent="0.25">
      <c r="B689" s="70" t="s">
        <v>1568</v>
      </c>
      <c r="E689" s="129">
        <f>IF(LEN(TRIM(E673&amp;""))&gt;0,1,0)</f>
        <v>1</v>
      </c>
    </row>
    <row r="690" spans="2:5" x14ac:dyDescent="0.25">
      <c r="B690" s="70" t="s">
        <v>1569</v>
      </c>
      <c r="E690" s="129">
        <f>IF(AND(ISNUMBER(E674),N(E674)&gt;0,N(E674)&lt;=1),1,0)</f>
        <v>0</v>
      </c>
    </row>
    <row r="691" spans="2:5" x14ac:dyDescent="0.25">
      <c r="B691" s="70" t="s">
        <v>1570</v>
      </c>
      <c r="E691" s="129">
        <f>IF(AND(ISNUMBER(E675),YEAR(N(E675))&gt;=2026,YEAR(N(E675))&lt;=2036),1,0)</f>
        <v>0</v>
      </c>
    </row>
    <row r="692" spans="2:5" x14ac:dyDescent="0.25">
      <c r="B692" s="70" t="s">
        <v>1571</v>
      </c>
      <c r="E692" s="129">
        <f>IF(AND(ISNUMBER(E676),N(E676)&gt;0),1,0)</f>
        <v>0</v>
      </c>
    </row>
    <row r="693" spans="2:5" x14ac:dyDescent="0.25">
      <c r="B693" s="70" t="s">
        <v>1572</v>
      </c>
      <c r="E693" s="129">
        <f>IF(AND(ISNUMBER(E675),SUMPRODUCT(--('Revenue Calculation'!$H$7:$T$7&gt;=YEAR(N(E675))),--ISNUMBER(H683:T683))=2036-YEAR(N(E675))+1),1,0)</f>
        <v>0</v>
      </c>
    </row>
    <row r="694" spans="2:5" x14ac:dyDescent="0.25">
      <c r="B694" s="70" t="s">
        <v>1573</v>
      </c>
      <c r="E694" s="129">
        <f>IF(AND(ISNUMBER(E675),SUMPRODUCT(--('Revenue Calculation'!$H$7:$T$7&gt;=YEAR(N(E675))),--ISNUMBER(H684:T684))=2036-YEAR(N(E675))+1),1,0)</f>
        <v>0</v>
      </c>
    </row>
    <row r="695" spans="2:5" x14ac:dyDescent="0.25">
      <c r="B695" s="70" t="s">
        <v>1574</v>
      </c>
      <c r="E695" s="129">
        <f>IF(AND(ISNUMBER(E675),SUMPRODUCT(--('Revenue Calculation'!$H$7:$T$7&gt;=YEAR(N(E675))),--ISNUMBER(H685:T685))=2036-YEAR(N(E675))+1),1,0)</f>
        <v>0</v>
      </c>
    </row>
    <row r="696" spans="2:5" x14ac:dyDescent="0.25">
      <c r="B696" s="70" t="s">
        <v>1575</v>
      </c>
      <c r="E696" s="129">
        <f>IF(AND(ISNUMBER(E675),SUMPRODUCT(--('Revenue Calculation'!$H$7:$T$7&gt;=YEAR(N(E675))),--ISNUMBER(H686:T686))=2036-YEAR(N(E675))+1),1,0)</f>
        <v>0</v>
      </c>
    </row>
    <row r="697" spans="2:5" x14ac:dyDescent="0.25">
      <c r="B697" s="70" t="s">
        <v>1576</v>
      </c>
      <c r="E697" s="129">
        <f>IF(ISNUMBER(E677),1,0)</f>
        <v>0</v>
      </c>
    </row>
    <row r="698" spans="2:5" x14ac:dyDescent="0.25">
      <c r="B698" s="70" t="s">
        <v>1577</v>
      </c>
      <c r="E698" s="129">
        <f>IF(ABS(SUM(H687:T687)-1)&lt;0.0001,1,0)</f>
        <v>0</v>
      </c>
    </row>
    <row r="699" spans="2:5" x14ac:dyDescent="0.25">
      <c r="B699" s="70" t="s">
        <v>1578</v>
      </c>
      <c r="E699" s="129">
        <f>IF(AND(ISNUMBER(E678),N(E678)&gt;=0,N(E678)&lt;=1,N(E679)&gt;0,N(E680)&gt;0),1,0)</f>
        <v>0</v>
      </c>
    </row>
    <row r="700" spans="2:5" x14ac:dyDescent="0.25">
      <c r="B700" s="70" t="s">
        <v>1579</v>
      </c>
      <c r="E700" s="129">
        <f>IF(AND(OR(ISBLANK(E681),N(E681)&gt;=0),OR(ISBLANK(E682),N(E682)&gt;=0)),1,0)</f>
        <v>1</v>
      </c>
    </row>
    <row r="702" spans="2:5" x14ac:dyDescent="0.25">
      <c r="E702" s="73">
        <f>MIN(E689:E700)</f>
        <v>0</v>
      </c>
    </row>
    <row r="706" spans="2:22" x14ac:dyDescent="0.25">
      <c r="B706" s="58" t="s">
        <v>1597</v>
      </c>
      <c r="C706" s="19"/>
      <c r="D706" s="19"/>
      <c r="E706" s="19"/>
      <c r="F706" s="19"/>
      <c r="G706" s="19"/>
      <c r="H706" s="19"/>
      <c r="I706" s="19"/>
      <c r="J706" s="19"/>
      <c r="K706" s="19"/>
      <c r="L706" s="19"/>
      <c r="M706" s="19"/>
      <c r="N706" s="19"/>
      <c r="O706" s="19"/>
      <c r="P706" s="19"/>
      <c r="Q706" s="19"/>
      <c r="R706" s="19"/>
      <c r="S706" s="19"/>
      <c r="T706" s="19"/>
      <c r="U706" s="19"/>
      <c r="V706" s="19"/>
    </row>
    <row r="707" spans="2:22" x14ac:dyDescent="0.25">
      <c r="B707" s="63" t="s">
        <v>1598</v>
      </c>
    </row>
    <row r="708" spans="2:22" x14ac:dyDescent="0.25">
      <c r="B708" s="63" t="s">
        <v>1599</v>
      </c>
    </row>
    <row r="709" spans="2:22" x14ac:dyDescent="0.25">
      <c r="B709" s="59" t="s">
        <v>1600</v>
      </c>
      <c r="C709" s="59" t="s">
        <v>466</v>
      </c>
      <c r="D709" s="59" t="s">
        <v>4429</v>
      </c>
      <c r="E709" s="59" t="s">
        <v>468</v>
      </c>
      <c r="F709" s="59" t="s">
        <v>469</v>
      </c>
      <c r="G709" s="80" t="s">
        <v>611</v>
      </c>
      <c r="H709" s="81">
        <v>2024</v>
      </c>
      <c r="I709" s="81">
        <v>2025</v>
      </c>
      <c r="J709" s="81">
        <v>2026</v>
      </c>
      <c r="K709" s="81">
        <v>2027</v>
      </c>
      <c r="L709" s="81">
        <v>2028</v>
      </c>
      <c r="M709" s="81">
        <v>2029</v>
      </c>
      <c r="N709" s="81">
        <v>2030</v>
      </c>
      <c r="O709" s="81">
        <v>2031</v>
      </c>
      <c r="P709" s="81">
        <v>2032</v>
      </c>
      <c r="Q709" s="81">
        <v>2033</v>
      </c>
      <c r="R709" s="81">
        <v>2034</v>
      </c>
      <c r="S709" s="81">
        <v>2035</v>
      </c>
      <c r="T709" s="81">
        <v>2036</v>
      </c>
      <c r="U709" s="59"/>
      <c r="V709" s="59" t="s">
        <v>4430</v>
      </c>
    </row>
    <row r="710" spans="2:22" x14ac:dyDescent="0.25">
      <c r="B710" s="42" t="s">
        <v>1601</v>
      </c>
    </row>
    <row r="711" spans="2:22" x14ac:dyDescent="0.25">
      <c r="B711" s="23" t="s">
        <v>1602</v>
      </c>
      <c r="C711" s="28" t="s">
        <v>1541</v>
      </c>
      <c r="D711" s="44" t="s">
        <v>4699</v>
      </c>
      <c r="E711" s="121"/>
      <c r="F711" s="44" t="s">
        <v>274</v>
      </c>
      <c r="V711" s="63" t="s">
        <v>4700</v>
      </c>
    </row>
    <row r="712" spans="2:22" x14ac:dyDescent="0.25">
      <c r="B712" s="23" t="s">
        <v>1604</v>
      </c>
      <c r="C712" s="28" t="s">
        <v>806</v>
      </c>
      <c r="D712" s="44" t="s">
        <v>4699</v>
      </c>
      <c r="E712" s="125"/>
      <c r="F712" s="44" t="s">
        <v>274</v>
      </c>
      <c r="V712" s="63" t="s">
        <v>4701</v>
      </c>
    </row>
    <row r="713" spans="2:22" x14ac:dyDescent="0.25">
      <c r="B713" s="23" t="s">
        <v>1606</v>
      </c>
      <c r="C713" s="28" t="s">
        <v>810</v>
      </c>
      <c r="D713" s="44" t="s">
        <v>4699</v>
      </c>
      <c r="F713" s="44" t="s">
        <v>274</v>
      </c>
      <c r="H713" s="122"/>
      <c r="I713" s="122"/>
      <c r="J713" s="122"/>
      <c r="K713" s="122"/>
      <c r="L713" s="122"/>
      <c r="M713" s="122"/>
      <c r="N713" s="122"/>
      <c r="O713" s="122"/>
      <c r="P713" s="122"/>
      <c r="Q713" s="122"/>
      <c r="R713" s="122"/>
      <c r="S713" s="122"/>
      <c r="T713" s="122"/>
      <c r="V713" s="63" t="s">
        <v>4702</v>
      </c>
    </row>
    <row r="714" spans="2:22" x14ac:dyDescent="0.25">
      <c r="B714" s="23" t="s">
        <v>1608</v>
      </c>
      <c r="C714" s="28" t="s">
        <v>477</v>
      </c>
      <c r="D714" s="44" t="s">
        <v>484</v>
      </c>
      <c r="E714" s="61">
        <v>1</v>
      </c>
      <c r="F714" s="44" t="s">
        <v>484</v>
      </c>
      <c r="V714" s="63" t="s">
        <v>4703</v>
      </c>
    </row>
    <row r="715" spans="2:22" x14ac:dyDescent="0.25">
      <c r="B715" s="42" t="s">
        <v>1610</v>
      </c>
    </row>
    <row r="716" spans="2:22" x14ac:dyDescent="0.25">
      <c r="B716" s="23" t="s">
        <v>1611</v>
      </c>
      <c r="C716" s="28" t="s">
        <v>1541</v>
      </c>
      <c r="D716" s="44" t="s">
        <v>4699</v>
      </c>
      <c r="E716" s="121"/>
      <c r="F716" s="44" t="s">
        <v>274</v>
      </c>
      <c r="V716" s="63" t="s">
        <v>4700</v>
      </c>
    </row>
    <row r="717" spans="2:22" x14ac:dyDescent="0.25">
      <c r="B717" s="23" t="s">
        <v>1612</v>
      </c>
      <c r="C717" s="28" t="s">
        <v>806</v>
      </c>
      <c r="D717" s="44" t="s">
        <v>4699</v>
      </c>
      <c r="E717" s="125"/>
      <c r="F717" s="44" t="s">
        <v>274</v>
      </c>
      <c r="V717" s="63" t="s">
        <v>4701</v>
      </c>
    </row>
    <row r="718" spans="2:22" x14ac:dyDescent="0.25">
      <c r="B718" s="23" t="s">
        <v>1613</v>
      </c>
      <c r="C718" s="28" t="s">
        <v>810</v>
      </c>
      <c r="D718" s="44" t="s">
        <v>4699</v>
      </c>
      <c r="F718" s="44" t="s">
        <v>274</v>
      </c>
      <c r="H718" s="122"/>
      <c r="I718" s="122"/>
      <c r="J718" s="122"/>
      <c r="K718" s="122"/>
      <c r="L718" s="122"/>
      <c r="M718" s="122"/>
      <c r="N718" s="122"/>
      <c r="O718" s="122"/>
      <c r="P718" s="122"/>
      <c r="Q718" s="122"/>
      <c r="R718" s="122"/>
      <c r="S718" s="122"/>
      <c r="T718" s="122"/>
      <c r="V718" s="63" t="s">
        <v>4702</v>
      </c>
    </row>
    <row r="719" spans="2:22" x14ac:dyDescent="0.25">
      <c r="B719" s="23" t="s">
        <v>1614</v>
      </c>
      <c r="C719" s="28" t="s">
        <v>477</v>
      </c>
      <c r="D719" s="44" t="s">
        <v>484</v>
      </c>
      <c r="E719" s="61">
        <v>1</v>
      </c>
      <c r="F719" s="44" t="s">
        <v>484</v>
      </c>
      <c r="V719" s="63" t="s">
        <v>4703</v>
      </c>
    </row>
    <row r="720" spans="2:22" x14ac:dyDescent="0.25">
      <c r="B720" s="42" t="s">
        <v>1615</v>
      </c>
    </row>
    <row r="721" spans="2:22" x14ac:dyDescent="0.25">
      <c r="B721" s="23" t="s">
        <v>1616</v>
      </c>
      <c r="C721" s="28" t="s">
        <v>1541</v>
      </c>
      <c r="D721" s="44" t="s">
        <v>4699</v>
      </c>
      <c r="E721" s="121"/>
      <c r="F721" s="44" t="s">
        <v>274</v>
      </c>
      <c r="V721" s="63" t="s">
        <v>4700</v>
      </c>
    </row>
    <row r="722" spans="2:22" x14ac:dyDescent="0.25">
      <c r="B722" s="23" t="s">
        <v>1617</v>
      </c>
      <c r="C722" s="28" t="s">
        <v>806</v>
      </c>
      <c r="D722" s="44" t="s">
        <v>4699</v>
      </c>
      <c r="E722" s="125"/>
      <c r="F722" s="44" t="s">
        <v>274</v>
      </c>
      <c r="V722" s="63" t="s">
        <v>4701</v>
      </c>
    </row>
    <row r="723" spans="2:22" x14ac:dyDescent="0.25">
      <c r="B723" s="23" t="s">
        <v>1618</v>
      </c>
      <c r="C723" s="28" t="s">
        <v>810</v>
      </c>
      <c r="D723" s="44" t="s">
        <v>4699</v>
      </c>
      <c r="F723" s="44" t="s">
        <v>274</v>
      </c>
      <c r="H723" s="122"/>
      <c r="I723" s="122"/>
      <c r="J723" s="122"/>
      <c r="K723" s="122"/>
      <c r="L723" s="122"/>
      <c r="M723" s="122"/>
      <c r="N723" s="122"/>
      <c r="O723" s="122"/>
      <c r="P723" s="122"/>
      <c r="Q723" s="122"/>
      <c r="R723" s="122"/>
      <c r="S723" s="122"/>
      <c r="T723" s="122"/>
      <c r="V723" s="63" t="s">
        <v>4702</v>
      </c>
    </row>
    <row r="724" spans="2:22" x14ac:dyDescent="0.25">
      <c r="B724" s="23" t="s">
        <v>1619</v>
      </c>
      <c r="C724" s="28" t="s">
        <v>477</v>
      </c>
      <c r="D724" s="44" t="s">
        <v>484</v>
      </c>
      <c r="E724" s="61">
        <v>1</v>
      </c>
      <c r="F724" s="44" t="s">
        <v>484</v>
      </c>
      <c r="V724" s="63" t="s">
        <v>4703</v>
      </c>
    </row>
    <row r="725" spans="2:22" x14ac:dyDescent="0.25">
      <c r="B725" s="42" t="s">
        <v>1620</v>
      </c>
    </row>
    <row r="726" spans="2:22" x14ac:dyDescent="0.25">
      <c r="B726" s="23" t="s">
        <v>1621</v>
      </c>
      <c r="C726" s="28" t="s">
        <v>1541</v>
      </c>
      <c r="D726" s="44" t="s">
        <v>4699</v>
      </c>
      <c r="E726" s="121"/>
      <c r="F726" s="44" t="s">
        <v>274</v>
      </c>
      <c r="V726" s="63" t="s">
        <v>4700</v>
      </c>
    </row>
    <row r="727" spans="2:22" x14ac:dyDescent="0.25">
      <c r="B727" s="23" t="s">
        <v>1622</v>
      </c>
      <c r="C727" s="28" t="s">
        <v>806</v>
      </c>
      <c r="D727" s="44" t="s">
        <v>4699</v>
      </c>
      <c r="E727" s="125"/>
      <c r="F727" s="44" t="s">
        <v>274</v>
      </c>
      <c r="V727" s="63" t="s">
        <v>4701</v>
      </c>
    </row>
    <row r="728" spans="2:22" x14ac:dyDescent="0.25">
      <c r="B728" s="23" t="s">
        <v>1623</v>
      </c>
      <c r="C728" s="28" t="s">
        <v>810</v>
      </c>
      <c r="D728" s="44" t="s">
        <v>4699</v>
      </c>
      <c r="F728" s="44" t="s">
        <v>274</v>
      </c>
      <c r="H728" s="122"/>
      <c r="I728" s="122"/>
      <c r="J728" s="122"/>
      <c r="K728" s="122"/>
      <c r="L728" s="122"/>
      <c r="M728" s="122"/>
      <c r="N728" s="122"/>
      <c r="O728" s="122"/>
      <c r="P728" s="122"/>
      <c r="Q728" s="122"/>
      <c r="R728" s="122"/>
      <c r="S728" s="122"/>
      <c r="T728" s="122"/>
      <c r="V728" s="63" t="s">
        <v>4702</v>
      </c>
    </row>
    <row r="729" spans="2:22" x14ac:dyDescent="0.25">
      <c r="B729" s="23" t="s">
        <v>1624</v>
      </c>
      <c r="C729" s="28" t="s">
        <v>477</v>
      </c>
      <c r="D729" s="44" t="s">
        <v>484</v>
      </c>
      <c r="E729" s="61">
        <v>1</v>
      </c>
      <c r="F729" s="44" t="s">
        <v>484</v>
      </c>
      <c r="V729" s="63" t="s">
        <v>4703</v>
      </c>
    </row>
    <row r="730" spans="2:22" x14ac:dyDescent="0.25">
      <c r="B730" s="42" t="s">
        <v>1625</v>
      </c>
    </row>
    <row r="731" spans="2:22" x14ac:dyDescent="0.25">
      <c r="B731" s="23" t="s">
        <v>1626</v>
      </c>
      <c r="C731" s="28" t="s">
        <v>1541</v>
      </c>
      <c r="D731" s="44" t="s">
        <v>4699</v>
      </c>
      <c r="E731" s="121"/>
      <c r="F731" s="44" t="s">
        <v>274</v>
      </c>
      <c r="V731" s="63" t="s">
        <v>4700</v>
      </c>
    </row>
    <row r="732" spans="2:22" x14ac:dyDescent="0.25">
      <c r="B732" s="23" t="s">
        <v>1627</v>
      </c>
      <c r="C732" s="28" t="s">
        <v>806</v>
      </c>
      <c r="D732" s="44" t="s">
        <v>4699</v>
      </c>
      <c r="E732" s="125"/>
      <c r="F732" s="44" t="s">
        <v>274</v>
      </c>
      <c r="V732" s="63" t="s">
        <v>4701</v>
      </c>
    </row>
    <row r="733" spans="2:22" x14ac:dyDescent="0.25">
      <c r="B733" s="23" t="s">
        <v>1628</v>
      </c>
      <c r="C733" s="28" t="s">
        <v>810</v>
      </c>
      <c r="D733" s="44" t="s">
        <v>4699</v>
      </c>
      <c r="F733" s="44" t="s">
        <v>274</v>
      </c>
      <c r="H733" s="122"/>
      <c r="I733" s="122"/>
      <c r="J733" s="122"/>
      <c r="K733" s="122"/>
      <c r="L733" s="122"/>
      <c r="M733" s="122"/>
      <c r="N733" s="122"/>
      <c r="O733" s="122"/>
      <c r="P733" s="122"/>
      <c r="Q733" s="122"/>
      <c r="R733" s="122"/>
      <c r="S733" s="122"/>
      <c r="T733" s="122"/>
      <c r="V733" s="63" t="s">
        <v>4702</v>
      </c>
    </row>
    <row r="734" spans="2:22" x14ac:dyDescent="0.25">
      <c r="B734" s="23" t="s">
        <v>1629</v>
      </c>
      <c r="C734" s="28" t="s">
        <v>477</v>
      </c>
      <c r="D734" s="44" t="s">
        <v>484</v>
      </c>
      <c r="E734" s="61">
        <v>1</v>
      </c>
      <c r="F734" s="44" t="s">
        <v>484</v>
      </c>
      <c r="V734" s="63" t="s">
        <v>4703</v>
      </c>
    </row>
    <row r="735" spans="2:22" ht="24.75" customHeight="1" x14ac:dyDescent="0.25">
      <c r="B735" s="23" t="s">
        <v>1630</v>
      </c>
      <c r="C735" s="28" t="s">
        <v>292</v>
      </c>
      <c r="D735" s="85" t="s">
        <v>4440</v>
      </c>
      <c r="E735" s="99">
        <v>0</v>
      </c>
      <c r="F735" s="44" t="s">
        <v>274</v>
      </c>
      <c r="V735" s="63" t="s">
        <v>4704</v>
      </c>
    </row>
    <row r="737" spans="2:22" x14ac:dyDescent="0.25">
      <c r="B737" s="58" t="s">
        <v>1632</v>
      </c>
      <c r="C737" s="19"/>
      <c r="D737" s="19"/>
      <c r="E737" s="19"/>
      <c r="F737" s="19"/>
      <c r="G737" s="19"/>
      <c r="H737" s="19"/>
      <c r="I737" s="19"/>
      <c r="J737" s="19"/>
      <c r="K737" s="19"/>
      <c r="L737" s="19"/>
      <c r="M737" s="19"/>
      <c r="N737" s="19"/>
      <c r="O737" s="19"/>
      <c r="P737" s="19"/>
      <c r="Q737" s="19"/>
      <c r="R737" s="19"/>
      <c r="S737" s="19"/>
      <c r="T737" s="19"/>
      <c r="U737" s="19"/>
      <c r="V737" s="19"/>
    </row>
    <row r="738" spans="2:22" x14ac:dyDescent="0.25">
      <c r="B738" s="63" t="s">
        <v>1633</v>
      </c>
    </row>
    <row r="739" spans="2:22" x14ac:dyDescent="0.25">
      <c r="B739" s="59" t="s">
        <v>1634</v>
      </c>
      <c r="C739" s="59" t="s">
        <v>466</v>
      </c>
      <c r="D739" s="59" t="s">
        <v>467</v>
      </c>
      <c r="E739" s="59" t="s">
        <v>1635</v>
      </c>
      <c r="F739" s="59" t="s">
        <v>1636</v>
      </c>
      <c r="G739" s="59" t="s">
        <v>1637</v>
      </c>
      <c r="H739" s="60"/>
      <c r="I739" s="60"/>
      <c r="J739" s="60"/>
      <c r="K739" s="60"/>
      <c r="L739" s="60"/>
      <c r="M739" s="60"/>
      <c r="N739" s="60"/>
      <c r="O739" s="60"/>
      <c r="P739" s="60"/>
      <c r="Q739" s="60"/>
      <c r="R739" s="60"/>
      <c r="S739" s="60"/>
      <c r="T739" s="60"/>
      <c r="U739" s="59"/>
      <c r="V739" s="59" t="s">
        <v>1638</v>
      </c>
    </row>
    <row r="740" spans="2:22" x14ac:dyDescent="0.25">
      <c r="B740" s="21" t="s">
        <v>1639</v>
      </c>
      <c r="C740" s="28" t="s">
        <v>477</v>
      </c>
      <c r="D740" s="44" t="s">
        <v>4705</v>
      </c>
      <c r="E740" s="132">
        <v>0</v>
      </c>
      <c r="F740" s="44" t="s">
        <v>1640</v>
      </c>
      <c r="V740" s="63" t="s">
        <v>4706</v>
      </c>
    </row>
    <row r="741" spans="2:22" x14ac:dyDescent="0.25">
      <c r="B741" s="21" t="s">
        <v>1642</v>
      </c>
      <c r="C741" s="28" t="s">
        <v>477</v>
      </c>
      <c r="D741" s="44" t="s">
        <v>4705</v>
      </c>
      <c r="E741" s="132">
        <v>0</v>
      </c>
      <c r="F741" s="44" t="s">
        <v>1643</v>
      </c>
      <c r="V741" s="63" t="s">
        <v>4707</v>
      </c>
    </row>
    <row r="742" spans="2:22" x14ac:dyDescent="0.25">
      <c r="B742" s="21" t="s">
        <v>1645</v>
      </c>
      <c r="C742" s="28" t="s">
        <v>477</v>
      </c>
      <c r="D742" s="44" t="s">
        <v>4705</v>
      </c>
      <c r="E742" s="132">
        <v>0</v>
      </c>
      <c r="F742" s="44" t="s">
        <v>1646</v>
      </c>
      <c r="V742" s="63" t="s">
        <v>4708</v>
      </c>
    </row>
    <row r="743" spans="2:22" x14ac:dyDescent="0.25">
      <c r="B743" s="21" t="s">
        <v>1648</v>
      </c>
      <c r="C743" s="28" t="s">
        <v>477</v>
      </c>
      <c r="D743" s="44" t="s">
        <v>4705</v>
      </c>
      <c r="E743" s="132">
        <v>0</v>
      </c>
      <c r="F743" s="44" t="s">
        <v>1649</v>
      </c>
      <c r="V743" s="63" t="s">
        <v>4709</v>
      </c>
    </row>
    <row r="744" spans="2:22" x14ac:dyDescent="0.25">
      <c r="B744" s="21" t="s">
        <v>1651</v>
      </c>
      <c r="C744" s="28" t="s">
        <v>477</v>
      </c>
      <c r="D744" s="44" t="s">
        <v>4705</v>
      </c>
      <c r="E744" s="132">
        <v>0</v>
      </c>
      <c r="F744" s="44" t="s">
        <v>1652</v>
      </c>
      <c r="V744" s="63" t="s">
        <v>4710</v>
      </c>
    </row>
    <row r="745" spans="2:22" x14ac:dyDescent="0.25">
      <c r="B745" s="21" t="s">
        <v>1654</v>
      </c>
      <c r="C745" s="28" t="s">
        <v>477</v>
      </c>
      <c r="D745" s="44" t="s">
        <v>4705</v>
      </c>
      <c r="E745" s="132">
        <v>0</v>
      </c>
      <c r="F745" s="44" t="s">
        <v>1655</v>
      </c>
      <c r="V745" s="63" t="s">
        <v>4711</v>
      </c>
    </row>
    <row r="746" spans="2:22" x14ac:dyDescent="0.25">
      <c r="B746" s="21" t="s">
        <v>1657</v>
      </c>
      <c r="C746" s="28" t="s">
        <v>477</v>
      </c>
      <c r="D746" s="44" t="s">
        <v>4705</v>
      </c>
      <c r="E746" s="132">
        <v>0</v>
      </c>
      <c r="F746" s="44" t="s">
        <v>1658</v>
      </c>
      <c r="V746" s="63" t="s">
        <v>4712</v>
      </c>
    </row>
    <row r="747" spans="2:22" x14ac:dyDescent="0.25">
      <c r="B747" s="21" t="s">
        <v>1660</v>
      </c>
      <c r="C747" s="28" t="s">
        <v>477</v>
      </c>
      <c r="D747" s="44" t="s">
        <v>4705</v>
      </c>
      <c r="E747" s="132">
        <v>0</v>
      </c>
      <c r="F747" s="44" t="s">
        <v>1661</v>
      </c>
      <c r="V747" s="63" t="s">
        <v>4713</v>
      </c>
    </row>
    <row r="748" spans="2:22" ht="26.25" customHeight="1" x14ac:dyDescent="0.25">
      <c r="B748" s="133" t="s">
        <v>1663</v>
      </c>
      <c r="C748" s="28" t="s">
        <v>477</v>
      </c>
      <c r="D748" s="44" t="s">
        <v>4705</v>
      </c>
      <c r="E748" s="132">
        <v>0</v>
      </c>
      <c r="F748" s="44" t="s">
        <v>1664</v>
      </c>
      <c r="V748" s="63" t="s">
        <v>4714</v>
      </c>
    </row>
    <row r="749" spans="2:22" x14ac:dyDescent="0.25">
      <c r="B749" s="21" t="s">
        <v>1666</v>
      </c>
      <c r="C749" s="28" t="s">
        <v>477</v>
      </c>
      <c r="D749" s="44" t="s">
        <v>4705</v>
      </c>
      <c r="E749" s="132">
        <v>0</v>
      </c>
      <c r="F749" s="44" t="s">
        <v>1667</v>
      </c>
      <c r="V749" s="63" t="s">
        <v>4715</v>
      </c>
    </row>
    <row r="750" spans="2:22" x14ac:dyDescent="0.25">
      <c r="B750" s="21" t="s">
        <v>1669</v>
      </c>
      <c r="C750" s="28" t="s">
        <v>477</v>
      </c>
      <c r="D750" s="44" t="s">
        <v>4705</v>
      </c>
      <c r="E750" s="132">
        <v>0</v>
      </c>
      <c r="F750" s="44" t="s">
        <v>1670</v>
      </c>
      <c r="V750" s="63" t="s">
        <v>4716</v>
      </c>
    </row>
    <row r="751" spans="2:22" x14ac:dyDescent="0.25">
      <c r="B751" s="21" t="s">
        <v>1672</v>
      </c>
      <c r="C751" s="28" t="s">
        <v>477</v>
      </c>
      <c r="D751" s="44" t="s">
        <v>4705</v>
      </c>
      <c r="E751" s="132">
        <v>0</v>
      </c>
      <c r="F751" s="44" t="s">
        <v>1673</v>
      </c>
      <c r="V751" s="63" t="s">
        <v>4717</v>
      </c>
    </row>
    <row r="752" spans="2:22" x14ac:dyDescent="0.25">
      <c r="B752" s="21" t="s">
        <v>1675</v>
      </c>
      <c r="C752" s="28" t="s">
        <v>477</v>
      </c>
      <c r="D752" s="44" t="s">
        <v>4705</v>
      </c>
      <c r="E752" s="132">
        <v>0</v>
      </c>
      <c r="F752" s="44" t="s">
        <v>1676</v>
      </c>
      <c r="V752" s="63" t="s">
        <v>4718</v>
      </c>
    </row>
    <row r="754" spans="2:22" x14ac:dyDescent="0.25">
      <c r="B754" s="63" t="s">
        <v>1679</v>
      </c>
    </row>
    <row r="758" spans="2:22" x14ac:dyDescent="0.25">
      <c r="B758" s="58" t="s">
        <v>4719</v>
      </c>
      <c r="C758" s="19"/>
      <c r="D758" s="19"/>
      <c r="E758" s="19"/>
      <c r="F758" s="19"/>
      <c r="G758" s="19"/>
      <c r="H758" s="19"/>
      <c r="I758" s="19"/>
      <c r="J758" s="19"/>
      <c r="K758" s="19"/>
      <c r="L758" s="19"/>
      <c r="M758" s="19"/>
      <c r="N758" s="19"/>
      <c r="O758" s="19"/>
      <c r="P758" s="19"/>
      <c r="Q758" s="19"/>
      <c r="R758" s="19"/>
      <c r="S758" s="19"/>
      <c r="T758" s="19"/>
      <c r="U758" s="19"/>
      <c r="V758" s="19"/>
    </row>
    <row r="759" spans="2:22" ht="47.25" customHeight="1" x14ac:dyDescent="0.25">
      <c r="B759" s="59" t="s">
        <v>4720</v>
      </c>
      <c r="C759" s="236" t="s">
        <v>4721</v>
      </c>
      <c r="D759" s="59" t="s">
        <v>517</v>
      </c>
      <c r="E759" s="59" t="s">
        <v>4722</v>
      </c>
      <c r="F759" s="59" t="s">
        <v>4723</v>
      </c>
      <c r="G759" s="59" t="s">
        <v>532</v>
      </c>
      <c r="H759" s="59" t="s">
        <v>4724</v>
      </c>
    </row>
    <row r="760" spans="2:22" x14ac:dyDescent="0.25">
      <c r="B760" s="23" t="s">
        <v>4725</v>
      </c>
      <c r="C760" s="164" t="s">
        <v>4726</v>
      </c>
      <c r="D760" s="89">
        <v>27.540885190539999</v>
      </c>
      <c r="E760" s="89">
        <v>3.82667613446</v>
      </c>
      <c r="F760" s="89">
        <v>14.062554449529999</v>
      </c>
      <c r="G760" s="89">
        <v>15.20878927575</v>
      </c>
      <c r="H760" s="160">
        <f t="shared" ref="H760:H776" si="0">SUM(D760:G760)</f>
        <v>60.638905050280002</v>
      </c>
    </row>
    <row r="761" spans="2:22" x14ac:dyDescent="0.25">
      <c r="B761" s="23" t="s">
        <v>4727</v>
      </c>
      <c r="C761" s="164" t="s">
        <v>4728</v>
      </c>
      <c r="D761" s="89">
        <v>35</v>
      </c>
      <c r="E761" s="89">
        <v>0</v>
      </c>
      <c r="F761" s="89">
        <v>0</v>
      </c>
      <c r="G761" s="89">
        <v>26</v>
      </c>
      <c r="H761" s="160">
        <f t="shared" si="0"/>
        <v>61</v>
      </c>
    </row>
    <row r="762" spans="2:22" x14ac:dyDescent="0.25">
      <c r="B762" s="23" t="s">
        <v>4729</v>
      </c>
      <c r="C762" s="164" t="s">
        <v>4730</v>
      </c>
      <c r="D762" s="89">
        <v>49.5769028993668</v>
      </c>
      <c r="E762" s="89">
        <v>28.92963562057</v>
      </c>
      <c r="F762" s="89">
        <v>6.90576088112</v>
      </c>
      <c r="G762" s="89">
        <v>18.715276232299999</v>
      </c>
      <c r="H762" s="160">
        <f t="shared" si="0"/>
        <v>104.1275756333568</v>
      </c>
    </row>
    <row r="763" spans="2:22" ht="21.75" customHeight="1" x14ac:dyDescent="0.25">
      <c r="B763" s="23" t="s">
        <v>4731</v>
      </c>
      <c r="C763" s="237" t="s">
        <v>4732</v>
      </c>
      <c r="D763" s="89">
        <v>0.24219629178259999</v>
      </c>
      <c r="E763" s="89">
        <v>0.19122536401000001</v>
      </c>
      <c r="F763" s="89">
        <v>8.6389031690000007E-2</v>
      </c>
      <c r="G763" s="89">
        <v>0</v>
      </c>
      <c r="H763" s="160">
        <f t="shared" si="0"/>
        <v>0.51981068748260006</v>
      </c>
    </row>
    <row r="764" spans="2:22" ht="41.25" customHeight="1" x14ac:dyDescent="0.25">
      <c r="B764" s="23" t="s">
        <v>4733</v>
      </c>
      <c r="C764" s="237" t="s">
        <v>4734</v>
      </c>
      <c r="D764" s="89">
        <v>327.325840159427</v>
      </c>
      <c r="E764" s="89">
        <v>494.44284118395001</v>
      </c>
      <c r="F764" s="89">
        <v>3.04885373796</v>
      </c>
      <c r="G764" s="89">
        <v>1.20478385166</v>
      </c>
      <c r="H764" s="160">
        <f t="shared" si="0"/>
        <v>826.022318932997</v>
      </c>
    </row>
    <row r="765" spans="2:22" ht="21.75" customHeight="1" x14ac:dyDescent="0.25">
      <c r="B765" s="23" t="s">
        <v>4735</v>
      </c>
      <c r="C765" s="237" t="s">
        <v>4736</v>
      </c>
      <c r="D765" s="89">
        <v>0</v>
      </c>
      <c r="E765" s="89">
        <v>197.41043441970999</v>
      </c>
      <c r="F765" s="89">
        <v>0</v>
      </c>
      <c r="G765" s="89">
        <v>0</v>
      </c>
      <c r="H765" s="160">
        <f t="shared" si="0"/>
        <v>197.41043441970999</v>
      </c>
    </row>
    <row r="766" spans="2:22" x14ac:dyDescent="0.25">
      <c r="B766" s="23" t="s">
        <v>4737</v>
      </c>
      <c r="D766" s="159">
        <f>D767-SUM(D760:D765)</f>
        <v>4.2951783065375935</v>
      </c>
      <c r="E766" s="159">
        <f>E767-SUM(E760:E765)</f>
        <v>48.752913781610005</v>
      </c>
      <c r="F766" s="159">
        <f>F767-SUM(F760:F765)</f>
        <v>12.679665296640003</v>
      </c>
      <c r="G766" s="159">
        <f>G767-SUM(G760:G765)</f>
        <v>7.1244330646600034</v>
      </c>
      <c r="H766" s="160">
        <f t="shared" si="0"/>
        <v>72.85219044944759</v>
      </c>
    </row>
    <row r="767" spans="2:22" ht="21.75" customHeight="1" x14ac:dyDescent="0.25">
      <c r="B767" s="21" t="s">
        <v>4738</v>
      </c>
      <c r="C767" s="237" t="s">
        <v>4739</v>
      </c>
      <c r="D767" s="238">
        <v>443.981002847654</v>
      </c>
      <c r="E767" s="238">
        <v>773.55372650431002</v>
      </c>
      <c r="F767" s="238">
        <v>36.783223396940002</v>
      </c>
      <c r="G767" s="238">
        <v>68.253282424369999</v>
      </c>
      <c r="H767" s="160">
        <f t="shared" si="0"/>
        <v>1322.5712351732739</v>
      </c>
    </row>
    <row r="768" spans="2:22" ht="21.75" customHeight="1" x14ac:dyDescent="0.25">
      <c r="B768" s="23" t="s">
        <v>4740</v>
      </c>
      <c r="C768" s="237" t="s">
        <v>4741</v>
      </c>
      <c r="D768" s="89">
        <v>2.5379526752912001</v>
      </c>
      <c r="E768" s="89">
        <v>16.98101800753</v>
      </c>
      <c r="F768" s="89">
        <v>0.96151195252000299</v>
      </c>
      <c r="G768" s="89">
        <v>2.8152108832199998</v>
      </c>
      <c r="H768" s="160">
        <f t="shared" si="0"/>
        <v>23.295693518561205</v>
      </c>
    </row>
    <row r="769" spans="2:8" ht="21.75" customHeight="1" x14ac:dyDescent="0.25">
      <c r="B769" s="23" t="s">
        <v>4742</v>
      </c>
      <c r="C769" s="237" t="s">
        <v>4743</v>
      </c>
      <c r="D769" s="89">
        <v>47.191546302620097</v>
      </c>
      <c r="E769" s="89">
        <v>177.32691894614001</v>
      </c>
      <c r="F769" s="89">
        <v>0</v>
      </c>
      <c r="G769" s="89">
        <v>0</v>
      </c>
      <c r="H769" s="160">
        <f t="shared" si="0"/>
        <v>224.51846524876009</v>
      </c>
    </row>
    <row r="770" spans="2:8" ht="21.75" customHeight="1" x14ac:dyDescent="0.25">
      <c r="B770" s="23" t="s">
        <v>4744</v>
      </c>
      <c r="C770" s="237" t="s">
        <v>4745</v>
      </c>
      <c r="D770" s="89">
        <v>1.455955237</v>
      </c>
      <c r="E770" s="89">
        <v>2.4051583006500001</v>
      </c>
      <c r="F770" s="89">
        <v>0</v>
      </c>
      <c r="G770" s="89">
        <v>0</v>
      </c>
      <c r="H770" s="160">
        <f t="shared" si="0"/>
        <v>3.8611135376500001</v>
      </c>
    </row>
    <row r="771" spans="2:8" ht="21.75" customHeight="1" x14ac:dyDescent="0.25">
      <c r="B771" s="23" t="s">
        <v>4746</v>
      </c>
      <c r="C771" s="237" t="s">
        <v>4747</v>
      </c>
      <c r="D771" s="89">
        <v>4.3605120508099997</v>
      </c>
      <c r="E771" s="89">
        <v>10.008243244999999</v>
      </c>
      <c r="F771" s="89">
        <v>0.270986597</v>
      </c>
      <c r="G771" s="89">
        <v>1.623899008</v>
      </c>
      <c r="H771" s="160">
        <f t="shared" si="0"/>
        <v>16.26364090081</v>
      </c>
    </row>
    <row r="772" spans="2:8" x14ac:dyDescent="0.25">
      <c r="B772" s="23" t="s">
        <v>4748</v>
      </c>
      <c r="D772" s="159">
        <f>D773-SUM(D768:D771)</f>
        <v>34.991293814972998</v>
      </c>
      <c r="E772" s="159">
        <f>E773-SUM(E768:E771)</f>
        <v>35.788474504300012</v>
      </c>
      <c r="F772" s="159">
        <f>F773-SUM(F768:F771)</f>
        <v>3.7170363869899972</v>
      </c>
      <c r="G772" s="159">
        <f>G773-SUM(G768:G771)</f>
        <v>11.812904912400001</v>
      </c>
      <c r="H772" s="160">
        <f t="shared" si="0"/>
        <v>86.309709618663021</v>
      </c>
    </row>
    <row r="773" spans="2:8" ht="21.75" customHeight="1" x14ac:dyDescent="0.25">
      <c r="B773" s="21" t="s">
        <v>4749</v>
      </c>
      <c r="C773" s="237" t="s">
        <v>4750</v>
      </c>
      <c r="D773" s="238">
        <v>90.537260080694296</v>
      </c>
      <c r="E773" s="238">
        <v>242.50981300362</v>
      </c>
      <c r="F773" s="238">
        <v>4.9495349365100001</v>
      </c>
      <c r="G773" s="238">
        <v>16.25201480362</v>
      </c>
      <c r="H773" s="160">
        <f t="shared" si="0"/>
        <v>354.24862282444434</v>
      </c>
    </row>
    <row r="774" spans="2:8" ht="21.75" customHeight="1" x14ac:dyDescent="0.25">
      <c r="B774" s="23" t="s">
        <v>4751</v>
      </c>
      <c r="C774" s="237" t="s">
        <v>4752</v>
      </c>
      <c r="D774" s="89">
        <v>320.05</v>
      </c>
      <c r="E774" s="89">
        <v>337.72050000000002</v>
      </c>
      <c r="F774" s="89">
        <v>16.010100000000001</v>
      </c>
      <c r="G774" s="89">
        <v>3.95</v>
      </c>
      <c r="H774" s="160">
        <f t="shared" si="0"/>
        <v>677.73060000000009</v>
      </c>
    </row>
    <row r="775" spans="2:8" x14ac:dyDescent="0.25">
      <c r="B775" s="23" t="s">
        <v>4753</v>
      </c>
      <c r="D775" s="159">
        <f>D776-D774</f>
        <v>33.393742766969979</v>
      </c>
      <c r="E775" s="159">
        <f>E776-E774</f>
        <v>193.32341350068998</v>
      </c>
      <c r="F775" s="159">
        <f>F776-F774</f>
        <v>15.823588460429999</v>
      </c>
      <c r="G775" s="159">
        <f>G776-G774</f>
        <v>48.051267620719997</v>
      </c>
      <c r="H775" s="160">
        <f t="shared" si="0"/>
        <v>290.59201234880993</v>
      </c>
    </row>
    <row r="776" spans="2:8" ht="21.75" customHeight="1" x14ac:dyDescent="0.25">
      <c r="B776" s="21" t="s">
        <v>4754</v>
      </c>
      <c r="C776" s="237" t="s">
        <v>4755</v>
      </c>
      <c r="D776" s="238">
        <v>353.44374276696999</v>
      </c>
      <c r="E776" s="238">
        <v>531.04391350069</v>
      </c>
      <c r="F776" s="238">
        <v>31.83368846043</v>
      </c>
      <c r="G776" s="238">
        <v>52.00126762072</v>
      </c>
      <c r="H776" s="160">
        <f t="shared" si="0"/>
        <v>968.32261234881003</v>
      </c>
    </row>
    <row r="777" spans="2:8" x14ac:dyDescent="0.25">
      <c r="B777" s="239" t="s">
        <v>4756</v>
      </c>
      <c r="D777" s="240">
        <f>ROUND(D767-D773-D776,3)</f>
        <v>0</v>
      </c>
      <c r="E777" s="240">
        <f>ROUND(E767-E773-E776,3)</f>
        <v>0</v>
      </c>
      <c r="F777" s="240">
        <f>ROUND(F767-F773-F776,3)</f>
        <v>0</v>
      </c>
      <c r="G777" s="240">
        <f>ROUND(G767-G773-G776,3)</f>
        <v>0</v>
      </c>
      <c r="H777" s="240">
        <f>ROUND(H767-H773-H776,3)</f>
        <v>0</v>
      </c>
    </row>
    <row r="778" spans="2:8" x14ac:dyDescent="0.25">
      <c r="B778" s="23" t="s">
        <v>4757</v>
      </c>
      <c r="D778" s="89">
        <v>-87.166983484107803</v>
      </c>
      <c r="E778" s="89">
        <v>32.578548487520003</v>
      </c>
      <c r="F778" s="89">
        <v>8.8945694277700103</v>
      </c>
      <c r="G778" s="89">
        <v>29.01015329682</v>
      </c>
      <c r="H778" s="160">
        <f>SUM(D778:G778)</f>
        <v>-16.683712271997791</v>
      </c>
    </row>
    <row r="779" spans="2:8" x14ac:dyDescent="0.25">
      <c r="B779" s="145" t="s">
        <v>4758</v>
      </c>
    </row>
    <row r="781" spans="2:8" x14ac:dyDescent="0.25">
      <c r="B781" s="154" t="s">
        <v>4759</v>
      </c>
    </row>
    <row r="782" spans="2:8" x14ac:dyDescent="0.25">
      <c r="B782" s="59" t="s">
        <v>3678</v>
      </c>
      <c r="D782" s="59" t="s">
        <v>4760</v>
      </c>
      <c r="E782" s="59" t="s">
        <v>4442</v>
      </c>
      <c r="F782" s="59" t="s">
        <v>4761</v>
      </c>
    </row>
    <row r="783" spans="2:8" x14ac:dyDescent="0.25">
      <c r="B783" s="23" t="s">
        <v>4762</v>
      </c>
      <c r="D783" s="44" t="s">
        <v>4763</v>
      </c>
      <c r="E783" s="92">
        <v>60.638905050280002</v>
      </c>
      <c r="F783" s="44" t="s">
        <v>4764</v>
      </c>
    </row>
    <row r="784" spans="2:8" x14ac:dyDescent="0.25">
      <c r="B784" s="23" t="s">
        <v>4765</v>
      </c>
      <c r="D784" s="44" t="s">
        <v>4766</v>
      </c>
      <c r="E784" s="92">
        <v>0.51981068748259995</v>
      </c>
      <c r="F784" s="44" t="s">
        <v>4767</v>
      </c>
    </row>
    <row r="785" spans="2:6" x14ac:dyDescent="0.25">
      <c r="B785" s="23" t="s">
        <v>4768</v>
      </c>
      <c r="D785" s="44" t="s">
        <v>4769</v>
      </c>
      <c r="E785" s="92">
        <v>45</v>
      </c>
      <c r="F785" s="44" t="s">
        <v>4770</v>
      </c>
    </row>
    <row r="786" spans="2:6" x14ac:dyDescent="0.25">
      <c r="B786" s="23" t="s">
        <v>4771</v>
      </c>
      <c r="D786" s="44" t="s">
        <v>4772</v>
      </c>
      <c r="E786" s="92">
        <v>826.022318932997</v>
      </c>
      <c r="F786" s="44" t="s">
        <v>4773</v>
      </c>
    </row>
    <row r="787" spans="2:6" x14ac:dyDescent="0.25">
      <c r="B787" s="23" t="s">
        <v>4774</v>
      </c>
      <c r="D787" s="44" t="s">
        <v>4775</v>
      </c>
      <c r="E787" s="92">
        <v>331.262624869158</v>
      </c>
      <c r="F787" s="44" t="s">
        <v>4776</v>
      </c>
    </row>
    <row r="788" spans="2:6" x14ac:dyDescent="0.25">
      <c r="B788" s="21" t="s">
        <v>4738</v>
      </c>
      <c r="D788" s="44" t="s">
        <v>4777</v>
      </c>
      <c r="E788" s="241">
        <v>1263.44365953992</v>
      </c>
      <c r="F788" s="44" t="s">
        <v>4778</v>
      </c>
    </row>
    <row r="789" spans="2:6" x14ac:dyDescent="0.25">
      <c r="B789" s="23" t="s">
        <v>4779</v>
      </c>
      <c r="D789" s="44" t="s">
        <v>4780</v>
      </c>
      <c r="E789" s="92">
        <v>14.6719859829049</v>
      </c>
      <c r="F789" s="44" t="s">
        <v>4781</v>
      </c>
    </row>
    <row r="790" spans="2:6" x14ac:dyDescent="0.25">
      <c r="B790" s="23" t="s">
        <v>4782</v>
      </c>
      <c r="D790" s="44" t="s">
        <v>4783</v>
      </c>
      <c r="E790" s="92">
        <v>224.51846524876001</v>
      </c>
      <c r="F790" s="44" t="s">
        <v>4784</v>
      </c>
    </row>
    <row r="791" spans="2:6" x14ac:dyDescent="0.25">
      <c r="B791" s="23" t="s">
        <v>4785</v>
      </c>
      <c r="D791" s="44" t="s">
        <v>4786</v>
      </c>
      <c r="E791" s="92">
        <v>55.924464057122997</v>
      </c>
      <c r="F791" s="44" t="s">
        <v>4787</v>
      </c>
    </row>
    <row r="792" spans="2:6" x14ac:dyDescent="0.25">
      <c r="B792" s="21" t="s">
        <v>4788</v>
      </c>
      <c r="D792" s="44" t="s">
        <v>4789</v>
      </c>
      <c r="E792" s="241">
        <v>295.11491528878798</v>
      </c>
      <c r="F792" s="44" t="s">
        <v>4778</v>
      </c>
    </row>
    <row r="793" spans="2:6" x14ac:dyDescent="0.25">
      <c r="B793" s="23" t="s">
        <v>4790</v>
      </c>
      <c r="D793" s="44" t="s">
        <v>4791</v>
      </c>
      <c r="E793" s="92">
        <v>677.73059999999998</v>
      </c>
      <c r="F793" s="44" t="s">
        <v>4792</v>
      </c>
    </row>
    <row r="794" spans="2:6" x14ac:dyDescent="0.25">
      <c r="B794" s="23" t="s">
        <v>4793</v>
      </c>
      <c r="D794" s="44" t="s">
        <v>4794</v>
      </c>
      <c r="E794" s="92">
        <v>290.59201234880999</v>
      </c>
      <c r="F794" s="44" t="s">
        <v>4795</v>
      </c>
    </row>
    <row r="795" spans="2:6" x14ac:dyDescent="0.25">
      <c r="B795" s="21" t="s">
        <v>4754</v>
      </c>
      <c r="D795" s="44" t="s">
        <v>4796</v>
      </c>
      <c r="E795" s="241">
        <v>968.32261234881003</v>
      </c>
      <c r="F795" s="44" t="s">
        <v>4778</v>
      </c>
    </row>
    <row r="796" spans="2:6" x14ac:dyDescent="0.25">
      <c r="B796" s="239" t="s">
        <v>4797</v>
      </c>
      <c r="E796" s="242">
        <f>$E$788-$E$792-$E$795</f>
        <v>6.1319023219539304E-3</v>
      </c>
      <c r="F796" s="44" t="s">
        <v>4798</v>
      </c>
    </row>
    <row r="798" spans="2:6" x14ac:dyDescent="0.25">
      <c r="B798" s="154" t="s">
        <v>4799</v>
      </c>
    </row>
    <row r="799" spans="2:6" x14ac:dyDescent="0.25">
      <c r="B799" s="23" t="s">
        <v>4725</v>
      </c>
      <c r="C799" s="28" t="s">
        <v>493</v>
      </c>
      <c r="E799" s="161">
        <f>$E$783</f>
        <v>60.638905050280002</v>
      </c>
    </row>
    <row r="800" spans="2:6" x14ac:dyDescent="0.25">
      <c r="B800" s="23" t="s">
        <v>4731</v>
      </c>
      <c r="C800" s="28" t="s">
        <v>493</v>
      </c>
      <c r="E800" s="161">
        <f>$E$784</f>
        <v>0.51981068748259995</v>
      </c>
    </row>
    <row r="801" spans="2:5" x14ac:dyDescent="0.25">
      <c r="B801" s="23" t="s">
        <v>4800</v>
      </c>
      <c r="C801" s="28" t="s">
        <v>493</v>
      </c>
      <c r="E801" s="161">
        <f>IF(Inputs!$E$748=1,$H$762,$E$785)</f>
        <v>45</v>
      </c>
    </row>
    <row r="802" spans="2:5" x14ac:dyDescent="0.25">
      <c r="B802" s="23" t="s">
        <v>4801</v>
      </c>
      <c r="C802" s="28" t="s">
        <v>493</v>
      </c>
      <c r="E802" s="161">
        <f>$E$786</f>
        <v>826.022318932997</v>
      </c>
    </row>
    <row r="803" spans="2:5" ht="26.25" customHeight="1" x14ac:dyDescent="0.25">
      <c r="B803" s="64" t="s">
        <v>4802</v>
      </c>
      <c r="C803" s="28" t="s">
        <v>493</v>
      </c>
      <c r="E803" s="161">
        <f>$H$765</f>
        <v>197.41043441970999</v>
      </c>
    </row>
    <row r="804" spans="2:5" x14ac:dyDescent="0.25">
      <c r="B804" s="23" t="s">
        <v>4803</v>
      </c>
      <c r="C804" s="28" t="s">
        <v>493</v>
      </c>
      <c r="E804" s="161">
        <f>$E$787</f>
        <v>331.262624869158</v>
      </c>
    </row>
    <row r="805" spans="2:5" x14ac:dyDescent="0.25">
      <c r="B805" s="23" t="s">
        <v>4804</v>
      </c>
      <c r="C805" s="28" t="s">
        <v>493</v>
      </c>
      <c r="E805" s="161">
        <f>$H$761</f>
        <v>61</v>
      </c>
    </row>
    <row r="806" spans="2:5" x14ac:dyDescent="0.25">
      <c r="B806" s="23" t="s">
        <v>4805</v>
      </c>
      <c r="C806" s="28" t="s">
        <v>493</v>
      </c>
      <c r="E806" s="161">
        <f>IF(Inputs!$E$748=1,$H$768,$E$789)</f>
        <v>14.6719859829049</v>
      </c>
    </row>
    <row r="807" spans="2:5" x14ac:dyDescent="0.25">
      <c r="B807" s="23" t="s">
        <v>4742</v>
      </c>
      <c r="C807" s="28" t="s">
        <v>493</v>
      </c>
      <c r="E807" s="161">
        <f>$E$790</f>
        <v>224.51846524876001</v>
      </c>
    </row>
    <row r="808" spans="2:5" x14ac:dyDescent="0.25">
      <c r="B808" s="23" t="s">
        <v>4806</v>
      </c>
      <c r="C808" s="28" t="s">
        <v>493</v>
      </c>
      <c r="E808" s="161">
        <f>IF(Inputs!$E$748=1,$H$772+$H$770+$H$771,$E$791)</f>
        <v>55.924464057122997</v>
      </c>
    </row>
    <row r="809" spans="2:5" x14ac:dyDescent="0.25">
      <c r="B809" s="23" t="s">
        <v>4807</v>
      </c>
      <c r="C809" s="28" t="s">
        <v>493</v>
      </c>
      <c r="E809" s="161">
        <f>$H$770</f>
        <v>3.8611135376500001</v>
      </c>
    </row>
    <row r="810" spans="2:5" x14ac:dyDescent="0.25">
      <c r="B810" s="23" t="s">
        <v>4808</v>
      </c>
      <c r="C810" s="28" t="s">
        <v>493</v>
      </c>
      <c r="E810" s="161">
        <f>$H$771</f>
        <v>16.26364090081</v>
      </c>
    </row>
    <row r="811" spans="2:5" x14ac:dyDescent="0.25">
      <c r="B811" s="23" t="s">
        <v>4809</v>
      </c>
      <c r="C811" s="28" t="s">
        <v>493</v>
      </c>
      <c r="E811" s="161">
        <f>$E$793</f>
        <v>677.73059999999998</v>
      </c>
    </row>
    <row r="812" spans="2:5" x14ac:dyDescent="0.25">
      <c r="B812" s="23" t="s">
        <v>4810</v>
      </c>
      <c r="C812" s="28" t="s">
        <v>493</v>
      </c>
      <c r="E812" s="161">
        <f>$E$794</f>
        <v>290.59201234880999</v>
      </c>
    </row>
    <row r="813" spans="2:5" x14ac:dyDescent="0.25">
      <c r="B813" s="239" t="s">
        <v>4811</v>
      </c>
      <c r="E813" s="229">
        <f>(1-Inputs!$E$748)*$E$796</f>
        <v>6.1319023219539304E-3</v>
      </c>
    </row>
    <row r="814" spans="2:5" x14ac:dyDescent="0.25">
      <c r="B814" s="23" t="s">
        <v>4812</v>
      </c>
      <c r="C814" s="28" t="s">
        <v>493</v>
      </c>
      <c r="E814" s="161">
        <f>$D$764</f>
        <v>327.325840159427</v>
      </c>
    </row>
    <row r="815" spans="2:5" x14ac:dyDescent="0.25">
      <c r="B815" s="23" t="s">
        <v>4813</v>
      </c>
      <c r="C815" s="28" t="s">
        <v>493</v>
      </c>
      <c r="E815" s="161">
        <f>$E$764</f>
        <v>494.44284118395001</v>
      </c>
    </row>
    <row r="816" spans="2:5" x14ac:dyDescent="0.25">
      <c r="B816" s="23" t="s">
        <v>4814</v>
      </c>
      <c r="C816" s="28" t="s">
        <v>493</v>
      </c>
      <c r="E816" s="161">
        <f>$F$764</f>
        <v>3.04885373796</v>
      </c>
    </row>
    <row r="817" spans="2:22" x14ac:dyDescent="0.25">
      <c r="B817" s="23" t="s">
        <v>4815</v>
      </c>
      <c r="C817" s="28" t="s">
        <v>493</v>
      </c>
      <c r="E817" s="161">
        <f>$G$764</f>
        <v>1.20478385166</v>
      </c>
    </row>
    <row r="818" spans="2:22" x14ac:dyDescent="0.25">
      <c r="B818" s="23" t="s">
        <v>4816</v>
      </c>
      <c r="C818" s="28" t="s">
        <v>493</v>
      </c>
      <c r="E818" s="161">
        <f>$D$776</f>
        <v>353.44374276696999</v>
      </c>
    </row>
    <row r="819" spans="2:22" x14ac:dyDescent="0.25">
      <c r="B819" s="145" t="s">
        <v>4817</v>
      </c>
    </row>
    <row r="821" spans="2:22" x14ac:dyDescent="0.25">
      <c r="B821" s="58" t="s">
        <v>4818</v>
      </c>
      <c r="C821" s="19"/>
      <c r="D821" s="19"/>
      <c r="E821" s="19"/>
      <c r="F821" s="19"/>
      <c r="G821" s="19"/>
      <c r="H821" s="19"/>
      <c r="I821" s="19"/>
      <c r="J821" s="19"/>
      <c r="K821" s="19"/>
      <c r="L821" s="19"/>
      <c r="M821" s="19"/>
      <c r="N821" s="19"/>
      <c r="O821" s="19"/>
      <c r="P821" s="19"/>
      <c r="Q821" s="19"/>
      <c r="R821" s="19"/>
      <c r="S821" s="19"/>
      <c r="T821" s="19"/>
      <c r="U821" s="19"/>
      <c r="V821" s="19"/>
    </row>
    <row r="822" spans="2:22" x14ac:dyDescent="0.25">
      <c r="B822" s="145" t="s">
        <v>4819</v>
      </c>
    </row>
    <row r="823" spans="2:22" x14ac:dyDescent="0.25">
      <c r="B823" s="145" t="s">
        <v>4820</v>
      </c>
    </row>
    <row r="824" spans="2:22" x14ac:dyDescent="0.25">
      <c r="B824" s="77" t="s">
        <v>4821</v>
      </c>
      <c r="G824" s="77" t="s">
        <v>4822</v>
      </c>
      <c r="H824" s="77" t="s">
        <v>1879</v>
      </c>
      <c r="I824" s="77" t="s">
        <v>1879</v>
      </c>
      <c r="J824" s="77" t="s">
        <v>1879</v>
      </c>
      <c r="K824" s="77" t="s">
        <v>1879</v>
      </c>
      <c r="L824" s="77" t="s">
        <v>1879</v>
      </c>
      <c r="M824" s="77" t="s">
        <v>1879</v>
      </c>
      <c r="N824" s="77" t="s">
        <v>1879</v>
      </c>
      <c r="O824" s="77" t="s">
        <v>1879</v>
      </c>
      <c r="P824" s="77" t="s">
        <v>1879</v>
      </c>
      <c r="Q824" s="77" t="s">
        <v>1879</v>
      </c>
      <c r="R824" s="77" t="s">
        <v>1879</v>
      </c>
      <c r="S824" s="77" t="s">
        <v>1879</v>
      </c>
      <c r="T824" s="77" t="s">
        <v>1879</v>
      </c>
    </row>
    <row r="825" spans="2:22" x14ac:dyDescent="0.25">
      <c r="B825" s="150" t="s">
        <v>4823</v>
      </c>
      <c r="C825" s="150" t="s">
        <v>466</v>
      </c>
      <c r="D825" s="59" t="s">
        <v>1881</v>
      </c>
      <c r="E825" s="59" t="s">
        <v>468</v>
      </c>
      <c r="F825" s="60"/>
      <c r="G825" s="151">
        <v>2023</v>
      </c>
      <c r="H825" s="152">
        <v>2024</v>
      </c>
      <c r="I825" s="152">
        <v>2025</v>
      </c>
      <c r="J825" s="152">
        <v>2026</v>
      </c>
      <c r="K825" s="152">
        <v>2027</v>
      </c>
      <c r="L825" s="152">
        <v>2028</v>
      </c>
      <c r="M825" s="152">
        <v>2029</v>
      </c>
      <c r="N825" s="152">
        <v>2030</v>
      </c>
      <c r="O825" s="152">
        <v>2031</v>
      </c>
      <c r="P825" s="152">
        <v>2032</v>
      </c>
      <c r="Q825" s="152">
        <v>2033</v>
      </c>
      <c r="R825" s="152">
        <v>2034</v>
      </c>
      <c r="S825" s="152">
        <v>2035</v>
      </c>
      <c r="T825" s="152">
        <v>2036</v>
      </c>
      <c r="U825" s="59" t="s">
        <v>1882</v>
      </c>
    </row>
    <row r="826" spans="2:22" x14ac:dyDescent="0.25">
      <c r="B826" s="220" t="s">
        <v>4824</v>
      </c>
    </row>
    <row r="827" spans="2:22" x14ac:dyDescent="0.25">
      <c r="B827" s="154" t="s">
        <v>4825</v>
      </c>
    </row>
    <row r="828" spans="2:22" x14ac:dyDescent="0.25">
      <c r="B828" s="23" t="s">
        <v>4826</v>
      </c>
      <c r="C828" s="28" t="s">
        <v>493</v>
      </c>
      <c r="D828" s="155" t="s">
        <v>3684</v>
      </c>
      <c r="H828" s="92">
        <v>305.288636575314</v>
      </c>
      <c r="I828" s="92">
        <v>427.60286647031597</v>
      </c>
      <c r="J828" s="92">
        <v>622.06488628652903</v>
      </c>
      <c r="K828" s="92">
        <v>754.46283287559299</v>
      </c>
      <c r="L828" s="92">
        <v>841.309577025576</v>
      </c>
      <c r="M828" s="92">
        <v>917.90703723101205</v>
      </c>
      <c r="N828" s="92">
        <v>957.01687917243305</v>
      </c>
      <c r="O828" s="92">
        <v>1021.44310957036</v>
      </c>
      <c r="P828" s="92">
        <v>1068.32911720014</v>
      </c>
      <c r="Q828" s="92">
        <v>1137.221937108</v>
      </c>
      <c r="R828" s="92">
        <v>1162.5819669451801</v>
      </c>
      <c r="S828" s="92">
        <v>1171.2143622958599</v>
      </c>
      <c r="T828" s="92">
        <v>1212.28951630494</v>
      </c>
    </row>
    <row r="829" spans="2:22" x14ac:dyDescent="0.25">
      <c r="B829" s="23" t="s">
        <v>859</v>
      </c>
      <c r="C829" s="28" t="s">
        <v>493</v>
      </c>
      <c r="D829" s="155" t="s">
        <v>3691</v>
      </c>
      <c r="H829" s="92">
        <v>-122.543058427959</v>
      </c>
      <c r="I829" s="92">
        <v>-114.658762824422</v>
      </c>
      <c r="J829" s="92">
        <v>-112.224966728287</v>
      </c>
      <c r="K829" s="92">
        <v>-124.58113550223101</v>
      </c>
      <c r="L829" s="92">
        <v>-146.73492706822401</v>
      </c>
      <c r="M829" s="92">
        <v>-157.56435050601601</v>
      </c>
      <c r="N829" s="92">
        <v>-167.62312796545601</v>
      </c>
      <c r="O829" s="92">
        <v>-179.279132373637</v>
      </c>
      <c r="P829" s="92">
        <v>-190.134995813909</v>
      </c>
      <c r="Q829" s="92">
        <v>-201.60267788366599</v>
      </c>
      <c r="R829" s="92">
        <v>-197.45913659428501</v>
      </c>
      <c r="S829" s="92">
        <v>-206.40946772791</v>
      </c>
      <c r="T829" s="92">
        <v>-216.931142504853</v>
      </c>
    </row>
    <row r="830" spans="2:22" x14ac:dyDescent="0.25">
      <c r="B830" s="23" t="s">
        <v>4827</v>
      </c>
      <c r="C830" s="28" t="s">
        <v>493</v>
      </c>
      <c r="D830" s="155" t="s">
        <v>3695</v>
      </c>
      <c r="H830" s="92">
        <v>182.745578147354</v>
      </c>
      <c r="I830" s="92">
        <v>312.94410364589402</v>
      </c>
      <c r="J830" s="92">
        <v>509.839919558242</v>
      </c>
      <c r="K830" s="92">
        <v>629.88169737336204</v>
      </c>
      <c r="L830" s="92">
        <v>694.57464995735199</v>
      </c>
      <c r="M830" s="92">
        <v>760.34268672499604</v>
      </c>
      <c r="N830" s="92">
        <v>789.39375120697696</v>
      </c>
      <c r="O830" s="92">
        <v>842.16397719672102</v>
      </c>
      <c r="P830" s="92">
        <v>878.19412138623397</v>
      </c>
      <c r="Q830" s="92">
        <v>935.61925922433704</v>
      </c>
      <c r="R830" s="92">
        <v>965.12283035089195</v>
      </c>
      <c r="S830" s="92">
        <v>964.80489456794498</v>
      </c>
      <c r="T830" s="92">
        <v>995.358373800084</v>
      </c>
    </row>
    <row r="831" spans="2:22" x14ac:dyDescent="0.25">
      <c r="B831" s="23" t="s">
        <v>4828</v>
      </c>
      <c r="C831" s="28" t="s">
        <v>493</v>
      </c>
      <c r="D831" s="155" t="s">
        <v>3699</v>
      </c>
      <c r="H831" s="92">
        <v>-28.510102744491402</v>
      </c>
      <c r="I831" s="92">
        <v>-49.385569867169998</v>
      </c>
      <c r="J831" s="92">
        <v>-142.34963152703699</v>
      </c>
      <c r="K831" s="92">
        <v>-179.633564043588</v>
      </c>
      <c r="L831" s="92">
        <v>-195.40514447930599</v>
      </c>
      <c r="M831" s="92">
        <v>-206.352346578354</v>
      </c>
      <c r="N831" s="92">
        <v>-214.027735579395</v>
      </c>
      <c r="O831" s="92">
        <v>-223.79128417303701</v>
      </c>
      <c r="P831" s="92">
        <v>-231.12485212079099</v>
      </c>
      <c r="Q831" s="92">
        <v>-241.32737311622901</v>
      </c>
      <c r="R831" s="92">
        <v>-249.21333487689901</v>
      </c>
      <c r="S831" s="92">
        <v>-253.45950834919199</v>
      </c>
      <c r="T831" s="92">
        <v>-261.085332887954</v>
      </c>
    </row>
    <row r="832" spans="2:22" x14ac:dyDescent="0.25">
      <c r="B832" s="23" t="s">
        <v>3085</v>
      </c>
      <c r="C832" s="28" t="s">
        <v>493</v>
      </c>
      <c r="D832" s="155" t="s">
        <v>3704</v>
      </c>
      <c r="H832" s="92">
        <v>154.23547540286299</v>
      </c>
      <c r="I832" s="92">
        <v>263.55853377872398</v>
      </c>
      <c r="J832" s="92">
        <v>367.49028803120598</v>
      </c>
      <c r="K832" s="92">
        <v>450.248133329773</v>
      </c>
      <c r="L832" s="92">
        <v>499.16950547804601</v>
      </c>
      <c r="M832" s="92">
        <v>553.99034014664198</v>
      </c>
      <c r="N832" s="92">
        <v>575.36601562758199</v>
      </c>
      <c r="O832" s="92">
        <v>618.37269302368304</v>
      </c>
      <c r="P832" s="92">
        <v>647.06926926544304</v>
      </c>
      <c r="Q832" s="92">
        <v>694.29188610810797</v>
      </c>
      <c r="R832" s="92">
        <v>715.90949547399305</v>
      </c>
      <c r="S832" s="92">
        <v>711.34538621875299</v>
      </c>
      <c r="T832" s="92">
        <v>734.27304091213</v>
      </c>
    </row>
    <row r="833" spans="2:20" x14ac:dyDescent="0.25">
      <c r="B833" s="23" t="s">
        <v>4829</v>
      </c>
      <c r="C833" s="28" t="s">
        <v>493</v>
      </c>
      <c r="D833" s="155" t="s">
        <v>3708</v>
      </c>
      <c r="H833" s="92">
        <v>-88.373062408935297</v>
      </c>
      <c r="I833" s="92">
        <v>-113.59968518200201</v>
      </c>
      <c r="J833" s="92">
        <v>-134.96780390311301</v>
      </c>
      <c r="K833" s="92">
        <v>-136.94134168720899</v>
      </c>
      <c r="L833" s="92">
        <v>-144.19843006333599</v>
      </c>
      <c r="M833" s="92">
        <v>-146.20716215698599</v>
      </c>
      <c r="N833" s="92">
        <v>-146.21606889250901</v>
      </c>
      <c r="O833" s="92">
        <v>-146.225153762742</v>
      </c>
      <c r="P833" s="92">
        <v>-148.23442033038</v>
      </c>
      <c r="Q833" s="92">
        <v>-148.24387222937099</v>
      </c>
      <c r="R833" s="92">
        <v>-142.71566792824601</v>
      </c>
      <c r="S833" s="92">
        <v>-142.725501683956</v>
      </c>
      <c r="T833" s="92">
        <v>-142.73553211478</v>
      </c>
    </row>
    <row r="834" spans="2:20" x14ac:dyDescent="0.25">
      <c r="B834" s="23" t="s">
        <v>3086</v>
      </c>
      <c r="C834" s="28" t="s">
        <v>493</v>
      </c>
      <c r="D834" s="155" t="s">
        <v>3712</v>
      </c>
      <c r="H834" s="92">
        <v>65.862412993927705</v>
      </c>
      <c r="I834" s="92">
        <v>149.95884859672299</v>
      </c>
      <c r="J834" s="92">
        <v>232.522484128093</v>
      </c>
      <c r="K834" s="92">
        <v>313.30679164256497</v>
      </c>
      <c r="L834" s="92">
        <v>354.97107541471098</v>
      </c>
      <c r="M834" s="92">
        <v>407.783177989656</v>
      </c>
      <c r="N834" s="92">
        <v>429.14994673507402</v>
      </c>
      <c r="O834" s="92">
        <v>472.14753926094102</v>
      </c>
      <c r="P834" s="92">
        <v>498.83484893506301</v>
      </c>
      <c r="Q834" s="92">
        <v>546.04801387873704</v>
      </c>
      <c r="R834" s="92">
        <v>573.19382754574701</v>
      </c>
      <c r="S834" s="92">
        <v>568.61988453479705</v>
      </c>
      <c r="T834" s="92">
        <v>591.53750879735003</v>
      </c>
    </row>
    <row r="835" spans="2:20" x14ac:dyDescent="0.25">
      <c r="B835" s="23" t="s">
        <v>4830</v>
      </c>
      <c r="C835" s="28" t="s">
        <v>493</v>
      </c>
      <c r="D835" s="155" t="s">
        <v>3716</v>
      </c>
      <c r="H835" s="92">
        <v>-5.4709055176610004</v>
      </c>
      <c r="I835" s="92">
        <v>-15.2734501777697</v>
      </c>
      <c r="J835" s="92">
        <v>0</v>
      </c>
      <c r="K835" s="92">
        <v>0</v>
      </c>
      <c r="L835" s="92">
        <v>0</v>
      </c>
      <c r="M835" s="92">
        <v>0</v>
      </c>
      <c r="N835" s="92">
        <v>0</v>
      </c>
      <c r="O835" s="92">
        <v>0</v>
      </c>
      <c r="P835" s="92">
        <v>0</v>
      </c>
      <c r="Q835" s="92">
        <v>0</v>
      </c>
      <c r="R835" s="92">
        <v>0</v>
      </c>
      <c r="S835" s="92">
        <v>0</v>
      </c>
      <c r="T835" s="92">
        <v>0</v>
      </c>
    </row>
    <row r="836" spans="2:20" x14ac:dyDescent="0.25">
      <c r="B836" s="23" t="s">
        <v>4831</v>
      </c>
      <c r="C836" s="28" t="s">
        <v>493</v>
      </c>
      <c r="D836" s="155" t="s">
        <v>3721</v>
      </c>
      <c r="H836" s="92">
        <v>60.391507476266703</v>
      </c>
      <c r="I836" s="92">
        <v>134.68539841895301</v>
      </c>
      <c r="J836" s="92">
        <v>232.522484128093</v>
      </c>
      <c r="K836" s="92">
        <v>313.30679164256497</v>
      </c>
      <c r="L836" s="92">
        <v>354.97107541471098</v>
      </c>
      <c r="M836" s="92">
        <v>407.783177989656</v>
      </c>
      <c r="N836" s="92">
        <v>429.14994673507402</v>
      </c>
      <c r="O836" s="92">
        <v>472.14753926094102</v>
      </c>
      <c r="P836" s="92">
        <v>498.83484893506301</v>
      </c>
      <c r="Q836" s="92">
        <v>546.04801387873704</v>
      </c>
      <c r="R836" s="92">
        <v>573.19382754574701</v>
      </c>
      <c r="S836" s="92">
        <v>568.61988453479705</v>
      </c>
      <c r="T836" s="92">
        <v>591.53750879735003</v>
      </c>
    </row>
    <row r="837" spans="2:20" x14ac:dyDescent="0.25">
      <c r="B837" s="23" t="s">
        <v>4832</v>
      </c>
      <c r="C837" s="28" t="s">
        <v>493</v>
      </c>
      <c r="D837" s="155" t="s">
        <v>3725</v>
      </c>
      <c r="H837" s="92">
        <v>-19.962283512427799</v>
      </c>
      <c r="I837" s="92">
        <v>-34.011742338910203</v>
      </c>
      <c r="J837" s="92">
        <v>-55.219449591529802</v>
      </c>
      <c r="K837" s="92">
        <v>-70.708869592703493</v>
      </c>
      <c r="L837" s="92">
        <v>-79.691245471648998</v>
      </c>
      <c r="M837" s="92">
        <v>-89.972075216019107</v>
      </c>
      <c r="N837" s="92">
        <v>-94.441757452377104</v>
      </c>
      <c r="O837" s="92">
        <v>-103.87245863740699</v>
      </c>
      <c r="P837" s="92">
        <v>-109.743666765714</v>
      </c>
      <c r="Q837" s="92">
        <v>-120.13056305332201</v>
      </c>
      <c r="R837" s="92">
        <v>-126.102642060064</v>
      </c>
      <c r="S837" s="92">
        <v>-125.096374597655</v>
      </c>
      <c r="T837" s="92">
        <v>-130.138251935417</v>
      </c>
    </row>
    <row r="838" spans="2:20" x14ac:dyDescent="0.25">
      <c r="B838" s="23" t="s">
        <v>4833</v>
      </c>
      <c r="C838" s="28" t="s">
        <v>493</v>
      </c>
      <c r="D838" s="155" t="s">
        <v>3730</v>
      </c>
      <c r="H838" s="92">
        <v>40.429223963838901</v>
      </c>
      <c r="I838" s="92">
        <v>100.673656080043</v>
      </c>
      <c r="J838" s="92">
        <v>177.30303453656401</v>
      </c>
      <c r="K838" s="92">
        <v>242.59792204986101</v>
      </c>
      <c r="L838" s="92">
        <v>275.279829943062</v>
      </c>
      <c r="M838" s="92">
        <v>317.811102773637</v>
      </c>
      <c r="N838" s="92">
        <v>334.70818928269699</v>
      </c>
      <c r="O838" s="92">
        <v>368.275080623534</v>
      </c>
      <c r="P838" s="92">
        <v>389.091182169349</v>
      </c>
      <c r="Q838" s="92">
        <v>425.91745082541502</v>
      </c>
      <c r="R838" s="92">
        <v>447.09118548568199</v>
      </c>
      <c r="S838" s="92">
        <v>443.52350993714202</v>
      </c>
      <c r="T838" s="92">
        <v>461.399256861933</v>
      </c>
    </row>
    <row r="839" spans="2:20" x14ac:dyDescent="0.25">
      <c r="B839" s="154" t="s">
        <v>4834</v>
      </c>
    </row>
    <row r="840" spans="2:20" x14ac:dyDescent="0.25">
      <c r="B840" s="23" t="s">
        <v>4835</v>
      </c>
      <c r="C840" s="28" t="s">
        <v>493</v>
      </c>
      <c r="D840" s="155" t="s">
        <v>3734</v>
      </c>
      <c r="H840" s="92">
        <v>40.429223963838901</v>
      </c>
      <c r="I840" s="92">
        <v>100.673656080043</v>
      </c>
      <c r="J840" s="92">
        <v>177.30303453656401</v>
      </c>
      <c r="K840" s="92">
        <v>242.59792204986101</v>
      </c>
      <c r="L840" s="92">
        <v>275.279829943062</v>
      </c>
      <c r="M840" s="92">
        <v>317.811102773637</v>
      </c>
      <c r="N840" s="92">
        <v>334.70818928269699</v>
      </c>
      <c r="O840" s="92">
        <v>368.275080623534</v>
      </c>
      <c r="P840" s="92">
        <v>389.091182169349</v>
      </c>
      <c r="Q840" s="92">
        <v>425.91745082541502</v>
      </c>
      <c r="R840" s="92">
        <v>447.09118548568199</v>
      </c>
      <c r="S840" s="92">
        <v>443.52350993714202</v>
      </c>
      <c r="T840" s="92">
        <v>461.399256861933</v>
      </c>
    </row>
    <row r="841" spans="2:20" x14ac:dyDescent="0.25">
      <c r="B841" s="23" t="s">
        <v>4836</v>
      </c>
      <c r="C841" s="28" t="s">
        <v>493</v>
      </c>
      <c r="D841" s="155" t="s">
        <v>3738</v>
      </c>
      <c r="H841" s="92">
        <v>88.373062408935297</v>
      </c>
      <c r="I841" s="92">
        <v>113.59968518200201</v>
      </c>
      <c r="J841" s="92">
        <v>134.96780390311301</v>
      </c>
      <c r="K841" s="92">
        <v>136.94134168720899</v>
      </c>
      <c r="L841" s="92">
        <v>144.19843006333599</v>
      </c>
      <c r="M841" s="92">
        <v>146.20716215698599</v>
      </c>
      <c r="N841" s="92">
        <v>146.21606889250901</v>
      </c>
      <c r="O841" s="92">
        <v>146.225153762742</v>
      </c>
      <c r="P841" s="92">
        <v>148.23442033038</v>
      </c>
      <c r="Q841" s="92">
        <v>148.24387222937099</v>
      </c>
      <c r="R841" s="92">
        <v>142.71566792824601</v>
      </c>
      <c r="S841" s="92">
        <v>142.725501683956</v>
      </c>
      <c r="T841" s="92">
        <v>142.73553211478</v>
      </c>
    </row>
    <row r="842" spans="2:20" x14ac:dyDescent="0.25">
      <c r="B842" s="23" t="s">
        <v>4837</v>
      </c>
      <c r="C842" s="28" t="s">
        <v>493</v>
      </c>
      <c r="D842" s="155" t="s">
        <v>3742</v>
      </c>
      <c r="H842" s="92">
        <v>2.8370388994712199</v>
      </c>
      <c r="I842" s="92">
        <v>-15.803178598626999</v>
      </c>
      <c r="J842" s="92">
        <v>-24.174807601681199</v>
      </c>
      <c r="K842" s="92">
        <v>-15.3074589953138</v>
      </c>
      <c r="L842" s="92">
        <v>-8.6358287416836408</v>
      </c>
      <c r="M842" s="92">
        <v>-8.8038774114131098</v>
      </c>
      <c r="N842" s="92">
        <v>-3.99501250296098</v>
      </c>
      <c r="O842" s="92">
        <v>-6.9849321524963299</v>
      </c>
      <c r="P842" s="92">
        <v>-4.5710337951103996</v>
      </c>
      <c r="Q842" s="92">
        <v>-7.8682562703503702</v>
      </c>
      <c r="R842" s="92">
        <v>-2.9473333710221699</v>
      </c>
      <c r="S842" s="92">
        <v>-0.32862426512819798</v>
      </c>
      <c r="T842" s="92">
        <v>-3.8396190098074401</v>
      </c>
    </row>
    <row r="843" spans="2:20" x14ac:dyDescent="0.25">
      <c r="B843" s="23" t="s">
        <v>4838</v>
      </c>
      <c r="C843" s="28" t="s">
        <v>493</v>
      </c>
      <c r="D843" s="155" t="s">
        <v>3746</v>
      </c>
      <c r="H843" s="92">
        <v>131.639325272245</v>
      </c>
      <c r="I843" s="92">
        <v>198.470162663417</v>
      </c>
      <c r="J843" s="92">
        <v>288.09603083799499</v>
      </c>
      <c r="K843" s="92">
        <v>364.23180474175598</v>
      </c>
      <c r="L843" s="92">
        <v>410.84243126471398</v>
      </c>
      <c r="M843" s="92">
        <v>455.21438751920999</v>
      </c>
      <c r="N843" s="92">
        <v>476.92924567224401</v>
      </c>
      <c r="O843" s="92">
        <v>507.51530223378001</v>
      </c>
      <c r="P843" s="92">
        <v>532.75456870461903</v>
      </c>
      <c r="Q843" s="92">
        <v>566.29306678443504</v>
      </c>
      <c r="R843" s="92">
        <v>586.85952004290596</v>
      </c>
      <c r="S843" s="92">
        <v>585.92038735596998</v>
      </c>
      <c r="T843" s="92">
        <v>600.29516996690597</v>
      </c>
    </row>
    <row r="844" spans="2:20" x14ac:dyDescent="0.25">
      <c r="B844" s="23" t="s">
        <v>4839</v>
      </c>
      <c r="C844" s="28" t="s">
        <v>493</v>
      </c>
      <c r="D844" s="155" t="s">
        <v>3750</v>
      </c>
      <c r="H844" s="92">
        <v>0</v>
      </c>
      <c r="I844" s="92">
        <v>0</v>
      </c>
      <c r="J844" s="92">
        <v>0</v>
      </c>
      <c r="K844" s="92">
        <v>0</v>
      </c>
      <c r="L844" s="92">
        <v>0</v>
      </c>
      <c r="M844" s="92">
        <v>0</v>
      </c>
      <c r="N844" s="92">
        <v>0</v>
      </c>
      <c r="O844" s="92">
        <v>0</v>
      </c>
      <c r="P844" s="92">
        <v>0</v>
      </c>
      <c r="Q844" s="92">
        <v>0</v>
      </c>
      <c r="R844" s="92">
        <v>0</v>
      </c>
      <c r="S844" s="92">
        <v>0</v>
      </c>
      <c r="T844" s="92">
        <v>0</v>
      </c>
    </row>
    <row r="845" spans="2:20" x14ac:dyDescent="0.25">
      <c r="B845" s="23" t="s">
        <v>4840</v>
      </c>
      <c r="C845" s="28" t="s">
        <v>493</v>
      </c>
      <c r="D845" s="155" t="s">
        <v>3754</v>
      </c>
      <c r="G845" s="92">
        <v>-198.43299999999999</v>
      </c>
      <c r="H845" s="92">
        <v>-125.2405</v>
      </c>
      <c r="I845" s="92">
        <v>-14.638500000000001</v>
      </c>
      <c r="J845" s="92">
        <v>-419.772029761905</v>
      </c>
      <c r="K845" s="92">
        <v>-160.003625</v>
      </c>
      <c r="L845" s="92">
        <v>0</v>
      </c>
      <c r="M845" s="92">
        <v>0</v>
      </c>
      <c r="N845" s="92">
        <v>0</v>
      </c>
      <c r="O845" s="92">
        <v>0</v>
      </c>
      <c r="P845" s="92">
        <v>0</v>
      </c>
      <c r="Q845" s="92">
        <v>0</v>
      </c>
      <c r="R845" s="92">
        <v>0</v>
      </c>
      <c r="S845" s="92">
        <v>0</v>
      </c>
      <c r="T845" s="92">
        <v>0</v>
      </c>
    </row>
    <row r="846" spans="2:20" x14ac:dyDescent="0.25">
      <c r="B846" s="23" t="s">
        <v>4841</v>
      </c>
      <c r="C846" s="28" t="s">
        <v>493</v>
      </c>
      <c r="D846" s="155" t="s">
        <v>3759</v>
      </c>
      <c r="H846" s="92">
        <v>-125.2405</v>
      </c>
      <c r="I846" s="92">
        <v>-14.638500000000001</v>
      </c>
      <c r="J846" s="92">
        <v>-419.772029761905</v>
      </c>
      <c r="K846" s="92">
        <v>-160.003625</v>
      </c>
      <c r="L846" s="92">
        <v>0</v>
      </c>
      <c r="M846" s="92">
        <v>0</v>
      </c>
      <c r="N846" s="92">
        <v>0</v>
      </c>
      <c r="O846" s="92">
        <v>0</v>
      </c>
      <c r="P846" s="92">
        <v>0</v>
      </c>
      <c r="Q846" s="92">
        <v>0</v>
      </c>
      <c r="R846" s="92">
        <v>0</v>
      </c>
      <c r="S846" s="92">
        <v>0</v>
      </c>
      <c r="T846" s="92">
        <v>0</v>
      </c>
    </row>
    <row r="847" spans="2:20" x14ac:dyDescent="0.25">
      <c r="B847" s="23" t="s">
        <v>4842</v>
      </c>
      <c r="C847" s="28" t="s">
        <v>493</v>
      </c>
      <c r="D847" s="155" t="s">
        <v>3763</v>
      </c>
      <c r="H847" s="92">
        <v>0</v>
      </c>
      <c r="I847" s="92">
        <v>0</v>
      </c>
      <c r="J847" s="92">
        <v>419.772029761905</v>
      </c>
      <c r="K847" s="92">
        <v>160.003625</v>
      </c>
      <c r="L847" s="92">
        <v>0</v>
      </c>
      <c r="M847" s="92">
        <v>0</v>
      </c>
      <c r="N847" s="92">
        <v>0</v>
      </c>
      <c r="O847" s="92">
        <v>0</v>
      </c>
      <c r="P847" s="92">
        <v>0</v>
      </c>
      <c r="Q847" s="92">
        <v>0</v>
      </c>
      <c r="R847" s="92">
        <v>0</v>
      </c>
      <c r="S847" s="92">
        <v>0</v>
      </c>
      <c r="T847" s="92">
        <v>0</v>
      </c>
    </row>
    <row r="848" spans="2:20" x14ac:dyDescent="0.25">
      <c r="B848" s="23" t="s">
        <v>4843</v>
      </c>
      <c r="C848" s="28" t="s">
        <v>493</v>
      </c>
      <c r="D848" s="155" t="s">
        <v>3768</v>
      </c>
      <c r="H848" s="92">
        <v>-29.338465248760102</v>
      </c>
      <c r="I848" s="92">
        <v>-195.18</v>
      </c>
      <c r="J848" s="92">
        <v>0</v>
      </c>
      <c r="K848" s="92">
        <v>0</v>
      </c>
      <c r="L848" s="92">
        <v>0</v>
      </c>
      <c r="M848" s="92">
        <v>0</v>
      </c>
      <c r="N848" s="92">
        <v>0</v>
      </c>
      <c r="O848" s="92">
        <v>0</v>
      </c>
      <c r="P848" s="92">
        <v>0</v>
      </c>
      <c r="Q848" s="92">
        <v>0</v>
      </c>
      <c r="R848" s="92">
        <v>0</v>
      </c>
      <c r="S848" s="92">
        <v>0</v>
      </c>
      <c r="T848" s="92">
        <v>0</v>
      </c>
    </row>
    <row r="849" spans="2:20" x14ac:dyDescent="0.25">
      <c r="B849" s="23" t="s">
        <v>4844</v>
      </c>
      <c r="C849" s="28" t="s">
        <v>493</v>
      </c>
      <c r="D849" s="155" t="s">
        <v>3772</v>
      </c>
      <c r="H849" s="92">
        <v>-6.3327025288222201</v>
      </c>
      <c r="I849" s="92">
        <v>-17.018225208360501</v>
      </c>
      <c r="J849" s="92">
        <v>-46.998288241660703</v>
      </c>
      <c r="K849" s="92">
        <v>-66.301598708192302</v>
      </c>
      <c r="L849" s="92">
        <v>-75.852592345920399</v>
      </c>
      <c r="M849" s="92">
        <v>-87.991662902149102</v>
      </c>
      <c r="N849" s="92">
        <v>-92.784292246747796</v>
      </c>
      <c r="O849" s="92">
        <v>-102.572735835586</v>
      </c>
      <c r="P849" s="92">
        <v>-108.11298126246101</v>
      </c>
      <c r="Q849" s="92">
        <v>-118.854059461265</v>
      </c>
      <c r="R849" s="92">
        <v>-124.893946505218</v>
      </c>
      <c r="S849" s="92">
        <v>-123.506043419409</v>
      </c>
      <c r="T849" s="92">
        <v>-128.54587960915799</v>
      </c>
    </row>
    <row r="850" spans="2:20" x14ac:dyDescent="0.25">
      <c r="B850" s="23" t="s">
        <v>4845</v>
      </c>
      <c r="C850" s="28" t="s">
        <v>493</v>
      </c>
      <c r="D850" s="155" t="s">
        <v>3777</v>
      </c>
      <c r="H850" s="92">
        <v>-35.671167777582298</v>
      </c>
      <c r="I850" s="92">
        <v>-212.19822520836101</v>
      </c>
      <c r="J850" s="92">
        <v>372.77374152024402</v>
      </c>
      <c r="K850" s="92">
        <v>93.702026291807698</v>
      </c>
      <c r="L850" s="92">
        <v>-75.852592345920399</v>
      </c>
      <c r="M850" s="92">
        <v>-87.991662902149102</v>
      </c>
      <c r="N850" s="92">
        <v>-92.784292246747796</v>
      </c>
      <c r="O850" s="92">
        <v>-102.572735835586</v>
      </c>
      <c r="P850" s="92">
        <v>-108.11298126246101</v>
      </c>
      <c r="Q850" s="92">
        <v>-118.854059461265</v>
      </c>
      <c r="R850" s="92">
        <v>-124.893946505218</v>
      </c>
      <c r="S850" s="92">
        <v>-123.506043419409</v>
      </c>
      <c r="T850" s="92">
        <v>-128.54587960915799</v>
      </c>
    </row>
    <row r="851" spans="2:20" x14ac:dyDescent="0.25">
      <c r="B851" s="23" t="s">
        <v>4846</v>
      </c>
      <c r="C851" s="28" t="s">
        <v>493</v>
      </c>
      <c r="D851" s="155" t="s">
        <v>3781</v>
      </c>
      <c r="H851" s="92">
        <v>-29.272342505336901</v>
      </c>
      <c r="I851" s="92">
        <v>-28.3665625449431</v>
      </c>
      <c r="J851" s="92">
        <v>241.097742596334</v>
      </c>
      <c r="K851" s="92">
        <v>297.93020603356399</v>
      </c>
      <c r="L851" s="92">
        <v>334.989838918793</v>
      </c>
      <c r="M851" s="92">
        <v>367.22272461706098</v>
      </c>
      <c r="N851" s="92">
        <v>384.144953425496</v>
      </c>
      <c r="O851" s="92">
        <v>404.942566398194</v>
      </c>
      <c r="P851" s="92">
        <v>424.64158744215803</v>
      </c>
      <c r="Q851" s="92">
        <v>447.43900732317002</v>
      </c>
      <c r="R851" s="92">
        <v>461.96557353768799</v>
      </c>
      <c r="S851" s="92">
        <v>462.41434393656101</v>
      </c>
      <c r="T851" s="92">
        <v>471.74929035774801</v>
      </c>
    </row>
    <row r="852" spans="2:20" x14ac:dyDescent="0.25">
      <c r="B852" s="23" t="s">
        <v>4847</v>
      </c>
      <c r="C852" s="28" t="s">
        <v>493</v>
      </c>
      <c r="D852" s="155" t="s">
        <v>3785</v>
      </c>
      <c r="G852" s="92">
        <v>60.638905050280002</v>
      </c>
      <c r="H852" s="92">
        <v>31.3665625449431</v>
      </c>
      <c r="I852" s="92">
        <v>2.9999999999999898</v>
      </c>
      <c r="J852" s="92">
        <v>244.097742596334</v>
      </c>
      <c r="K852" s="92">
        <v>542.02794862989799</v>
      </c>
      <c r="L852" s="92">
        <v>877.01778754869099</v>
      </c>
      <c r="M852" s="92">
        <v>1244.24051216575</v>
      </c>
      <c r="N852" s="92">
        <v>1628.3854655912501</v>
      </c>
      <c r="O852" s="92">
        <v>2033.32803198944</v>
      </c>
      <c r="P852" s="92">
        <v>2457.9696194316002</v>
      </c>
      <c r="Q852" s="92">
        <v>2905.40862675477</v>
      </c>
      <c r="R852" s="92">
        <v>3367.37420029246</v>
      </c>
      <c r="S852" s="92">
        <v>3829.7885442290199</v>
      </c>
      <c r="T852" s="92">
        <v>4301.5378345867703</v>
      </c>
    </row>
    <row r="853" spans="2:20" x14ac:dyDescent="0.25">
      <c r="B853" s="154" t="s">
        <v>4848</v>
      </c>
    </row>
    <row r="854" spans="2:20" x14ac:dyDescent="0.25">
      <c r="B854" s="23" t="s">
        <v>4762</v>
      </c>
      <c r="C854" s="28" t="s">
        <v>493</v>
      </c>
      <c r="D854" s="155" t="s">
        <v>3789</v>
      </c>
      <c r="G854" s="92">
        <v>60.638905050280002</v>
      </c>
      <c r="H854" s="92">
        <v>31.3665625449431</v>
      </c>
      <c r="I854" s="92">
        <v>2.9999999999999898</v>
      </c>
      <c r="J854" s="92">
        <v>244.097742596334</v>
      </c>
      <c r="K854" s="92">
        <v>542.02794862989799</v>
      </c>
      <c r="L854" s="92">
        <v>877.01778754869099</v>
      </c>
      <c r="M854" s="92">
        <v>1244.24051216575</v>
      </c>
      <c r="N854" s="92">
        <v>1628.3854655912501</v>
      </c>
      <c r="O854" s="92">
        <v>2033.32803198944</v>
      </c>
      <c r="P854" s="92">
        <v>2457.9696194316002</v>
      </c>
      <c r="Q854" s="92">
        <v>2905.40862675477</v>
      </c>
      <c r="R854" s="92">
        <v>3367.37420029246</v>
      </c>
      <c r="S854" s="92">
        <v>3829.7885442290199</v>
      </c>
      <c r="T854" s="92">
        <v>4301.5378345867703</v>
      </c>
    </row>
    <row r="855" spans="2:20" x14ac:dyDescent="0.25">
      <c r="B855" s="23" t="s">
        <v>4765</v>
      </c>
      <c r="C855" s="28" t="s">
        <v>493</v>
      </c>
      <c r="D855" s="155" t="s">
        <v>3793</v>
      </c>
      <c r="G855" s="92">
        <v>0.51981068748259995</v>
      </c>
      <c r="H855" s="92">
        <v>0.51981068748259995</v>
      </c>
      <c r="I855" s="92">
        <v>0.51981068748259995</v>
      </c>
      <c r="J855" s="92">
        <v>0.51981068748259995</v>
      </c>
      <c r="K855" s="92">
        <v>0.51981068748259995</v>
      </c>
      <c r="L855" s="92">
        <v>0.51981068748259995</v>
      </c>
      <c r="M855" s="92">
        <v>0.51981068748259995</v>
      </c>
      <c r="N855" s="92">
        <v>0.51981068748259995</v>
      </c>
      <c r="O855" s="92">
        <v>0.51981068748259995</v>
      </c>
      <c r="P855" s="92">
        <v>0.51981068748259995</v>
      </c>
      <c r="Q855" s="92">
        <v>0.51981068748259995</v>
      </c>
      <c r="R855" s="92">
        <v>0</v>
      </c>
      <c r="S855" s="92">
        <v>0</v>
      </c>
      <c r="T855" s="92">
        <v>0</v>
      </c>
    </row>
    <row r="856" spans="2:20" x14ac:dyDescent="0.25">
      <c r="B856" s="23" t="s">
        <v>4849</v>
      </c>
      <c r="C856" s="28" t="s">
        <v>493</v>
      </c>
      <c r="D856" s="155" t="s">
        <v>3798</v>
      </c>
      <c r="G856" s="92">
        <v>45</v>
      </c>
      <c r="H856" s="92">
        <v>37.535488103522198</v>
      </c>
      <c r="I856" s="92">
        <v>52.718161619628098</v>
      </c>
      <c r="J856" s="92">
        <v>76.692931186010398</v>
      </c>
      <c r="K856" s="92">
        <v>93.015965696990904</v>
      </c>
      <c r="L856" s="92">
        <v>103.43970209330899</v>
      </c>
      <c r="M856" s="92">
        <v>113.166621028481</v>
      </c>
      <c r="N856" s="92">
        <v>117.98838236372499</v>
      </c>
      <c r="O856" s="92">
        <v>125.93134227579699</v>
      </c>
      <c r="P856" s="92">
        <v>131.351940639362</v>
      </c>
      <c r="Q856" s="92">
        <v>140.20544430098701</v>
      </c>
      <c r="R856" s="92">
        <v>143.33202332200801</v>
      </c>
      <c r="S856" s="92">
        <v>144.396291241955</v>
      </c>
      <c r="T856" s="92">
        <v>149.051989709623</v>
      </c>
    </row>
    <row r="857" spans="2:20" x14ac:dyDescent="0.25">
      <c r="B857" s="23" t="s">
        <v>4850</v>
      </c>
      <c r="C857" s="28" t="s">
        <v>493</v>
      </c>
      <c r="D857" s="155" t="s">
        <v>3803</v>
      </c>
      <c r="G857" s="92">
        <v>826.022318932997</v>
      </c>
      <c r="H857" s="92">
        <v>862.88975652406202</v>
      </c>
      <c r="I857" s="92">
        <v>763.92857134205997</v>
      </c>
      <c r="J857" s="92">
        <v>1048.73279720085</v>
      </c>
      <c r="K857" s="92">
        <v>1071.79508051364</v>
      </c>
      <c r="L857" s="92">
        <v>927.59665045030795</v>
      </c>
      <c r="M857" s="92">
        <v>781.38948829332196</v>
      </c>
      <c r="N857" s="92">
        <v>635.17341940081303</v>
      </c>
      <c r="O857" s="92">
        <v>488.94826563807101</v>
      </c>
      <c r="P857" s="92">
        <v>340.71384530769097</v>
      </c>
      <c r="Q857" s="92">
        <v>192.469973078321</v>
      </c>
      <c r="R857" s="92">
        <v>49.7543051500746</v>
      </c>
      <c r="S857" s="92">
        <v>-92.971196533881397</v>
      </c>
      <c r="T857" s="92">
        <v>-235.70672864866199</v>
      </c>
    </row>
    <row r="858" spans="2:20" x14ac:dyDescent="0.25">
      <c r="B858" s="23" t="s">
        <v>4851</v>
      </c>
      <c r="C858" s="28" t="s">
        <v>493</v>
      </c>
      <c r="D858" s="155" t="s">
        <v>3808</v>
      </c>
      <c r="G858" s="92">
        <v>331.262624869158</v>
      </c>
      <c r="H858" s="92">
        <v>331.262624869158</v>
      </c>
      <c r="I858" s="92">
        <v>331.262624869158</v>
      </c>
      <c r="J858" s="92">
        <v>331.262624869158</v>
      </c>
      <c r="K858" s="92">
        <v>331.262624869158</v>
      </c>
      <c r="L858" s="92">
        <v>331.262624869158</v>
      </c>
      <c r="M858" s="92">
        <v>331.262624869158</v>
      </c>
      <c r="N858" s="92">
        <v>331.262624869158</v>
      </c>
      <c r="O858" s="92">
        <v>331.262624869158</v>
      </c>
      <c r="P858" s="92">
        <v>331.262624869158</v>
      </c>
      <c r="Q858" s="92">
        <v>331.262624869158</v>
      </c>
      <c r="R858" s="92">
        <v>331.262624869158</v>
      </c>
      <c r="S858" s="92">
        <v>331.262624869158</v>
      </c>
      <c r="T858" s="92">
        <v>331.262624869158</v>
      </c>
    </row>
    <row r="859" spans="2:20" x14ac:dyDescent="0.25">
      <c r="B859" s="23" t="s">
        <v>4738</v>
      </c>
      <c r="C859" s="28" t="s">
        <v>493</v>
      </c>
      <c r="D859" s="155" t="s">
        <v>3813</v>
      </c>
      <c r="G859" s="92">
        <v>1263.44365953992</v>
      </c>
      <c r="H859" s="92">
        <v>1263.57424272917</v>
      </c>
      <c r="I859" s="92">
        <v>1151.42916851833</v>
      </c>
      <c r="J859" s="92">
        <v>1701.30590653984</v>
      </c>
      <c r="K859" s="92">
        <v>2038.6214303971699</v>
      </c>
      <c r="L859" s="92">
        <v>2239.8365756489502</v>
      </c>
      <c r="M859" s="92">
        <v>2470.5790570442</v>
      </c>
      <c r="N859" s="92">
        <v>2713.3297029124301</v>
      </c>
      <c r="O859" s="92">
        <v>2979.9900754599498</v>
      </c>
      <c r="P859" s="92">
        <v>3261.81784093529</v>
      </c>
      <c r="Q859" s="92">
        <v>3569.8664796907201</v>
      </c>
      <c r="R859" s="92">
        <v>3891.7231536336999</v>
      </c>
      <c r="S859" s="92">
        <v>4212.4762638062502</v>
      </c>
      <c r="T859" s="92">
        <v>4546.1457205168899</v>
      </c>
    </row>
    <row r="860" spans="2:20" x14ac:dyDescent="0.25">
      <c r="B860" s="23" t="s">
        <v>4852</v>
      </c>
      <c r="C860" s="28" t="s">
        <v>493</v>
      </c>
      <c r="D860" s="155" t="s">
        <v>3817</v>
      </c>
      <c r="G860" s="92">
        <v>14.6719859829049</v>
      </c>
      <c r="H860" s="92">
        <v>10.044512985898301</v>
      </c>
      <c r="I860" s="92">
        <v>9.42400790337717</v>
      </c>
      <c r="J860" s="92">
        <v>9.2239698680783508</v>
      </c>
      <c r="K860" s="92">
        <v>10.239545383745099</v>
      </c>
      <c r="L860" s="92">
        <v>12.027453038379001</v>
      </c>
      <c r="M860" s="92">
        <v>12.950494562138299</v>
      </c>
      <c r="N860" s="92">
        <v>13.777243394420999</v>
      </c>
      <c r="O860" s="92">
        <v>14.7352711539975</v>
      </c>
      <c r="P860" s="92">
        <v>15.584835722451601</v>
      </c>
      <c r="Q860" s="92">
        <v>16.570083113726</v>
      </c>
      <c r="R860" s="92">
        <v>16.229518076242599</v>
      </c>
      <c r="S860" s="92">
        <v>16.965161731061102</v>
      </c>
      <c r="T860" s="92">
        <v>17.781241188922401</v>
      </c>
    </row>
    <row r="861" spans="2:20" x14ac:dyDescent="0.25">
      <c r="B861" s="23" t="s">
        <v>4782</v>
      </c>
      <c r="C861" s="28" t="s">
        <v>493</v>
      </c>
      <c r="D861" s="155" t="s">
        <v>3822</v>
      </c>
      <c r="G861" s="92">
        <v>224.51846524876001</v>
      </c>
      <c r="H861" s="92">
        <v>195.18</v>
      </c>
      <c r="I861" s="92">
        <v>0</v>
      </c>
      <c r="J861" s="92">
        <v>0</v>
      </c>
      <c r="K861" s="92">
        <v>0</v>
      </c>
      <c r="L861" s="92">
        <v>0</v>
      </c>
      <c r="M861" s="92">
        <v>0</v>
      </c>
      <c r="N861" s="92">
        <v>0</v>
      </c>
      <c r="O861" s="92">
        <v>0</v>
      </c>
      <c r="P861" s="92">
        <v>0</v>
      </c>
      <c r="Q861" s="92">
        <v>0</v>
      </c>
      <c r="R861" s="92">
        <v>0</v>
      </c>
      <c r="S861" s="92">
        <v>0</v>
      </c>
      <c r="T861" s="92">
        <v>0</v>
      </c>
    </row>
    <row r="862" spans="2:20" x14ac:dyDescent="0.25">
      <c r="B862" s="23" t="s">
        <v>4853</v>
      </c>
      <c r="C862" s="28" t="s">
        <v>493</v>
      </c>
      <c r="D862" s="155" t="s">
        <v>3827</v>
      </c>
      <c r="G862" s="92">
        <v>55.924464057122997</v>
      </c>
      <c r="H862" s="92">
        <v>55.924464057122997</v>
      </c>
      <c r="I862" s="92">
        <v>55.924464057122997</v>
      </c>
      <c r="J862" s="92">
        <v>55.924464057122997</v>
      </c>
      <c r="K862" s="92">
        <v>55.924464057122997</v>
      </c>
      <c r="L862" s="92">
        <v>55.924464057122997</v>
      </c>
      <c r="M862" s="92">
        <v>55.924464057122997</v>
      </c>
      <c r="N862" s="92">
        <v>55.924464057122997</v>
      </c>
      <c r="O862" s="92">
        <v>55.924464057122997</v>
      </c>
      <c r="P862" s="92">
        <v>55.924464057122997</v>
      </c>
      <c r="Q862" s="92">
        <v>55.924464057122997</v>
      </c>
      <c r="R862" s="92">
        <v>55.924464057122997</v>
      </c>
      <c r="S862" s="92">
        <v>55.924464057122997</v>
      </c>
      <c r="T862" s="92">
        <v>55.924464057122997</v>
      </c>
    </row>
    <row r="863" spans="2:20" x14ac:dyDescent="0.25">
      <c r="B863" s="23" t="s">
        <v>4788</v>
      </c>
      <c r="C863" s="28" t="s">
        <v>493</v>
      </c>
      <c r="D863" s="155" t="s">
        <v>3832</v>
      </c>
      <c r="G863" s="92">
        <v>295.11491528878798</v>
      </c>
      <c r="H863" s="92">
        <v>261.14897704302098</v>
      </c>
      <c r="I863" s="92">
        <v>65.348471960500106</v>
      </c>
      <c r="J863" s="92">
        <v>65.148433925201303</v>
      </c>
      <c r="K863" s="92">
        <v>66.164009440868</v>
      </c>
      <c r="L863" s="92">
        <v>67.951917095501997</v>
      </c>
      <c r="M863" s="92">
        <v>68.874958619261307</v>
      </c>
      <c r="N863" s="92">
        <v>69.701707451543996</v>
      </c>
      <c r="O863" s="92">
        <v>70.659735211120505</v>
      </c>
      <c r="P863" s="92">
        <v>71.509299779574604</v>
      </c>
      <c r="Q863" s="92">
        <v>72.494547170849003</v>
      </c>
      <c r="R863" s="92">
        <v>72.153982133365602</v>
      </c>
      <c r="S863" s="92">
        <v>72.889625788184105</v>
      </c>
      <c r="T863" s="92">
        <v>73.705705246045298</v>
      </c>
    </row>
    <row r="864" spans="2:20" x14ac:dyDescent="0.25">
      <c r="B864" s="23" t="s">
        <v>4790</v>
      </c>
      <c r="C864" s="28" t="s">
        <v>493</v>
      </c>
      <c r="D864" s="155" t="s">
        <v>3836</v>
      </c>
      <c r="G864" s="92">
        <v>677.73059999999998</v>
      </c>
      <c r="H864" s="92">
        <v>677.73059999999998</v>
      </c>
      <c r="I864" s="92">
        <v>677.73059999999998</v>
      </c>
      <c r="J864" s="92">
        <v>1097.5026297618999</v>
      </c>
      <c r="K864" s="92">
        <v>1257.5062547619</v>
      </c>
      <c r="L864" s="92">
        <v>1257.5062547619</v>
      </c>
      <c r="M864" s="92">
        <v>1257.5062547619</v>
      </c>
      <c r="N864" s="92">
        <v>1257.5062547619</v>
      </c>
      <c r="O864" s="92">
        <v>1257.5062547619</v>
      </c>
      <c r="P864" s="92">
        <v>1257.5062547619</v>
      </c>
      <c r="Q864" s="92">
        <v>1257.5062547619</v>
      </c>
      <c r="R864" s="92">
        <v>1257.5062547619</v>
      </c>
      <c r="S864" s="92">
        <v>1257.5062547619</v>
      </c>
      <c r="T864" s="92">
        <v>1257.5062547619</v>
      </c>
    </row>
    <row r="865" spans="2:20" x14ac:dyDescent="0.25">
      <c r="B865" s="23" t="s">
        <v>4793</v>
      </c>
      <c r="C865" s="28" t="s">
        <v>493</v>
      </c>
      <c r="D865" s="155" t="s">
        <v>3840</v>
      </c>
      <c r="G865" s="92">
        <v>290.59201234880999</v>
      </c>
      <c r="H865" s="92">
        <v>324.68853378382698</v>
      </c>
      <c r="I865" s="92">
        <v>408.34396465550901</v>
      </c>
      <c r="J865" s="92">
        <v>538.64871095041201</v>
      </c>
      <c r="K865" s="92">
        <v>714.945034292081</v>
      </c>
      <c r="L865" s="92">
        <v>914.37227188922202</v>
      </c>
      <c r="M865" s="92">
        <v>1144.1917117607099</v>
      </c>
      <c r="N865" s="92">
        <v>1386.1156087966599</v>
      </c>
      <c r="O865" s="92">
        <v>1651.81795358461</v>
      </c>
      <c r="P865" s="92">
        <v>1932.7961544914999</v>
      </c>
      <c r="Q865" s="92">
        <v>2239.8595458556401</v>
      </c>
      <c r="R865" s="92">
        <v>2562.0567848361102</v>
      </c>
      <c r="S865" s="92">
        <v>2882.0742513538398</v>
      </c>
      <c r="T865" s="92">
        <v>3214.9276286066201</v>
      </c>
    </row>
    <row r="866" spans="2:20" x14ac:dyDescent="0.25">
      <c r="B866" s="23" t="s">
        <v>4754</v>
      </c>
      <c r="C866" s="28" t="s">
        <v>493</v>
      </c>
      <c r="D866" s="155" t="s">
        <v>3844</v>
      </c>
      <c r="G866" s="92">
        <v>968.32261234881003</v>
      </c>
      <c r="H866" s="92">
        <v>1002.41913378383</v>
      </c>
      <c r="I866" s="92">
        <v>1086.0745646555099</v>
      </c>
      <c r="J866" s="92">
        <v>1636.15134071232</v>
      </c>
      <c r="K866" s="92">
        <v>1972.45128905399</v>
      </c>
      <c r="L866" s="92">
        <v>2171.87852665113</v>
      </c>
      <c r="M866" s="92">
        <v>2401.6979665226099</v>
      </c>
      <c r="N866" s="92">
        <v>2643.6218635585601</v>
      </c>
      <c r="O866" s="92">
        <v>2909.3242083465102</v>
      </c>
      <c r="P866" s="92">
        <v>3190.3024092534001</v>
      </c>
      <c r="Q866" s="92">
        <v>3497.3658006175501</v>
      </c>
      <c r="R866" s="92">
        <v>3819.5630395980102</v>
      </c>
      <c r="S866" s="92">
        <v>4139.5805061157498</v>
      </c>
      <c r="T866" s="92">
        <v>4472.4338833685197</v>
      </c>
    </row>
    <row r="867" spans="2:20" x14ac:dyDescent="0.25">
      <c r="B867" s="23" t="s">
        <v>4854</v>
      </c>
      <c r="C867" s="28" t="s">
        <v>493</v>
      </c>
      <c r="D867" s="155" t="s">
        <v>3848</v>
      </c>
      <c r="G867" s="92">
        <v>0</v>
      </c>
      <c r="H867" s="92">
        <v>0</v>
      </c>
      <c r="I867" s="92">
        <v>0</v>
      </c>
      <c r="J867" s="92">
        <v>0</v>
      </c>
      <c r="K867" s="92">
        <v>0</v>
      </c>
      <c r="L867" s="92">
        <v>0</v>
      </c>
      <c r="M867" s="92">
        <v>0</v>
      </c>
      <c r="N867" s="92">
        <v>0</v>
      </c>
      <c r="O867" s="92">
        <v>0</v>
      </c>
      <c r="P867" s="92">
        <v>0</v>
      </c>
      <c r="Q867" s="92">
        <v>0</v>
      </c>
      <c r="R867" s="92">
        <v>0</v>
      </c>
      <c r="S867" s="92">
        <v>0</v>
      </c>
      <c r="T867" s="92">
        <v>0</v>
      </c>
    </row>
    <row r="868" spans="2:20" x14ac:dyDescent="0.25">
      <c r="B868" s="154" t="s">
        <v>4855</v>
      </c>
    </row>
    <row r="869" spans="2:20" x14ac:dyDescent="0.25">
      <c r="B869" s="23" t="s">
        <v>3086</v>
      </c>
      <c r="C869" s="28" t="s">
        <v>493</v>
      </c>
      <c r="D869" s="155" t="s">
        <v>3853</v>
      </c>
      <c r="H869" s="92">
        <v>65.862412993927705</v>
      </c>
      <c r="I869" s="92">
        <v>149.95884859672299</v>
      </c>
      <c r="J869" s="92">
        <v>232.522484128093</v>
      </c>
      <c r="K869" s="92">
        <v>313.30679164256497</v>
      </c>
      <c r="L869" s="92">
        <v>354.97107541471098</v>
      </c>
      <c r="M869" s="92">
        <v>407.783177989656</v>
      </c>
      <c r="N869" s="92">
        <v>429.14994673507402</v>
      </c>
      <c r="O869" s="92">
        <v>472.14753926094102</v>
      </c>
      <c r="P869" s="92">
        <v>498.83484893506301</v>
      </c>
      <c r="Q869" s="92">
        <v>546.04801387873704</v>
      </c>
      <c r="R869" s="92">
        <v>573.19382754574701</v>
      </c>
      <c r="S869" s="92">
        <v>568.61988453479705</v>
      </c>
      <c r="T869" s="92">
        <v>591.53750879735003</v>
      </c>
    </row>
    <row r="870" spans="2:20" x14ac:dyDescent="0.25">
      <c r="B870" s="23" t="s">
        <v>4856</v>
      </c>
      <c r="C870" s="28" t="s">
        <v>493</v>
      </c>
      <c r="D870" s="155" t="s">
        <v>3858</v>
      </c>
      <c r="H870" s="92">
        <v>-14.4897308586641</v>
      </c>
      <c r="I870" s="92">
        <v>-32.990946691278999</v>
      </c>
      <c r="J870" s="92">
        <v>-51.154946508180501</v>
      </c>
      <c r="K870" s="92">
        <v>-68.927494161364194</v>
      </c>
      <c r="L870" s="92">
        <v>-78.093636591236304</v>
      </c>
      <c r="M870" s="92">
        <v>-89.712299157724303</v>
      </c>
      <c r="N870" s="92">
        <v>-94.412988281716196</v>
      </c>
      <c r="O870" s="92">
        <v>-103.87245863740699</v>
      </c>
      <c r="P870" s="92">
        <v>-109.743666765714</v>
      </c>
      <c r="Q870" s="92">
        <v>-120.13056305332201</v>
      </c>
      <c r="R870" s="92">
        <v>-126.102642060064</v>
      </c>
      <c r="S870" s="92">
        <v>-125.096374597655</v>
      </c>
      <c r="T870" s="92">
        <v>-130.138251935417</v>
      </c>
    </row>
    <row r="871" spans="2:20" x14ac:dyDescent="0.25">
      <c r="B871" s="23" t="s">
        <v>4857</v>
      </c>
      <c r="C871" s="28" t="s">
        <v>493</v>
      </c>
      <c r="D871" s="155" t="s">
        <v>3862</v>
      </c>
      <c r="H871" s="92">
        <v>88.373062408935297</v>
      </c>
      <c r="I871" s="92">
        <v>113.59968518200201</v>
      </c>
      <c r="J871" s="92">
        <v>134.96780390311301</v>
      </c>
      <c r="K871" s="92">
        <v>136.94134168720899</v>
      </c>
      <c r="L871" s="92">
        <v>144.19843006333599</v>
      </c>
      <c r="M871" s="92">
        <v>146.20716215698599</v>
      </c>
      <c r="N871" s="92">
        <v>146.21606889250901</v>
      </c>
      <c r="O871" s="92">
        <v>146.225153762742</v>
      </c>
      <c r="P871" s="92">
        <v>148.23442033038</v>
      </c>
      <c r="Q871" s="92">
        <v>148.24387222937099</v>
      </c>
      <c r="R871" s="92">
        <v>142.71566792824601</v>
      </c>
      <c r="S871" s="92">
        <v>142.725501683956</v>
      </c>
      <c r="T871" s="92">
        <v>142.73553211478</v>
      </c>
    </row>
    <row r="872" spans="2:20" x14ac:dyDescent="0.25">
      <c r="B872" s="23" t="s">
        <v>4858</v>
      </c>
      <c r="C872" s="28" t="s">
        <v>493</v>
      </c>
      <c r="D872" s="155" t="s">
        <v>3866</v>
      </c>
      <c r="H872" s="92">
        <v>-323.67349999999999</v>
      </c>
      <c r="I872" s="92">
        <v>-14.638500000000001</v>
      </c>
      <c r="J872" s="92">
        <v>-419.772029761905</v>
      </c>
      <c r="K872" s="92">
        <v>-160.003625</v>
      </c>
      <c r="L872" s="92">
        <v>0</v>
      </c>
      <c r="M872" s="92">
        <v>0</v>
      </c>
      <c r="N872" s="92">
        <v>0</v>
      </c>
      <c r="O872" s="92">
        <v>0</v>
      </c>
      <c r="P872" s="92">
        <v>0</v>
      </c>
      <c r="Q872" s="92">
        <v>0</v>
      </c>
      <c r="R872" s="92">
        <v>0</v>
      </c>
      <c r="S872" s="92">
        <v>0</v>
      </c>
      <c r="T872" s="92">
        <v>0</v>
      </c>
    </row>
    <row r="873" spans="2:20" x14ac:dyDescent="0.25">
      <c r="B873" s="23" t="s">
        <v>4859</v>
      </c>
      <c r="C873" s="28" t="s">
        <v>493</v>
      </c>
      <c r="D873" s="155" t="s">
        <v>3870</v>
      </c>
      <c r="H873" s="92">
        <v>2.8370388994712199</v>
      </c>
      <c r="I873" s="92">
        <v>-15.803178598626999</v>
      </c>
      <c r="J873" s="92">
        <v>-24.174807601681199</v>
      </c>
      <c r="K873" s="92">
        <v>-15.3074589953138</v>
      </c>
      <c r="L873" s="92">
        <v>-8.6358287416836408</v>
      </c>
      <c r="M873" s="92">
        <v>-8.8038774114131098</v>
      </c>
      <c r="N873" s="92">
        <v>-3.99501250296098</v>
      </c>
      <c r="O873" s="92">
        <v>-6.9849321524963299</v>
      </c>
      <c r="P873" s="92">
        <v>-4.5710337951103996</v>
      </c>
      <c r="Q873" s="92">
        <v>-7.8682562703503702</v>
      </c>
      <c r="R873" s="92">
        <v>-2.9473333710221699</v>
      </c>
      <c r="S873" s="92">
        <v>-0.32862426512819798</v>
      </c>
      <c r="T873" s="92">
        <v>-3.8396190098074401</v>
      </c>
    </row>
    <row r="874" spans="2:20" x14ac:dyDescent="0.25">
      <c r="B874" s="23" t="s">
        <v>4860</v>
      </c>
      <c r="C874" s="28" t="s">
        <v>493</v>
      </c>
      <c r="D874" s="155" t="s">
        <v>3874</v>
      </c>
      <c r="H874" s="92">
        <v>-181.09071655632999</v>
      </c>
      <c r="I874" s="92">
        <v>200.125908488818</v>
      </c>
      <c r="J874" s="92">
        <v>-127.61149584056101</v>
      </c>
      <c r="K874" s="92">
        <v>206.00955517309501</v>
      </c>
      <c r="L874" s="92">
        <v>412.440040145127</v>
      </c>
      <c r="M874" s="92">
        <v>455.47416357750399</v>
      </c>
      <c r="N874" s="92">
        <v>476.95801484290502</v>
      </c>
      <c r="O874" s="92">
        <v>507.51530223378001</v>
      </c>
      <c r="P874" s="92">
        <v>532.75456870461903</v>
      </c>
      <c r="Q874" s="92">
        <v>566.29306678443504</v>
      </c>
      <c r="R874" s="92">
        <v>586.85952004290596</v>
      </c>
      <c r="S874" s="92">
        <v>585.92038735596998</v>
      </c>
      <c r="T874" s="92">
        <v>600.29516996690597</v>
      </c>
    </row>
    <row r="875" spans="2:20" x14ac:dyDescent="0.25">
      <c r="B875" s="23" t="s">
        <v>4861</v>
      </c>
      <c r="C875" s="28" t="s">
        <v>493</v>
      </c>
      <c r="D875" s="155" t="s">
        <v>3878</v>
      </c>
      <c r="H875" s="92">
        <v>-181.09071655632999</v>
      </c>
      <c r="I875" s="92">
        <v>19.035191932488399</v>
      </c>
      <c r="J875" s="92">
        <v>-108.57630390807201</v>
      </c>
      <c r="K875" s="92">
        <v>97.433251265023003</v>
      </c>
      <c r="L875" s="92">
        <v>509.87329141014999</v>
      </c>
      <c r="M875" s="92">
        <v>965.34745498765403</v>
      </c>
      <c r="N875" s="92">
        <v>1442.30546983056</v>
      </c>
      <c r="O875" s="92">
        <v>1949.82077206434</v>
      </c>
      <c r="P875" s="92">
        <v>2482.5753407689599</v>
      </c>
      <c r="Q875" s="92">
        <v>3048.8684075533902</v>
      </c>
      <c r="R875" s="92">
        <v>3635.7279275963001</v>
      </c>
      <c r="S875" s="92">
        <v>4221.6483149522701</v>
      </c>
      <c r="T875" s="92">
        <v>4821.9434849191803</v>
      </c>
    </row>
    <row r="876" spans="2:20" x14ac:dyDescent="0.25">
      <c r="B876" s="23" t="s">
        <v>4862</v>
      </c>
      <c r="C876" s="28" t="s">
        <v>292</v>
      </c>
      <c r="D876" s="155" t="s">
        <v>4863</v>
      </c>
      <c r="E876" s="93">
        <v>2.1644236967844601</v>
      </c>
    </row>
    <row r="877" spans="2:20" x14ac:dyDescent="0.25">
      <c r="B877" s="23" t="s">
        <v>4864</v>
      </c>
      <c r="C877" s="28" t="s">
        <v>816</v>
      </c>
      <c r="D877" s="155" t="s">
        <v>4865</v>
      </c>
      <c r="E877" s="94">
        <v>3.4319289097624299</v>
      </c>
    </row>
    <row r="878" spans="2:20" x14ac:dyDescent="0.25">
      <c r="B878" s="154" t="s">
        <v>4866</v>
      </c>
    </row>
    <row r="879" spans="2:20" x14ac:dyDescent="0.25">
      <c r="B879" s="23" t="s">
        <v>4867</v>
      </c>
      <c r="C879" s="28" t="s">
        <v>493</v>
      </c>
      <c r="D879" s="155" t="s">
        <v>3882</v>
      </c>
      <c r="G879" s="92">
        <v>30.8478247045777</v>
      </c>
      <c r="H879" s="92">
        <v>28.010785805106501</v>
      </c>
      <c r="I879" s="92">
        <v>43.8139644037335</v>
      </c>
      <c r="J879" s="92">
        <v>67.988772005414702</v>
      </c>
      <c r="K879" s="92">
        <v>83.296231000728497</v>
      </c>
      <c r="L879" s="92">
        <v>91.932059742412093</v>
      </c>
      <c r="M879" s="92">
        <v>100.73593715382501</v>
      </c>
      <c r="N879" s="92">
        <v>104.730949656786</v>
      </c>
      <c r="O879" s="92">
        <v>111.715881809283</v>
      </c>
      <c r="P879" s="92">
        <v>116.286915604393</v>
      </c>
      <c r="Q879" s="92">
        <v>124.155171874743</v>
      </c>
      <c r="R879" s="92">
        <v>127.102505245765</v>
      </c>
      <c r="S879" s="92">
        <v>127.431129510894</v>
      </c>
      <c r="T879" s="92">
        <v>131.27074852070101</v>
      </c>
    </row>
    <row r="880" spans="2:20" x14ac:dyDescent="0.25">
      <c r="B880" s="23" t="s">
        <v>4868</v>
      </c>
      <c r="C880" s="28" t="s">
        <v>493</v>
      </c>
      <c r="D880" s="155" t="s">
        <v>3886</v>
      </c>
      <c r="G880" s="92">
        <v>198.43299999999999</v>
      </c>
      <c r="H880" s="92">
        <v>125.2405</v>
      </c>
      <c r="I880" s="92">
        <v>14.638500000000001</v>
      </c>
      <c r="J880" s="92">
        <v>419.772029761905</v>
      </c>
      <c r="K880" s="92">
        <v>160.003625</v>
      </c>
      <c r="L880" s="92">
        <v>0</v>
      </c>
      <c r="M880" s="92">
        <v>0</v>
      </c>
      <c r="N880" s="92">
        <v>0</v>
      </c>
      <c r="O880" s="92">
        <v>0</v>
      </c>
      <c r="P880" s="92">
        <v>0</v>
      </c>
      <c r="Q880" s="92">
        <v>0</v>
      </c>
      <c r="R880" s="92">
        <v>0</v>
      </c>
      <c r="S880" s="92">
        <v>0</v>
      </c>
      <c r="T880" s="92">
        <v>0</v>
      </c>
    </row>
    <row r="881" spans="2:20" x14ac:dyDescent="0.25">
      <c r="B881" s="23" t="s">
        <v>4869</v>
      </c>
      <c r="C881" s="28" t="s">
        <v>493</v>
      </c>
      <c r="D881" s="155" t="s">
        <v>3890</v>
      </c>
      <c r="H881" s="92">
        <v>0</v>
      </c>
      <c r="I881" s="92">
        <v>0</v>
      </c>
      <c r="J881" s="92">
        <v>419.772029761905</v>
      </c>
      <c r="K881" s="92">
        <v>160.003625</v>
      </c>
      <c r="L881" s="92">
        <v>0</v>
      </c>
      <c r="M881" s="92">
        <v>0</v>
      </c>
      <c r="N881" s="92">
        <v>0</v>
      </c>
      <c r="O881" s="92">
        <v>0</v>
      </c>
      <c r="P881" s="92">
        <v>0</v>
      </c>
      <c r="Q881" s="92">
        <v>0</v>
      </c>
      <c r="R881" s="92">
        <v>0</v>
      </c>
      <c r="S881" s="92">
        <v>0</v>
      </c>
      <c r="T881" s="92">
        <v>0</v>
      </c>
    </row>
    <row r="882" spans="2:20" x14ac:dyDescent="0.25">
      <c r="B882" s="23" t="s">
        <v>4870</v>
      </c>
      <c r="C882" s="28" t="s">
        <v>493</v>
      </c>
      <c r="D882" s="155" t="s">
        <v>3894</v>
      </c>
      <c r="H882" s="92">
        <v>-29.338465248760102</v>
      </c>
      <c r="I882" s="92">
        <v>-195.18</v>
      </c>
      <c r="J882" s="92">
        <v>0</v>
      </c>
      <c r="K882" s="92">
        <v>0</v>
      </c>
      <c r="L882" s="92">
        <v>0</v>
      </c>
      <c r="M882" s="92">
        <v>0</v>
      </c>
      <c r="N882" s="92">
        <v>0</v>
      </c>
      <c r="O882" s="92">
        <v>0</v>
      </c>
      <c r="P882" s="92">
        <v>0</v>
      </c>
      <c r="Q882" s="92">
        <v>0</v>
      </c>
      <c r="R882" s="92">
        <v>0</v>
      </c>
      <c r="S882" s="92">
        <v>0</v>
      </c>
      <c r="T882" s="92">
        <v>0</v>
      </c>
    </row>
    <row r="883" spans="2:20" x14ac:dyDescent="0.25">
      <c r="B883" s="23" t="s">
        <v>4871</v>
      </c>
      <c r="C883" s="28" t="s">
        <v>493</v>
      </c>
      <c r="D883" s="155" t="s">
        <v>3898</v>
      </c>
      <c r="H883" s="92">
        <v>55.200615812661297</v>
      </c>
      <c r="I883" s="92">
        <v>57.464611864635401</v>
      </c>
      <c r="J883" s="92">
        <v>58.977353517222703</v>
      </c>
      <c r="K883" s="92">
        <v>61.6931229215812</v>
      </c>
      <c r="L883" s="92">
        <v>64.108158447600303</v>
      </c>
      <c r="M883" s="92">
        <v>70.015885047066604</v>
      </c>
      <c r="N883" s="92">
        <v>72.649186076772693</v>
      </c>
      <c r="O883" s="92">
        <v>75.331317633091302</v>
      </c>
      <c r="P883" s="92">
        <v>82.041651317562696</v>
      </c>
      <c r="Q883" s="92">
        <v>84.963578917707807</v>
      </c>
      <c r="R883" s="92">
        <v>87.937229909393906</v>
      </c>
      <c r="S883" s="92">
        <v>90.961995826036997</v>
      </c>
      <c r="T883" s="92">
        <v>94.037118565923606</v>
      </c>
    </row>
    <row r="884" spans="2:20" x14ac:dyDescent="0.25">
      <c r="B884" s="23" t="s">
        <v>4872</v>
      </c>
      <c r="C884" s="28" t="s">
        <v>493</v>
      </c>
      <c r="D884" s="155" t="s">
        <v>3903</v>
      </c>
      <c r="H884" s="92">
        <v>21.1090084294074</v>
      </c>
      <c r="I884" s="92">
        <v>80.561041927420504</v>
      </c>
      <c r="J884" s="92">
        <v>156.66096080553601</v>
      </c>
      <c r="K884" s="92">
        <v>221.00532902730799</v>
      </c>
      <c r="L884" s="92">
        <v>252.841974486401</v>
      </c>
      <c r="M884" s="92">
        <v>293.30554300716398</v>
      </c>
      <c r="N884" s="92">
        <v>309.28097415582602</v>
      </c>
      <c r="O884" s="92">
        <v>341.90911945195199</v>
      </c>
      <c r="P884" s="92">
        <v>360.37660420820299</v>
      </c>
      <c r="Q884" s="92">
        <v>396.18019820421699</v>
      </c>
      <c r="R884" s="92">
        <v>416.31315501739499</v>
      </c>
      <c r="S884" s="92">
        <v>411.68681139802902</v>
      </c>
      <c r="T884" s="92">
        <v>428.48626536386001</v>
      </c>
    </row>
    <row r="885" spans="2:20" x14ac:dyDescent="0.25">
      <c r="B885" s="23" t="s">
        <v>4873</v>
      </c>
      <c r="C885" s="28" t="s">
        <v>493</v>
      </c>
      <c r="D885" s="155" t="s">
        <v>3908</v>
      </c>
      <c r="H885" s="92">
        <v>6.3327025288222201</v>
      </c>
      <c r="I885" s="92">
        <v>24.1683125782262</v>
      </c>
      <c r="J885" s="92">
        <v>46.998288241660703</v>
      </c>
      <c r="K885" s="92">
        <v>66.301598708192302</v>
      </c>
      <c r="L885" s="92">
        <v>75.852592345920399</v>
      </c>
      <c r="M885" s="92">
        <v>87.991662902149102</v>
      </c>
      <c r="N885" s="92">
        <v>92.784292246747796</v>
      </c>
      <c r="O885" s="92">
        <v>102.572735835586</v>
      </c>
      <c r="P885" s="92">
        <v>108.11298126246101</v>
      </c>
      <c r="Q885" s="92">
        <v>118.854059461265</v>
      </c>
      <c r="R885" s="92">
        <v>124.893946505218</v>
      </c>
      <c r="S885" s="92">
        <v>123.506043419409</v>
      </c>
      <c r="T885" s="92">
        <v>128.54587960915799</v>
      </c>
    </row>
    <row r="886" spans="2:20" x14ac:dyDescent="0.25">
      <c r="B886" s="23" t="s">
        <v>4874</v>
      </c>
      <c r="C886" s="28" t="s">
        <v>493</v>
      </c>
      <c r="D886" s="155" t="s">
        <v>3912</v>
      </c>
      <c r="H886" s="92">
        <v>272.46723631264899</v>
      </c>
      <c r="I886" s="92">
        <v>373.14089239269202</v>
      </c>
      <c r="J886" s="92">
        <v>550.44392692925499</v>
      </c>
      <c r="K886" s="92">
        <v>793.04184897911603</v>
      </c>
      <c r="L886" s="92">
        <v>1068.3216789221799</v>
      </c>
      <c r="M886" s="92">
        <v>1386.1327816958101</v>
      </c>
      <c r="N886" s="92">
        <v>1720.8409709785101</v>
      </c>
      <c r="O886" s="92">
        <v>2089.11605160205</v>
      </c>
      <c r="P886" s="92">
        <v>2478.2072337713998</v>
      </c>
      <c r="Q886" s="92">
        <v>2904.1246845968099</v>
      </c>
      <c r="R886" s="92">
        <v>3351.2158700824898</v>
      </c>
      <c r="S886" s="92">
        <v>3794.7393800196301</v>
      </c>
      <c r="T886" s="92">
        <v>4256.1386368815702</v>
      </c>
    </row>
    <row r="887" spans="2:20" x14ac:dyDescent="0.25">
      <c r="B887" s="23" t="s">
        <v>4875</v>
      </c>
      <c r="C887" s="28" t="s">
        <v>493</v>
      </c>
      <c r="D887" s="155" t="s">
        <v>3916</v>
      </c>
      <c r="H887" s="92">
        <v>34.699265073765297</v>
      </c>
      <c r="I887" s="92">
        <v>17.018225208360501</v>
      </c>
      <c r="J887" s="92">
        <v>288.09603083799499</v>
      </c>
      <c r="K887" s="92">
        <v>605.32954733809004</v>
      </c>
      <c r="L887" s="92">
        <v>949.87037989461203</v>
      </c>
      <c r="M887" s="92">
        <v>1329.2321750679</v>
      </c>
      <c r="N887" s="92">
        <v>1718.1697578379999</v>
      </c>
      <c r="O887" s="92">
        <v>2132.90076782503</v>
      </c>
      <c r="P887" s="92">
        <v>2563.0826006940601</v>
      </c>
      <c r="Q887" s="92">
        <v>3021.26268621604</v>
      </c>
      <c r="R887" s="92">
        <v>3489.2681467976799</v>
      </c>
      <c r="S887" s="92">
        <v>3950.29458764843</v>
      </c>
      <c r="T887" s="92">
        <v>4427.08371419593</v>
      </c>
    </row>
    <row r="888" spans="2:20" x14ac:dyDescent="0.25">
      <c r="B888" s="23" t="s">
        <v>4876</v>
      </c>
      <c r="C888" s="28" t="s">
        <v>493</v>
      </c>
      <c r="D888" s="155" t="s">
        <v>3920</v>
      </c>
      <c r="H888" s="92">
        <v>-6.3327025288222201</v>
      </c>
      <c r="I888" s="92">
        <v>-17.018225208360501</v>
      </c>
      <c r="J888" s="92">
        <v>-46.998288241660703</v>
      </c>
      <c r="K888" s="92">
        <v>-66.301598708192302</v>
      </c>
      <c r="L888" s="92">
        <v>-75.852592345920399</v>
      </c>
      <c r="M888" s="92">
        <v>-87.991662902149102</v>
      </c>
      <c r="N888" s="92">
        <v>-92.784292246747796</v>
      </c>
      <c r="O888" s="92">
        <v>-102.572735835586</v>
      </c>
      <c r="P888" s="92">
        <v>-108.11298126246101</v>
      </c>
      <c r="Q888" s="92">
        <v>-118.854059461265</v>
      </c>
      <c r="R888" s="92">
        <v>-124.893946505218</v>
      </c>
      <c r="S888" s="92">
        <v>-123.506043419409</v>
      </c>
      <c r="T888" s="92">
        <v>-128.54587960915799</v>
      </c>
    </row>
    <row r="889" spans="2:20" x14ac:dyDescent="0.25">
      <c r="B889" s="23" t="s">
        <v>4877</v>
      </c>
      <c r="C889" s="28" t="s">
        <v>493</v>
      </c>
      <c r="D889" s="155" t="s">
        <v>3924</v>
      </c>
      <c r="H889" s="92">
        <v>324.68853378382698</v>
      </c>
      <c r="I889" s="92">
        <v>408.34396465550901</v>
      </c>
      <c r="J889" s="92">
        <v>538.64871095041201</v>
      </c>
      <c r="K889" s="92">
        <v>714.945034292081</v>
      </c>
      <c r="L889" s="92">
        <v>914.37227188922202</v>
      </c>
      <c r="M889" s="92">
        <v>1144.1917117607099</v>
      </c>
      <c r="N889" s="92">
        <v>1386.1156087966599</v>
      </c>
      <c r="O889" s="92">
        <v>1651.81795358461</v>
      </c>
      <c r="P889" s="92">
        <v>1932.7961544914999</v>
      </c>
      <c r="Q889" s="92">
        <v>2239.8595458556401</v>
      </c>
      <c r="R889" s="92">
        <v>2562.0567848361102</v>
      </c>
      <c r="S889" s="92">
        <v>2882.0742513538398</v>
      </c>
      <c r="T889" s="92">
        <v>3214.9276286066201</v>
      </c>
    </row>
    <row r="891" spans="2:20" x14ac:dyDescent="0.25">
      <c r="B891" s="220" t="s">
        <v>4878</v>
      </c>
    </row>
    <row r="892" spans="2:20" x14ac:dyDescent="0.25">
      <c r="B892" s="154" t="s">
        <v>4825</v>
      </c>
    </row>
    <row r="893" spans="2:20" x14ac:dyDescent="0.25">
      <c r="B893" s="23" t="s">
        <v>4826</v>
      </c>
      <c r="C893" s="28" t="s">
        <v>493</v>
      </c>
      <c r="D893" s="155" t="s">
        <v>4879</v>
      </c>
      <c r="H893" s="92">
        <v>305.288636575314</v>
      </c>
      <c r="I893" s="92">
        <v>427.60286647031597</v>
      </c>
      <c r="J893" s="92">
        <v>494.57107893834001</v>
      </c>
      <c r="K893" s="92">
        <v>619.92635843667301</v>
      </c>
      <c r="L893" s="92">
        <v>702.02908072202604</v>
      </c>
      <c r="M893" s="92">
        <v>773.764332303419</v>
      </c>
      <c r="N893" s="92">
        <v>807.89023325860398</v>
      </c>
      <c r="O893" s="92">
        <v>867.20713833723198</v>
      </c>
      <c r="P893" s="92">
        <v>908.85467478467103</v>
      </c>
      <c r="Q893" s="92">
        <v>972.37600327123903</v>
      </c>
      <c r="R893" s="92">
        <v>992.22753084100998</v>
      </c>
      <c r="S893" s="92">
        <v>1004.86386136365</v>
      </c>
      <c r="T893" s="92">
        <v>1040.9485003447601</v>
      </c>
    </row>
    <row r="894" spans="2:20" x14ac:dyDescent="0.25">
      <c r="B894" s="23" t="s">
        <v>859</v>
      </c>
      <c r="C894" s="28" t="s">
        <v>493</v>
      </c>
      <c r="D894" s="155" t="s">
        <v>4880</v>
      </c>
      <c r="H894" s="92">
        <v>-122.543058427959</v>
      </c>
      <c r="I894" s="92">
        <v>-114.658762824422</v>
      </c>
      <c r="J894" s="92">
        <v>-112.224966728287</v>
      </c>
      <c r="K894" s="92">
        <v>-124.58113550223101</v>
      </c>
      <c r="L894" s="92">
        <v>-146.73492706822401</v>
      </c>
      <c r="M894" s="92">
        <v>-157.56435050601601</v>
      </c>
      <c r="N894" s="92">
        <v>-167.62312796545601</v>
      </c>
      <c r="O894" s="92">
        <v>-179.279132373637</v>
      </c>
      <c r="P894" s="92">
        <v>-190.134995813909</v>
      </c>
      <c r="Q894" s="92">
        <v>-201.60267788366599</v>
      </c>
      <c r="R894" s="92">
        <v>-197.45913659428501</v>
      </c>
      <c r="S894" s="92">
        <v>-206.40946772791</v>
      </c>
      <c r="T894" s="92">
        <v>-216.931142504853</v>
      </c>
    </row>
    <row r="895" spans="2:20" x14ac:dyDescent="0.25">
      <c r="B895" s="23" t="s">
        <v>4827</v>
      </c>
      <c r="C895" s="28" t="s">
        <v>493</v>
      </c>
      <c r="D895" s="155" t="s">
        <v>4881</v>
      </c>
      <c r="H895" s="92">
        <v>182.745578147354</v>
      </c>
      <c r="I895" s="92">
        <v>312.94410364589402</v>
      </c>
      <c r="J895" s="92">
        <v>382.34611221005298</v>
      </c>
      <c r="K895" s="92">
        <v>495.34522293444098</v>
      </c>
      <c r="L895" s="92">
        <v>555.29415365380203</v>
      </c>
      <c r="M895" s="92">
        <v>616.19998179740298</v>
      </c>
      <c r="N895" s="92">
        <v>640.26710529314903</v>
      </c>
      <c r="O895" s="92">
        <v>687.92800596359598</v>
      </c>
      <c r="P895" s="92">
        <v>718.71967897076195</v>
      </c>
      <c r="Q895" s="92">
        <v>770.77332538757298</v>
      </c>
      <c r="R895" s="92">
        <v>794.76839424672505</v>
      </c>
      <c r="S895" s="92">
        <v>798.45439363573598</v>
      </c>
      <c r="T895" s="92">
        <v>824.01735783990898</v>
      </c>
    </row>
    <row r="896" spans="2:20" x14ac:dyDescent="0.25">
      <c r="B896" s="23" t="s">
        <v>4828</v>
      </c>
      <c r="C896" s="28" t="s">
        <v>493</v>
      </c>
      <c r="D896" s="155" t="s">
        <v>4882</v>
      </c>
      <c r="H896" s="92">
        <v>-28.510102744491402</v>
      </c>
      <c r="I896" s="92">
        <v>-49.385569867169998</v>
      </c>
      <c r="J896" s="92">
        <v>-73.173997228735601</v>
      </c>
      <c r="K896" s="92">
        <v>-106.548484580276</v>
      </c>
      <c r="L896" s="92">
        <v>-119.72399388216</v>
      </c>
      <c r="M896" s="92">
        <v>-128.010999034381</v>
      </c>
      <c r="N896" s="92">
        <v>-132.96014150120999</v>
      </c>
      <c r="O896" s="92">
        <v>-139.929412485634</v>
      </c>
      <c r="P896" s="92">
        <v>-144.39863081691399</v>
      </c>
      <c r="Q896" s="92">
        <v>-151.664628028404</v>
      </c>
      <c r="R896" s="92">
        <v>-156.53972661262799</v>
      </c>
      <c r="S896" s="92">
        <v>-163.20099574239001</v>
      </c>
      <c r="T896" s="92">
        <v>-168.11906490294899</v>
      </c>
    </row>
    <row r="897" spans="2:20" x14ac:dyDescent="0.25">
      <c r="B897" s="23" t="s">
        <v>3085</v>
      </c>
      <c r="C897" s="28" t="s">
        <v>493</v>
      </c>
      <c r="D897" s="155" t="s">
        <v>4883</v>
      </c>
      <c r="H897" s="92">
        <v>154.23547540286299</v>
      </c>
      <c r="I897" s="92">
        <v>263.55853377872398</v>
      </c>
      <c r="J897" s="92">
        <v>309.17211498131701</v>
      </c>
      <c r="K897" s="92">
        <v>388.796738354166</v>
      </c>
      <c r="L897" s="92">
        <v>435.57015977164201</v>
      </c>
      <c r="M897" s="92">
        <v>488.18898276302298</v>
      </c>
      <c r="N897" s="92">
        <v>507.30696379193898</v>
      </c>
      <c r="O897" s="92">
        <v>547.99859347796098</v>
      </c>
      <c r="P897" s="92">
        <v>574.32104815384798</v>
      </c>
      <c r="Q897" s="92">
        <v>619.10869735916901</v>
      </c>
      <c r="R897" s="92">
        <v>638.22866763409604</v>
      </c>
      <c r="S897" s="92">
        <v>635.25339789334498</v>
      </c>
      <c r="T897" s="92">
        <v>655.89829293696005</v>
      </c>
    </row>
    <row r="898" spans="2:20" x14ac:dyDescent="0.25">
      <c r="B898" s="23" t="s">
        <v>4829</v>
      </c>
      <c r="C898" s="28" t="s">
        <v>493</v>
      </c>
      <c r="D898" s="155" t="s">
        <v>4884</v>
      </c>
      <c r="H898" s="92">
        <v>-88.373062408935297</v>
      </c>
      <c r="I898" s="92">
        <v>-113.59968518200201</v>
      </c>
      <c r="J898" s="92">
        <v>-134.96780390311301</v>
      </c>
      <c r="K898" s="92">
        <v>-136.94134168720899</v>
      </c>
      <c r="L898" s="92">
        <v>-144.19843006333599</v>
      </c>
      <c r="M898" s="92">
        <v>-146.20716215698599</v>
      </c>
      <c r="N898" s="92">
        <v>-146.21606889250901</v>
      </c>
      <c r="O898" s="92">
        <v>-146.225153762742</v>
      </c>
      <c r="P898" s="92">
        <v>-148.23442033038</v>
      </c>
      <c r="Q898" s="92">
        <v>-148.24387222937099</v>
      </c>
      <c r="R898" s="92">
        <v>-142.71566792824601</v>
      </c>
      <c r="S898" s="92">
        <v>-142.725501683956</v>
      </c>
      <c r="T898" s="92">
        <v>-142.73553211478</v>
      </c>
    </row>
    <row r="899" spans="2:20" x14ac:dyDescent="0.25">
      <c r="B899" s="23" t="s">
        <v>3086</v>
      </c>
      <c r="C899" s="28" t="s">
        <v>493</v>
      </c>
      <c r="D899" s="155" t="s">
        <v>4885</v>
      </c>
      <c r="H899" s="92">
        <v>65.862412993927705</v>
      </c>
      <c r="I899" s="92">
        <v>149.95884859672299</v>
      </c>
      <c r="J899" s="92">
        <v>174.204311078205</v>
      </c>
      <c r="K899" s="92">
        <v>251.85539666695701</v>
      </c>
      <c r="L899" s="92">
        <v>291.37172970830602</v>
      </c>
      <c r="M899" s="92">
        <v>341.98182060603699</v>
      </c>
      <c r="N899" s="92">
        <v>361.09089489943</v>
      </c>
      <c r="O899" s="92">
        <v>401.77343971521901</v>
      </c>
      <c r="P899" s="92">
        <v>426.08662782346801</v>
      </c>
      <c r="Q899" s="92">
        <v>470.86482512979802</v>
      </c>
      <c r="R899" s="92">
        <v>495.51299970585001</v>
      </c>
      <c r="S899" s="92">
        <v>492.52789620938898</v>
      </c>
      <c r="T899" s="92">
        <v>513.16276082217996</v>
      </c>
    </row>
    <row r="900" spans="2:20" x14ac:dyDescent="0.25">
      <c r="B900" s="23" t="s">
        <v>4830</v>
      </c>
      <c r="C900" s="28" t="s">
        <v>493</v>
      </c>
      <c r="D900" s="155" t="s">
        <v>4886</v>
      </c>
      <c r="H900" s="92">
        <v>-5.4709055176610004</v>
      </c>
      <c r="I900" s="92">
        <v>-15.2734501777697</v>
      </c>
      <c r="J900" s="92">
        <v>0</v>
      </c>
      <c r="K900" s="92">
        <v>0</v>
      </c>
      <c r="L900" s="92">
        <v>0</v>
      </c>
      <c r="M900" s="92">
        <v>0</v>
      </c>
      <c r="N900" s="92">
        <v>0</v>
      </c>
      <c r="O900" s="92">
        <v>0</v>
      </c>
      <c r="P900" s="92">
        <v>0</v>
      </c>
      <c r="Q900" s="92">
        <v>0</v>
      </c>
      <c r="R900" s="92">
        <v>0</v>
      </c>
      <c r="S900" s="92">
        <v>0</v>
      </c>
      <c r="T900" s="92">
        <v>0</v>
      </c>
    </row>
    <row r="901" spans="2:20" x14ac:dyDescent="0.25">
      <c r="B901" s="23" t="s">
        <v>4831</v>
      </c>
      <c r="C901" s="28" t="s">
        <v>493</v>
      </c>
      <c r="D901" s="155" t="s">
        <v>4887</v>
      </c>
      <c r="H901" s="92">
        <v>60.391507476266703</v>
      </c>
      <c r="I901" s="92">
        <v>134.68539841895301</v>
      </c>
      <c r="J901" s="92">
        <v>174.204311078205</v>
      </c>
      <c r="K901" s="92">
        <v>251.85539666695701</v>
      </c>
      <c r="L901" s="92">
        <v>291.37172970830602</v>
      </c>
      <c r="M901" s="92">
        <v>341.98182060603699</v>
      </c>
      <c r="N901" s="92">
        <v>361.09089489943</v>
      </c>
      <c r="O901" s="92">
        <v>401.77343971521901</v>
      </c>
      <c r="P901" s="92">
        <v>426.08662782346801</v>
      </c>
      <c r="Q901" s="92">
        <v>470.86482512979802</v>
      </c>
      <c r="R901" s="92">
        <v>495.51299970585001</v>
      </c>
      <c r="S901" s="92">
        <v>492.52789620938898</v>
      </c>
      <c r="T901" s="92">
        <v>513.16276082217996</v>
      </c>
    </row>
    <row r="902" spans="2:20" x14ac:dyDescent="0.25">
      <c r="B902" s="23" t="s">
        <v>4832</v>
      </c>
      <c r="C902" s="28" t="s">
        <v>493</v>
      </c>
      <c r="D902" s="155" t="s">
        <v>4888</v>
      </c>
      <c r="H902" s="92">
        <v>-19.962283512427799</v>
      </c>
      <c r="I902" s="92">
        <v>-34.011742338910203</v>
      </c>
      <c r="J902" s="92">
        <v>-42.389451520554303</v>
      </c>
      <c r="K902" s="92">
        <v>-57.189562698069899</v>
      </c>
      <c r="L902" s="92">
        <v>-65.699389416239896</v>
      </c>
      <c r="M902" s="92">
        <v>-75.495776591622899</v>
      </c>
      <c r="N902" s="92">
        <v>-79.4687660485355</v>
      </c>
      <c r="O902" s="92">
        <v>-88.390156737348306</v>
      </c>
      <c r="P902" s="92">
        <v>-93.739058121162898</v>
      </c>
      <c r="Q902" s="92">
        <v>-103.590261528556</v>
      </c>
      <c r="R902" s="92">
        <v>-109.012859935287</v>
      </c>
      <c r="S902" s="92">
        <v>-108.35613716606601</v>
      </c>
      <c r="T902" s="92">
        <v>-112.89580738088</v>
      </c>
    </row>
    <row r="903" spans="2:20" x14ac:dyDescent="0.25">
      <c r="B903" s="23" t="s">
        <v>4833</v>
      </c>
      <c r="C903" s="28" t="s">
        <v>493</v>
      </c>
      <c r="D903" s="155" t="s">
        <v>4889</v>
      </c>
      <c r="H903" s="92">
        <v>40.429223963838901</v>
      </c>
      <c r="I903" s="92">
        <v>100.673656080043</v>
      </c>
      <c r="J903" s="92">
        <v>131.814859557651</v>
      </c>
      <c r="K903" s="92">
        <v>194.665833968887</v>
      </c>
      <c r="L903" s="92">
        <v>225.672340292066</v>
      </c>
      <c r="M903" s="92">
        <v>266.48604401441401</v>
      </c>
      <c r="N903" s="92">
        <v>281.62212885089502</v>
      </c>
      <c r="O903" s="92">
        <v>313.38328297787098</v>
      </c>
      <c r="P903" s="92">
        <v>332.34756970230501</v>
      </c>
      <c r="Q903" s="92">
        <v>367.27456360124302</v>
      </c>
      <c r="R903" s="92">
        <v>386.50013977056301</v>
      </c>
      <c r="S903" s="92">
        <v>384.17175904332402</v>
      </c>
      <c r="T903" s="92">
        <v>400.26695344130002</v>
      </c>
    </row>
    <row r="904" spans="2:20" x14ac:dyDescent="0.25">
      <c r="B904" s="154" t="s">
        <v>4834</v>
      </c>
    </row>
    <row r="905" spans="2:20" x14ac:dyDescent="0.25">
      <c r="B905" s="23" t="s">
        <v>4835</v>
      </c>
      <c r="C905" s="28" t="s">
        <v>493</v>
      </c>
      <c r="D905" s="155" t="s">
        <v>4890</v>
      </c>
      <c r="H905" s="92">
        <v>40.429223963838901</v>
      </c>
      <c r="I905" s="92">
        <v>100.673656080043</v>
      </c>
      <c r="J905" s="92">
        <v>131.814859557651</v>
      </c>
      <c r="K905" s="92">
        <v>194.665833968887</v>
      </c>
      <c r="L905" s="92">
        <v>225.672340292066</v>
      </c>
      <c r="M905" s="92">
        <v>266.48604401441401</v>
      </c>
      <c r="N905" s="92">
        <v>281.62212885089502</v>
      </c>
      <c r="O905" s="92">
        <v>313.38328297787098</v>
      </c>
      <c r="P905" s="92">
        <v>332.34756970230501</v>
      </c>
      <c r="Q905" s="92">
        <v>367.27456360124302</v>
      </c>
      <c r="R905" s="92">
        <v>386.50013977056301</v>
      </c>
      <c r="S905" s="92">
        <v>384.17175904332402</v>
      </c>
      <c r="T905" s="92">
        <v>400.26695344130002</v>
      </c>
    </row>
    <row r="906" spans="2:20" x14ac:dyDescent="0.25">
      <c r="B906" s="23" t="s">
        <v>4836</v>
      </c>
      <c r="C906" s="28" t="s">
        <v>493</v>
      </c>
      <c r="D906" s="155" t="s">
        <v>4891</v>
      </c>
      <c r="H906" s="92">
        <v>88.373062408935297</v>
      </c>
      <c r="I906" s="92">
        <v>113.59968518200201</v>
      </c>
      <c r="J906" s="92">
        <v>134.96780390311301</v>
      </c>
      <c r="K906" s="92">
        <v>136.94134168720899</v>
      </c>
      <c r="L906" s="92">
        <v>144.19843006333599</v>
      </c>
      <c r="M906" s="92">
        <v>146.20716215698599</v>
      </c>
      <c r="N906" s="92">
        <v>146.21606889250901</v>
      </c>
      <c r="O906" s="92">
        <v>146.225153762742</v>
      </c>
      <c r="P906" s="92">
        <v>148.23442033038</v>
      </c>
      <c r="Q906" s="92">
        <v>148.24387222937099</v>
      </c>
      <c r="R906" s="92">
        <v>142.71566792824601</v>
      </c>
      <c r="S906" s="92">
        <v>142.725501683956</v>
      </c>
      <c r="T906" s="92">
        <v>142.73553211478</v>
      </c>
    </row>
    <row r="907" spans="2:20" x14ac:dyDescent="0.25">
      <c r="B907" s="23" t="s">
        <v>4837</v>
      </c>
      <c r="C907" s="28" t="s">
        <v>493</v>
      </c>
      <c r="D907" s="155" t="s">
        <v>4892</v>
      </c>
      <c r="H907" s="92">
        <v>2.8370388994712199</v>
      </c>
      <c r="I907" s="92">
        <v>-15.803178598626999</v>
      </c>
      <c r="J907" s="92">
        <v>-8.4563929971098908</v>
      </c>
      <c r="K907" s="92">
        <v>-14.439184970429199</v>
      </c>
      <c r="L907" s="92">
        <v>-8.0978661862768</v>
      </c>
      <c r="M907" s="92">
        <v>-8.1575101805452697</v>
      </c>
      <c r="N907" s="92">
        <v>-3.3805540252058099</v>
      </c>
      <c r="O907" s="92">
        <v>-6.3550153323091401</v>
      </c>
      <c r="P907" s="92">
        <v>-3.97891409704489</v>
      </c>
      <c r="Q907" s="92">
        <v>-7.1522983871453096</v>
      </c>
      <c r="R907" s="92">
        <v>-2.26820295449305</v>
      </c>
      <c r="S907" s="92">
        <v>-0.82226010824623996</v>
      </c>
      <c r="T907" s="92">
        <v>-3.2820665224026899</v>
      </c>
    </row>
    <row r="908" spans="2:20" x14ac:dyDescent="0.25">
      <c r="B908" s="23" t="s">
        <v>4838</v>
      </c>
      <c r="C908" s="28" t="s">
        <v>493</v>
      </c>
      <c r="D908" s="155" t="s">
        <v>4893</v>
      </c>
      <c r="H908" s="92">
        <v>131.639325272245</v>
      </c>
      <c r="I908" s="92">
        <v>198.470162663417</v>
      </c>
      <c r="J908" s="92">
        <v>258.32627046365297</v>
      </c>
      <c r="K908" s="92">
        <v>317.16799068566701</v>
      </c>
      <c r="L908" s="92">
        <v>361.77290416912501</v>
      </c>
      <c r="M908" s="92">
        <v>404.53569599085398</v>
      </c>
      <c r="N908" s="92">
        <v>424.45764371819803</v>
      </c>
      <c r="O908" s="92">
        <v>453.25342140830401</v>
      </c>
      <c r="P908" s="92">
        <v>476.60307593563999</v>
      </c>
      <c r="Q908" s="92">
        <v>508.36613744346801</v>
      </c>
      <c r="R908" s="92">
        <v>526.94760474431598</v>
      </c>
      <c r="S908" s="92">
        <v>526.07500061903397</v>
      </c>
      <c r="T908" s="92">
        <v>539.72041903367801</v>
      </c>
    </row>
    <row r="909" spans="2:20" x14ac:dyDescent="0.25">
      <c r="B909" s="23" t="s">
        <v>4839</v>
      </c>
      <c r="C909" s="28" t="s">
        <v>493</v>
      </c>
      <c r="D909" s="155" t="s">
        <v>4894</v>
      </c>
      <c r="H909" s="92">
        <v>0</v>
      </c>
      <c r="I909" s="92">
        <v>0</v>
      </c>
      <c r="J909" s="92">
        <v>0</v>
      </c>
      <c r="K909" s="92">
        <v>0</v>
      </c>
      <c r="L909" s="92">
        <v>0</v>
      </c>
      <c r="M909" s="92">
        <v>0</v>
      </c>
      <c r="N909" s="92">
        <v>0</v>
      </c>
      <c r="O909" s="92">
        <v>0</v>
      </c>
      <c r="P909" s="92">
        <v>0</v>
      </c>
      <c r="Q909" s="92">
        <v>0</v>
      </c>
      <c r="R909" s="92">
        <v>0</v>
      </c>
      <c r="S909" s="92">
        <v>0</v>
      </c>
      <c r="T909" s="92">
        <v>0</v>
      </c>
    </row>
    <row r="910" spans="2:20" x14ac:dyDescent="0.25">
      <c r="B910" s="23" t="s">
        <v>4840</v>
      </c>
      <c r="C910" s="28" t="s">
        <v>493</v>
      </c>
      <c r="D910" s="155" t="s">
        <v>4895</v>
      </c>
      <c r="G910" s="92">
        <v>-198.43299999999999</v>
      </c>
      <c r="H910" s="92">
        <v>-125.2405</v>
      </c>
      <c r="I910" s="92">
        <v>-14.638500000000001</v>
      </c>
      <c r="J910" s="92">
        <v>-419.772029761905</v>
      </c>
      <c r="K910" s="92">
        <v>-160.003625</v>
      </c>
      <c r="L910" s="92">
        <v>0</v>
      </c>
      <c r="M910" s="92">
        <v>0</v>
      </c>
      <c r="N910" s="92">
        <v>0</v>
      </c>
      <c r="O910" s="92">
        <v>0</v>
      </c>
      <c r="P910" s="92">
        <v>0</v>
      </c>
      <c r="Q910" s="92">
        <v>0</v>
      </c>
      <c r="R910" s="92">
        <v>0</v>
      </c>
      <c r="S910" s="92">
        <v>0</v>
      </c>
      <c r="T910" s="92">
        <v>0</v>
      </c>
    </row>
    <row r="911" spans="2:20" x14ac:dyDescent="0.25">
      <c r="B911" s="23" t="s">
        <v>4841</v>
      </c>
      <c r="C911" s="28" t="s">
        <v>493</v>
      </c>
      <c r="D911" s="155" t="s">
        <v>4896</v>
      </c>
      <c r="H911" s="92">
        <v>-125.2405</v>
      </c>
      <c r="I911" s="92">
        <v>-14.638500000000001</v>
      </c>
      <c r="J911" s="92">
        <v>-419.772029761905</v>
      </c>
      <c r="K911" s="92">
        <v>-160.003625</v>
      </c>
      <c r="L911" s="92">
        <v>0</v>
      </c>
      <c r="M911" s="92">
        <v>0</v>
      </c>
      <c r="N911" s="92">
        <v>0</v>
      </c>
      <c r="O911" s="92">
        <v>0</v>
      </c>
      <c r="P911" s="92">
        <v>0</v>
      </c>
      <c r="Q911" s="92">
        <v>0</v>
      </c>
      <c r="R911" s="92">
        <v>0</v>
      </c>
      <c r="S911" s="92">
        <v>0</v>
      </c>
      <c r="T911" s="92">
        <v>0</v>
      </c>
    </row>
    <row r="912" spans="2:20" x14ac:dyDescent="0.25">
      <c r="B912" s="23" t="s">
        <v>4842</v>
      </c>
      <c r="C912" s="28" t="s">
        <v>493</v>
      </c>
      <c r="D912" s="155" t="s">
        <v>4897</v>
      </c>
      <c r="H912" s="92">
        <v>0</v>
      </c>
      <c r="I912" s="92">
        <v>0</v>
      </c>
      <c r="J912" s="92">
        <v>419.772029761905</v>
      </c>
      <c r="K912" s="92">
        <v>160.003625</v>
      </c>
      <c r="L912" s="92">
        <v>0</v>
      </c>
      <c r="M912" s="92">
        <v>0</v>
      </c>
      <c r="N912" s="92">
        <v>0</v>
      </c>
      <c r="O912" s="92">
        <v>0</v>
      </c>
      <c r="P912" s="92">
        <v>0</v>
      </c>
      <c r="Q912" s="92">
        <v>0</v>
      </c>
      <c r="R912" s="92">
        <v>0</v>
      </c>
      <c r="S912" s="92">
        <v>0</v>
      </c>
      <c r="T912" s="92">
        <v>0</v>
      </c>
    </row>
    <row r="913" spans="2:20" x14ac:dyDescent="0.25">
      <c r="B913" s="23" t="s">
        <v>4843</v>
      </c>
      <c r="C913" s="28" t="s">
        <v>493</v>
      </c>
      <c r="D913" s="155" t="s">
        <v>4898</v>
      </c>
      <c r="H913" s="92">
        <v>-29.338465248760102</v>
      </c>
      <c r="I913" s="92">
        <v>-195.18</v>
      </c>
      <c r="J913" s="92">
        <v>0</v>
      </c>
      <c r="K913" s="92">
        <v>0</v>
      </c>
      <c r="L913" s="92">
        <v>0</v>
      </c>
      <c r="M913" s="92">
        <v>0</v>
      </c>
      <c r="N913" s="92">
        <v>0</v>
      </c>
      <c r="O913" s="92">
        <v>0</v>
      </c>
      <c r="P913" s="92">
        <v>0</v>
      </c>
      <c r="Q913" s="92">
        <v>0</v>
      </c>
      <c r="R913" s="92">
        <v>0</v>
      </c>
      <c r="S913" s="92">
        <v>0</v>
      </c>
      <c r="T913" s="92">
        <v>0</v>
      </c>
    </row>
    <row r="914" spans="2:20" x14ac:dyDescent="0.25">
      <c r="B914" s="23" t="s">
        <v>4844</v>
      </c>
      <c r="C914" s="28" t="s">
        <v>493</v>
      </c>
      <c r="D914" s="155" t="s">
        <v>4899</v>
      </c>
      <c r="H914" s="92">
        <v>-6.3327025288222201</v>
      </c>
      <c r="I914" s="92">
        <v>-17.018225208360501</v>
      </c>
      <c r="J914" s="92">
        <v>-33.351835747986797</v>
      </c>
      <c r="K914" s="92">
        <v>-51.921972283900097</v>
      </c>
      <c r="L914" s="92">
        <v>-60.9703454506217</v>
      </c>
      <c r="M914" s="92">
        <v>-72.5941452743822</v>
      </c>
      <c r="N914" s="92">
        <v>-76.858474117207294</v>
      </c>
      <c r="O914" s="92">
        <v>-86.105196541886698</v>
      </c>
      <c r="P914" s="92">
        <v>-91.0898975223474</v>
      </c>
      <c r="Q914" s="92">
        <v>-101.261193294013</v>
      </c>
      <c r="R914" s="92">
        <v>-106.71663279068299</v>
      </c>
      <c r="S914" s="92">
        <v>-105.700518151263</v>
      </c>
      <c r="T914" s="92">
        <v>-110.206188582968</v>
      </c>
    </row>
    <row r="915" spans="2:20" x14ac:dyDescent="0.25">
      <c r="B915" s="23" t="s">
        <v>4845</v>
      </c>
      <c r="C915" s="28" t="s">
        <v>493</v>
      </c>
      <c r="D915" s="155" t="s">
        <v>4900</v>
      </c>
      <c r="H915" s="92">
        <v>-35.671167777582298</v>
      </c>
      <c r="I915" s="92">
        <v>-212.19822520836101</v>
      </c>
      <c r="J915" s="92">
        <v>386.42019401391798</v>
      </c>
      <c r="K915" s="92">
        <v>108.0816527161</v>
      </c>
      <c r="L915" s="92">
        <v>-60.9703454506217</v>
      </c>
      <c r="M915" s="92">
        <v>-72.5941452743822</v>
      </c>
      <c r="N915" s="92">
        <v>-76.858474117207294</v>
      </c>
      <c r="O915" s="92">
        <v>-86.105196541886698</v>
      </c>
      <c r="P915" s="92">
        <v>-91.0898975223474</v>
      </c>
      <c r="Q915" s="92">
        <v>-101.261193294013</v>
      </c>
      <c r="R915" s="92">
        <v>-106.71663279068299</v>
      </c>
      <c r="S915" s="92">
        <v>-105.700518151263</v>
      </c>
      <c r="T915" s="92">
        <v>-110.206188582968</v>
      </c>
    </row>
    <row r="916" spans="2:20" x14ac:dyDescent="0.25">
      <c r="B916" s="23" t="s">
        <v>4846</v>
      </c>
      <c r="C916" s="28" t="s">
        <v>493</v>
      </c>
      <c r="D916" s="155" t="s">
        <v>4901</v>
      </c>
      <c r="H916" s="92">
        <v>-29.272342505336901</v>
      </c>
      <c r="I916" s="92">
        <v>-28.3665625449431</v>
      </c>
      <c r="J916" s="92">
        <v>224.97443471566601</v>
      </c>
      <c r="K916" s="92">
        <v>265.246018401767</v>
      </c>
      <c r="L916" s="92">
        <v>300.80255871850301</v>
      </c>
      <c r="M916" s="92">
        <v>331.94155071647202</v>
      </c>
      <c r="N916" s="92">
        <v>347.59916960099002</v>
      </c>
      <c r="O916" s="92">
        <v>367.14822486641702</v>
      </c>
      <c r="P916" s="92">
        <v>385.51317841329302</v>
      </c>
      <c r="Q916" s="92">
        <v>407.10494414945498</v>
      </c>
      <c r="R916" s="92">
        <v>420.23097195363403</v>
      </c>
      <c r="S916" s="92">
        <v>420.37448246777001</v>
      </c>
      <c r="T916" s="92">
        <v>429.51423045070999</v>
      </c>
    </row>
    <row r="917" spans="2:20" x14ac:dyDescent="0.25">
      <c r="B917" s="23" t="s">
        <v>4847</v>
      </c>
      <c r="C917" s="28" t="s">
        <v>493</v>
      </c>
      <c r="D917" s="155" t="s">
        <v>4902</v>
      </c>
      <c r="G917" s="92">
        <v>60.638905050280002</v>
      </c>
      <c r="H917" s="92">
        <v>31.3665625449431</v>
      </c>
      <c r="I917" s="92">
        <v>2.9999999999999898</v>
      </c>
      <c r="J917" s="92">
        <v>227.97443471566601</v>
      </c>
      <c r="K917" s="92">
        <v>493.22045311743301</v>
      </c>
      <c r="L917" s="92">
        <v>794.02301183593602</v>
      </c>
      <c r="M917" s="92">
        <v>1125.9645625524099</v>
      </c>
      <c r="N917" s="92">
        <v>1473.5637321534</v>
      </c>
      <c r="O917" s="92">
        <v>1840.7119570198199</v>
      </c>
      <c r="P917" s="92">
        <v>2226.2251354331102</v>
      </c>
      <c r="Q917" s="92">
        <v>2633.3300795825598</v>
      </c>
      <c r="R917" s="92">
        <v>3053.5610515362</v>
      </c>
      <c r="S917" s="92">
        <v>3473.9355340039701</v>
      </c>
      <c r="T917" s="92">
        <v>3903.44976445468</v>
      </c>
    </row>
    <row r="918" spans="2:20" x14ac:dyDescent="0.25">
      <c r="B918" s="154" t="s">
        <v>4848</v>
      </c>
    </row>
    <row r="919" spans="2:20" x14ac:dyDescent="0.25">
      <c r="B919" s="23" t="s">
        <v>4762</v>
      </c>
      <c r="C919" s="28" t="s">
        <v>493</v>
      </c>
      <c r="D919" s="155" t="s">
        <v>4903</v>
      </c>
      <c r="G919" s="92">
        <v>60.638905050280002</v>
      </c>
      <c r="H919" s="92">
        <v>31.3665625449431</v>
      </c>
      <c r="I919" s="92">
        <v>2.9999999999999898</v>
      </c>
      <c r="J919" s="92">
        <v>227.97443471566601</v>
      </c>
      <c r="K919" s="92">
        <v>493.22045311743301</v>
      </c>
      <c r="L919" s="92">
        <v>794.02301183593602</v>
      </c>
      <c r="M919" s="92">
        <v>1125.9645625524099</v>
      </c>
      <c r="N919" s="92">
        <v>1473.5637321534</v>
      </c>
      <c r="O919" s="92">
        <v>1840.7119570198199</v>
      </c>
      <c r="P919" s="92">
        <v>2226.2251354331102</v>
      </c>
      <c r="Q919" s="92">
        <v>2633.3300795825598</v>
      </c>
      <c r="R919" s="92">
        <v>3053.5610515362</v>
      </c>
      <c r="S919" s="92">
        <v>3473.9355340039701</v>
      </c>
      <c r="T919" s="92">
        <v>3903.44976445468</v>
      </c>
    </row>
    <row r="920" spans="2:20" x14ac:dyDescent="0.25">
      <c r="B920" s="23" t="s">
        <v>4765</v>
      </c>
      <c r="C920" s="28" t="s">
        <v>493</v>
      </c>
      <c r="D920" s="155" t="s">
        <v>4904</v>
      </c>
      <c r="G920" s="92">
        <v>0.51981068748259995</v>
      </c>
      <c r="H920" s="92">
        <v>0.51981068748259995</v>
      </c>
      <c r="I920" s="92">
        <v>0.51981068748259995</v>
      </c>
      <c r="J920" s="92">
        <v>0.51981068748259995</v>
      </c>
      <c r="K920" s="92">
        <v>0.51981068748259995</v>
      </c>
      <c r="L920" s="92">
        <v>0.51981068748259995</v>
      </c>
      <c r="M920" s="92">
        <v>0.51981068748259995</v>
      </c>
      <c r="N920" s="92">
        <v>0.51981068748259995</v>
      </c>
      <c r="O920" s="92">
        <v>0.51981068748259995</v>
      </c>
      <c r="P920" s="92">
        <v>0.51981068748259995</v>
      </c>
      <c r="Q920" s="92">
        <v>0.51981068748259995</v>
      </c>
      <c r="R920" s="92">
        <v>0</v>
      </c>
      <c r="S920" s="92">
        <v>0</v>
      </c>
      <c r="T920" s="92">
        <v>0</v>
      </c>
    </row>
    <row r="921" spans="2:20" x14ac:dyDescent="0.25">
      <c r="B921" s="23" t="s">
        <v>4849</v>
      </c>
      <c r="C921" s="28" t="s">
        <v>493</v>
      </c>
      <c r="D921" s="155" t="s">
        <v>4905</v>
      </c>
      <c r="G921" s="92">
        <v>45</v>
      </c>
      <c r="H921" s="92">
        <v>37.535488103522198</v>
      </c>
      <c r="I921" s="92">
        <v>52.718161619628098</v>
      </c>
      <c r="J921" s="92">
        <v>60.974516581439097</v>
      </c>
      <c r="K921" s="92">
        <v>76.429277067534997</v>
      </c>
      <c r="L921" s="92">
        <v>86.315050908445798</v>
      </c>
      <c r="M921" s="92">
        <v>95.395602612750295</v>
      </c>
      <c r="N921" s="92">
        <v>99.602905470238895</v>
      </c>
      <c r="O921" s="92">
        <v>106.915948562125</v>
      </c>
      <c r="P921" s="92">
        <v>111.74442722762301</v>
      </c>
      <c r="Q921" s="92">
        <v>119.881973006043</v>
      </c>
      <c r="R921" s="92">
        <v>122.32942161053499</v>
      </c>
      <c r="S921" s="92">
        <v>123.88732537360001</v>
      </c>
      <c r="T921" s="92">
        <v>127.985471353864</v>
      </c>
    </row>
    <row r="922" spans="2:20" x14ac:dyDescent="0.25">
      <c r="B922" s="23" t="s">
        <v>4850</v>
      </c>
      <c r="C922" s="28" t="s">
        <v>493</v>
      </c>
      <c r="D922" s="155" t="s">
        <v>4906</v>
      </c>
      <c r="G922" s="92">
        <v>826.022318932997</v>
      </c>
      <c r="H922" s="92">
        <v>862.88975652406202</v>
      </c>
      <c r="I922" s="92">
        <v>763.92857134205997</v>
      </c>
      <c r="J922" s="92">
        <v>1048.73279720085</v>
      </c>
      <c r="K922" s="92">
        <v>1071.79508051364</v>
      </c>
      <c r="L922" s="92">
        <v>927.59665045030795</v>
      </c>
      <c r="M922" s="92">
        <v>781.38948829332196</v>
      </c>
      <c r="N922" s="92">
        <v>635.17341940081303</v>
      </c>
      <c r="O922" s="92">
        <v>488.94826563807101</v>
      </c>
      <c r="P922" s="92">
        <v>340.71384530769097</v>
      </c>
      <c r="Q922" s="92">
        <v>192.469973078321</v>
      </c>
      <c r="R922" s="92">
        <v>49.7543051500746</v>
      </c>
      <c r="S922" s="92">
        <v>-92.971196533881397</v>
      </c>
      <c r="T922" s="92">
        <v>-235.70672864866199</v>
      </c>
    </row>
    <row r="923" spans="2:20" x14ac:dyDescent="0.25">
      <c r="B923" s="23" t="s">
        <v>4851</v>
      </c>
      <c r="C923" s="28" t="s">
        <v>493</v>
      </c>
      <c r="D923" s="155" t="s">
        <v>4907</v>
      </c>
      <c r="G923" s="92">
        <v>331.262624869158</v>
      </c>
      <c r="H923" s="92">
        <v>331.262624869158</v>
      </c>
      <c r="I923" s="92">
        <v>331.262624869158</v>
      </c>
      <c r="J923" s="92">
        <v>331.262624869158</v>
      </c>
      <c r="K923" s="92">
        <v>331.262624869158</v>
      </c>
      <c r="L923" s="92">
        <v>331.262624869158</v>
      </c>
      <c r="M923" s="92">
        <v>331.262624869158</v>
      </c>
      <c r="N923" s="92">
        <v>331.262624869158</v>
      </c>
      <c r="O923" s="92">
        <v>331.262624869158</v>
      </c>
      <c r="P923" s="92">
        <v>331.262624869158</v>
      </c>
      <c r="Q923" s="92">
        <v>331.262624869158</v>
      </c>
      <c r="R923" s="92">
        <v>331.262624869158</v>
      </c>
      <c r="S923" s="92">
        <v>331.262624869158</v>
      </c>
      <c r="T923" s="92">
        <v>331.262624869158</v>
      </c>
    </row>
    <row r="924" spans="2:20" x14ac:dyDescent="0.25">
      <c r="B924" s="23" t="s">
        <v>4738</v>
      </c>
      <c r="C924" s="28" t="s">
        <v>493</v>
      </c>
      <c r="D924" s="155" t="s">
        <v>4908</v>
      </c>
      <c r="G924" s="92">
        <v>1263.44365953992</v>
      </c>
      <c r="H924" s="92">
        <v>1263.57424272917</v>
      </c>
      <c r="I924" s="92">
        <v>1151.42916851833</v>
      </c>
      <c r="J924" s="92">
        <v>1669.4641840546001</v>
      </c>
      <c r="K924" s="92">
        <v>1973.2272462552501</v>
      </c>
      <c r="L924" s="92">
        <v>2139.7171487513301</v>
      </c>
      <c r="M924" s="92">
        <v>2334.5320890151202</v>
      </c>
      <c r="N924" s="92">
        <v>2540.1224925810898</v>
      </c>
      <c r="O924" s="92">
        <v>2768.35860677665</v>
      </c>
      <c r="P924" s="92">
        <v>3010.4658435250599</v>
      </c>
      <c r="Q924" s="92">
        <v>3277.4644612235702</v>
      </c>
      <c r="R924" s="92">
        <v>3556.9074031659602</v>
      </c>
      <c r="S924" s="92">
        <v>3836.11428771284</v>
      </c>
      <c r="T924" s="92">
        <v>4126.9911320290403</v>
      </c>
    </row>
    <row r="925" spans="2:20" x14ac:dyDescent="0.25">
      <c r="B925" s="23" t="s">
        <v>4852</v>
      </c>
      <c r="C925" s="28" t="s">
        <v>493</v>
      </c>
      <c r="D925" s="155" t="s">
        <v>4909</v>
      </c>
      <c r="G925" s="92">
        <v>14.6719859829049</v>
      </c>
      <c r="H925" s="92">
        <v>10.044512985898301</v>
      </c>
      <c r="I925" s="92">
        <v>9.42400790337717</v>
      </c>
      <c r="J925" s="92">
        <v>9.2239698680783508</v>
      </c>
      <c r="K925" s="92">
        <v>10.239545383745099</v>
      </c>
      <c r="L925" s="92">
        <v>12.027453038379001</v>
      </c>
      <c r="M925" s="92">
        <v>12.950494562138299</v>
      </c>
      <c r="N925" s="92">
        <v>13.777243394420999</v>
      </c>
      <c r="O925" s="92">
        <v>14.7352711539975</v>
      </c>
      <c r="P925" s="92">
        <v>15.584835722451601</v>
      </c>
      <c r="Q925" s="92">
        <v>16.570083113726</v>
      </c>
      <c r="R925" s="92">
        <v>16.229518076242599</v>
      </c>
      <c r="S925" s="92">
        <v>16.965161731061102</v>
      </c>
      <c r="T925" s="92">
        <v>17.781241188922401</v>
      </c>
    </row>
    <row r="926" spans="2:20" x14ac:dyDescent="0.25">
      <c r="B926" s="23" t="s">
        <v>4782</v>
      </c>
      <c r="C926" s="28" t="s">
        <v>493</v>
      </c>
      <c r="D926" s="155" t="s">
        <v>4910</v>
      </c>
      <c r="G926" s="92">
        <v>224.51846524876001</v>
      </c>
      <c r="H926" s="92">
        <v>195.18</v>
      </c>
      <c r="I926" s="92">
        <v>0</v>
      </c>
      <c r="J926" s="92">
        <v>0</v>
      </c>
      <c r="K926" s="92">
        <v>0</v>
      </c>
      <c r="L926" s="92">
        <v>0</v>
      </c>
      <c r="M926" s="92">
        <v>0</v>
      </c>
      <c r="N926" s="92">
        <v>0</v>
      </c>
      <c r="O926" s="92">
        <v>0</v>
      </c>
      <c r="P926" s="92">
        <v>0</v>
      </c>
      <c r="Q926" s="92">
        <v>0</v>
      </c>
      <c r="R926" s="92">
        <v>0</v>
      </c>
      <c r="S926" s="92">
        <v>0</v>
      </c>
      <c r="T926" s="92">
        <v>0</v>
      </c>
    </row>
    <row r="927" spans="2:20" x14ac:dyDescent="0.25">
      <c r="B927" s="23" t="s">
        <v>4853</v>
      </c>
      <c r="C927" s="28" t="s">
        <v>493</v>
      </c>
      <c r="D927" s="155" t="s">
        <v>4911</v>
      </c>
      <c r="G927" s="92">
        <v>55.924464057122997</v>
      </c>
      <c r="H927" s="92">
        <v>55.924464057122997</v>
      </c>
      <c r="I927" s="92">
        <v>55.924464057122997</v>
      </c>
      <c r="J927" s="92">
        <v>55.924464057122997</v>
      </c>
      <c r="K927" s="92">
        <v>55.924464057122997</v>
      </c>
      <c r="L927" s="92">
        <v>55.924464057122997</v>
      </c>
      <c r="M927" s="92">
        <v>55.924464057122997</v>
      </c>
      <c r="N927" s="92">
        <v>55.924464057122997</v>
      </c>
      <c r="O927" s="92">
        <v>55.924464057122997</v>
      </c>
      <c r="P927" s="92">
        <v>55.924464057122997</v>
      </c>
      <c r="Q927" s="92">
        <v>55.924464057122997</v>
      </c>
      <c r="R927" s="92">
        <v>55.924464057122997</v>
      </c>
      <c r="S927" s="92">
        <v>55.924464057122997</v>
      </c>
      <c r="T927" s="92">
        <v>55.924464057122997</v>
      </c>
    </row>
    <row r="928" spans="2:20" x14ac:dyDescent="0.25">
      <c r="B928" s="23" t="s">
        <v>4788</v>
      </c>
      <c r="C928" s="28" t="s">
        <v>493</v>
      </c>
      <c r="D928" s="155" t="s">
        <v>4912</v>
      </c>
      <c r="G928" s="92">
        <v>295.11491528878798</v>
      </c>
      <c r="H928" s="92">
        <v>261.14897704302098</v>
      </c>
      <c r="I928" s="92">
        <v>65.348471960500106</v>
      </c>
      <c r="J928" s="92">
        <v>65.148433925201303</v>
      </c>
      <c r="K928" s="92">
        <v>66.164009440868</v>
      </c>
      <c r="L928" s="92">
        <v>67.951917095501997</v>
      </c>
      <c r="M928" s="92">
        <v>68.874958619261307</v>
      </c>
      <c r="N928" s="92">
        <v>69.701707451543996</v>
      </c>
      <c r="O928" s="92">
        <v>70.659735211120505</v>
      </c>
      <c r="P928" s="92">
        <v>71.509299779574604</v>
      </c>
      <c r="Q928" s="92">
        <v>72.494547170849003</v>
      </c>
      <c r="R928" s="92">
        <v>72.153982133365602</v>
      </c>
      <c r="S928" s="92">
        <v>72.889625788184105</v>
      </c>
      <c r="T928" s="92">
        <v>73.705705246045298</v>
      </c>
    </row>
    <row r="929" spans="2:20" x14ac:dyDescent="0.25">
      <c r="B929" s="23" t="s">
        <v>4790</v>
      </c>
      <c r="C929" s="28" t="s">
        <v>493</v>
      </c>
      <c r="D929" s="155" t="s">
        <v>4913</v>
      </c>
      <c r="G929" s="92">
        <v>677.73059999999998</v>
      </c>
      <c r="H929" s="92">
        <v>677.73059999999998</v>
      </c>
      <c r="I929" s="92">
        <v>677.73059999999998</v>
      </c>
      <c r="J929" s="92">
        <v>1097.5026297618999</v>
      </c>
      <c r="K929" s="92">
        <v>1257.5062547619</v>
      </c>
      <c r="L929" s="92">
        <v>1257.5062547619</v>
      </c>
      <c r="M929" s="92">
        <v>1257.5062547619</v>
      </c>
      <c r="N929" s="92">
        <v>1257.5062547619</v>
      </c>
      <c r="O929" s="92">
        <v>1257.5062547619</v>
      </c>
      <c r="P929" s="92">
        <v>1257.5062547619</v>
      </c>
      <c r="Q929" s="92">
        <v>1257.5062547619</v>
      </c>
      <c r="R929" s="92">
        <v>1257.5062547619</v>
      </c>
      <c r="S929" s="92">
        <v>1257.5062547619</v>
      </c>
      <c r="T929" s="92">
        <v>1257.5062547619</v>
      </c>
    </row>
    <row r="930" spans="2:20" x14ac:dyDescent="0.25">
      <c r="B930" s="23" t="s">
        <v>4793</v>
      </c>
      <c r="C930" s="28" t="s">
        <v>493</v>
      </c>
      <c r="D930" s="155" t="s">
        <v>4914</v>
      </c>
      <c r="G930" s="92">
        <v>290.59201234880999</v>
      </c>
      <c r="H930" s="92">
        <v>324.68853378382698</v>
      </c>
      <c r="I930" s="92">
        <v>408.34396465550901</v>
      </c>
      <c r="J930" s="92">
        <v>506.80698846517299</v>
      </c>
      <c r="K930" s="92">
        <v>649.55085015016004</v>
      </c>
      <c r="L930" s="92">
        <v>814.25284499160398</v>
      </c>
      <c r="M930" s="92">
        <v>1008.14474373164</v>
      </c>
      <c r="N930" s="92">
        <v>1212.90839846532</v>
      </c>
      <c r="O930" s="92">
        <v>1440.18648490131</v>
      </c>
      <c r="P930" s="92">
        <v>1681.4441570812601</v>
      </c>
      <c r="Q930" s="92">
        <v>1947.45752738849</v>
      </c>
      <c r="R930" s="92">
        <v>2227.24103436837</v>
      </c>
      <c r="S930" s="92">
        <v>2505.71227526043</v>
      </c>
      <c r="T930" s="92">
        <v>2795.77304011877</v>
      </c>
    </row>
    <row r="931" spans="2:20" x14ac:dyDescent="0.25">
      <c r="B931" s="23" t="s">
        <v>4754</v>
      </c>
      <c r="C931" s="28" t="s">
        <v>493</v>
      </c>
      <c r="D931" s="155" t="s">
        <v>4915</v>
      </c>
      <c r="G931" s="92">
        <v>968.32261234881003</v>
      </c>
      <c r="H931" s="92">
        <v>1002.41913378383</v>
      </c>
      <c r="I931" s="92">
        <v>1086.0745646555099</v>
      </c>
      <c r="J931" s="92">
        <v>1604.3096182270799</v>
      </c>
      <c r="K931" s="92">
        <v>1907.0571049120599</v>
      </c>
      <c r="L931" s="92">
        <v>2071.7590997535099</v>
      </c>
      <c r="M931" s="92">
        <v>2265.6509984935401</v>
      </c>
      <c r="N931" s="92">
        <v>2470.4146532272298</v>
      </c>
      <c r="O931" s="92">
        <v>2697.69273966321</v>
      </c>
      <c r="P931" s="92">
        <v>2938.9504118431701</v>
      </c>
      <c r="Q931" s="92">
        <v>3204.9637821504002</v>
      </c>
      <c r="R931" s="92">
        <v>3484.74728913028</v>
      </c>
      <c r="S931" s="92">
        <v>3763.21853002234</v>
      </c>
      <c r="T931" s="92">
        <v>4053.27929488067</v>
      </c>
    </row>
    <row r="932" spans="2:20" x14ac:dyDescent="0.25">
      <c r="B932" s="23" t="s">
        <v>4854</v>
      </c>
      <c r="C932" s="28" t="s">
        <v>493</v>
      </c>
      <c r="D932" s="155" t="s">
        <v>4916</v>
      </c>
      <c r="G932" s="92">
        <v>0</v>
      </c>
      <c r="H932" s="92">
        <v>0</v>
      </c>
      <c r="I932" s="92">
        <v>0</v>
      </c>
      <c r="J932" s="92">
        <v>0</v>
      </c>
      <c r="K932" s="92">
        <v>0</v>
      </c>
      <c r="L932" s="92">
        <v>0</v>
      </c>
      <c r="M932" s="92">
        <v>0</v>
      </c>
      <c r="N932" s="92">
        <v>0</v>
      </c>
      <c r="O932" s="92">
        <v>0</v>
      </c>
      <c r="P932" s="92">
        <v>0</v>
      </c>
      <c r="Q932" s="92">
        <v>0</v>
      </c>
      <c r="R932" s="92">
        <v>0</v>
      </c>
      <c r="S932" s="92">
        <v>0</v>
      </c>
      <c r="T932" s="92">
        <v>0</v>
      </c>
    </row>
    <row r="933" spans="2:20" x14ac:dyDescent="0.25">
      <c r="B933" s="154" t="s">
        <v>4855</v>
      </c>
    </row>
    <row r="934" spans="2:20" x14ac:dyDescent="0.25">
      <c r="B934" s="23" t="s">
        <v>3086</v>
      </c>
      <c r="C934" s="28" t="s">
        <v>493</v>
      </c>
      <c r="D934" s="155" t="s">
        <v>4917</v>
      </c>
      <c r="H934" s="92">
        <v>65.862412993927705</v>
      </c>
      <c r="I934" s="92">
        <v>149.95884859672299</v>
      </c>
      <c r="J934" s="92">
        <v>174.204311078205</v>
      </c>
      <c r="K934" s="92">
        <v>251.85539666695701</v>
      </c>
      <c r="L934" s="92">
        <v>291.37172970830602</v>
      </c>
      <c r="M934" s="92">
        <v>341.98182060603699</v>
      </c>
      <c r="N934" s="92">
        <v>361.09089489943</v>
      </c>
      <c r="O934" s="92">
        <v>401.77343971521901</v>
      </c>
      <c r="P934" s="92">
        <v>426.08662782346801</v>
      </c>
      <c r="Q934" s="92">
        <v>470.86482512979802</v>
      </c>
      <c r="R934" s="92">
        <v>495.51299970585001</v>
      </c>
      <c r="S934" s="92">
        <v>492.52789620938898</v>
      </c>
      <c r="T934" s="92">
        <v>513.16276082217996</v>
      </c>
    </row>
    <row r="935" spans="2:20" x14ac:dyDescent="0.25">
      <c r="B935" s="23" t="s">
        <v>4856</v>
      </c>
      <c r="C935" s="28" t="s">
        <v>493</v>
      </c>
      <c r="D935" s="155" t="s">
        <v>4918</v>
      </c>
      <c r="H935" s="92">
        <v>-14.4897308586641</v>
      </c>
      <c r="I935" s="92">
        <v>-32.990946691278999</v>
      </c>
      <c r="J935" s="92">
        <v>-38.324948437205101</v>
      </c>
      <c r="K935" s="92">
        <v>-55.4081872667306</v>
      </c>
      <c r="L935" s="92">
        <v>-64.101780535827302</v>
      </c>
      <c r="M935" s="92">
        <v>-75.236000533328095</v>
      </c>
      <c r="N935" s="92">
        <v>-79.439996877874606</v>
      </c>
      <c r="O935" s="92">
        <v>-88.390156737348306</v>
      </c>
      <c r="P935" s="92">
        <v>-93.739058121162898</v>
      </c>
      <c r="Q935" s="92">
        <v>-103.590261528556</v>
      </c>
      <c r="R935" s="92">
        <v>-109.012859935287</v>
      </c>
      <c r="S935" s="92">
        <v>-108.35613716606601</v>
      </c>
      <c r="T935" s="92">
        <v>-112.89580738088</v>
      </c>
    </row>
    <row r="936" spans="2:20" x14ac:dyDescent="0.25">
      <c r="B936" s="23" t="s">
        <v>4857</v>
      </c>
      <c r="C936" s="28" t="s">
        <v>493</v>
      </c>
      <c r="D936" s="155" t="s">
        <v>4919</v>
      </c>
      <c r="H936" s="92">
        <v>88.373062408935297</v>
      </c>
      <c r="I936" s="92">
        <v>113.59968518200201</v>
      </c>
      <c r="J936" s="92">
        <v>134.96780390311301</v>
      </c>
      <c r="K936" s="92">
        <v>136.94134168720899</v>
      </c>
      <c r="L936" s="92">
        <v>144.19843006333599</v>
      </c>
      <c r="M936" s="92">
        <v>146.20716215698599</v>
      </c>
      <c r="N936" s="92">
        <v>146.21606889250901</v>
      </c>
      <c r="O936" s="92">
        <v>146.225153762742</v>
      </c>
      <c r="P936" s="92">
        <v>148.23442033038</v>
      </c>
      <c r="Q936" s="92">
        <v>148.24387222937099</v>
      </c>
      <c r="R936" s="92">
        <v>142.71566792824601</v>
      </c>
      <c r="S936" s="92">
        <v>142.725501683956</v>
      </c>
      <c r="T936" s="92">
        <v>142.73553211478</v>
      </c>
    </row>
    <row r="937" spans="2:20" x14ac:dyDescent="0.25">
      <c r="B937" s="23" t="s">
        <v>4858</v>
      </c>
      <c r="C937" s="28" t="s">
        <v>493</v>
      </c>
      <c r="D937" s="155" t="s">
        <v>4920</v>
      </c>
      <c r="H937" s="92">
        <v>-323.67349999999999</v>
      </c>
      <c r="I937" s="92">
        <v>-14.638500000000001</v>
      </c>
      <c r="J937" s="92">
        <v>-419.772029761905</v>
      </c>
      <c r="K937" s="92">
        <v>-160.003625</v>
      </c>
      <c r="L937" s="92">
        <v>0</v>
      </c>
      <c r="M937" s="92">
        <v>0</v>
      </c>
      <c r="N937" s="92">
        <v>0</v>
      </c>
      <c r="O937" s="92">
        <v>0</v>
      </c>
      <c r="P937" s="92">
        <v>0</v>
      </c>
      <c r="Q937" s="92">
        <v>0</v>
      </c>
      <c r="R937" s="92">
        <v>0</v>
      </c>
      <c r="S937" s="92">
        <v>0</v>
      </c>
      <c r="T937" s="92">
        <v>0</v>
      </c>
    </row>
    <row r="938" spans="2:20" x14ac:dyDescent="0.25">
      <c r="B938" s="23" t="s">
        <v>4859</v>
      </c>
      <c r="C938" s="28" t="s">
        <v>493</v>
      </c>
      <c r="D938" s="155" t="s">
        <v>4921</v>
      </c>
      <c r="H938" s="92">
        <v>2.8370388994712199</v>
      </c>
      <c r="I938" s="92">
        <v>-15.803178598626999</v>
      </c>
      <c r="J938" s="92">
        <v>-8.4563929971098908</v>
      </c>
      <c r="K938" s="92">
        <v>-14.439184970429199</v>
      </c>
      <c r="L938" s="92">
        <v>-8.0978661862768</v>
      </c>
      <c r="M938" s="92">
        <v>-8.1575101805452697</v>
      </c>
      <c r="N938" s="92">
        <v>-3.3805540252058099</v>
      </c>
      <c r="O938" s="92">
        <v>-6.3550153323091401</v>
      </c>
      <c r="P938" s="92">
        <v>-3.97891409704489</v>
      </c>
      <c r="Q938" s="92">
        <v>-7.1522983871453096</v>
      </c>
      <c r="R938" s="92">
        <v>-2.26820295449305</v>
      </c>
      <c r="S938" s="92">
        <v>-0.82226010824623996</v>
      </c>
      <c r="T938" s="92">
        <v>-3.2820665224026899</v>
      </c>
    </row>
    <row r="939" spans="2:20" x14ac:dyDescent="0.25">
      <c r="B939" s="23" t="s">
        <v>4860</v>
      </c>
      <c r="C939" s="28" t="s">
        <v>493</v>
      </c>
      <c r="D939" s="155" t="s">
        <v>4922</v>
      </c>
      <c r="H939" s="92">
        <v>-181.09071655632999</v>
      </c>
      <c r="I939" s="92">
        <v>200.125908488818</v>
      </c>
      <c r="J939" s="92">
        <v>-157.38125621490201</v>
      </c>
      <c r="K939" s="92">
        <v>158.94574111700601</v>
      </c>
      <c r="L939" s="92">
        <v>363.37051304953798</v>
      </c>
      <c r="M939" s="92">
        <v>404.795472049149</v>
      </c>
      <c r="N939" s="92">
        <v>424.48641288885801</v>
      </c>
      <c r="O939" s="92">
        <v>453.25342140830401</v>
      </c>
      <c r="P939" s="92">
        <v>476.60307593563999</v>
      </c>
      <c r="Q939" s="92">
        <v>508.36613744346801</v>
      </c>
      <c r="R939" s="92">
        <v>526.94760474431598</v>
      </c>
      <c r="S939" s="92">
        <v>526.07500061903397</v>
      </c>
      <c r="T939" s="92">
        <v>539.72041903367801</v>
      </c>
    </row>
    <row r="940" spans="2:20" x14ac:dyDescent="0.25">
      <c r="B940" s="23" t="s">
        <v>4861</v>
      </c>
      <c r="C940" s="28" t="s">
        <v>493</v>
      </c>
      <c r="D940" s="155" t="s">
        <v>4923</v>
      </c>
      <c r="H940" s="92">
        <v>-181.09071655632999</v>
      </c>
      <c r="I940" s="92">
        <v>19.035191932488399</v>
      </c>
      <c r="J940" s="92">
        <v>-138.34606428241401</v>
      </c>
      <c r="K940" s="92">
        <v>20.599676834592</v>
      </c>
      <c r="L940" s="92">
        <v>383.97018988412998</v>
      </c>
      <c r="M940" s="92">
        <v>788.76566193327903</v>
      </c>
      <c r="N940" s="92">
        <v>1213.25207482214</v>
      </c>
      <c r="O940" s="92">
        <v>1666.50549623044</v>
      </c>
      <c r="P940" s="92">
        <v>2143.1085721660802</v>
      </c>
      <c r="Q940" s="92">
        <v>2651.4747096095498</v>
      </c>
      <c r="R940" s="92">
        <v>3178.4223143538602</v>
      </c>
      <c r="S940" s="92">
        <v>3704.4973149728999</v>
      </c>
      <c r="T940" s="92">
        <v>4244.21773400658</v>
      </c>
    </row>
    <row r="941" spans="2:20" x14ac:dyDescent="0.25">
      <c r="B941" s="23" t="s">
        <v>4862</v>
      </c>
      <c r="C941" s="28" t="s">
        <v>292</v>
      </c>
      <c r="D941" s="155" t="s">
        <v>4863</v>
      </c>
      <c r="E941" s="93">
        <v>1.5669212373866499</v>
      </c>
    </row>
    <row r="942" spans="2:20" x14ac:dyDescent="0.25">
      <c r="B942" s="23" t="s">
        <v>4864</v>
      </c>
      <c r="C942" s="28" t="s">
        <v>816</v>
      </c>
      <c r="D942" s="155" t="s">
        <v>4865</v>
      </c>
      <c r="E942" s="94">
        <v>3.7752819772348798</v>
      </c>
    </row>
    <row r="943" spans="2:20" x14ac:dyDescent="0.25">
      <c r="B943" s="154" t="s">
        <v>4866</v>
      </c>
    </row>
    <row r="944" spans="2:20" x14ac:dyDescent="0.25">
      <c r="B944" s="23" t="s">
        <v>4867</v>
      </c>
      <c r="C944" s="28" t="s">
        <v>493</v>
      </c>
      <c r="D944" s="155" t="s">
        <v>4924</v>
      </c>
      <c r="G944" s="92">
        <v>30.8478247045777</v>
      </c>
      <c r="H944" s="92">
        <v>28.010785805106501</v>
      </c>
      <c r="I944" s="92">
        <v>43.8139644037335</v>
      </c>
      <c r="J944" s="92">
        <v>52.270357400843402</v>
      </c>
      <c r="K944" s="92">
        <v>66.709542371272605</v>
      </c>
      <c r="L944" s="92">
        <v>74.807408557549394</v>
      </c>
      <c r="M944" s="92">
        <v>82.964918738094596</v>
      </c>
      <c r="N944" s="92">
        <v>86.345472763300506</v>
      </c>
      <c r="O944" s="92">
        <v>92.7004880956096</v>
      </c>
      <c r="P944" s="92">
        <v>96.679402192654507</v>
      </c>
      <c r="Q944" s="92">
        <v>103.8317005798</v>
      </c>
      <c r="R944" s="92">
        <v>106.09990353429301</v>
      </c>
      <c r="S944" s="92">
        <v>106.922163642539</v>
      </c>
      <c r="T944" s="92">
        <v>110.204230164942</v>
      </c>
    </row>
    <row r="945" spans="2:20" x14ac:dyDescent="0.25">
      <c r="B945" s="23" t="s">
        <v>4868</v>
      </c>
      <c r="C945" s="28" t="s">
        <v>493</v>
      </c>
      <c r="D945" s="155" t="s">
        <v>4925</v>
      </c>
      <c r="G945" s="92">
        <v>198.43299999999999</v>
      </c>
      <c r="H945" s="92">
        <v>125.2405</v>
      </c>
      <c r="I945" s="92">
        <v>14.638500000000001</v>
      </c>
      <c r="J945" s="92">
        <v>419.772029761905</v>
      </c>
      <c r="K945" s="92">
        <v>160.003625</v>
      </c>
      <c r="L945" s="92">
        <v>0</v>
      </c>
      <c r="M945" s="92">
        <v>0</v>
      </c>
      <c r="N945" s="92">
        <v>0</v>
      </c>
      <c r="O945" s="92">
        <v>0</v>
      </c>
      <c r="P945" s="92">
        <v>0</v>
      </c>
      <c r="Q945" s="92">
        <v>0</v>
      </c>
      <c r="R945" s="92">
        <v>0</v>
      </c>
      <c r="S945" s="92">
        <v>0</v>
      </c>
      <c r="T945" s="92">
        <v>0</v>
      </c>
    </row>
    <row r="946" spans="2:20" x14ac:dyDescent="0.25">
      <c r="B946" s="23" t="s">
        <v>4869</v>
      </c>
      <c r="C946" s="28" t="s">
        <v>493</v>
      </c>
      <c r="D946" s="155" t="s">
        <v>4926</v>
      </c>
      <c r="H946" s="92">
        <v>0</v>
      </c>
      <c r="I946" s="92">
        <v>0</v>
      </c>
      <c r="J946" s="92">
        <v>419.772029761905</v>
      </c>
      <c r="K946" s="92">
        <v>160.003625</v>
      </c>
      <c r="L946" s="92">
        <v>0</v>
      </c>
      <c r="M946" s="92">
        <v>0</v>
      </c>
      <c r="N946" s="92">
        <v>0</v>
      </c>
      <c r="O946" s="92">
        <v>0</v>
      </c>
      <c r="P946" s="92">
        <v>0</v>
      </c>
      <c r="Q946" s="92">
        <v>0</v>
      </c>
      <c r="R946" s="92">
        <v>0</v>
      </c>
      <c r="S946" s="92">
        <v>0</v>
      </c>
      <c r="T946" s="92">
        <v>0</v>
      </c>
    </row>
    <row r="947" spans="2:20" x14ac:dyDescent="0.25">
      <c r="B947" s="23" t="s">
        <v>4870</v>
      </c>
      <c r="C947" s="28" t="s">
        <v>493</v>
      </c>
      <c r="D947" s="155" t="s">
        <v>4927</v>
      </c>
      <c r="H947" s="92">
        <v>-29.338465248760102</v>
      </c>
      <c r="I947" s="92">
        <v>-195.18</v>
      </c>
      <c r="J947" s="92">
        <v>0</v>
      </c>
      <c r="K947" s="92">
        <v>0</v>
      </c>
      <c r="L947" s="92">
        <v>0</v>
      </c>
      <c r="M947" s="92">
        <v>0</v>
      </c>
      <c r="N947" s="92">
        <v>0</v>
      </c>
      <c r="O947" s="92">
        <v>0</v>
      </c>
      <c r="P947" s="92">
        <v>0</v>
      </c>
      <c r="Q947" s="92">
        <v>0</v>
      </c>
      <c r="R947" s="92">
        <v>0</v>
      </c>
      <c r="S947" s="92">
        <v>0</v>
      </c>
      <c r="T947" s="92">
        <v>0</v>
      </c>
    </row>
    <row r="948" spans="2:20" x14ac:dyDescent="0.25">
      <c r="B948" s="23" t="s">
        <v>4871</v>
      </c>
      <c r="C948" s="28" t="s">
        <v>493</v>
      </c>
      <c r="D948" s="155" t="s">
        <v>4928</v>
      </c>
      <c r="H948" s="92">
        <v>55.200615812661297</v>
      </c>
      <c r="I948" s="92">
        <v>57.464611864635401</v>
      </c>
      <c r="J948" s="92">
        <v>58.977353517222703</v>
      </c>
      <c r="K948" s="92">
        <v>61.6931229215812</v>
      </c>
      <c r="L948" s="92">
        <v>64.108158447600303</v>
      </c>
      <c r="M948" s="92">
        <v>70.015885047066604</v>
      </c>
      <c r="N948" s="92">
        <v>72.649186076772693</v>
      </c>
      <c r="O948" s="92">
        <v>75.331317633091302</v>
      </c>
      <c r="P948" s="92">
        <v>82.041651317562696</v>
      </c>
      <c r="Q948" s="92">
        <v>84.963578917707807</v>
      </c>
      <c r="R948" s="92">
        <v>87.937229909393906</v>
      </c>
      <c r="S948" s="92">
        <v>90.961995826036997</v>
      </c>
      <c r="T948" s="92">
        <v>94.037118565923606</v>
      </c>
    </row>
    <row r="949" spans="2:20" x14ac:dyDescent="0.25">
      <c r="B949" s="23" t="s">
        <v>4872</v>
      </c>
      <c r="C949" s="28" t="s">
        <v>493</v>
      </c>
      <c r="D949" s="155" t="s">
        <v>4929</v>
      </c>
      <c r="H949" s="92">
        <v>21.1090084294074</v>
      </c>
      <c r="I949" s="92">
        <v>80.561041927420504</v>
      </c>
      <c r="J949" s="92">
        <v>111.172785826623</v>
      </c>
      <c r="K949" s="92">
        <v>173.07324094633401</v>
      </c>
      <c r="L949" s="92">
        <v>203.23448483540599</v>
      </c>
      <c r="M949" s="92">
        <v>241.98048424794101</v>
      </c>
      <c r="N949" s="92">
        <v>256.19491372402399</v>
      </c>
      <c r="O949" s="92">
        <v>287.01732180628898</v>
      </c>
      <c r="P949" s="92">
        <v>303.63299174115798</v>
      </c>
      <c r="Q949" s="92">
        <v>337.53731098004499</v>
      </c>
      <c r="R949" s="92">
        <v>355.72210930227499</v>
      </c>
      <c r="S949" s="92">
        <v>352.33506050421101</v>
      </c>
      <c r="T949" s="92">
        <v>367.35396194322698</v>
      </c>
    </row>
    <row r="950" spans="2:20" x14ac:dyDescent="0.25">
      <c r="B950" s="23" t="s">
        <v>4873</v>
      </c>
      <c r="C950" s="28" t="s">
        <v>493</v>
      </c>
      <c r="D950" s="155" t="s">
        <v>4930</v>
      </c>
      <c r="H950" s="92">
        <v>6.3327025288222201</v>
      </c>
      <c r="I950" s="92">
        <v>24.1683125782262</v>
      </c>
      <c r="J950" s="92">
        <v>33.351835747986797</v>
      </c>
      <c r="K950" s="92">
        <v>51.921972283900097</v>
      </c>
      <c r="L950" s="92">
        <v>60.9703454506217</v>
      </c>
      <c r="M950" s="92">
        <v>72.5941452743822</v>
      </c>
      <c r="N950" s="92">
        <v>76.858474117207294</v>
      </c>
      <c r="O950" s="92">
        <v>86.105196541886698</v>
      </c>
      <c r="P950" s="92">
        <v>91.0898975223474</v>
      </c>
      <c r="Q950" s="92">
        <v>101.261193294013</v>
      </c>
      <c r="R950" s="92">
        <v>106.71663279068299</v>
      </c>
      <c r="S950" s="92">
        <v>105.700518151263</v>
      </c>
      <c r="T950" s="92">
        <v>110.206188582968</v>
      </c>
    </row>
    <row r="951" spans="2:20" x14ac:dyDescent="0.25">
      <c r="B951" s="23" t="s">
        <v>4874</v>
      </c>
      <c r="C951" s="28" t="s">
        <v>493</v>
      </c>
      <c r="D951" s="155" t="s">
        <v>4931</v>
      </c>
      <c r="H951" s="92">
        <v>272.46723631264899</v>
      </c>
      <c r="I951" s="92">
        <v>373.14089239269202</v>
      </c>
      <c r="J951" s="92">
        <v>504.95575195034201</v>
      </c>
      <c r="K951" s="92">
        <v>699.62158591923003</v>
      </c>
      <c r="L951" s="92">
        <v>925.293926211295</v>
      </c>
      <c r="M951" s="92">
        <v>1191.77997022571</v>
      </c>
      <c r="N951" s="92">
        <v>1473.4020990766001</v>
      </c>
      <c r="O951" s="92">
        <v>1786.7853820544699</v>
      </c>
      <c r="P951" s="92">
        <v>2119.1329517567801</v>
      </c>
      <c r="Q951" s="92">
        <v>2486.4075153580202</v>
      </c>
      <c r="R951" s="92">
        <v>2872.9076551285898</v>
      </c>
      <c r="S951" s="92">
        <v>3257.0794141719098</v>
      </c>
      <c r="T951" s="92">
        <v>3657.3463676132101</v>
      </c>
    </row>
    <row r="952" spans="2:20" x14ac:dyDescent="0.25">
      <c r="B952" s="23" t="s">
        <v>4875</v>
      </c>
      <c r="C952" s="28" t="s">
        <v>493</v>
      </c>
      <c r="D952" s="155" t="s">
        <v>4932</v>
      </c>
      <c r="H952" s="92">
        <v>34.699265073765297</v>
      </c>
      <c r="I952" s="92">
        <v>17.018225208360501</v>
      </c>
      <c r="J952" s="92">
        <v>258.32627046365297</v>
      </c>
      <c r="K952" s="92">
        <v>542.14242540133296</v>
      </c>
      <c r="L952" s="92">
        <v>851.99335728655797</v>
      </c>
      <c r="M952" s="92">
        <v>1195.5587078267899</v>
      </c>
      <c r="N952" s="92">
        <v>1547.4222062706101</v>
      </c>
      <c r="O952" s="92">
        <v>1923.8171535617</v>
      </c>
      <c r="P952" s="92">
        <v>2314.3150329554601</v>
      </c>
      <c r="Q952" s="92">
        <v>2731.5912728765802</v>
      </c>
      <c r="R952" s="92">
        <v>3157.2776843268798</v>
      </c>
      <c r="S952" s="92">
        <v>3576.6360521552301</v>
      </c>
      <c r="T952" s="92">
        <v>4010.6559530376398</v>
      </c>
    </row>
    <row r="953" spans="2:20" x14ac:dyDescent="0.25">
      <c r="B953" s="23" t="s">
        <v>4876</v>
      </c>
      <c r="C953" s="28" t="s">
        <v>493</v>
      </c>
      <c r="D953" s="155" t="s">
        <v>4933</v>
      </c>
      <c r="H953" s="92">
        <v>-6.3327025288222201</v>
      </c>
      <c r="I953" s="92">
        <v>-17.018225208360501</v>
      </c>
      <c r="J953" s="92">
        <v>-33.351835747986797</v>
      </c>
      <c r="K953" s="92">
        <v>-51.921972283900097</v>
      </c>
      <c r="L953" s="92">
        <v>-60.9703454506217</v>
      </c>
      <c r="M953" s="92">
        <v>-72.5941452743822</v>
      </c>
      <c r="N953" s="92">
        <v>-76.858474117207294</v>
      </c>
      <c r="O953" s="92">
        <v>-86.105196541886698</v>
      </c>
      <c r="P953" s="92">
        <v>-91.0898975223474</v>
      </c>
      <c r="Q953" s="92">
        <v>-101.261193294013</v>
      </c>
      <c r="R953" s="92">
        <v>-106.71663279068299</v>
      </c>
      <c r="S953" s="92">
        <v>-105.700518151263</v>
      </c>
      <c r="T953" s="92">
        <v>-110.206188582968</v>
      </c>
    </row>
    <row r="954" spans="2:20" x14ac:dyDescent="0.25">
      <c r="B954" s="23" t="s">
        <v>4877</v>
      </c>
      <c r="C954" s="28" t="s">
        <v>493</v>
      </c>
      <c r="D954" s="155" t="s">
        <v>4934</v>
      </c>
      <c r="H954" s="92">
        <v>324.68853378382698</v>
      </c>
      <c r="I954" s="92">
        <v>408.34396465550901</v>
      </c>
      <c r="J954" s="92">
        <v>506.80698846517299</v>
      </c>
      <c r="K954" s="92">
        <v>649.55085015016004</v>
      </c>
      <c r="L954" s="92">
        <v>814.25284499160398</v>
      </c>
      <c r="M954" s="92">
        <v>1008.14474373164</v>
      </c>
      <c r="N954" s="92">
        <v>1212.90839846532</v>
      </c>
      <c r="O954" s="92">
        <v>1440.18648490131</v>
      </c>
      <c r="P954" s="92">
        <v>1681.4441570812601</v>
      </c>
      <c r="Q954" s="92">
        <v>1947.45752738849</v>
      </c>
      <c r="R954" s="92">
        <v>2227.24103436837</v>
      </c>
      <c r="S954" s="92">
        <v>2505.71227526043</v>
      </c>
      <c r="T954" s="92">
        <v>2795.77304011877</v>
      </c>
    </row>
    <row r="956" spans="2:20" x14ac:dyDescent="0.25">
      <c r="B956" s="154" t="s">
        <v>4935</v>
      </c>
    </row>
    <row r="957" spans="2:20" ht="26.25" customHeight="1" x14ac:dyDescent="0.25">
      <c r="B957" s="64" t="s">
        <v>4936</v>
      </c>
      <c r="C957" s="28" t="s">
        <v>647</v>
      </c>
      <c r="D957" s="155" t="s">
        <v>4937</v>
      </c>
      <c r="H957" s="86">
        <v>32000</v>
      </c>
      <c r="I957" s="86">
        <v>32960</v>
      </c>
      <c r="J957" s="86">
        <v>33948.800000000003</v>
      </c>
      <c r="K957" s="86">
        <v>34967.264000000003</v>
      </c>
      <c r="L957" s="86">
        <v>36016.281920000001</v>
      </c>
      <c r="M957" s="86">
        <v>37096.770377599998</v>
      </c>
      <c r="N957" s="86">
        <v>38209.673488927998</v>
      </c>
      <c r="O957" s="86">
        <v>39355.963693595899</v>
      </c>
      <c r="P957" s="86">
        <v>40536.6426044037</v>
      </c>
      <c r="Q957" s="86">
        <v>41752.741882535804</v>
      </c>
      <c r="R957" s="86">
        <v>41752.741882535804</v>
      </c>
      <c r="S957" s="86">
        <v>41752.741882535804</v>
      </c>
      <c r="T957" s="86">
        <v>41752.741882535804</v>
      </c>
    </row>
    <row r="958" spans="2:20" x14ac:dyDescent="0.25">
      <c r="B958" s="23" t="s">
        <v>4938</v>
      </c>
      <c r="C958" s="28" t="s">
        <v>647</v>
      </c>
      <c r="H958" s="108">
        <f t="shared" ref="H958:T958" si="1">H957-H167</f>
        <v>0</v>
      </c>
      <c r="I958" s="108">
        <f t="shared" si="1"/>
        <v>0</v>
      </c>
      <c r="J958" s="108">
        <f t="shared" si="1"/>
        <v>0</v>
      </c>
      <c r="K958" s="108">
        <f t="shared" si="1"/>
        <v>0</v>
      </c>
      <c r="L958" s="108">
        <f t="shared" si="1"/>
        <v>0</v>
      </c>
      <c r="M958" s="108">
        <f t="shared" si="1"/>
        <v>0</v>
      </c>
      <c r="N958" s="108">
        <f t="shared" si="1"/>
        <v>0</v>
      </c>
      <c r="O958" s="108">
        <f t="shared" si="1"/>
        <v>0</v>
      </c>
      <c r="P958" s="108">
        <f t="shared" si="1"/>
        <v>0</v>
      </c>
      <c r="Q958" s="108">
        <f t="shared" si="1"/>
        <v>0</v>
      </c>
      <c r="R958" s="108">
        <f t="shared" si="1"/>
        <v>41752.741882535804</v>
      </c>
      <c r="S958" s="108">
        <f t="shared" si="1"/>
        <v>41752.741882535804</v>
      </c>
      <c r="T958" s="108">
        <f t="shared" si="1"/>
        <v>41752.741882535804</v>
      </c>
    </row>
    <row r="959" spans="2:20" x14ac:dyDescent="0.25">
      <c r="B959" s="23" t="s">
        <v>4939</v>
      </c>
      <c r="C959" s="28" t="s">
        <v>292</v>
      </c>
      <c r="D959" s="155" t="s">
        <v>4940</v>
      </c>
      <c r="H959" s="93">
        <v>3.5000000000000003E-2</v>
      </c>
      <c r="I959" s="93">
        <v>3.5000000000000003E-2</v>
      </c>
      <c r="J959" s="93">
        <v>3.5000000000000003E-2</v>
      </c>
      <c r="K959" s="93">
        <v>3.5000000000000003E-2</v>
      </c>
      <c r="L959" s="93">
        <v>3.5000000000000003E-2</v>
      </c>
      <c r="M959" s="93">
        <v>3.5000000000000003E-2</v>
      </c>
      <c r="N959" s="93">
        <v>3.5000000000000003E-2</v>
      </c>
      <c r="O959" s="93">
        <v>3.5000000000000003E-2</v>
      </c>
      <c r="P959" s="93">
        <v>3.5000000000000003E-2</v>
      </c>
      <c r="Q959" s="93">
        <v>3.5000000000000003E-2</v>
      </c>
      <c r="R959" s="93">
        <v>3.5000000000000003E-2</v>
      </c>
      <c r="S959" s="93">
        <v>3.5000000000000003E-2</v>
      </c>
      <c r="T959" s="93">
        <v>3.5000000000000003E-2</v>
      </c>
    </row>
    <row r="960" spans="2:20" ht="26.25" customHeight="1" x14ac:dyDescent="0.25">
      <c r="B960" s="64" t="s">
        <v>4941</v>
      </c>
      <c r="C960" s="28" t="s">
        <v>292</v>
      </c>
      <c r="H960" s="104">
        <f t="shared" ref="H960:T960" si="2">H959-H326</f>
        <v>5.0000000000000044E-3</v>
      </c>
      <c r="I960" s="104">
        <f t="shared" si="2"/>
        <v>5.0000000000000044E-3</v>
      </c>
      <c r="J960" s="104">
        <f t="shared" si="2"/>
        <v>5.0000000000000044E-3</v>
      </c>
      <c r="K960" s="104">
        <f t="shared" si="2"/>
        <v>5.0000000000000044E-3</v>
      </c>
      <c r="L960" s="104">
        <f t="shared" si="2"/>
        <v>5.0000000000000044E-3</v>
      </c>
      <c r="M960" s="104">
        <f t="shared" si="2"/>
        <v>5.0000000000000044E-3</v>
      </c>
      <c r="N960" s="104">
        <f t="shared" si="2"/>
        <v>5.0000000000000044E-3</v>
      </c>
      <c r="O960" s="104">
        <f t="shared" si="2"/>
        <v>5.0000000000000044E-3</v>
      </c>
      <c r="P960" s="104">
        <f t="shared" si="2"/>
        <v>5.0000000000000044E-3</v>
      </c>
      <c r="Q960" s="104">
        <f t="shared" si="2"/>
        <v>5.0000000000000044E-3</v>
      </c>
      <c r="R960" s="104">
        <f t="shared" si="2"/>
        <v>5.0000000000000044E-3</v>
      </c>
      <c r="S960" s="104">
        <f t="shared" si="2"/>
        <v>5.0000000000000044E-3</v>
      </c>
      <c r="T960" s="104">
        <f t="shared" si="2"/>
        <v>5.0000000000000044E-3</v>
      </c>
    </row>
    <row r="961" spans="2:20" ht="26.25" customHeight="1" x14ac:dyDescent="0.25">
      <c r="B961" s="64" t="s">
        <v>4942</v>
      </c>
      <c r="C961" s="28" t="s">
        <v>630</v>
      </c>
      <c r="H961" s="108">
        <f>0</f>
        <v>0</v>
      </c>
      <c r="I961" s="108">
        <f>0</f>
        <v>0</v>
      </c>
      <c r="J961" s="108">
        <f>0</f>
        <v>0</v>
      </c>
      <c r="K961" s="108">
        <f>0</f>
        <v>0</v>
      </c>
      <c r="L961" s="108">
        <f>0</f>
        <v>0</v>
      </c>
      <c r="M961" s="108">
        <f>0</f>
        <v>0</v>
      </c>
      <c r="N961" s="108">
        <f>0</f>
        <v>0</v>
      </c>
      <c r="O961" s="108">
        <f>0</f>
        <v>0</v>
      </c>
      <c r="P961" s="108">
        <f>0</f>
        <v>0</v>
      </c>
      <c r="Q961" s="108">
        <f>0</f>
        <v>0</v>
      </c>
      <c r="R961" s="108">
        <f>0</f>
        <v>0</v>
      </c>
      <c r="S961" s="108">
        <f>R269-S269</f>
        <v>550000</v>
      </c>
      <c r="T961" s="108">
        <f>R269-T269</f>
        <v>550000</v>
      </c>
    </row>
    <row r="962" spans="2:20" x14ac:dyDescent="0.25">
      <c r="B962" s="23" t="s">
        <v>4943</v>
      </c>
      <c r="C962" s="28" t="s">
        <v>493</v>
      </c>
      <c r="H962" s="161">
        <f>0</f>
        <v>0</v>
      </c>
      <c r="I962" s="161">
        <f>0</f>
        <v>0</v>
      </c>
      <c r="J962" s="161">
        <f>0</f>
        <v>0</v>
      </c>
      <c r="K962" s="161">
        <f>0</f>
        <v>0</v>
      </c>
      <c r="L962" s="161">
        <f>0</f>
        <v>0</v>
      </c>
      <c r="M962" s="161">
        <f>0</f>
        <v>0</v>
      </c>
      <c r="N962" s="161">
        <f>0</f>
        <v>0</v>
      </c>
      <c r="O962" s="161">
        <f>0</f>
        <v>0</v>
      </c>
      <c r="P962" s="161">
        <f>0</f>
        <v>0</v>
      </c>
      <c r="Q962" s="161">
        <f>0</f>
        <v>0</v>
      </c>
      <c r="R962" s="161">
        <f>Q487-R487</f>
        <v>0.51981068748259995</v>
      </c>
      <c r="S962" s="161">
        <f>Q487-S487</f>
        <v>0.51981068748259995</v>
      </c>
      <c r="T962" s="161">
        <f>Q487-T487</f>
        <v>0.51981068748259995</v>
      </c>
    </row>
    <row r="963" spans="2:20" x14ac:dyDescent="0.25">
      <c r="B963" s="154" t="s">
        <v>4944</v>
      </c>
    </row>
    <row r="964" spans="2:20" x14ac:dyDescent="0.25">
      <c r="B964" s="23" t="s">
        <v>4945</v>
      </c>
      <c r="C964" s="28" t="s">
        <v>619</v>
      </c>
      <c r="D964" s="155" t="s">
        <v>4946</v>
      </c>
      <c r="E964" s="86">
        <v>16265</v>
      </c>
    </row>
    <row r="965" spans="2:20" x14ac:dyDescent="0.25">
      <c r="B965" s="23" t="s">
        <v>4947</v>
      </c>
      <c r="C965" s="28" t="s">
        <v>292</v>
      </c>
      <c r="D965" s="155" t="s">
        <v>4948</v>
      </c>
      <c r="E965" s="87">
        <v>0.65</v>
      </c>
    </row>
    <row r="966" spans="2:20" x14ac:dyDescent="0.25">
      <c r="B966" s="23" t="s">
        <v>4949</v>
      </c>
      <c r="C966" s="28" t="s">
        <v>806</v>
      </c>
      <c r="D966" s="155" t="s">
        <v>4950</v>
      </c>
      <c r="E966" s="94">
        <v>0</v>
      </c>
    </row>
    <row r="967" spans="2:20" x14ac:dyDescent="0.25">
      <c r="B967" s="23" t="s">
        <v>4951</v>
      </c>
      <c r="C967" s="28" t="s">
        <v>473</v>
      </c>
      <c r="D967" s="155" t="s">
        <v>4952</v>
      </c>
      <c r="E967" s="74">
        <v>0</v>
      </c>
    </row>
    <row r="968" spans="2:20" x14ac:dyDescent="0.25">
      <c r="B968" s="23" t="s">
        <v>4953</v>
      </c>
      <c r="C968" s="28" t="s">
        <v>473</v>
      </c>
      <c r="D968" s="155" t="s">
        <v>4954</v>
      </c>
      <c r="E968" s="74">
        <v>1</v>
      </c>
    </row>
    <row r="969" spans="2:20" x14ac:dyDescent="0.25">
      <c r="B969" s="23" t="s">
        <v>4955</v>
      </c>
      <c r="C969" s="28" t="s">
        <v>292</v>
      </c>
      <c r="D969" s="155" t="s">
        <v>4863</v>
      </c>
      <c r="E969" s="87">
        <v>2.1644236967844601</v>
      </c>
    </row>
    <row r="970" spans="2:20" x14ac:dyDescent="0.25">
      <c r="B970" s="23" t="s">
        <v>4956</v>
      </c>
      <c r="C970" s="28" t="s">
        <v>816</v>
      </c>
      <c r="D970" s="155" t="s">
        <v>4865</v>
      </c>
      <c r="E970" s="94">
        <v>3.4319289097624299</v>
      </c>
    </row>
    <row r="971" spans="2:20" x14ac:dyDescent="0.25">
      <c r="B971" s="23" t="s">
        <v>4957</v>
      </c>
      <c r="C971" s="28" t="s">
        <v>292</v>
      </c>
      <c r="D971" s="155" t="s">
        <v>4958</v>
      </c>
      <c r="E971" s="87">
        <v>1.5669212373866499</v>
      </c>
    </row>
    <row r="972" spans="2:20" x14ac:dyDescent="0.25">
      <c r="B972" s="23" t="s">
        <v>4959</v>
      </c>
      <c r="C972" s="28" t="s">
        <v>816</v>
      </c>
      <c r="D972" s="155" t="s">
        <v>4960</v>
      </c>
      <c r="E972" s="94">
        <v>3.7752819772348798</v>
      </c>
    </row>
    <row r="973" spans="2:20" ht="31.5" customHeight="1" x14ac:dyDescent="0.25">
      <c r="B973" s="23" t="s">
        <v>4961</v>
      </c>
      <c r="C973" s="28" t="s">
        <v>493</v>
      </c>
      <c r="D973" s="243" t="s">
        <v>4962</v>
      </c>
      <c r="E973" s="89">
        <v>65.83</v>
      </c>
    </row>
    <row r="974" spans="2:20" x14ac:dyDescent="0.25">
      <c r="B974" s="23" t="s">
        <v>4963</v>
      </c>
      <c r="C974" s="28" t="s">
        <v>493</v>
      </c>
      <c r="D974" s="155" t="s">
        <v>4786</v>
      </c>
      <c r="E974" s="89">
        <v>15.32</v>
      </c>
    </row>
    <row r="975" spans="2:20" ht="51" customHeight="1" x14ac:dyDescent="0.25">
      <c r="B975" s="23" t="s">
        <v>4964</v>
      </c>
      <c r="C975" s="28" t="s">
        <v>490</v>
      </c>
      <c r="D975" s="243" t="s">
        <v>4965</v>
      </c>
      <c r="E975" s="74">
        <v>2033</v>
      </c>
    </row>
    <row r="977" spans="2:22" x14ac:dyDescent="0.25">
      <c r="B977" s="58" t="s">
        <v>4966</v>
      </c>
      <c r="C977" s="19"/>
      <c r="D977" s="19"/>
      <c r="E977" s="19"/>
      <c r="F977" s="19"/>
      <c r="G977" s="19"/>
      <c r="H977" s="19"/>
      <c r="I977" s="19"/>
      <c r="J977" s="19"/>
      <c r="K977" s="19"/>
      <c r="L977" s="19"/>
      <c r="M977" s="19"/>
      <c r="N977" s="19"/>
      <c r="O977" s="19"/>
      <c r="P977" s="19"/>
      <c r="Q977" s="19"/>
      <c r="R977" s="19"/>
      <c r="S977" s="19"/>
      <c r="T977" s="19"/>
      <c r="U977" s="19"/>
      <c r="V977" s="19"/>
    </row>
    <row r="978" spans="2:22" x14ac:dyDescent="0.25">
      <c r="B978" s="145" t="s">
        <v>4967</v>
      </c>
    </row>
    <row r="979" spans="2:22" x14ac:dyDescent="0.25">
      <c r="B979" s="154" t="s">
        <v>4968</v>
      </c>
    </row>
    <row r="980" spans="2:22" x14ac:dyDescent="0.25">
      <c r="B980" s="23" t="s">
        <v>4969</v>
      </c>
      <c r="C980" s="28" t="s">
        <v>493</v>
      </c>
      <c r="D980" s="155" t="s">
        <v>4970</v>
      </c>
      <c r="H980" s="92">
        <v>156.43850421456</v>
      </c>
      <c r="I980" s="92">
        <v>161.131659340997</v>
      </c>
      <c r="J980" s="92">
        <v>165.965609121227</v>
      </c>
      <c r="K980" s="92">
        <v>170.94457739486401</v>
      </c>
      <c r="L980" s="92">
        <v>176.07291471670899</v>
      </c>
      <c r="M980" s="92">
        <v>186.79575522295701</v>
      </c>
      <c r="N980" s="92">
        <v>192.399627879646</v>
      </c>
      <c r="O980" s="92">
        <v>198.171616716035</v>
      </c>
      <c r="P980" s="92">
        <v>210.240268174042</v>
      </c>
      <c r="Q980" s="92">
        <v>216.54747621926299</v>
      </c>
      <c r="R980" s="92">
        <v>223.04390050584101</v>
      </c>
      <c r="S980" s="92">
        <v>229.73521752101601</v>
      </c>
      <c r="T980" s="92">
        <v>236.62727404664699</v>
      </c>
    </row>
    <row r="981" spans="2:22" x14ac:dyDescent="0.25">
      <c r="B981" s="23" t="s">
        <v>2100</v>
      </c>
      <c r="C981" s="28" t="s">
        <v>493</v>
      </c>
      <c r="D981" s="155" t="s">
        <v>4971</v>
      </c>
      <c r="H981" s="92">
        <v>-29.933805281840399</v>
      </c>
      <c r="I981" s="92">
        <v>-31.3122421064392</v>
      </c>
      <c r="J981" s="92">
        <v>-32.782572849455804</v>
      </c>
      <c r="K981" s="92">
        <v>-34.306045674162597</v>
      </c>
      <c r="L981" s="92">
        <v>-35.908036070326702</v>
      </c>
      <c r="M981" s="92">
        <v>-37.614152958924699</v>
      </c>
      <c r="N981" s="92">
        <v>-39.386345581558302</v>
      </c>
      <c r="O981" s="92">
        <v>-41.250731961836799</v>
      </c>
      <c r="P981" s="92">
        <v>-43.233707510867099</v>
      </c>
      <c r="Q981" s="92">
        <v>-45.298054570196101</v>
      </c>
      <c r="R981" s="92">
        <v>-47.4707736888776</v>
      </c>
      <c r="S981" s="92">
        <v>-49.757892912414498</v>
      </c>
      <c r="T981" s="92">
        <v>-52.165789713765697</v>
      </c>
    </row>
    <row r="982" spans="2:22" x14ac:dyDescent="0.25">
      <c r="B982" s="23" t="s">
        <v>4972</v>
      </c>
      <c r="C982" s="28" t="s">
        <v>493</v>
      </c>
      <c r="D982" s="155" t="s">
        <v>4973</v>
      </c>
      <c r="H982" s="92">
        <v>-13.993896484164599</v>
      </c>
      <c r="I982" s="92">
        <v>-14.4005816151404</v>
      </c>
      <c r="J982" s="92">
        <v>-14.819204664774601</v>
      </c>
      <c r="K982" s="92">
        <v>-15.2501185179214</v>
      </c>
      <c r="L982" s="92">
        <v>-15.693686540926601</v>
      </c>
      <c r="M982" s="92">
        <v>-16.150282893971301</v>
      </c>
      <c r="N982" s="92">
        <v>-16.620292852743798</v>
      </c>
      <c r="O982" s="92">
        <v>-17.1041131397185</v>
      </c>
      <c r="P982" s="92">
        <v>-17.602152265330201</v>
      </c>
      <c r="Q982" s="92">
        <v>-18.114830879338701</v>
      </c>
      <c r="R982" s="92">
        <v>-18.642582132688499</v>
      </c>
      <c r="S982" s="92">
        <v>-19.185852050178099</v>
      </c>
      <c r="T982" s="92">
        <v>-19.7450999142626</v>
      </c>
    </row>
    <row r="983" spans="2:22" x14ac:dyDescent="0.25">
      <c r="B983" s="23" t="s">
        <v>4974</v>
      </c>
      <c r="C983" s="28" t="s">
        <v>493</v>
      </c>
      <c r="D983" s="155" t="s">
        <v>4975</v>
      </c>
      <c r="H983" s="92">
        <v>-41.740782175912301</v>
      </c>
      <c r="I983" s="92">
        <v>-41.746256305782097</v>
      </c>
      <c r="J983" s="92">
        <v>-42.751839918249303</v>
      </c>
      <c r="K983" s="92">
        <v>-42.757535202965798</v>
      </c>
      <c r="L983" s="92">
        <v>-42.763344393376698</v>
      </c>
      <c r="M983" s="92">
        <v>-43.769269767595802</v>
      </c>
      <c r="N983" s="92">
        <v>-43.775313649299299</v>
      </c>
      <c r="O983" s="92">
        <v>-43.781478408636801</v>
      </c>
      <c r="P983" s="92">
        <v>-44.787766463161098</v>
      </c>
      <c r="Q983" s="92">
        <v>-44.794180278775897</v>
      </c>
      <c r="R983" s="92">
        <v>-44.8007223707029</v>
      </c>
      <c r="S983" s="92">
        <v>-44.807395304468599</v>
      </c>
      <c r="T983" s="92">
        <v>-44.8142016969095</v>
      </c>
    </row>
    <row r="984" spans="2:22" x14ac:dyDescent="0.25">
      <c r="B984" s="23" t="s">
        <v>4976</v>
      </c>
      <c r="C984" s="28" t="s">
        <v>493</v>
      </c>
      <c r="D984" s="155" t="s">
        <v>4977</v>
      </c>
      <c r="H984" s="92">
        <v>0</v>
      </c>
      <c r="I984" s="92">
        <v>0</v>
      </c>
      <c r="J984" s="92">
        <v>0</v>
      </c>
      <c r="K984" s="92">
        <v>0</v>
      </c>
      <c r="L984" s="92">
        <v>0</v>
      </c>
      <c r="M984" s="92">
        <v>0</v>
      </c>
      <c r="N984" s="92">
        <v>0</v>
      </c>
      <c r="O984" s="92">
        <v>0</v>
      </c>
      <c r="P984" s="92">
        <v>0</v>
      </c>
      <c r="Q984" s="92">
        <v>0</v>
      </c>
      <c r="R984" s="92">
        <v>0</v>
      </c>
      <c r="S984" s="92">
        <v>0</v>
      </c>
      <c r="T984" s="92">
        <v>0</v>
      </c>
    </row>
    <row r="985" spans="2:22" x14ac:dyDescent="0.25">
      <c r="B985" s="23" t="s">
        <v>4978</v>
      </c>
      <c r="C985" s="28" t="s">
        <v>493</v>
      </c>
      <c r="D985" s="155" t="s">
        <v>4979</v>
      </c>
      <c r="H985" s="92">
        <v>70.770020272642697</v>
      </c>
      <c r="I985" s="92">
        <v>73.672579313635097</v>
      </c>
      <c r="J985" s="92">
        <v>75.611991688746997</v>
      </c>
      <c r="K985" s="92">
        <v>78.630877999813706</v>
      </c>
      <c r="L985" s="92">
        <v>81.707847712079499</v>
      </c>
      <c r="M985" s="92">
        <v>89.262049602465197</v>
      </c>
      <c r="N985" s="92">
        <v>92.617675796044495</v>
      </c>
      <c r="O985" s="92">
        <v>96.035293205843104</v>
      </c>
      <c r="P985" s="92">
        <v>104.616641934683</v>
      </c>
      <c r="Q985" s="92">
        <v>108.340410490952</v>
      </c>
      <c r="R985" s="92">
        <v>112.12982231357201</v>
      </c>
      <c r="S985" s="92">
        <v>115.98407725395499</v>
      </c>
      <c r="T985" s="92">
        <v>119.902182721709</v>
      </c>
    </row>
    <row r="986" spans="2:22" x14ac:dyDescent="0.25">
      <c r="B986" s="23" t="s">
        <v>4980</v>
      </c>
      <c r="C986" s="28" t="s">
        <v>493</v>
      </c>
      <c r="D986" s="155" t="s">
        <v>4981</v>
      </c>
      <c r="H986" s="92">
        <v>-15.569404459981399</v>
      </c>
      <c r="I986" s="92">
        <v>-16.2079674489997</v>
      </c>
      <c r="J986" s="92">
        <v>-16.634638171524301</v>
      </c>
      <c r="K986" s="92">
        <v>-17.298793159959001</v>
      </c>
      <c r="L986" s="92">
        <v>-17.975726496657501</v>
      </c>
      <c r="M986" s="92">
        <v>-19.637650912542298</v>
      </c>
      <c r="N986" s="92">
        <v>-20.375888675129801</v>
      </c>
      <c r="O986" s="92">
        <v>-21.127764505285501</v>
      </c>
      <c r="P986" s="92">
        <v>-23.0156612256303</v>
      </c>
      <c r="Q986" s="92">
        <v>-23.834890308009498</v>
      </c>
      <c r="R986" s="92">
        <v>-24.6685609089858</v>
      </c>
      <c r="S986" s="92">
        <v>-25.516496995870099</v>
      </c>
      <c r="T986" s="92">
        <v>-26.3784801987759</v>
      </c>
    </row>
    <row r="987" spans="2:22" x14ac:dyDescent="0.25">
      <c r="B987" s="23" t="s">
        <v>4982</v>
      </c>
      <c r="C987" s="28" t="s">
        <v>493</v>
      </c>
      <c r="D987" s="155" t="s">
        <v>4983</v>
      </c>
      <c r="H987" s="92">
        <v>55.200615812661297</v>
      </c>
      <c r="I987" s="92">
        <v>57.464611864635401</v>
      </c>
      <c r="J987" s="92">
        <v>58.977353517222703</v>
      </c>
      <c r="K987" s="92">
        <v>61.332084839854701</v>
      </c>
      <c r="L987" s="92">
        <v>63.732121215421998</v>
      </c>
      <c r="M987" s="92">
        <v>69.624398689922899</v>
      </c>
      <c r="N987" s="92">
        <v>72.241787120914694</v>
      </c>
      <c r="O987" s="92">
        <v>74.907528700557606</v>
      </c>
      <c r="P987" s="92">
        <v>81.600980709053005</v>
      </c>
      <c r="Q987" s="92">
        <v>84.505520182942803</v>
      </c>
      <c r="R987" s="92">
        <v>87.461261404585997</v>
      </c>
      <c r="S987" s="92">
        <v>90.467580258084794</v>
      </c>
      <c r="T987" s="92">
        <v>93.523702522932794</v>
      </c>
    </row>
    <row r="988" spans="2:22" x14ac:dyDescent="0.25">
      <c r="B988" s="154" t="s">
        <v>4984</v>
      </c>
    </row>
    <row r="989" spans="2:22" x14ac:dyDescent="0.25">
      <c r="B989" s="23" t="s">
        <v>4985</v>
      </c>
      <c r="C989" s="28" t="s">
        <v>493</v>
      </c>
      <c r="D989" s="155" t="s">
        <v>4986</v>
      </c>
      <c r="H989" s="92">
        <v>0</v>
      </c>
      <c r="I989" s="92">
        <v>0</v>
      </c>
      <c r="J989" s="92">
        <v>0</v>
      </c>
      <c r="K989" s="92">
        <v>13.26</v>
      </c>
      <c r="L989" s="92">
        <v>13.26</v>
      </c>
      <c r="M989" s="92">
        <v>13.26</v>
      </c>
      <c r="N989" s="92">
        <v>13.26</v>
      </c>
      <c r="O989" s="92">
        <v>13.26</v>
      </c>
      <c r="P989" s="92">
        <v>13.26</v>
      </c>
      <c r="Q989" s="92">
        <v>13.26</v>
      </c>
      <c r="R989" s="92">
        <v>13.26</v>
      </c>
      <c r="S989" s="92">
        <v>13.26</v>
      </c>
      <c r="T989" s="92">
        <v>13.26</v>
      </c>
    </row>
    <row r="990" spans="2:22" x14ac:dyDescent="0.25">
      <c r="B990" s="23" t="s">
        <v>4987</v>
      </c>
      <c r="C990" s="28" t="s">
        <v>493</v>
      </c>
      <c r="D990" s="155" t="s">
        <v>4988</v>
      </c>
      <c r="H990" s="92">
        <v>0</v>
      </c>
      <c r="I990" s="92">
        <v>0</v>
      </c>
      <c r="J990" s="92">
        <v>0</v>
      </c>
      <c r="K990" s="92">
        <v>0</v>
      </c>
      <c r="L990" s="92">
        <v>0</v>
      </c>
      <c r="M990" s="92">
        <v>0</v>
      </c>
      <c r="N990" s="92">
        <v>0</v>
      </c>
      <c r="O990" s="92">
        <v>0</v>
      </c>
      <c r="P990" s="92">
        <v>0</v>
      </c>
      <c r="Q990" s="92">
        <v>0</v>
      </c>
      <c r="R990" s="92">
        <v>0</v>
      </c>
      <c r="S990" s="92">
        <v>0</v>
      </c>
      <c r="T990" s="92">
        <v>0</v>
      </c>
    </row>
    <row r="991" spans="2:22" x14ac:dyDescent="0.25">
      <c r="B991" s="23" t="s">
        <v>4989</v>
      </c>
      <c r="C991" s="28" t="s">
        <v>493</v>
      </c>
      <c r="D991" s="155" t="s">
        <v>4990</v>
      </c>
      <c r="H991" s="92">
        <v>0</v>
      </c>
      <c r="I991" s="92">
        <v>0</v>
      </c>
      <c r="J991" s="92">
        <v>0</v>
      </c>
      <c r="K991" s="92">
        <v>-6.1199999999999997E-2</v>
      </c>
      <c r="L991" s="92">
        <v>-6.1199999999999997E-2</v>
      </c>
      <c r="M991" s="92">
        <v>-6.1199999999999997E-2</v>
      </c>
      <c r="N991" s="92">
        <v>-6.1199999999999997E-2</v>
      </c>
      <c r="O991" s="92">
        <v>-6.1199999999999997E-2</v>
      </c>
      <c r="P991" s="92">
        <v>-6.1199999999999997E-2</v>
      </c>
      <c r="Q991" s="92">
        <v>-6.1199999999999997E-2</v>
      </c>
      <c r="R991" s="92">
        <v>-6.1199999999999997E-2</v>
      </c>
      <c r="S991" s="92">
        <v>-6.1199999999999997E-2</v>
      </c>
      <c r="T991" s="92">
        <v>-6.1199999999999997E-2</v>
      </c>
    </row>
    <row r="992" spans="2:22" x14ac:dyDescent="0.25">
      <c r="B992" s="23" t="s">
        <v>4991</v>
      </c>
      <c r="C992" s="28" t="s">
        <v>493</v>
      </c>
      <c r="D992" s="155" t="s">
        <v>4992</v>
      </c>
      <c r="H992" s="92">
        <v>0</v>
      </c>
      <c r="I992" s="92">
        <v>0</v>
      </c>
      <c r="J992" s="92">
        <v>0</v>
      </c>
      <c r="K992" s="92">
        <v>-4.1917718749999997</v>
      </c>
      <c r="L992" s="92">
        <v>-4.1917718749999997</v>
      </c>
      <c r="M992" s="92">
        <v>-4.1917718749999997</v>
      </c>
      <c r="N992" s="92">
        <v>-4.1917718749999997</v>
      </c>
      <c r="O992" s="92">
        <v>-4.1917718749999997</v>
      </c>
      <c r="P992" s="92">
        <v>-4.1917718749999997</v>
      </c>
      <c r="Q992" s="92">
        <v>-4.1917718749999997</v>
      </c>
      <c r="R992" s="92">
        <v>-4.1917718749999997</v>
      </c>
      <c r="S992" s="92">
        <v>-4.1917718749999997</v>
      </c>
      <c r="T992" s="92">
        <v>-4.1917718749999997</v>
      </c>
    </row>
    <row r="993" spans="2:20" x14ac:dyDescent="0.25">
      <c r="B993" s="23" t="s">
        <v>4993</v>
      </c>
      <c r="C993" s="28" t="s">
        <v>493</v>
      </c>
      <c r="D993" s="155" t="s">
        <v>4994</v>
      </c>
      <c r="H993" s="92">
        <v>0</v>
      </c>
      <c r="I993" s="92">
        <v>0</v>
      </c>
      <c r="J993" s="92">
        <v>0</v>
      </c>
      <c r="K993" s="92">
        <v>0</v>
      </c>
      <c r="L993" s="92">
        <v>0</v>
      </c>
      <c r="M993" s="92">
        <v>0</v>
      </c>
      <c r="N993" s="92">
        <v>0</v>
      </c>
      <c r="O993" s="92">
        <v>0</v>
      </c>
      <c r="P993" s="92">
        <v>0</v>
      </c>
      <c r="Q993" s="92">
        <v>0</v>
      </c>
      <c r="R993" s="92">
        <v>0</v>
      </c>
      <c r="S993" s="92">
        <v>0</v>
      </c>
      <c r="T993" s="92">
        <v>0</v>
      </c>
    </row>
    <row r="994" spans="2:20" x14ac:dyDescent="0.25">
      <c r="B994" s="23" t="s">
        <v>4995</v>
      </c>
      <c r="C994" s="28" t="s">
        <v>493</v>
      </c>
      <c r="D994" s="155" t="s">
        <v>4996</v>
      </c>
      <c r="H994" s="92">
        <v>0</v>
      </c>
      <c r="I994" s="92">
        <v>0</v>
      </c>
      <c r="J994" s="92">
        <v>0</v>
      </c>
      <c r="K994" s="92">
        <v>9.0070281249999997</v>
      </c>
      <c r="L994" s="92">
        <v>9.0070281249999997</v>
      </c>
      <c r="M994" s="92">
        <v>9.0070281249999997</v>
      </c>
      <c r="N994" s="92">
        <v>9.0070281249999997</v>
      </c>
      <c r="O994" s="92">
        <v>9.0070281249999997</v>
      </c>
      <c r="P994" s="92">
        <v>9.0070281249999997</v>
      </c>
      <c r="Q994" s="92">
        <v>9.0070281249999997</v>
      </c>
      <c r="R994" s="92">
        <v>9.0070281249999997</v>
      </c>
      <c r="S994" s="92">
        <v>9.0070281249999997</v>
      </c>
      <c r="T994" s="92">
        <v>9.0070281249999997</v>
      </c>
    </row>
    <row r="995" spans="2:20" x14ac:dyDescent="0.25">
      <c r="B995" s="23" t="s">
        <v>4997</v>
      </c>
      <c r="C995" s="28" t="s">
        <v>493</v>
      </c>
      <c r="D995" s="155" t="s">
        <v>4998</v>
      </c>
      <c r="H995" s="92">
        <v>0</v>
      </c>
      <c r="I995" s="92">
        <v>0</v>
      </c>
      <c r="J995" s="92">
        <v>0</v>
      </c>
      <c r="K995" s="92">
        <v>-1.9815461875</v>
      </c>
      <c r="L995" s="92">
        <v>-1.9815461875</v>
      </c>
      <c r="M995" s="92">
        <v>-1.9815461875</v>
      </c>
      <c r="N995" s="92">
        <v>-1.9815461875</v>
      </c>
      <c r="O995" s="92">
        <v>-1.9815461875</v>
      </c>
      <c r="P995" s="92">
        <v>-1.9815461875</v>
      </c>
      <c r="Q995" s="92">
        <v>-1.9815461875</v>
      </c>
      <c r="R995" s="92">
        <v>-1.9815461875</v>
      </c>
      <c r="S995" s="92">
        <v>-1.9815461875</v>
      </c>
      <c r="T995" s="92">
        <v>-1.9815461875</v>
      </c>
    </row>
    <row r="996" spans="2:20" x14ac:dyDescent="0.25">
      <c r="B996" s="23" t="s">
        <v>4999</v>
      </c>
      <c r="C996" s="28" t="s">
        <v>493</v>
      </c>
      <c r="D996" s="155" t="s">
        <v>5000</v>
      </c>
      <c r="H996" s="92">
        <v>0</v>
      </c>
      <c r="I996" s="92">
        <v>0</v>
      </c>
      <c r="J996" s="92">
        <v>0</v>
      </c>
      <c r="K996" s="92">
        <v>7.0254819375000004</v>
      </c>
      <c r="L996" s="92">
        <v>7.0254819375000004</v>
      </c>
      <c r="M996" s="92">
        <v>7.0254819375000004</v>
      </c>
      <c r="N996" s="92">
        <v>7.0254819375000004</v>
      </c>
      <c r="O996" s="92">
        <v>7.0254819375000004</v>
      </c>
      <c r="P996" s="92">
        <v>7.0254819375000004</v>
      </c>
      <c r="Q996" s="92">
        <v>7.0254819375000004</v>
      </c>
      <c r="R996" s="92">
        <v>7.0254819375000004</v>
      </c>
      <c r="S996" s="92">
        <v>7.0254819375000004</v>
      </c>
      <c r="T996" s="92">
        <v>7.0254819375000004</v>
      </c>
    </row>
    <row r="997" spans="2:20" x14ac:dyDescent="0.25">
      <c r="B997" s="154" t="s">
        <v>5001</v>
      </c>
    </row>
    <row r="998" spans="2:20" x14ac:dyDescent="0.25">
      <c r="B998" s="23" t="s">
        <v>5002</v>
      </c>
      <c r="C998" s="28" t="s">
        <v>493</v>
      </c>
      <c r="D998" s="155" t="s">
        <v>5003</v>
      </c>
      <c r="H998" s="92">
        <v>0</v>
      </c>
      <c r="I998" s="92">
        <v>0</v>
      </c>
      <c r="J998" s="92">
        <v>48.1</v>
      </c>
      <c r="K998" s="92">
        <v>48.1</v>
      </c>
      <c r="L998" s="92">
        <v>48.1</v>
      </c>
      <c r="M998" s="92">
        <v>51.4176</v>
      </c>
      <c r="N998" s="92">
        <v>51.4176</v>
      </c>
      <c r="O998" s="92">
        <v>51.4176</v>
      </c>
      <c r="P998" s="92">
        <v>51.4176</v>
      </c>
      <c r="Q998" s="92">
        <v>54.968199519999999</v>
      </c>
      <c r="R998" s="92">
        <v>54.968199519999999</v>
      </c>
      <c r="S998" s="92">
        <v>54.968199519999999</v>
      </c>
      <c r="T998" s="92">
        <v>54.968199519999999</v>
      </c>
    </row>
    <row r="999" spans="2:20" x14ac:dyDescent="0.25">
      <c r="B999" s="23" t="s">
        <v>5004</v>
      </c>
      <c r="C999" s="28" t="s">
        <v>493</v>
      </c>
      <c r="D999" s="155" t="s">
        <v>5005</v>
      </c>
      <c r="H999" s="92">
        <v>0</v>
      </c>
      <c r="I999" s="92">
        <v>0</v>
      </c>
      <c r="J999" s="92">
        <v>0</v>
      </c>
      <c r="K999" s="92">
        <v>0</v>
      </c>
      <c r="L999" s="92">
        <v>0</v>
      </c>
      <c r="M999" s="92">
        <v>0</v>
      </c>
      <c r="N999" s="92">
        <v>0</v>
      </c>
      <c r="O999" s="92">
        <v>0</v>
      </c>
      <c r="P999" s="92">
        <v>0</v>
      </c>
      <c r="Q999" s="92">
        <v>0</v>
      </c>
      <c r="R999" s="92">
        <v>0</v>
      </c>
      <c r="S999" s="92">
        <v>0</v>
      </c>
      <c r="T999" s="92">
        <v>0</v>
      </c>
    </row>
    <row r="1000" spans="2:20" x14ac:dyDescent="0.25">
      <c r="B1000" s="23" t="s">
        <v>5006</v>
      </c>
      <c r="C1000" s="28" t="s">
        <v>493</v>
      </c>
      <c r="D1000" s="155" t="s">
        <v>5007</v>
      </c>
      <c r="H1000" s="92">
        <v>0</v>
      </c>
      <c r="I1000" s="92">
        <v>0</v>
      </c>
      <c r="J1000" s="92">
        <v>-22.349182568122799</v>
      </c>
      <c r="K1000" s="92">
        <v>-22.8608565715802</v>
      </c>
      <c r="L1000" s="92">
        <v>-23.385322425124201</v>
      </c>
      <c r="M1000" s="92">
        <v>-24.368177184432501</v>
      </c>
      <c r="N1000" s="92">
        <v>-25.366275592338301</v>
      </c>
      <c r="O1000" s="92">
        <v>-25.721335378404898</v>
      </c>
      <c r="P1000" s="92">
        <v>-26.309760465381402</v>
      </c>
      <c r="Q1000" s="92">
        <v>-27.413675940716399</v>
      </c>
      <c r="R1000" s="92">
        <v>-28.042184391550698</v>
      </c>
      <c r="S1000" s="92">
        <v>-29.124593172696301</v>
      </c>
      <c r="T1000" s="92">
        <v>-29.3905510067177</v>
      </c>
    </row>
    <row r="1001" spans="2:20" x14ac:dyDescent="0.25">
      <c r="B1001" s="23" t="s">
        <v>5008</v>
      </c>
      <c r="C1001" s="28" t="s">
        <v>493</v>
      </c>
      <c r="D1001" s="155" t="s">
        <v>5009</v>
      </c>
      <c r="H1001" s="92">
        <v>0</v>
      </c>
      <c r="I1001" s="92">
        <v>0</v>
      </c>
      <c r="J1001" s="92">
        <v>-8.8605523809523792</v>
      </c>
      <c r="K1001" s="92">
        <v>-8.8605523809523792</v>
      </c>
      <c r="L1001" s="92">
        <v>-8.8605523809523792</v>
      </c>
      <c r="M1001" s="92">
        <v>-8.8605523809523792</v>
      </c>
      <c r="N1001" s="92">
        <v>-8.8605523809523792</v>
      </c>
      <c r="O1001" s="92">
        <v>-8.8605523809523792</v>
      </c>
      <c r="P1001" s="92">
        <v>-8.8605523809523792</v>
      </c>
      <c r="Q1001" s="92">
        <v>-8.8605523809523792</v>
      </c>
      <c r="R1001" s="92">
        <v>-3.3227071428571402</v>
      </c>
      <c r="S1001" s="92">
        <v>-3.3227071428571402</v>
      </c>
      <c r="T1001" s="92">
        <v>-3.3227071428571402</v>
      </c>
    </row>
    <row r="1002" spans="2:20" x14ac:dyDescent="0.25">
      <c r="B1002" s="23" t="s">
        <v>5010</v>
      </c>
      <c r="C1002" s="28" t="s">
        <v>493</v>
      </c>
      <c r="D1002" s="155" t="s">
        <v>5011</v>
      </c>
      <c r="H1002" s="92">
        <v>0</v>
      </c>
      <c r="I1002" s="92">
        <v>0</v>
      </c>
      <c r="J1002" s="92">
        <v>0</v>
      </c>
      <c r="K1002" s="92">
        <v>0</v>
      </c>
      <c r="L1002" s="92">
        <v>0</v>
      </c>
      <c r="M1002" s="92">
        <v>0</v>
      </c>
      <c r="N1002" s="92">
        <v>0</v>
      </c>
      <c r="O1002" s="92">
        <v>0</v>
      </c>
      <c r="P1002" s="92">
        <v>0</v>
      </c>
      <c r="Q1002" s="92">
        <v>0</v>
      </c>
      <c r="R1002" s="92">
        <v>0</v>
      </c>
      <c r="S1002" s="92">
        <v>0</v>
      </c>
      <c r="T1002" s="92">
        <v>0</v>
      </c>
    </row>
    <row r="1003" spans="2:20" x14ac:dyDescent="0.25">
      <c r="B1003" s="23" t="s">
        <v>5012</v>
      </c>
      <c r="C1003" s="28" t="s">
        <v>493</v>
      </c>
      <c r="D1003" s="155" t="s">
        <v>5013</v>
      </c>
      <c r="H1003" s="92">
        <v>0</v>
      </c>
      <c r="I1003" s="92">
        <v>0</v>
      </c>
      <c r="J1003" s="92">
        <v>16.890265050924899</v>
      </c>
      <c r="K1003" s="92">
        <v>16.378591047467399</v>
      </c>
      <c r="L1003" s="92">
        <v>15.854125193923499</v>
      </c>
      <c r="M1003" s="92">
        <v>18.188870434615101</v>
      </c>
      <c r="N1003" s="92">
        <v>17.1907720267093</v>
      </c>
      <c r="O1003" s="92">
        <v>16.8357122406427</v>
      </c>
      <c r="P1003" s="92">
        <v>16.2472871536662</v>
      </c>
      <c r="Q1003" s="92">
        <v>18.693971198331202</v>
      </c>
      <c r="R1003" s="92">
        <v>23.603307985592199</v>
      </c>
      <c r="S1003" s="92">
        <v>22.520899204446501</v>
      </c>
      <c r="T1003" s="92">
        <v>22.254941370425101</v>
      </c>
    </row>
    <row r="1004" spans="2:20" x14ac:dyDescent="0.25">
      <c r="B1004" s="23" t="s">
        <v>5014</v>
      </c>
      <c r="C1004" s="28" t="s">
        <v>493</v>
      </c>
      <c r="D1004" s="155" t="s">
        <v>5015</v>
      </c>
      <c r="H1004" s="92">
        <v>0</v>
      </c>
      <c r="I1004" s="92">
        <v>0</v>
      </c>
      <c r="J1004" s="92">
        <v>-3.71585831120347</v>
      </c>
      <c r="K1004" s="92">
        <v>-3.6032900304428201</v>
      </c>
      <c r="L1004" s="92">
        <v>-3.4879075426631601</v>
      </c>
      <c r="M1004" s="92">
        <v>-4.0015514956153204</v>
      </c>
      <c r="N1004" s="92">
        <v>-3.7819698458760498</v>
      </c>
      <c r="O1004" s="92">
        <v>-3.7038566929413999</v>
      </c>
      <c r="P1004" s="92">
        <v>-3.57440317380656</v>
      </c>
      <c r="Q1004" s="92">
        <v>-4.1126736636328802</v>
      </c>
      <c r="R1004" s="92">
        <v>-5.1927277568302799</v>
      </c>
      <c r="S1004" s="92">
        <v>-4.9545978249782401</v>
      </c>
      <c r="T1004" s="92">
        <v>-4.8960871014935297</v>
      </c>
    </row>
    <row r="1005" spans="2:20" x14ac:dyDescent="0.25">
      <c r="B1005" s="23" t="s">
        <v>5016</v>
      </c>
      <c r="C1005" s="28" t="s">
        <v>493</v>
      </c>
      <c r="D1005" s="155" t="s">
        <v>5017</v>
      </c>
      <c r="H1005" s="92">
        <v>0</v>
      </c>
      <c r="I1005" s="92">
        <v>0</v>
      </c>
      <c r="J1005" s="92">
        <v>13.1744067397214</v>
      </c>
      <c r="K1005" s="92">
        <v>12.775301017024599</v>
      </c>
      <c r="L1005" s="92">
        <v>12.3662176512603</v>
      </c>
      <c r="M1005" s="92">
        <v>14.1873189389998</v>
      </c>
      <c r="N1005" s="92">
        <v>13.4088021808333</v>
      </c>
      <c r="O1005" s="92">
        <v>13.131855547701299</v>
      </c>
      <c r="P1005" s="92">
        <v>12.6728839798596</v>
      </c>
      <c r="Q1005" s="92">
        <v>14.5812975346984</v>
      </c>
      <c r="R1005" s="92">
        <v>18.410580228761901</v>
      </c>
      <c r="S1005" s="92">
        <v>17.5663013794683</v>
      </c>
      <c r="T1005" s="92">
        <v>17.358854268931601</v>
      </c>
    </row>
    <row r="1006" spans="2:20" x14ac:dyDescent="0.25">
      <c r="B1006" s="154" t="s">
        <v>5018</v>
      </c>
    </row>
    <row r="1007" spans="2:20" x14ac:dyDescent="0.25">
      <c r="B1007" s="23" t="s">
        <v>5019</v>
      </c>
      <c r="C1007" s="28" t="s">
        <v>493</v>
      </c>
      <c r="D1007" s="155" t="s">
        <v>5020</v>
      </c>
      <c r="H1007" s="92">
        <v>0</v>
      </c>
      <c r="I1007" s="92">
        <v>0</v>
      </c>
      <c r="J1007" s="92">
        <v>0</v>
      </c>
      <c r="K1007" s="92">
        <v>0.74123666943353095</v>
      </c>
      <c r="L1007" s="92">
        <v>0.76527376951653603</v>
      </c>
      <c r="M1007" s="92">
        <v>0.790031982602032</v>
      </c>
      <c r="N1007" s="92">
        <v>0.81553294208009397</v>
      </c>
      <c r="O1007" s="92">
        <v>0.84179893034249598</v>
      </c>
      <c r="P1007" s="92">
        <v>0.86885289825277101</v>
      </c>
      <c r="Q1007" s="92">
        <v>0.89671848520035502</v>
      </c>
      <c r="R1007" s="92">
        <v>0.925420039756365</v>
      </c>
      <c r="S1007" s="92">
        <v>0.95498264094905605</v>
      </c>
      <c r="T1007" s="92">
        <v>0.98543212017752801</v>
      </c>
    </row>
    <row r="1008" spans="2:20" x14ac:dyDescent="0.25">
      <c r="B1008" s="23" t="s">
        <v>5021</v>
      </c>
      <c r="C1008" s="28" t="s">
        <v>493</v>
      </c>
      <c r="D1008" s="155" t="s">
        <v>5022</v>
      </c>
      <c r="H1008" s="92">
        <v>0</v>
      </c>
      <c r="I1008" s="92">
        <v>0</v>
      </c>
      <c r="J1008" s="92">
        <v>0</v>
      </c>
      <c r="K1008" s="92">
        <v>0</v>
      </c>
      <c r="L1008" s="92">
        <v>0</v>
      </c>
      <c r="M1008" s="92">
        <v>0</v>
      </c>
      <c r="N1008" s="92">
        <v>0</v>
      </c>
      <c r="O1008" s="92">
        <v>0</v>
      </c>
      <c r="P1008" s="92">
        <v>0</v>
      </c>
      <c r="Q1008" s="92">
        <v>0</v>
      </c>
      <c r="R1008" s="92">
        <v>0</v>
      </c>
      <c r="S1008" s="92">
        <v>0</v>
      </c>
      <c r="T1008" s="92">
        <v>0</v>
      </c>
    </row>
    <row r="1009" spans="2:20" x14ac:dyDescent="0.25">
      <c r="B1009" s="23" t="s">
        <v>5023</v>
      </c>
      <c r="C1009" s="28" t="s">
        <v>493</v>
      </c>
      <c r="D1009" s="155" t="s">
        <v>5024</v>
      </c>
      <c r="H1009" s="92">
        <v>0</v>
      </c>
      <c r="I1009" s="92">
        <v>0</v>
      </c>
      <c r="J1009" s="92">
        <v>0</v>
      </c>
      <c r="K1009" s="92">
        <v>-0.148247333886706</v>
      </c>
      <c r="L1009" s="92">
        <v>-0.153054753903307</v>
      </c>
      <c r="M1009" s="92">
        <v>-0.15800639652040699</v>
      </c>
      <c r="N1009" s="92">
        <v>-0.16310658841601899</v>
      </c>
      <c r="O1009" s="92">
        <v>-0.168359786068499</v>
      </c>
      <c r="P1009" s="92">
        <v>-0.17377057965055401</v>
      </c>
      <c r="Q1009" s="92">
        <v>-0.179343697040071</v>
      </c>
      <c r="R1009" s="92">
        <v>-0.185084007951273</v>
      </c>
      <c r="S1009" s="92">
        <v>-0.190996528189811</v>
      </c>
      <c r="T1009" s="92">
        <v>-0.197086424035506</v>
      </c>
    </row>
    <row r="1010" spans="2:20" x14ac:dyDescent="0.25">
      <c r="B1010" s="23" t="s">
        <v>5025</v>
      </c>
      <c r="C1010" s="28" t="s">
        <v>493</v>
      </c>
      <c r="D1010" s="155" t="s">
        <v>5026</v>
      </c>
      <c r="H1010" s="92">
        <v>0</v>
      </c>
      <c r="I1010" s="92">
        <v>0</v>
      </c>
      <c r="J1010" s="92">
        <v>0</v>
      </c>
      <c r="K1010" s="92">
        <v>-0.13012000000000001</v>
      </c>
      <c r="L1010" s="92">
        <v>-0.13012000000000001</v>
      </c>
      <c r="M1010" s="92">
        <v>-0.13012000000000001</v>
      </c>
      <c r="N1010" s="92">
        <v>-0.13012000000000001</v>
      </c>
      <c r="O1010" s="92">
        <v>-0.13012000000000001</v>
      </c>
      <c r="P1010" s="92">
        <v>-0.13012000000000001</v>
      </c>
      <c r="Q1010" s="92">
        <v>-0.13012000000000001</v>
      </c>
      <c r="R1010" s="92">
        <v>-0.13012000000000001</v>
      </c>
      <c r="S1010" s="92">
        <v>-0.13012000000000001</v>
      </c>
      <c r="T1010" s="92">
        <v>-0.13012000000000001</v>
      </c>
    </row>
    <row r="1011" spans="2:20" x14ac:dyDescent="0.25">
      <c r="B1011" s="23" t="s">
        <v>5027</v>
      </c>
      <c r="C1011" s="28" t="s">
        <v>493</v>
      </c>
      <c r="D1011" s="155" t="s">
        <v>5028</v>
      </c>
      <c r="H1011" s="92">
        <v>0</v>
      </c>
      <c r="I1011" s="92">
        <v>0</v>
      </c>
      <c r="J1011" s="92">
        <v>0</v>
      </c>
      <c r="K1011" s="92">
        <v>0</v>
      </c>
      <c r="L1011" s="92">
        <v>0</v>
      </c>
      <c r="M1011" s="92">
        <v>0</v>
      </c>
      <c r="N1011" s="92">
        <v>0</v>
      </c>
      <c r="O1011" s="92">
        <v>0</v>
      </c>
      <c r="P1011" s="92">
        <v>0</v>
      </c>
      <c r="Q1011" s="92">
        <v>0</v>
      </c>
      <c r="R1011" s="92">
        <v>0</v>
      </c>
      <c r="S1011" s="92">
        <v>0</v>
      </c>
      <c r="T1011" s="92">
        <v>0</v>
      </c>
    </row>
    <row r="1012" spans="2:20" x14ac:dyDescent="0.25">
      <c r="B1012" s="23" t="s">
        <v>5029</v>
      </c>
      <c r="C1012" s="28" t="s">
        <v>493</v>
      </c>
      <c r="D1012" s="155" t="s">
        <v>5030</v>
      </c>
      <c r="H1012" s="92">
        <v>0</v>
      </c>
      <c r="I1012" s="92">
        <v>0</v>
      </c>
      <c r="J1012" s="92">
        <v>0</v>
      </c>
      <c r="K1012" s="92">
        <v>0.46286933554682402</v>
      </c>
      <c r="L1012" s="92">
        <v>0.48209901561322899</v>
      </c>
      <c r="M1012" s="92">
        <v>0.50190558608162605</v>
      </c>
      <c r="N1012" s="92">
        <v>0.52230635366407496</v>
      </c>
      <c r="O1012" s="92">
        <v>0.54331914427399697</v>
      </c>
      <c r="P1012" s="92">
        <v>0.56496231860221702</v>
      </c>
      <c r="Q1012" s="92">
        <v>0.58725478816028398</v>
      </c>
      <c r="R1012" s="92">
        <v>0.61021603180509199</v>
      </c>
      <c r="S1012" s="92">
        <v>0.63386611275924498</v>
      </c>
      <c r="T1012" s="92">
        <v>0.65822569614202198</v>
      </c>
    </row>
    <row r="1013" spans="2:20" x14ac:dyDescent="0.25">
      <c r="B1013" s="23" t="s">
        <v>5031</v>
      </c>
      <c r="C1013" s="28" t="s">
        <v>493</v>
      </c>
      <c r="D1013" s="155" t="s">
        <v>5032</v>
      </c>
      <c r="H1013" s="92">
        <v>0</v>
      </c>
      <c r="I1013" s="92">
        <v>0</v>
      </c>
      <c r="J1013" s="92">
        <v>0</v>
      </c>
      <c r="K1013" s="92">
        <v>-0.101831253820301</v>
      </c>
      <c r="L1013" s="92">
        <v>-0.10606178343491</v>
      </c>
      <c r="M1013" s="92">
        <v>-0.110419228937958</v>
      </c>
      <c r="N1013" s="92">
        <v>-0.114907397806096</v>
      </c>
      <c r="O1013" s="92">
        <v>-0.119530211740279</v>
      </c>
      <c r="P1013" s="92">
        <v>-0.124291710092488</v>
      </c>
      <c r="Q1013" s="92">
        <v>-0.12919605339526199</v>
      </c>
      <c r="R1013" s="92">
        <v>-0.13424752699712</v>
      </c>
      <c r="S1013" s="92">
        <v>-0.139450544807034</v>
      </c>
      <c r="T1013" s="92">
        <v>-0.144809653151245</v>
      </c>
    </row>
    <row r="1014" spans="2:20" x14ac:dyDescent="0.25">
      <c r="B1014" s="23" t="s">
        <v>5033</v>
      </c>
      <c r="C1014" s="28" t="s">
        <v>493</v>
      </c>
      <c r="D1014" s="155" t="s">
        <v>5034</v>
      </c>
      <c r="H1014" s="92">
        <v>0</v>
      </c>
      <c r="I1014" s="92">
        <v>0</v>
      </c>
      <c r="J1014" s="92">
        <v>0</v>
      </c>
      <c r="K1014" s="92">
        <v>0.36103808172652302</v>
      </c>
      <c r="L1014" s="92">
        <v>0.37603723217831903</v>
      </c>
      <c r="M1014" s="92">
        <v>0.39148635714366797</v>
      </c>
      <c r="N1014" s="92">
        <v>0.40739895585797797</v>
      </c>
      <c r="O1014" s="92">
        <v>0.42378893253371802</v>
      </c>
      <c r="P1014" s="92">
        <v>0.440670608509729</v>
      </c>
      <c r="Q1014" s="92">
        <v>0.45805873476502101</v>
      </c>
      <c r="R1014" s="92">
        <v>0.47596850480797198</v>
      </c>
      <c r="S1014" s="92">
        <v>0.49441556795221098</v>
      </c>
      <c r="T1014" s="92">
        <v>0.51341604299077703</v>
      </c>
    </row>
    <row r="1015" spans="2:20" x14ac:dyDescent="0.25">
      <c r="B1015" s="154" t="s">
        <v>5035</v>
      </c>
    </row>
    <row r="1016" spans="2:20" x14ac:dyDescent="0.25">
      <c r="B1016" s="23" t="s">
        <v>5036</v>
      </c>
      <c r="C1016" s="28" t="s">
        <v>493</v>
      </c>
      <c r="D1016" s="155" t="s">
        <v>5037</v>
      </c>
      <c r="H1016" s="92">
        <v>38.657960000000003</v>
      </c>
      <c r="I1016" s="92">
        <v>46.389552000000002</v>
      </c>
      <c r="J1016" s="92">
        <v>47.781238559999998</v>
      </c>
      <c r="K1016" s="92">
        <v>59.057610860159997</v>
      </c>
      <c r="L1016" s="92">
        <v>60.829339185964798</v>
      </c>
      <c r="M1016" s="92">
        <v>68.919641297698107</v>
      </c>
      <c r="N1016" s="92">
        <v>70.987230536629099</v>
      </c>
      <c r="O1016" s="92">
        <v>77.503858299891604</v>
      </c>
      <c r="P1016" s="92">
        <v>79.828974048888398</v>
      </c>
      <c r="Q1016" s="92">
        <v>87.157273866576304</v>
      </c>
      <c r="R1016" s="92">
        <v>89.771992082573604</v>
      </c>
      <c r="S1016" s="92">
        <v>92.465151845050798</v>
      </c>
      <c r="T1016" s="92">
        <v>95.239106400402406</v>
      </c>
    </row>
    <row r="1017" spans="2:20" x14ac:dyDescent="0.25">
      <c r="B1017" s="23" t="s">
        <v>2111</v>
      </c>
      <c r="C1017" s="28" t="s">
        <v>493</v>
      </c>
      <c r="D1017" s="155" t="s">
        <v>5038</v>
      </c>
      <c r="H1017" s="92">
        <v>-13.4217055472357</v>
      </c>
      <c r="I1017" s="92">
        <v>-13.950545135917899</v>
      </c>
      <c r="J1017" s="92">
        <v>-14.537513823246501</v>
      </c>
      <c r="K1017" s="92">
        <v>-15.1175418720771</v>
      </c>
      <c r="L1017" s="92">
        <v>-15.725130220837499</v>
      </c>
      <c r="M1017" s="92">
        <v>-16.3948517401858</v>
      </c>
      <c r="N1017" s="92">
        <v>-17.0618527122421</v>
      </c>
      <c r="O1017" s="92">
        <v>-17.7608622758274</v>
      </c>
      <c r="P1017" s="92">
        <v>-18.526694391193999</v>
      </c>
      <c r="Q1017" s="92">
        <v>-19.294750069310901</v>
      </c>
      <c r="R1017" s="92">
        <v>-20.100027611659101</v>
      </c>
      <c r="S1017" s="92">
        <v>-20.944457891111298</v>
      </c>
      <c r="T1017" s="92">
        <v>-21.8300775752917</v>
      </c>
    </row>
    <row r="1018" spans="2:20" x14ac:dyDescent="0.25">
      <c r="B1018" s="23" t="s">
        <v>5039</v>
      </c>
      <c r="C1018" s="28" t="s">
        <v>493</v>
      </c>
      <c r="D1018" s="155" t="s">
        <v>5040</v>
      </c>
      <c r="H1018" s="92">
        <v>-9.1526681838109791</v>
      </c>
      <c r="I1018" s="92">
        <v>-9.4488472204361091</v>
      </c>
      <c r="J1018" s="92">
        <v>-9.7546753384197107</v>
      </c>
      <c r="K1018" s="92">
        <v>-10.070468894973001</v>
      </c>
      <c r="L1018" s="92">
        <v>-10.396554682088899</v>
      </c>
      <c r="M1018" s="92">
        <v>-10.7332702726893</v>
      </c>
      <c r="N1018" s="92">
        <v>-11.0809643783175</v>
      </c>
      <c r="O1018" s="92">
        <v>-11.439997218761301</v>
      </c>
      <c r="P1018" s="92">
        <v>-11.810740904007501</v>
      </c>
      <c r="Q1018" s="92">
        <v>-12.1935798289412</v>
      </c>
      <c r="R1018" s="92">
        <v>-12.5889110812171</v>
      </c>
      <c r="S1018" s="92">
        <v>-12.997144862744699</v>
      </c>
      <c r="T1018" s="92">
        <v>-13.418704925244</v>
      </c>
    </row>
    <row r="1019" spans="2:20" x14ac:dyDescent="0.25">
      <c r="B1019" s="23" t="s">
        <v>5041</v>
      </c>
      <c r="C1019" s="28" t="s">
        <v>493</v>
      </c>
      <c r="D1019" s="155" t="s">
        <v>5042</v>
      </c>
      <c r="H1019" s="92">
        <v>-40.958825604243003</v>
      </c>
      <c r="I1019" s="92">
        <v>-40.961418579151299</v>
      </c>
      <c r="J1019" s="92">
        <v>-41.964063413557703</v>
      </c>
      <c r="K1019" s="92">
        <v>-41.966761144652203</v>
      </c>
      <c r="L1019" s="92">
        <v>-41.9695128303687</v>
      </c>
      <c r="M1019" s="92">
        <v>-42.972319549799501</v>
      </c>
      <c r="N1019" s="92">
        <v>-42.975182403618902</v>
      </c>
      <c r="O1019" s="92">
        <v>-42.978102514514603</v>
      </c>
      <c r="P1019" s="92">
        <v>-43.981081027628299</v>
      </c>
      <c r="Q1019" s="92">
        <v>-43.984119111004297</v>
      </c>
      <c r="R1019" s="92">
        <v>-43.9872179560478</v>
      </c>
      <c r="S1019" s="92">
        <v>-43.990378777992099</v>
      </c>
      <c r="T1019" s="92">
        <v>-43.9936028163754</v>
      </c>
    </row>
    <row r="1020" spans="2:20" x14ac:dyDescent="0.25">
      <c r="B1020" s="23" t="s">
        <v>5043</v>
      </c>
      <c r="C1020" s="28" t="s">
        <v>493</v>
      </c>
      <c r="D1020" s="155" t="s">
        <v>5044</v>
      </c>
      <c r="H1020" s="92">
        <v>-5.4709055176610004</v>
      </c>
      <c r="I1020" s="92">
        <v>-1.9421714587696599</v>
      </c>
      <c r="J1020" s="92">
        <v>0</v>
      </c>
      <c r="K1020" s="92">
        <v>0</v>
      </c>
      <c r="L1020" s="92">
        <v>0</v>
      </c>
      <c r="M1020" s="92">
        <v>0</v>
      </c>
      <c r="N1020" s="92">
        <v>0</v>
      </c>
      <c r="O1020" s="92">
        <v>0</v>
      </c>
      <c r="P1020" s="92">
        <v>0</v>
      </c>
      <c r="Q1020" s="92">
        <v>0</v>
      </c>
      <c r="R1020" s="92">
        <v>0</v>
      </c>
      <c r="S1020" s="92">
        <v>0</v>
      </c>
      <c r="T1020" s="92">
        <v>0</v>
      </c>
    </row>
    <row r="1021" spans="2:20" x14ac:dyDescent="0.25">
      <c r="B1021" s="23" t="s">
        <v>5045</v>
      </c>
      <c r="C1021" s="28" t="s">
        <v>493</v>
      </c>
      <c r="D1021" s="155" t="s">
        <v>5046</v>
      </c>
      <c r="H1021" s="92">
        <v>-30.346144852950701</v>
      </c>
      <c r="I1021" s="92">
        <v>-19.913430394275</v>
      </c>
      <c r="J1021" s="92">
        <v>-18.475014015223898</v>
      </c>
      <c r="K1021" s="92">
        <v>-8.0971610515423507</v>
      </c>
      <c r="L1021" s="92">
        <v>-7.2618585473302604</v>
      </c>
      <c r="M1021" s="92">
        <v>-1.18080026497646</v>
      </c>
      <c r="N1021" s="92">
        <v>-0.13076895754939999</v>
      </c>
      <c r="O1021" s="92">
        <v>5.32489629078826</v>
      </c>
      <c r="P1021" s="92">
        <v>5.5104577260585197</v>
      </c>
      <c r="Q1021" s="92">
        <v>11.684824857320001</v>
      </c>
      <c r="R1021" s="92">
        <v>13.095835433649601</v>
      </c>
      <c r="S1021" s="92">
        <v>14.5331703132026</v>
      </c>
      <c r="T1021" s="92">
        <v>15.9967210834913</v>
      </c>
    </row>
    <row r="1022" spans="2:20" x14ac:dyDescent="0.25">
      <c r="B1022" s="23" t="s">
        <v>5047</v>
      </c>
      <c r="C1022" s="28" t="s">
        <v>493</v>
      </c>
      <c r="D1022" s="155" t="s">
        <v>5048</v>
      </c>
      <c r="H1022" s="92">
        <v>0</v>
      </c>
      <c r="I1022" s="92">
        <v>0</v>
      </c>
      <c r="J1022" s="92">
        <v>0</v>
      </c>
      <c r="K1022" s="92">
        <v>0</v>
      </c>
      <c r="L1022" s="92">
        <v>0</v>
      </c>
      <c r="M1022" s="92">
        <v>0</v>
      </c>
      <c r="N1022" s="92">
        <v>0</v>
      </c>
      <c r="O1022" s="92">
        <v>-1.1714771839734199</v>
      </c>
      <c r="P1022" s="92">
        <v>-1.21230069973287</v>
      </c>
      <c r="Q1022" s="92">
        <v>-2.5706614686103899</v>
      </c>
      <c r="R1022" s="92">
        <v>-2.88108379540291</v>
      </c>
      <c r="S1022" s="92">
        <v>-3.1972974689045701</v>
      </c>
      <c r="T1022" s="92">
        <v>-3.5192786383680899</v>
      </c>
    </row>
    <row r="1023" spans="2:20" x14ac:dyDescent="0.25">
      <c r="B1023" s="23" t="s">
        <v>5049</v>
      </c>
      <c r="C1023" s="28" t="s">
        <v>493</v>
      </c>
      <c r="D1023" s="155" t="s">
        <v>5050</v>
      </c>
      <c r="H1023" s="92">
        <v>-30.346144852950701</v>
      </c>
      <c r="I1023" s="92">
        <v>-19.913430394275</v>
      </c>
      <c r="J1023" s="92">
        <v>-18.475014015223898</v>
      </c>
      <c r="K1023" s="92">
        <v>-8.0971610515423507</v>
      </c>
      <c r="L1023" s="92">
        <v>-7.2618585473302604</v>
      </c>
      <c r="M1023" s="92">
        <v>-1.18080026497646</v>
      </c>
      <c r="N1023" s="92">
        <v>-0.13076895754939999</v>
      </c>
      <c r="O1023" s="92">
        <v>4.1534191068148401</v>
      </c>
      <c r="P1023" s="92">
        <v>4.2981570263256499</v>
      </c>
      <c r="Q1023" s="92">
        <v>9.1141633887095796</v>
      </c>
      <c r="R1023" s="92">
        <v>10.2147516382467</v>
      </c>
      <c r="S1023" s="92">
        <v>11.335872844298001</v>
      </c>
      <c r="T1023" s="92">
        <v>12.4774424451232</v>
      </c>
    </row>
    <row r="1024" spans="2:20" x14ac:dyDescent="0.25">
      <c r="B1024" s="154" t="s">
        <v>5051</v>
      </c>
    </row>
    <row r="1025" spans="2:20" x14ac:dyDescent="0.25">
      <c r="B1025" s="23" t="s">
        <v>5052</v>
      </c>
      <c r="C1025" s="28" t="s">
        <v>493</v>
      </c>
      <c r="D1025" s="155" t="s">
        <v>5053</v>
      </c>
      <c r="H1025" s="92">
        <v>0</v>
      </c>
      <c r="I1025" s="92">
        <v>100.31220909619201</v>
      </c>
      <c r="J1025" s="92">
        <v>103.321575369078</v>
      </c>
      <c r="K1025" s="92">
        <v>127.70546715618001</v>
      </c>
      <c r="L1025" s="92">
        <v>131.536631170866</v>
      </c>
      <c r="M1025" s="92">
        <v>149.03100311659099</v>
      </c>
      <c r="N1025" s="92">
        <v>153.501933210088</v>
      </c>
      <c r="O1025" s="92">
        <v>167.59341067877401</v>
      </c>
      <c r="P1025" s="92">
        <v>172.62121299913801</v>
      </c>
      <c r="Q1025" s="92">
        <v>188.46784035245901</v>
      </c>
      <c r="R1025" s="92">
        <v>194.12187556303201</v>
      </c>
      <c r="S1025" s="92">
        <v>199.945531829923</v>
      </c>
      <c r="T1025" s="92">
        <v>205.94389778482099</v>
      </c>
    </row>
    <row r="1026" spans="2:20" x14ac:dyDescent="0.25">
      <c r="B1026" s="23" t="s">
        <v>5054</v>
      </c>
      <c r="C1026" s="28" t="s">
        <v>493</v>
      </c>
      <c r="D1026" s="155" t="s">
        <v>5055</v>
      </c>
      <c r="H1026" s="92">
        <v>0</v>
      </c>
      <c r="I1026" s="92">
        <v>-9.5149427163807303</v>
      </c>
      <c r="J1026" s="92">
        <v>-10.0310082638083</v>
      </c>
      <c r="K1026" s="92">
        <v>-10.5785022030742</v>
      </c>
      <c r="L1026" s="92">
        <v>-11.1593385232415</v>
      </c>
      <c r="M1026" s="92">
        <v>-11.775547775306899</v>
      </c>
      <c r="N1026" s="92">
        <v>-12.429284170823101</v>
      </c>
      <c r="O1026" s="92">
        <v>-13.1228331128262</v>
      </c>
      <c r="P1026" s="92">
        <v>-13.8586191853973</v>
      </c>
      <c r="Q1026" s="92">
        <v>-14.639214629788</v>
      </c>
      <c r="R1026" s="92">
        <v>-15.4673483367421</v>
      </c>
      <c r="S1026" s="92">
        <v>-16.3459153864497</v>
      </c>
      <c r="T1026" s="92">
        <v>-17.277987169484501</v>
      </c>
    </row>
    <row r="1027" spans="2:20" x14ac:dyDescent="0.25">
      <c r="B1027" s="23" t="s">
        <v>5056</v>
      </c>
      <c r="C1027" s="28" t="s">
        <v>493</v>
      </c>
      <c r="D1027" s="155" t="s">
        <v>5057</v>
      </c>
      <c r="H1027" s="92">
        <v>0</v>
      </c>
      <c r="I1027" s="92">
        <v>-20.062441819238401</v>
      </c>
      <c r="J1027" s="92">
        <v>-20.664315073815601</v>
      </c>
      <c r="K1027" s="92">
        <v>-25.541093431236</v>
      </c>
      <c r="L1027" s="92">
        <v>-26.3073262341731</v>
      </c>
      <c r="M1027" s="92">
        <v>-29.806200623318102</v>
      </c>
      <c r="N1027" s="92">
        <v>-30.700386642017701</v>
      </c>
      <c r="O1027" s="92">
        <v>-33.518682135754901</v>
      </c>
      <c r="P1027" s="92">
        <v>-34.524242599827502</v>
      </c>
      <c r="Q1027" s="92">
        <v>-37.6935680704917</v>
      </c>
      <c r="R1027" s="92">
        <v>-38.824375112606504</v>
      </c>
      <c r="S1027" s="92">
        <v>-39.989106365984703</v>
      </c>
      <c r="T1027" s="92">
        <v>-41.188779556964199</v>
      </c>
    </row>
    <row r="1028" spans="2:20" x14ac:dyDescent="0.25">
      <c r="B1028" s="23" t="s">
        <v>5058</v>
      </c>
      <c r="C1028" s="28" t="s">
        <v>493</v>
      </c>
      <c r="D1028" s="155" t="s">
        <v>5059</v>
      </c>
      <c r="H1028" s="92">
        <v>0</v>
      </c>
      <c r="I1028" s="92">
        <v>-17.798535863122002</v>
      </c>
      <c r="J1028" s="92">
        <v>-17.798535863122002</v>
      </c>
      <c r="K1028" s="92">
        <v>-17.798535863122002</v>
      </c>
      <c r="L1028" s="92">
        <v>-17.798535863122002</v>
      </c>
      <c r="M1028" s="92">
        <v>-17.798535863122002</v>
      </c>
      <c r="N1028" s="92">
        <v>-17.798535863122002</v>
      </c>
      <c r="O1028" s="92">
        <v>-17.798535863122002</v>
      </c>
      <c r="P1028" s="92">
        <v>-17.798535863122002</v>
      </c>
      <c r="Q1028" s="92">
        <v>-17.798535863122002</v>
      </c>
      <c r="R1028" s="92">
        <v>-17.798535863122002</v>
      </c>
      <c r="S1028" s="92">
        <v>-17.798535863122002</v>
      </c>
      <c r="T1028" s="92">
        <v>-17.798535863122002</v>
      </c>
    </row>
    <row r="1029" spans="2:20" x14ac:dyDescent="0.25">
      <c r="B1029" s="23" t="s">
        <v>5060</v>
      </c>
      <c r="C1029" s="28" t="s">
        <v>493</v>
      </c>
      <c r="D1029" s="155" t="s">
        <v>5061</v>
      </c>
      <c r="H1029" s="92">
        <v>0</v>
      </c>
      <c r="I1029" s="92">
        <v>-13.331278719</v>
      </c>
      <c r="J1029" s="92">
        <v>0</v>
      </c>
      <c r="K1029" s="92">
        <v>0</v>
      </c>
      <c r="L1029" s="92">
        <v>0</v>
      </c>
      <c r="M1029" s="92">
        <v>0</v>
      </c>
      <c r="N1029" s="92">
        <v>0</v>
      </c>
      <c r="O1029" s="92">
        <v>0</v>
      </c>
      <c r="P1029" s="92">
        <v>0</v>
      </c>
      <c r="Q1029" s="92">
        <v>0</v>
      </c>
      <c r="R1029" s="92">
        <v>0</v>
      </c>
      <c r="S1029" s="92">
        <v>0</v>
      </c>
      <c r="T1029" s="92">
        <v>0</v>
      </c>
    </row>
    <row r="1030" spans="2:20" x14ac:dyDescent="0.25">
      <c r="B1030" s="23" t="s">
        <v>5062</v>
      </c>
      <c r="C1030" s="28" t="s">
        <v>493</v>
      </c>
      <c r="D1030" s="155" t="s">
        <v>5063</v>
      </c>
      <c r="H1030" s="92">
        <v>0</v>
      </c>
      <c r="I1030" s="92">
        <v>39.605009978450902</v>
      </c>
      <c r="J1030" s="92">
        <v>54.827716168331897</v>
      </c>
      <c r="K1030" s="92">
        <v>73.787335658747907</v>
      </c>
      <c r="L1030" s="92">
        <v>76.271430550329001</v>
      </c>
      <c r="M1030" s="92">
        <v>89.650718854843703</v>
      </c>
      <c r="N1030" s="92">
        <v>92.573726534125697</v>
      </c>
      <c r="O1030" s="92">
        <v>103.15335956707101</v>
      </c>
      <c r="P1030" s="92">
        <v>106.43981535079099</v>
      </c>
      <c r="Q1030" s="92">
        <v>118.336521789057</v>
      </c>
      <c r="R1030" s="92">
        <v>122.031616250562</v>
      </c>
      <c r="S1030" s="92">
        <v>125.811974214367</v>
      </c>
      <c r="T1030" s="92">
        <v>129.67859519525001</v>
      </c>
    </row>
    <row r="1031" spans="2:20" x14ac:dyDescent="0.25">
      <c r="B1031" s="23" t="s">
        <v>5064</v>
      </c>
      <c r="C1031" s="28" t="s">
        <v>493</v>
      </c>
      <c r="D1031" s="155" t="s">
        <v>5065</v>
      </c>
      <c r="H1031" s="92">
        <v>0</v>
      </c>
      <c r="I1031" s="92">
        <v>-8.7131021952592</v>
      </c>
      <c r="J1031" s="92">
        <v>-12.062097557033001</v>
      </c>
      <c r="K1031" s="92">
        <v>-16.233213844924499</v>
      </c>
      <c r="L1031" s="92">
        <v>-16.779714721072398</v>
      </c>
      <c r="M1031" s="92">
        <v>-19.7231581480656</v>
      </c>
      <c r="N1031" s="92">
        <v>-20.3662198375076</v>
      </c>
      <c r="O1031" s="92">
        <v>-22.6937391047557</v>
      </c>
      <c r="P1031" s="92">
        <v>-23.416759377173999</v>
      </c>
      <c r="Q1031" s="92">
        <v>-26.0340347935925</v>
      </c>
      <c r="R1031" s="92">
        <v>-26.846955575123602</v>
      </c>
      <c r="S1031" s="92">
        <v>-27.678634327160701</v>
      </c>
      <c r="T1031" s="92">
        <v>-28.5292909429551</v>
      </c>
    </row>
    <row r="1032" spans="2:20" x14ac:dyDescent="0.25">
      <c r="B1032" s="23" t="s">
        <v>5066</v>
      </c>
      <c r="C1032" s="28" t="s">
        <v>493</v>
      </c>
      <c r="D1032" s="155" t="s">
        <v>5067</v>
      </c>
      <c r="H1032" s="92">
        <v>0</v>
      </c>
      <c r="I1032" s="92">
        <v>30.891907783191701</v>
      </c>
      <c r="J1032" s="92">
        <v>42.765618611298898</v>
      </c>
      <c r="K1032" s="92">
        <v>57.554121813823301</v>
      </c>
      <c r="L1032" s="92">
        <v>59.491715829256599</v>
      </c>
      <c r="M1032" s="92">
        <v>69.927560706778095</v>
      </c>
      <c r="N1032" s="92">
        <v>72.207506696617997</v>
      </c>
      <c r="O1032" s="92">
        <v>80.459620462315698</v>
      </c>
      <c r="P1032" s="92">
        <v>83.023055973616906</v>
      </c>
      <c r="Q1032" s="92">
        <v>92.302486995464406</v>
      </c>
      <c r="R1032" s="92">
        <v>95.184660675438195</v>
      </c>
      <c r="S1032" s="92">
        <v>98.133339887206304</v>
      </c>
      <c r="T1032" s="92">
        <v>101.149304252295</v>
      </c>
    </row>
    <row r="1033" spans="2:20" x14ac:dyDescent="0.25">
      <c r="B1033" s="154" t="s">
        <v>5068</v>
      </c>
    </row>
    <row r="1034" spans="2:20" x14ac:dyDescent="0.25">
      <c r="B1034" s="23" t="s">
        <v>5069</v>
      </c>
      <c r="C1034" s="28" t="s">
        <v>493</v>
      </c>
      <c r="D1034" s="155" t="s">
        <v>5070</v>
      </c>
      <c r="H1034" s="92">
        <v>0</v>
      </c>
      <c r="I1034" s="92">
        <v>31.5</v>
      </c>
      <c r="J1034" s="92">
        <v>32.445</v>
      </c>
      <c r="K1034" s="92">
        <v>33.418349999999997</v>
      </c>
      <c r="L1034" s="92">
        <v>34.420900500000002</v>
      </c>
      <c r="M1034" s="92">
        <v>35.453527514999998</v>
      </c>
      <c r="N1034" s="92">
        <v>36.517133340450002</v>
      </c>
      <c r="O1034" s="92">
        <v>37.6126473406635</v>
      </c>
      <c r="P1034" s="92">
        <v>38.7410267608834</v>
      </c>
      <c r="Q1034" s="92">
        <v>39.9032575637099</v>
      </c>
      <c r="R1034" s="92">
        <v>41.100355290621202</v>
      </c>
      <c r="S1034" s="92">
        <v>42.3333659493399</v>
      </c>
      <c r="T1034" s="92">
        <v>43.603366927820097</v>
      </c>
    </row>
    <row r="1035" spans="2:20" x14ac:dyDescent="0.25">
      <c r="B1035" s="23" t="s">
        <v>5071</v>
      </c>
      <c r="C1035" s="28" t="s">
        <v>493</v>
      </c>
      <c r="D1035" s="155" t="s">
        <v>5072</v>
      </c>
      <c r="H1035" s="92">
        <v>0</v>
      </c>
      <c r="I1035" s="92">
        <v>-2.4271241506568502</v>
      </c>
      <c r="J1035" s="92">
        <v>-2.5353144714318598</v>
      </c>
      <c r="K1035" s="92">
        <v>-2.65009358274206</v>
      </c>
      <c r="L1035" s="92">
        <v>-2.77186274193105</v>
      </c>
      <c r="M1035" s="92">
        <v>-2.9010476429146501</v>
      </c>
      <c r="N1035" s="92">
        <v>-3.03809990436815</v>
      </c>
      <c r="O1035" s="92">
        <v>-3.1834986485441701</v>
      </c>
      <c r="P1035" s="92">
        <v>-3.3377521762405098</v>
      </c>
      <c r="Q1035" s="92">
        <v>-3.5013997437735598</v>
      </c>
      <c r="R1035" s="92">
        <v>-3.6750134481693699</v>
      </c>
      <c r="S1035" s="92">
        <v>-3.8592002271628898</v>
      </c>
      <c r="T1035" s="92">
        <v>-4.0546039809971104</v>
      </c>
    </row>
    <row r="1036" spans="2:20" x14ac:dyDescent="0.25">
      <c r="B1036" s="23" t="s">
        <v>5073</v>
      </c>
      <c r="C1036" s="28" t="s">
        <v>493</v>
      </c>
      <c r="D1036" s="155" t="s">
        <v>5074</v>
      </c>
      <c r="H1036" s="92">
        <v>0</v>
      </c>
      <c r="I1036" s="92">
        <v>0</v>
      </c>
      <c r="J1036" s="92">
        <v>0</v>
      </c>
      <c r="K1036" s="92">
        <v>0</v>
      </c>
      <c r="L1036" s="92">
        <v>0</v>
      </c>
      <c r="M1036" s="92">
        <v>0</v>
      </c>
      <c r="N1036" s="92">
        <v>0</v>
      </c>
      <c r="O1036" s="92">
        <v>0</v>
      </c>
      <c r="P1036" s="92">
        <v>0</v>
      </c>
      <c r="Q1036" s="92">
        <v>0</v>
      </c>
      <c r="R1036" s="92">
        <v>0</v>
      </c>
      <c r="S1036" s="92">
        <v>0</v>
      </c>
      <c r="T1036" s="92">
        <v>0</v>
      </c>
    </row>
    <row r="1037" spans="2:20" x14ac:dyDescent="0.25">
      <c r="B1037" s="23" t="s">
        <v>5075</v>
      </c>
      <c r="C1037" s="28" t="s">
        <v>493</v>
      </c>
      <c r="D1037" s="155" t="s">
        <v>5076</v>
      </c>
      <c r="H1037" s="92">
        <v>0</v>
      </c>
      <c r="I1037" s="92">
        <v>-7.4200198051662101</v>
      </c>
      <c r="J1037" s="92">
        <v>-7.4200198051662101</v>
      </c>
      <c r="K1037" s="92">
        <v>-7.4200198051662101</v>
      </c>
      <c r="L1037" s="92">
        <v>-7.4200198051662101</v>
      </c>
      <c r="M1037" s="92">
        <v>-7.4200198051662101</v>
      </c>
      <c r="N1037" s="92">
        <v>-7.4200198051662101</v>
      </c>
      <c r="O1037" s="92">
        <v>-7.4200198051662101</v>
      </c>
      <c r="P1037" s="92">
        <v>-7.4200198051662101</v>
      </c>
      <c r="Q1037" s="92">
        <v>-7.4200198051662101</v>
      </c>
      <c r="R1037" s="92">
        <v>-7.4200198051662101</v>
      </c>
      <c r="S1037" s="92">
        <v>-7.4200198051662101</v>
      </c>
      <c r="T1037" s="92">
        <v>-7.4200198051662101</v>
      </c>
    </row>
    <row r="1038" spans="2:20" x14ac:dyDescent="0.25">
      <c r="B1038" s="23" t="s">
        <v>5077</v>
      </c>
      <c r="C1038" s="28" t="s">
        <v>493</v>
      </c>
      <c r="D1038" s="155" t="s">
        <v>5078</v>
      </c>
      <c r="H1038" s="92">
        <v>0</v>
      </c>
      <c r="I1038" s="92">
        <v>0</v>
      </c>
      <c r="J1038" s="92">
        <v>0</v>
      </c>
      <c r="K1038" s="92">
        <v>0</v>
      </c>
      <c r="L1038" s="92">
        <v>0</v>
      </c>
      <c r="M1038" s="92">
        <v>0</v>
      </c>
      <c r="N1038" s="92">
        <v>0</v>
      </c>
      <c r="O1038" s="92">
        <v>0</v>
      </c>
      <c r="P1038" s="92">
        <v>0</v>
      </c>
      <c r="Q1038" s="92">
        <v>0</v>
      </c>
      <c r="R1038" s="92">
        <v>0</v>
      </c>
      <c r="S1038" s="92">
        <v>0</v>
      </c>
      <c r="T1038" s="92">
        <v>0</v>
      </c>
    </row>
    <row r="1039" spans="2:20" x14ac:dyDescent="0.25">
      <c r="B1039" s="23" t="s">
        <v>5079</v>
      </c>
      <c r="C1039" s="28" t="s">
        <v>493</v>
      </c>
      <c r="D1039" s="155" t="s">
        <v>5080</v>
      </c>
      <c r="H1039" s="92">
        <v>0</v>
      </c>
      <c r="I1039" s="92">
        <v>21.6528560441769</v>
      </c>
      <c r="J1039" s="92">
        <v>22.489665723401899</v>
      </c>
      <c r="K1039" s="92">
        <v>23.3482366120917</v>
      </c>
      <c r="L1039" s="92">
        <v>24.229017952902701</v>
      </c>
      <c r="M1039" s="92">
        <v>25.132460066919101</v>
      </c>
      <c r="N1039" s="92">
        <v>26.059013630915601</v>
      </c>
      <c r="O1039" s="92">
        <v>27.0091288869531</v>
      </c>
      <c r="P1039" s="92">
        <v>27.983254779476699</v>
      </c>
      <c r="Q1039" s="92">
        <v>28.981838014770101</v>
      </c>
      <c r="R1039" s="92">
        <v>30.005322037285602</v>
      </c>
      <c r="S1039" s="92">
        <v>31.0541459170108</v>
      </c>
      <c r="T1039" s="92">
        <v>32.128743141656699</v>
      </c>
    </row>
    <row r="1040" spans="2:20" x14ac:dyDescent="0.25">
      <c r="B1040" s="23" t="s">
        <v>5081</v>
      </c>
      <c r="C1040" s="28" t="s">
        <v>493</v>
      </c>
      <c r="D1040" s="155" t="s">
        <v>5082</v>
      </c>
      <c r="H1040" s="92">
        <v>0</v>
      </c>
      <c r="I1040" s="92">
        <v>-4.7636283297189301</v>
      </c>
      <c r="J1040" s="92">
        <v>-4.9477264591484298</v>
      </c>
      <c r="K1040" s="92">
        <v>-5.1366120546601799</v>
      </c>
      <c r="L1040" s="92">
        <v>-5.3303839496386001</v>
      </c>
      <c r="M1040" s="92">
        <v>-5.5291412147222099</v>
      </c>
      <c r="N1040" s="92">
        <v>-5.7329829988014396</v>
      </c>
      <c r="O1040" s="92">
        <v>-5.9420083551296896</v>
      </c>
      <c r="P1040" s="92">
        <v>-6.15631605148487</v>
      </c>
      <c r="Q1040" s="92">
        <v>-6.3760043632494297</v>
      </c>
      <c r="R1040" s="92">
        <v>-6.6011708482028402</v>
      </c>
      <c r="S1040" s="92">
        <v>-6.8319121017423701</v>
      </c>
      <c r="T1040" s="92">
        <v>-7.0683234911644801</v>
      </c>
    </row>
    <row r="1041" spans="2:20" x14ac:dyDescent="0.25">
      <c r="B1041" s="23" t="s">
        <v>5083</v>
      </c>
      <c r="C1041" s="28" t="s">
        <v>493</v>
      </c>
      <c r="D1041" s="155" t="s">
        <v>5084</v>
      </c>
      <c r="H1041" s="92">
        <v>0</v>
      </c>
      <c r="I1041" s="92">
        <v>16.889227714457999</v>
      </c>
      <c r="J1041" s="92">
        <v>17.5419392642535</v>
      </c>
      <c r="K1041" s="92">
        <v>18.211624557431598</v>
      </c>
      <c r="L1041" s="92">
        <v>18.8986340032641</v>
      </c>
      <c r="M1041" s="92">
        <v>19.6033188521969</v>
      </c>
      <c r="N1041" s="92">
        <v>20.3260306321142</v>
      </c>
      <c r="O1041" s="92">
        <v>21.067120531823399</v>
      </c>
      <c r="P1041" s="92">
        <v>21.826938727991799</v>
      </c>
      <c r="Q1041" s="92">
        <v>22.605833651520701</v>
      </c>
      <c r="R1041" s="92">
        <v>23.4041511890828</v>
      </c>
      <c r="S1041" s="92">
        <v>24.2222338152684</v>
      </c>
      <c r="T1041" s="92">
        <v>25.0604196504923</v>
      </c>
    </row>
    <row r="1042" spans="2:20" x14ac:dyDescent="0.25">
      <c r="B1042" s="154" t="s">
        <v>5085</v>
      </c>
    </row>
    <row r="1043" spans="2:20" x14ac:dyDescent="0.25">
      <c r="B1043" s="23" t="s">
        <v>5086</v>
      </c>
      <c r="C1043" s="28" t="s">
        <v>493</v>
      </c>
      <c r="D1043" s="155" t="s">
        <v>5087</v>
      </c>
      <c r="H1043" s="92">
        <v>0</v>
      </c>
      <c r="I1043" s="92">
        <v>0</v>
      </c>
      <c r="J1043" s="92">
        <v>127.49380734818899</v>
      </c>
      <c r="K1043" s="92">
        <v>134.53647443892001</v>
      </c>
      <c r="L1043" s="92">
        <v>139.28049630355</v>
      </c>
      <c r="M1043" s="92">
        <v>144.142704927593</v>
      </c>
      <c r="N1043" s="92">
        <v>149.12664591382901</v>
      </c>
      <c r="O1043" s="92">
        <v>154.23597123312501</v>
      </c>
      <c r="P1043" s="92">
        <v>159.47444241547299</v>
      </c>
      <c r="Q1043" s="92">
        <v>164.845933836764</v>
      </c>
      <c r="R1043" s="92">
        <v>170.35443610416701</v>
      </c>
      <c r="S1043" s="92">
        <v>166.350500932209</v>
      </c>
      <c r="T1043" s="92">
        <v>171.34101596017601</v>
      </c>
    </row>
    <row r="1044" spans="2:20" x14ac:dyDescent="0.25">
      <c r="B1044" s="23" t="s">
        <v>5088</v>
      </c>
      <c r="C1044" s="28" t="s">
        <v>493</v>
      </c>
      <c r="D1044" s="155" t="s">
        <v>5089</v>
      </c>
      <c r="H1044" s="92">
        <v>0</v>
      </c>
      <c r="I1044" s="92">
        <v>0</v>
      </c>
      <c r="J1044" s="92">
        <v>0</v>
      </c>
      <c r="K1044" s="92">
        <v>0</v>
      </c>
      <c r="L1044" s="92">
        <v>0</v>
      </c>
      <c r="M1044" s="92">
        <v>0</v>
      </c>
      <c r="N1044" s="92">
        <v>0</v>
      </c>
      <c r="O1044" s="92">
        <v>0</v>
      </c>
      <c r="P1044" s="92">
        <v>0</v>
      </c>
      <c r="Q1044" s="92">
        <v>0</v>
      </c>
      <c r="R1044" s="92">
        <v>0</v>
      </c>
      <c r="S1044" s="92">
        <v>0</v>
      </c>
      <c r="T1044" s="92">
        <v>0</v>
      </c>
    </row>
    <row r="1045" spans="2:20" x14ac:dyDescent="0.25">
      <c r="B1045" s="23" t="s">
        <v>5090</v>
      </c>
      <c r="C1045" s="28" t="s">
        <v>493</v>
      </c>
      <c r="D1045" s="155" t="s">
        <v>5091</v>
      </c>
      <c r="H1045" s="92">
        <v>0</v>
      </c>
      <c r="I1045" s="92">
        <v>0</v>
      </c>
      <c r="J1045" s="92">
        <v>-69.175634298300906</v>
      </c>
      <c r="K1045" s="92">
        <v>-73.085079463312496</v>
      </c>
      <c r="L1045" s="92">
        <v>-75.681150597145603</v>
      </c>
      <c r="M1045" s="92">
        <v>-78.341347543973299</v>
      </c>
      <c r="N1045" s="92">
        <v>-81.067594078185294</v>
      </c>
      <c r="O1045" s="92">
        <v>-83.861871687403195</v>
      </c>
      <c r="P1045" s="92">
        <v>-86.726221303877097</v>
      </c>
      <c r="Q1045" s="92">
        <v>-89.662745087824902</v>
      </c>
      <c r="R1045" s="92">
        <v>-92.673608264270598</v>
      </c>
      <c r="S1045" s="92">
        <v>-90.258512606801602</v>
      </c>
      <c r="T1045" s="92">
        <v>-92.9662679850057</v>
      </c>
    </row>
    <row r="1046" spans="2:20" x14ac:dyDescent="0.25">
      <c r="B1046" s="23" t="s">
        <v>5092</v>
      </c>
      <c r="C1046" s="28" t="s">
        <v>493</v>
      </c>
      <c r="D1046" s="155" t="s">
        <v>5093</v>
      </c>
      <c r="H1046" s="92">
        <v>0</v>
      </c>
      <c r="I1046" s="92">
        <v>0</v>
      </c>
      <c r="J1046" s="92">
        <v>0</v>
      </c>
      <c r="K1046" s="92">
        <v>0</v>
      </c>
      <c r="L1046" s="92">
        <v>0</v>
      </c>
      <c r="M1046" s="92">
        <v>0</v>
      </c>
      <c r="N1046" s="92">
        <v>0</v>
      </c>
      <c r="O1046" s="92">
        <v>0</v>
      </c>
      <c r="P1046" s="92">
        <v>0</v>
      </c>
      <c r="Q1046" s="92">
        <v>0</v>
      </c>
      <c r="R1046" s="92">
        <v>0</v>
      </c>
      <c r="S1046" s="92">
        <v>0</v>
      </c>
      <c r="T1046" s="92">
        <v>0</v>
      </c>
    </row>
    <row r="1047" spans="2:20" x14ac:dyDescent="0.25">
      <c r="B1047" s="23" t="s">
        <v>5094</v>
      </c>
      <c r="C1047" s="28" t="s">
        <v>493</v>
      </c>
      <c r="D1047" s="155" t="s">
        <v>5095</v>
      </c>
      <c r="H1047" s="92">
        <v>0</v>
      </c>
      <c r="I1047" s="92">
        <v>0</v>
      </c>
      <c r="J1047" s="92">
        <v>0</v>
      </c>
      <c r="K1047" s="92">
        <v>0</v>
      </c>
      <c r="L1047" s="92">
        <v>0</v>
      </c>
      <c r="M1047" s="92">
        <v>0</v>
      </c>
      <c r="N1047" s="92">
        <v>0</v>
      </c>
      <c r="O1047" s="92">
        <v>0</v>
      </c>
      <c r="P1047" s="92">
        <v>0</v>
      </c>
      <c r="Q1047" s="92">
        <v>0</v>
      </c>
      <c r="R1047" s="92">
        <v>0</v>
      </c>
      <c r="S1047" s="92">
        <v>0</v>
      </c>
      <c r="T1047" s="92">
        <v>0</v>
      </c>
    </row>
    <row r="1048" spans="2:20" x14ac:dyDescent="0.25">
      <c r="B1048" s="23" t="s">
        <v>5096</v>
      </c>
      <c r="C1048" s="28" t="s">
        <v>493</v>
      </c>
      <c r="D1048" s="155" t="s">
        <v>5097</v>
      </c>
      <c r="H1048" s="92">
        <v>0</v>
      </c>
      <c r="I1048" s="92">
        <v>0</v>
      </c>
      <c r="J1048" s="92">
        <v>58.318173049888401</v>
      </c>
      <c r="K1048" s="92">
        <v>61.451394975607599</v>
      </c>
      <c r="L1048" s="92">
        <v>63.599345706404897</v>
      </c>
      <c r="M1048" s="92">
        <v>65.801357383619305</v>
      </c>
      <c r="N1048" s="92">
        <v>68.059051835643501</v>
      </c>
      <c r="O1048" s="92">
        <v>70.374099545721805</v>
      </c>
      <c r="P1048" s="92">
        <v>72.748221111595697</v>
      </c>
      <c r="Q1048" s="92">
        <v>75.183188748939202</v>
      </c>
      <c r="R1048" s="92">
        <v>77.680827839896395</v>
      </c>
      <c r="S1048" s="92">
        <v>76.091988325407698</v>
      </c>
      <c r="T1048" s="92">
        <v>78.374747975169896</v>
      </c>
    </row>
    <row r="1049" spans="2:20" x14ac:dyDescent="0.25">
      <c r="B1049" s="23" t="s">
        <v>5098</v>
      </c>
      <c r="C1049" s="28" t="s">
        <v>493</v>
      </c>
      <c r="D1049" s="155" t="s">
        <v>5099</v>
      </c>
      <c r="H1049" s="92">
        <v>0</v>
      </c>
      <c r="I1049" s="92">
        <v>0</v>
      </c>
      <c r="J1049" s="92">
        <v>-12.8299980709754</v>
      </c>
      <c r="K1049" s="92">
        <v>-13.519306894633701</v>
      </c>
      <c r="L1049" s="92">
        <v>-13.9918560554091</v>
      </c>
      <c r="M1049" s="92">
        <v>-14.4762986243962</v>
      </c>
      <c r="N1049" s="92">
        <v>-14.972991403841601</v>
      </c>
      <c r="O1049" s="92">
        <v>-15.4823019000588</v>
      </c>
      <c r="P1049" s="92">
        <v>-16.004608644551102</v>
      </c>
      <c r="Q1049" s="92">
        <v>-16.540301524766601</v>
      </c>
      <c r="R1049" s="92">
        <v>-17.089782124777201</v>
      </c>
      <c r="S1049" s="92">
        <v>-16.740237431589701</v>
      </c>
      <c r="T1049" s="92">
        <v>-17.2424445545374</v>
      </c>
    </row>
    <row r="1050" spans="2:20" x14ac:dyDescent="0.25">
      <c r="B1050" s="23" t="s">
        <v>5100</v>
      </c>
      <c r="C1050" s="28" t="s">
        <v>493</v>
      </c>
      <c r="D1050" s="155" t="s">
        <v>5101</v>
      </c>
      <c r="H1050" s="92">
        <v>0</v>
      </c>
      <c r="I1050" s="92">
        <v>0</v>
      </c>
      <c r="J1050" s="92">
        <v>45.488174978912902</v>
      </c>
      <c r="K1050" s="92">
        <v>47.932088080973998</v>
      </c>
      <c r="L1050" s="92">
        <v>49.607489650995802</v>
      </c>
      <c r="M1050" s="92">
        <v>51.325058759223097</v>
      </c>
      <c r="N1050" s="92">
        <v>53.086060431801897</v>
      </c>
      <c r="O1050" s="92">
        <v>54.891797645662997</v>
      </c>
      <c r="P1050" s="92">
        <v>56.743612467044699</v>
      </c>
      <c r="Q1050" s="92">
        <v>58.642887224172597</v>
      </c>
      <c r="R1050" s="92">
        <v>60.591045715119201</v>
      </c>
      <c r="S1050" s="92">
        <v>59.351750893818</v>
      </c>
      <c r="T1050" s="92">
        <v>61.132303420632503</v>
      </c>
    </row>
    <row r="1051" spans="2:20" x14ac:dyDescent="0.25">
      <c r="B1051" s="154" t="s">
        <v>5102</v>
      </c>
    </row>
    <row r="1052" spans="2:20" x14ac:dyDescent="0.25">
      <c r="B1052" s="23" t="s">
        <v>5103</v>
      </c>
      <c r="C1052" s="28" t="s">
        <v>493</v>
      </c>
      <c r="D1052" s="155" t="s">
        <v>5104</v>
      </c>
      <c r="H1052" s="92">
        <v>0</v>
      </c>
      <c r="I1052" s="92">
        <v>0</v>
      </c>
      <c r="J1052" s="92">
        <v>0</v>
      </c>
      <c r="K1052" s="92">
        <v>53.023781999999997</v>
      </c>
      <c r="L1052" s="92">
        <v>54.614495460000001</v>
      </c>
      <c r="M1052" s="92">
        <v>56.252930323800001</v>
      </c>
      <c r="N1052" s="92">
        <v>57.940518233513998</v>
      </c>
      <c r="O1052" s="92">
        <v>59.678733780519401</v>
      </c>
      <c r="P1052" s="92">
        <v>61.469095793934997</v>
      </c>
      <c r="Q1052" s="92">
        <v>63.313168667753096</v>
      </c>
      <c r="R1052" s="92">
        <v>65.212563727785707</v>
      </c>
      <c r="S1052" s="92">
        <v>67.168940639619194</v>
      </c>
      <c r="T1052" s="92">
        <v>69.1840088588078</v>
      </c>
    </row>
    <row r="1053" spans="2:20" x14ac:dyDescent="0.25">
      <c r="B1053" s="23" t="s">
        <v>5105</v>
      </c>
      <c r="C1053" s="28" t="s">
        <v>493</v>
      </c>
      <c r="D1053" s="155" t="s">
        <v>5106</v>
      </c>
      <c r="H1053" s="92">
        <v>0</v>
      </c>
      <c r="I1053" s="92">
        <v>0</v>
      </c>
      <c r="J1053" s="92">
        <v>0</v>
      </c>
      <c r="K1053" s="92">
        <v>-5.3023781999999997</v>
      </c>
      <c r="L1053" s="92">
        <v>-5.4614495459999999</v>
      </c>
      <c r="M1053" s="92">
        <v>-5.6252930323800001</v>
      </c>
      <c r="N1053" s="92">
        <v>-5.7940518233514</v>
      </c>
      <c r="O1053" s="92">
        <v>-5.96787337805194</v>
      </c>
      <c r="P1053" s="92">
        <v>-6.1469095793935002</v>
      </c>
      <c r="Q1053" s="92">
        <v>-6.3313168667753104</v>
      </c>
      <c r="R1053" s="92">
        <v>-6.52125637277857</v>
      </c>
      <c r="S1053" s="92">
        <v>-6.7168940639619201</v>
      </c>
      <c r="T1053" s="92">
        <v>-6.9184008858807804</v>
      </c>
    </row>
    <row r="1054" spans="2:20" x14ac:dyDescent="0.25">
      <c r="B1054" s="23" t="s">
        <v>5107</v>
      </c>
      <c r="C1054" s="28" t="s">
        <v>493</v>
      </c>
      <c r="D1054" s="155" t="s">
        <v>5108</v>
      </c>
      <c r="H1054" s="92">
        <v>0</v>
      </c>
      <c r="I1054" s="92">
        <v>0</v>
      </c>
      <c r="J1054" s="92">
        <v>0</v>
      </c>
      <c r="K1054" s="92">
        <v>-26.511890999999999</v>
      </c>
      <c r="L1054" s="92">
        <v>-27.30724773</v>
      </c>
      <c r="M1054" s="92">
        <v>-28.126465161900001</v>
      </c>
      <c r="N1054" s="92">
        <v>-28.970259116756999</v>
      </c>
      <c r="O1054" s="92">
        <v>-29.839366890259701</v>
      </c>
      <c r="P1054" s="92">
        <v>-30.734547896967499</v>
      </c>
      <c r="Q1054" s="92">
        <v>-31.656584333876499</v>
      </c>
      <c r="R1054" s="92">
        <v>-32.606281863892796</v>
      </c>
      <c r="S1054" s="92">
        <v>-33.584470319809597</v>
      </c>
      <c r="T1054" s="92">
        <v>-34.5920044294039</v>
      </c>
    </row>
    <row r="1055" spans="2:20" x14ac:dyDescent="0.25">
      <c r="B1055" s="23" t="s">
        <v>5109</v>
      </c>
      <c r="C1055" s="28" t="s">
        <v>493</v>
      </c>
      <c r="D1055" s="155" t="s">
        <v>5110</v>
      </c>
      <c r="H1055" s="92">
        <v>0</v>
      </c>
      <c r="I1055" s="92">
        <v>0</v>
      </c>
      <c r="J1055" s="92">
        <v>0</v>
      </c>
      <c r="K1055" s="92">
        <v>0</v>
      </c>
      <c r="L1055" s="92">
        <v>0</v>
      </c>
      <c r="M1055" s="92">
        <v>0</v>
      </c>
      <c r="N1055" s="92">
        <v>0</v>
      </c>
      <c r="O1055" s="92">
        <v>0</v>
      </c>
      <c r="P1055" s="92">
        <v>0</v>
      </c>
      <c r="Q1055" s="92">
        <v>0</v>
      </c>
      <c r="R1055" s="92">
        <v>0</v>
      </c>
      <c r="S1055" s="92">
        <v>0</v>
      </c>
      <c r="T1055" s="92">
        <v>0</v>
      </c>
    </row>
    <row r="1056" spans="2:20" x14ac:dyDescent="0.25">
      <c r="B1056" s="23" t="s">
        <v>5111</v>
      </c>
      <c r="C1056" s="28" t="s">
        <v>493</v>
      </c>
      <c r="D1056" s="155" t="s">
        <v>5112</v>
      </c>
      <c r="H1056" s="92">
        <v>0</v>
      </c>
      <c r="I1056" s="92">
        <v>0</v>
      </c>
      <c r="J1056" s="92">
        <v>0</v>
      </c>
      <c r="K1056" s="92">
        <v>0</v>
      </c>
      <c r="L1056" s="92">
        <v>0</v>
      </c>
      <c r="M1056" s="92">
        <v>0</v>
      </c>
      <c r="N1056" s="92">
        <v>0</v>
      </c>
      <c r="O1056" s="92">
        <v>0</v>
      </c>
      <c r="P1056" s="92">
        <v>0</v>
      </c>
      <c r="Q1056" s="92">
        <v>0</v>
      </c>
      <c r="R1056" s="92">
        <v>0</v>
      </c>
      <c r="S1056" s="92">
        <v>0</v>
      </c>
      <c r="T1056" s="92">
        <v>0</v>
      </c>
    </row>
    <row r="1057" spans="2:20" x14ac:dyDescent="0.25">
      <c r="B1057" s="23" t="s">
        <v>5113</v>
      </c>
      <c r="C1057" s="28" t="s">
        <v>493</v>
      </c>
      <c r="D1057" s="155" t="s">
        <v>5114</v>
      </c>
      <c r="H1057" s="92">
        <v>0</v>
      </c>
      <c r="I1057" s="92">
        <v>0</v>
      </c>
      <c r="J1057" s="92">
        <v>0</v>
      </c>
      <c r="K1057" s="92">
        <v>21.209512799999999</v>
      </c>
      <c r="L1057" s="92">
        <v>21.845798184</v>
      </c>
      <c r="M1057" s="92">
        <v>22.50117212952</v>
      </c>
      <c r="N1057" s="92">
        <v>23.1762072934056</v>
      </c>
      <c r="O1057" s="92">
        <v>23.871493512207799</v>
      </c>
      <c r="P1057" s="92">
        <v>24.587638317574001</v>
      </c>
      <c r="Q1057" s="92">
        <v>25.325267467101199</v>
      </c>
      <c r="R1057" s="92">
        <v>26.085025491114301</v>
      </c>
      <c r="S1057" s="92">
        <v>26.867576255847698</v>
      </c>
      <c r="T1057" s="92">
        <v>27.6736035435231</v>
      </c>
    </row>
    <row r="1058" spans="2:20" x14ac:dyDescent="0.25">
      <c r="B1058" s="23" t="s">
        <v>5115</v>
      </c>
      <c r="C1058" s="28" t="s">
        <v>493</v>
      </c>
      <c r="D1058" s="155" t="s">
        <v>5116</v>
      </c>
      <c r="H1058" s="92">
        <v>0</v>
      </c>
      <c r="I1058" s="92">
        <v>0</v>
      </c>
      <c r="J1058" s="92">
        <v>0</v>
      </c>
      <c r="K1058" s="92">
        <v>-4.6660928159999999</v>
      </c>
      <c r="L1058" s="92">
        <v>-4.8060756004799998</v>
      </c>
      <c r="M1058" s="92">
        <v>-4.9502578684943996</v>
      </c>
      <c r="N1058" s="92">
        <v>-5.0987656045492296</v>
      </c>
      <c r="O1058" s="92">
        <v>-5.2517285726857104</v>
      </c>
      <c r="P1058" s="92">
        <v>-5.4092804298662802</v>
      </c>
      <c r="Q1058" s="92">
        <v>-5.5715588427622702</v>
      </c>
      <c r="R1058" s="92">
        <v>-5.73870560804514</v>
      </c>
      <c r="S1058" s="92">
        <v>-5.9108667762864897</v>
      </c>
      <c r="T1058" s="92">
        <v>-6.0881927795750901</v>
      </c>
    </row>
    <row r="1059" spans="2:20" x14ac:dyDescent="0.25">
      <c r="B1059" s="23" t="s">
        <v>5117</v>
      </c>
      <c r="C1059" s="28" t="s">
        <v>493</v>
      </c>
      <c r="D1059" s="155" t="s">
        <v>5118</v>
      </c>
      <c r="H1059" s="92">
        <v>0</v>
      </c>
      <c r="I1059" s="92">
        <v>0</v>
      </c>
      <c r="J1059" s="92">
        <v>0</v>
      </c>
      <c r="K1059" s="92">
        <v>16.543419984</v>
      </c>
      <c r="L1059" s="92">
        <v>17.03972258352</v>
      </c>
      <c r="M1059" s="92">
        <v>17.5509142610256</v>
      </c>
      <c r="N1059" s="92">
        <v>18.0774416888564</v>
      </c>
      <c r="O1059" s="92">
        <v>18.619764939522099</v>
      </c>
      <c r="P1059" s="92">
        <v>19.178357887707701</v>
      </c>
      <c r="Q1059" s="92">
        <v>19.753708624339001</v>
      </c>
      <c r="R1059" s="92">
        <v>20.3463198830691</v>
      </c>
      <c r="S1059" s="92">
        <v>20.956709479561201</v>
      </c>
      <c r="T1059" s="92">
        <v>21.585410763948001</v>
      </c>
    </row>
    <row r="1060" spans="2:20" x14ac:dyDescent="0.25">
      <c r="B1060" s="154" t="s">
        <v>5119</v>
      </c>
    </row>
    <row r="1061" spans="2:20" x14ac:dyDescent="0.25">
      <c r="B1061" s="23" t="s">
        <v>5120</v>
      </c>
      <c r="C1061" s="28" t="s">
        <v>493</v>
      </c>
      <c r="D1061" s="155" t="s">
        <v>5121</v>
      </c>
      <c r="H1061" s="92">
        <v>0</v>
      </c>
      <c r="I1061" s="92">
        <v>0</v>
      </c>
      <c r="J1061" s="92">
        <v>0</v>
      </c>
      <c r="K1061" s="92">
        <v>1.560414156</v>
      </c>
      <c r="L1061" s="92">
        <v>1.6072265806799999</v>
      </c>
      <c r="M1061" s="92">
        <v>1.6554433781004001</v>
      </c>
      <c r="N1061" s="92">
        <v>1.70510667944341</v>
      </c>
      <c r="O1061" s="92">
        <v>1.7562598798267099</v>
      </c>
      <c r="P1061" s="92">
        <v>1.80894767622152</v>
      </c>
      <c r="Q1061" s="92">
        <v>1.8632161065081601</v>
      </c>
      <c r="R1061" s="92">
        <v>1.91911258970341</v>
      </c>
      <c r="S1061" s="92">
        <v>1.9766859673945101</v>
      </c>
      <c r="T1061" s="92">
        <v>2.03598654641634</v>
      </c>
    </row>
    <row r="1062" spans="2:20" x14ac:dyDescent="0.25">
      <c r="B1062" s="23" t="s">
        <v>5122</v>
      </c>
      <c r="C1062" s="28" t="s">
        <v>493</v>
      </c>
      <c r="D1062" s="155" t="s">
        <v>5123</v>
      </c>
      <c r="H1062" s="92">
        <v>0</v>
      </c>
      <c r="I1062" s="92">
        <v>0</v>
      </c>
      <c r="J1062" s="92">
        <v>0</v>
      </c>
      <c r="K1062" s="92">
        <v>0</v>
      </c>
      <c r="L1062" s="92">
        <v>0</v>
      </c>
      <c r="M1062" s="92">
        <v>0</v>
      </c>
      <c r="N1062" s="92">
        <v>0</v>
      </c>
      <c r="O1062" s="92">
        <v>0</v>
      </c>
      <c r="P1062" s="92">
        <v>0</v>
      </c>
      <c r="Q1062" s="92">
        <v>0</v>
      </c>
      <c r="R1062" s="92">
        <v>0</v>
      </c>
      <c r="S1062" s="92">
        <v>0</v>
      </c>
      <c r="T1062" s="92">
        <v>0</v>
      </c>
    </row>
    <row r="1063" spans="2:20" x14ac:dyDescent="0.25">
      <c r="B1063" s="23" t="s">
        <v>5124</v>
      </c>
      <c r="C1063" s="28" t="s">
        <v>493</v>
      </c>
      <c r="D1063" s="155" t="s">
        <v>5125</v>
      </c>
      <c r="H1063" s="92">
        <v>0</v>
      </c>
      <c r="I1063" s="92">
        <v>0</v>
      </c>
      <c r="J1063" s="92">
        <v>0</v>
      </c>
      <c r="K1063" s="92">
        <v>-0.31208283120000002</v>
      </c>
      <c r="L1063" s="92">
        <v>-0.32144531613600003</v>
      </c>
      <c r="M1063" s="92">
        <v>-0.33108867562007999</v>
      </c>
      <c r="N1063" s="92">
        <v>-0.341021335888682</v>
      </c>
      <c r="O1063" s="92">
        <v>-0.35125197596534302</v>
      </c>
      <c r="P1063" s="92">
        <v>-0.36178953524430302</v>
      </c>
      <c r="Q1063" s="92">
        <v>-0.37264322130163202</v>
      </c>
      <c r="R1063" s="92">
        <v>-0.38382251794068101</v>
      </c>
      <c r="S1063" s="92">
        <v>-0.395337193478902</v>
      </c>
      <c r="T1063" s="92">
        <v>-0.40719730928326903</v>
      </c>
    </row>
    <row r="1064" spans="2:20" x14ac:dyDescent="0.25">
      <c r="B1064" s="23" t="s">
        <v>5126</v>
      </c>
      <c r="C1064" s="28" t="s">
        <v>493</v>
      </c>
      <c r="D1064" s="155" t="s">
        <v>5127</v>
      </c>
      <c r="H1064" s="92">
        <v>0</v>
      </c>
      <c r="I1064" s="92">
        <v>0</v>
      </c>
      <c r="J1064" s="92">
        <v>0</v>
      </c>
      <c r="K1064" s="92">
        <v>-0.13012000000000001</v>
      </c>
      <c r="L1064" s="92">
        <v>-0.13012000000000001</v>
      </c>
      <c r="M1064" s="92">
        <v>-0.13012000000000001</v>
      </c>
      <c r="N1064" s="92">
        <v>-0.13012000000000001</v>
      </c>
      <c r="O1064" s="92">
        <v>-0.13012000000000001</v>
      </c>
      <c r="P1064" s="92">
        <v>-0.13012000000000001</v>
      </c>
      <c r="Q1064" s="92">
        <v>-0.13012000000000001</v>
      </c>
      <c r="R1064" s="92">
        <v>-0.13012000000000001</v>
      </c>
      <c r="S1064" s="92">
        <v>-0.13012000000000001</v>
      </c>
      <c r="T1064" s="92">
        <v>-0.13012000000000001</v>
      </c>
    </row>
    <row r="1065" spans="2:20" x14ac:dyDescent="0.25">
      <c r="B1065" s="23" t="s">
        <v>5128</v>
      </c>
      <c r="C1065" s="28" t="s">
        <v>493</v>
      </c>
      <c r="D1065" s="155" t="s">
        <v>5129</v>
      </c>
      <c r="H1065" s="92">
        <v>0</v>
      </c>
      <c r="I1065" s="92">
        <v>0</v>
      </c>
      <c r="J1065" s="92">
        <v>0</v>
      </c>
      <c r="K1065" s="92">
        <v>0</v>
      </c>
      <c r="L1065" s="92">
        <v>0</v>
      </c>
      <c r="M1065" s="92">
        <v>0</v>
      </c>
      <c r="N1065" s="92">
        <v>0</v>
      </c>
      <c r="O1065" s="92">
        <v>0</v>
      </c>
      <c r="P1065" s="92">
        <v>0</v>
      </c>
      <c r="Q1065" s="92">
        <v>0</v>
      </c>
      <c r="R1065" s="92">
        <v>0</v>
      </c>
      <c r="S1065" s="92">
        <v>0</v>
      </c>
      <c r="T1065" s="92">
        <v>0</v>
      </c>
    </row>
    <row r="1066" spans="2:20" x14ac:dyDescent="0.25">
      <c r="B1066" s="23" t="s">
        <v>5130</v>
      </c>
      <c r="C1066" s="28" t="s">
        <v>493</v>
      </c>
      <c r="D1066" s="155" t="s">
        <v>5131</v>
      </c>
      <c r="H1066" s="92">
        <v>0</v>
      </c>
      <c r="I1066" s="92">
        <v>0</v>
      </c>
      <c r="J1066" s="92">
        <v>0</v>
      </c>
      <c r="K1066" s="92">
        <v>1.1182113248000001</v>
      </c>
      <c r="L1066" s="92">
        <v>1.1556612645440001</v>
      </c>
      <c r="M1066" s="92">
        <v>1.1942347024803199</v>
      </c>
      <c r="N1066" s="92">
        <v>1.23396534355473</v>
      </c>
      <c r="O1066" s="92">
        <v>1.2748879038613701</v>
      </c>
      <c r="P1066" s="92">
        <v>1.3170381409772101</v>
      </c>
      <c r="Q1066" s="92">
        <v>1.3604528852065301</v>
      </c>
      <c r="R1066" s="92">
        <v>1.40517007176273</v>
      </c>
      <c r="S1066" s="92">
        <v>1.45122877391561</v>
      </c>
      <c r="T1066" s="92">
        <v>1.4986692371330801</v>
      </c>
    </row>
    <row r="1067" spans="2:20" x14ac:dyDescent="0.25">
      <c r="B1067" s="23" t="s">
        <v>5132</v>
      </c>
      <c r="C1067" s="28" t="s">
        <v>493</v>
      </c>
      <c r="D1067" s="155" t="s">
        <v>5133</v>
      </c>
      <c r="H1067" s="92">
        <v>0</v>
      </c>
      <c r="I1067" s="92">
        <v>0</v>
      </c>
      <c r="J1067" s="92">
        <v>0</v>
      </c>
      <c r="K1067" s="92">
        <v>-0.24600649145600001</v>
      </c>
      <c r="L1067" s="92">
        <v>-0.25424547819968002</v>
      </c>
      <c r="M1067" s="92">
        <v>-0.26273163454567</v>
      </c>
      <c r="N1067" s="92">
        <v>-0.27147237558204101</v>
      </c>
      <c r="O1067" s="92">
        <v>-0.28047533884950199</v>
      </c>
      <c r="P1067" s="92">
        <v>-0.28974839101498701</v>
      </c>
      <c r="Q1067" s="92">
        <v>-0.29929963474543603</v>
      </c>
      <c r="R1067" s="92">
        <v>-0.30913741578780002</v>
      </c>
      <c r="S1067" s="92">
        <v>-0.31927033026143398</v>
      </c>
      <c r="T1067" s="92">
        <v>-0.329707232169277</v>
      </c>
    </row>
    <row r="1068" spans="2:20" x14ac:dyDescent="0.25">
      <c r="B1068" s="23" t="s">
        <v>5134</v>
      </c>
      <c r="C1068" s="28" t="s">
        <v>493</v>
      </c>
      <c r="D1068" s="155" t="s">
        <v>5135</v>
      </c>
      <c r="H1068" s="92">
        <v>0</v>
      </c>
      <c r="I1068" s="92">
        <v>0</v>
      </c>
      <c r="J1068" s="92">
        <v>0</v>
      </c>
      <c r="K1068" s="92">
        <v>0.87220483334400001</v>
      </c>
      <c r="L1068" s="92">
        <v>0.90141578634431996</v>
      </c>
      <c r="M1068" s="92">
        <v>0.93150306793464999</v>
      </c>
      <c r="N1068" s="92">
        <v>0.96249296797268902</v>
      </c>
      <c r="O1068" s="92">
        <v>0.99441256501187003</v>
      </c>
      <c r="P1068" s="92">
        <v>1.02728974996223</v>
      </c>
      <c r="Q1068" s="92">
        <v>1.0611532504610901</v>
      </c>
      <c r="R1068" s="92">
        <v>1.09603265597493</v>
      </c>
      <c r="S1068" s="92">
        <v>1.1319584436541701</v>
      </c>
      <c r="T1068" s="92">
        <v>1.1689620049638001</v>
      </c>
    </row>
    <row r="1069" spans="2:20" x14ac:dyDescent="0.25">
      <c r="B1069" s="154" t="s">
        <v>5136</v>
      </c>
    </row>
    <row r="1070" spans="2:20" x14ac:dyDescent="0.25">
      <c r="B1070" s="23" t="s">
        <v>5137</v>
      </c>
      <c r="C1070" s="28" t="s">
        <v>493</v>
      </c>
      <c r="D1070" s="155" t="s">
        <v>5138</v>
      </c>
      <c r="H1070" s="92">
        <v>0</v>
      </c>
      <c r="I1070" s="92">
        <v>0</v>
      </c>
      <c r="J1070" s="92">
        <v>0</v>
      </c>
      <c r="K1070" s="92">
        <v>0</v>
      </c>
      <c r="L1070" s="92">
        <v>58.257839587834397</v>
      </c>
      <c r="M1070" s="92">
        <v>76.900348255941395</v>
      </c>
      <c r="N1070" s="92">
        <v>84.590383081535606</v>
      </c>
      <c r="O1070" s="92">
        <v>102.354363528658</v>
      </c>
      <c r="P1070" s="92">
        <v>108.495625340378</v>
      </c>
      <c r="Q1070" s="92">
        <v>121.905684632448</v>
      </c>
      <c r="R1070" s="92">
        <v>129.22002571039499</v>
      </c>
      <c r="S1070" s="92">
        <v>145.19162088819999</v>
      </c>
      <c r="T1070" s="92">
        <v>153.903118141492</v>
      </c>
    </row>
    <row r="1071" spans="2:20" x14ac:dyDescent="0.25">
      <c r="B1071" s="23" t="s">
        <v>5139</v>
      </c>
      <c r="C1071" s="28" t="s">
        <v>493</v>
      </c>
      <c r="D1071" s="155" t="s">
        <v>5140</v>
      </c>
      <c r="H1071" s="92">
        <v>0</v>
      </c>
      <c r="I1071" s="92">
        <v>0</v>
      </c>
      <c r="J1071" s="92">
        <v>0</v>
      </c>
      <c r="K1071" s="92">
        <v>0</v>
      </c>
      <c r="L1071" s="92">
        <v>-15.060366036570899</v>
      </c>
      <c r="M1071" s="92">
        <v>-18.2933309675674</v>
      </c>
      <c r="N1071" s="92">
        <v>-20.3313841954234</v>
      </c>
      <c r="O1071" s="92">
        <v>-23.455629098209801</v>
      </c>
      <c r="P1071" s="92">
        <v>-25.179645829240801</v>
      </c>
      <c r="Q1071" s="92">
        <v>-26.987302524079201</v>
      </c>
      <c r="R1071" s="92">
        <v>-28.9324768728445</v>
      </c>
      <c r="S1071" s="92">
        <v>-32.887630952372398</v>
      </c>
      <c r="T1071" s="92">
        <v>-35.276654045694102</v>
      </c>
    </row>
    <row r="1072" spans="2:20" x14ac:dyDescent="0.25">
      <c r="B1072" s="23" t="s">
        <v>5141</v>
      </c>
      <c r="C1072" s="28" t="s">
        <v>493</v>
      </c>
      <c r="D1072" s="155" t="s">
        <v>5142</v>
      </c>
      <c r="H1072" s="92">
        <v>0</v>
      </c>
      <c r="I1072" s="92">
        <v>0</v>
      </c>
      <c r="J1072" s="92">
        <v>0</v>
      </c>
      <c r="K1072" s="92">
        <v>0</v>
      </c>
      <c r="L1072" s="92">
        <v>-10.0914541184959</v>
      </c>
      <c r="M1072" s="92">
        <v>-12.1358719942834</v>
      </c>
      <c r="N1072" s="92">
        <v>-13.3783735393143</v>
      </c>
      <c r="O1072" s="92">
        <v>-15.3047454774039</v>
      </c>
      <c r="P1072" s="92">
        <v>-16.258440915252201</v>
      </c>
      <c r="Q1072" s="92">
        <v>-17.271708621838499</v>
      </c>
      <c r="R1072" s="92">
        <v>-18.3482782326079</v>
      </c>
      <c r="S1072" s="92">
        <v>-20.6616401893288</v>
      </c>
      <c r="T1072" s="92">
        <v>-21.949872022071499</v>
      </c>
    </row>
    <row r="1073" spans="2:20" x14ac:dyDescent="0.25">
      <c r="B1073" s="23" t="s">
        <v>5143</v>
      </c>
      <c r="C1073" s="28" t="s">
        <v>493</v>
      </c>
      <c r="D1073" s="155" t="s">
        <v>5144</v>
      </c>
      <c r="H1073" s="92">
        <v>0</v>
      </c>
      <c r="I1073" s="92">
        <v>0</v>
      </c>
      <c r="J1073" s="92">
        <v>0</v>
      </c>
      <c r="K1073" s="92">
        <v>0</v>
      </c>
      <c r="L1073" s="92">
        <v>-7.1509375000000004</v>
      </c>
      <c r="M1073" s="92">
        <v>-7.1509375000000004</v>
      </c>
      <c r="N1073" s="92">
        <v>-7.1509375000000004</v>
      </c>
      <c r="O1073" s="92">
        <v>-7.1509375000000004</v>
      </c>
      <c r="P1073" s="92">
        <v>-7.1509375000000004</v>
      </c>
      <c r="Q1073" s="92">
        <v>-7.1509375000000004</v>
      </c>
      <c r="R1073" s="92">
        <v>-7.1509375000000004</v>
      </c>
      <c r="S1073" s="92">
        <v>-7.1509375000000004</v>
      </c>
      <c r="T1073" s="92">
        <v>-7.1509375000000004</v>
      </c>
    </row>
    <row r="1074" spans="2:20" x14ac:dyDescent="0.25">
      <c r="B1074" s="23" t="s">
        <v>5145</v>
      </c>
      <c r="C1074" s="28" t="s">
        <v>493</v>
      </c>
      <c r="D1074" s="155" t="s">
        <v>5146</v>
      </c>
      <c r="H1074" s="92">
        <v>0</v>
      </c>
      <c r="I1074" s="92">
        <v>0</v>
      </c>
      <c r="J1074" s="92">
        <v>0</v>
      </c>
      <c r="K1074" s="92">
        <v>0</v>
      </c>
      <c r="L1074" s="92">
        <v>0</v>
      </c>
      <c r="M1074" s="92">
        <v>0</v>
      </c>
      <c r="N1074" s="92">
        <v>0</v>
      </c>
      <c r="O1074" s="92">
        <v>0</v>
      </c>
      <c r="P1074" s="92">
        <v>0</v>
      </c>
      <c r="Q1074" s="92">
        <v>0</v>
      </c>
      <c r="R1074" s="92">
        <v>0</v>
      </c>
      <c r="S1074" s="92">
        <v>0</v>
      </c>
      <c r="T1074" s="92">
        <v>0</v>
      </c>
    </row>
    <row r="1075" spans="2:20" x14ac:dyDescent="0.25">
      <c r="B1075" s="23" t="s">
        <v>5147</v>
      </c>
      <c r="C1075" s="28" t="s">
        <v>493</v>
      </c>
      <c r="D1075" s="155" t="s">
        <v>5148</v>
      </c>
      <c r="H1075" s="92">
        <v>0</v>
      </c>
      <c r="I1075" s="92">
        <v>0</v>
      </c>
      <c r="J1075" s="92">
        <v>0</v>
      </c>
      <c r="K1075" s="92">
        <v>0</v>
      </c>
      <c r="L1075" s="92">
        <v>25.955081932767602</v>
      </c>
      <c r="M1075" s="92">
        <v>39.320207794090599</v>
      </c>
      <c r="N1075" s="92">
        <v>43.729687846797901</v>
      </c>
      <c r="O1075" s="92">
        <v>56.443051453044298</v>
      </c>
      <c r="P1075" s="92">
        <v>59.906601095884596</v>
      </c>
      <c r="Q1075" s="92">
        <v>70.495735986530505</v>
      </c>
      <c r="R1075" s="92">
        <v>74.788333104942694</v>
      </c>
      <c r="S1075" s="92">
        <v>84.491412246498797</v>
      </c>
      <c r="T1075" s="92">
        <v>89.525654573726399</v>
      </c>
    </row>
    <row r="1076" spans="2:20" x14ac:dyDescent="0.25">
      <c r="B1076" s="23" t="s">
        <v>5149</v>
      </c>
      <c r="C1076" s="28" t="s">
        <v>493</v>
      </c>
      <c r="D1076" s="155" t="s">
        <v>5150</v>
      </c>
      <c r="H1076" s="92">
        <v>0</v>
      </c>
      <c r="I1076" s="92">
        <v>0</v>
      </c>
      <c r="J1076" s="92">
        <v>0</v>
      </c>
      <c r="K1076" s="92">
        <v>0</v>
      </c>
      <c r="L1076" s="92">
        <v>-5.7101180252088701</v>
      </c>
      <c r="M1076" s="92">
        <v>-8.6504457146999307</v>
      </c>
      <c r="N1076" s="92">
        <v>-9.6205313262955308</v>
      </c>
      <c r="O1076" s="92">
        <v>-12.417471319669801</v>
      </c>
      <c r="P1076" s="92">
        <v>-13.1794522410946</v>
      </c>
      <c r="Q1076" s="92">
        <v>-15.5090619170367</v>
      </c>
      <c r="R1076" s="92">
        <v>-16.453433283087399</v>
      </c>
      <c r="S1076" s="92">
        <v>-18.588110694229702</v>
      </c>
      <c r="T1076" s="92">
        <v>-19.695644006219801</v>
      </c>
    </row>
    <row r="1077" spans="2:20" x14ac:dyDescent="0.25">
      <c r="B1077" s="23" t="s">
        <v>5151</v>
      </c>
      <c r="C1077" s="28" t="s">
        <v>493</v>
      </c>
      <c r="D1077" s="155" t="s">
        <v>5152</v>
      </c>
      <c r="H1077" s="92">
        <v>0</v>
      </c>
      <c r="I1077" s="92">
        <v>0</v>
      </c>
      <c r="J1077" s="92">
        <v>0</v>
      </c>
      <c r="K1077" s="92">
        <v>0</v>
      </c>
      <c r="L1077" s="92">
        <v>20.244963907558699</v>
      </c>
      <c r="M1077" s="92">
        <v>30.669762079390701</v>
      </c>
      <c r="N1077" s="92">
        <v>34.109156520502303</v>
      </c>
      <c r="O1077" s="92">
        <v>44.025580133374604</v>
      </c>
      <c r="P1077" s="92">
        <v>46.727148854790002</v>
      </c>
      <c r="Q1077" s="92">
        <v>54.986674069493802</v>
      </c>
      <c r="R1077" s="92">
        <v>58.334899821855302</v>
      </c>
      <c r="S1077" s="92">
        <v>65.903301552269099</v>
      </c>
      <c r="T1077" s="92">
        <v>69.830010567506605</v>
      </c>
    </row>
    <row r="1078" spans="2:20" x14ac:dyDescent="0.25">
      <c r="B1078" s="154" t="s">
        <v>5153</v>
      </c>
    </row>
    <row r="1079" spans="2:20" x14ac:dyDescent="0.25">
      <c r="B1079" s="23" t="s">
        <v>5154</v>
      </c>
      <c r="C1079" s="28" t="s">
        <v>493</v>
      </c>
      <c r="D1079" s="155" t="s">
        <v>5155</v>
      </c>
      <c r="H1079" s="92">
        <v>0</v>
      </c>
      <c r="I1079" s="92">
        <v>0</v>
      </c>
      <c r="J1079" s="92">
        <v>0</v>
      </c>
      <c r="K1079" s="92">
        <v>0</v>
      </c>
      <c r="L1079" s="92">
        <v>0.46400000000000002</v>
      </c>
      <c r="M1079" s="92">
        <v>0.51039999999999996</v>
      </c>
      <c r="N1079" s="92">
        <v>0.56144000000000005</v>
      </c>
      <c r="O1079" s="92">
        <v>0.61758400000000002</v>
      </c>
      <c r="P1079" s="92">
        <v>0.65463903999999995</v>
      </c>
      <c r="Q1079" s="92">
        <v>0.6939173824</v>
      </c>
      <c r="R1079" s="92">
        <v>0.735552425344</v>
      </c>
      <c r="S1079" s="92">
        <v>0.77968557086463997</v>
      </c>
      <c r="T1079" s="92">
        <v>0.82646670511651898</v>
      </c>
    </row>
    <row r="1080" spans="2:20" x14ac:dyDescent="0.25">
      <c r="B1080" s="23" t="s">
        <v>5156</v>
      </c>
      <c r="C1080" s="28" t="s">
        <v>493</v>
      </c>
      <c r="D1080" s="155" t="s">
        <v>5157</v>
      </c>
      <c r="H1080" s="92">
        <v>0</v>
      </c>
      <c r="I1080" s="92">
        <v>0</v>
      </c>
      <c r="J1080" s="92">
        <v>0</v>
      </c>
      <c r="K1080" s="92">
        <v>0</v>
      </c>
      <c r="L1080" s="92">
        <v>0</v>
      </c>
      <c r="M1080" s="92">
        <v>0</v>
      </c>
      <c r="N1080" s="92">
        <v>0</v>
      </c>
      <c r="O1080" s="92">
        <v>0</v>
      </c>
      <c r="P1080" s="92">
        <v>0</v>
      </c>
      <c r="Q1080" s="92">
        <v>0</v>
      </c>
      <c r="R1080" s="92">
        <v>0</v>
      </c>
      <c r="S1080" s="92">
        <v>0</v>
      </c>
      <c r="T1080" s="92">
        <v>0</v>
      </c>
    </row>
    <row r="1081" spans="2:20" x14ac:dyDescent="0.25">
      <c r="B1081" s="23" t="s">
        <v>5158</v>
      </c>
      <c r="C1081" s="28" t="s">
        <v>493</v>
      </c>
      <c r="D1081" s="155" t="s">
        <v>5159</v>
      </c>
      <c r="H1081" s="92">
        <v>0</v>
      </c>
      <c r="I1081" s="92">
        <v>0</v>
      </c>
      <c r="J1081" s="92">
        <v>0</v>
      </c>
      <c r="K1081" s="92">
        <v>0</v>
      </c>
      <c r="L1081" s="92">
        <v>-9.2799999999999994E-2</v>
      </c>
      <c r="M1081" s="92">
        <v>-0.10208</v>
      </c>
      <c r="N1081" s="92">
        <v>-0.112288</v>
      </c>
      <c r="O1081" s="92">
        <v>-0.1235168</v>
      </c>
      <c r="P1081" s="92">
        <v>-0.13092780800000001</v>
      </c>
      <c r="Q1081" s="92">
        <v>-0.13878347648</v>
      </c>
      <c r="R1081" s="92">
        <v>-0.14711048506880001</v>
      </c>
      <c r="S1081" s="92">
        <v>-0.15593711417292799</v>
      </c>
      <c r="T1081" s="92">
        <v>-0.16529334102330401</v>
      </c>
    </row>
    <row r="1082" spans="2:20" x14ac:dyDescent="0.25">
      <c r="B1082" s="23" t="s">
        <v>5160</v>
      </c>
      <c r="C1082" s="28" t="s">
        <v>493</v>
      </c>
      <c r="D1082" s="155" t="s">
        <v>5161</v>
      </c>
      <c r="H1082" s="92">
        <v>0</v>
      </c>
      <c r="I1082" s="92">
        <v>0</v>
      </c>
      <c r="J1082" s="92">
        <v>0</v>
      </c>
      <c r="K1082" s="92">
        <v>0</v>
      </c>
      <c r="L1082" s="92">
        <v>-9.7589999999999996E-2</v>
      </c>
      <c r="M1082" s="92">
        <v>-9.7589999999999996E-2</v>
      </c>
      <c r="N1082" s="92">
        <v>-9.7589999999999996E-2</v>
      </c>
      <c r="O1082" s="92">
        <v>-9.7589999999999996E-2</v>
      </c>
      <c r="P1082" s="92">
        <v>-9.7589999999999996E-2</v>
      </c>
      <c r="Q1082" s="92">
        <v>-9.7589999999999996E-2</v>
      </c>
      <c r="R1082" s="92">
        <v>-9.7589999999999996E-2</v>
      </c>
      <c r="S1082" s="92">
        <v>-9.7589999999999996E-2</v>
      </c>
      <c r="T1082" s="92">
        <v>-9.7589999999999996E-2</v>
      </c>
    </row>
    <row r="1083" spans="2:20" x14ac:dyDescent="0.25">
      <c r="B1083" s="23" t="s">
        <v>5162</v>
      </c>
      <c r="C1083" s="28" t="s">
        <v>493</v>
      </c>
      <c r="D1083" s="155" t="s">
        <v>5163</v>
      </c>
      <c r="H1083" s="92">
        <v>0</v>
      </c>
      <c r="I1083" s="92">
        <v>0</v>
      </c>
      <c r="J1083" s="92">
        <v>0</v>
      </c>
      <c r="K1083" s="92">
        <v>0</v>
      </c>
      <c r="L1083" s="92">
        <v>0</v>
      </c>
      <c r="M1083" s="92">
        <v>0</v>
      </c>
      <c r="N1083" s="92">
        <v>0</v>
      </c>
      <c r="O1083" s="92">
        <v>0</v>
      </c>
      <c r="P1083" s="92">
        <v>0</v>
      </c>
      <c r="Q1083" s="92">
        <v>0</v>
      </c>
      <c r="R1083" s="92">
        <v>0</v>
      </c>
      <c r="S1083" s="92">
        <v>0</v>
      </c>
      <c r="T1083" s="92">
        <v>0</v>
      </c>
    </row>
    <row r="1084" spans="2:20" x14ac:dyDescent="0.25">
      <c r="B1084" s="23" t="s">
        <v>5164</v>
      </c>
      <c r="C1084" s="28" t="s">
        <v>493</v>
      </c>
      <c r="D1084" s="155" t="s">
        <v>5165</v>
      </c>
      <c r="H1084" s="92">
        <v>0</v>
      </c>
      <c r="I1084" s="92">
        <v>0</v>
      </c>
      <c r="J1084" s="92">
        <v>0</v>
      </c>
      <c r="K1084" s="92">
        <v>0</v>
      </c>
      <c r="L1084" s="92">
        <v>0.27361000000000002</v>
      </c>
      <c r="M1084" s="92">
        <v>0.31073000000000001</v>
      </c>
      <c r="N1084" s="92">
        <v>0.35156199999999999</v>
      </c>
      <c r="O1084" s="92">
        <v>0.39647719999999997</v>
      </c>
      <c r="P1084" s="92">
        <v>0.42612123200000002</v>
      </c>
      <c r="Q1084" s="92">
        <v>0.45754390591999999</v>
      </c>
      <c r="R1084" s="92">
        <v>0.49085194027520002</v>
      </c>
      <c r="S1084" s="92">
        <v>0.52615845669171202</v>
      </c>
      <c r="T1084" s="92">
        <v>0.56358336409321497</v>
      </c>
    </row>
    <row r="1085" spans="2:20" x14ac:dyDescent="0.25">
      <c r="B1085" s="23" t="s">
        <v>5166</v>
      </c>
      <c r="C1085" s="28" t="s">
        <v>493</v>
      </c>
      <c r="D1085" s="155" t="s">
        <v>5167</v>
      </c>
      <c r="H1085" s="92">
        <v>0</v>
      </c>
      <c r="I1085" s="92">
        <v>0</v>
      </c>
      <c r="J1085" s="92">
        <v>0</v>
      </c>
      <c r="K1085" s="92">
        <v>0</v>
      </c>
      <c r="L1085" s="92">
        <v>-6.0194200000000003E-2</v>
      </c>
      <c r="M1085" s="92">
        <v>-6.8360599999999994E-2</v>
      </c>
      <c r="N1085" s="92">
        <v>-7.7343640000000005E-2</v>
      </c>
      <c r="O1085" s="92">
        <v>-8.7224984000000005E-2</v>
      </c>
      <c r="P1085" s="92">
        <v>-9.3746671040000104E-2</v>
      </c>
      <c r="Q1085" s="92">
        <v>-0.10065965930240001</v>
      </c>
      <c r="R1085" s="92">
        <v>-0.10798742686054399</v>
      </c>
      <c r="S1085" s="92">
        <v>-0.11575486047217701</v>
      </c>
      <c r="T1085" s="92">
        <v>-0.12398834010050699</v>
      </c>
    </row>
    <row r="1086" spans="2:20" x14ac:dyDescent="0.25">
      <c r="B1086" s="23" t="s">
        <v>5168</v>
      </c>
      <c r="C1086" s="28" t="s">
        <v>493</v>
      </c>
      <c r="D1086" s="155" t="s">
        <v>5169</v>
      </c>
      <c r="H1086" s="92">
        <v>0</v>
      </c>
      <c r="I1086" s="92">
        <v>0</v>
      </c>
      <c r="J1086" s="92">
        <v>0</v>
      </c>
      <c r="K1086" s="92">
        <v>0</v>
      </c>
      <c r="L1086" s="92">
        <v>0.21341579999999999</v>
      </c>
      <c r="M1086" s="92">
        <v>0.24236940000000001</v>
      </c>
      <c r="N1086" s="92">
        <v>0.27421835999999999</v>
      </c>
      <c r="O1086" s="92">
        <v>0.30925221600000002</v>
      </c>
      <c r="P1086" s="92">
        <v>0.33237456096000001</v>
      </c>
      <c r="Q1086" s="92">
        <v>0.35688424661759999</v>
      </c>
      <c r="R1086" s="92">
        <v>0.38286451341465599</v>
      </c>
      <c r="S1086" s="92">
        <v>0.41040359621953598</v>
      </c>
      <c r="T1086" s="92">
        <v>0.439595023992708</v>
      </c>
    </row>
    <row r="1087" spans="2:20" x14ac:dyDescent="0.25">
      <c r="B1087" s="154" t="s">
        <v>5170</v>
      </c>
    </row>
    <row r="1088" spans="2:20" x14ac:dyDescent="0.25">
      <c r="B1088" s="23" t="s">
        <v>5171</v>
      </c>
      <c r="C1088" s="28" t="s">
        <v>493</v>
      </c>
      <c r="D1088" s="155" t="s">
        <v>5172</v>
      </c>
      <c r="H1088" s="92">
        <v>22.243500000000001</v>
      </c>
      <c r="I1088" s="92">
        <v>22.910805</v>
      </c>
      <c r="J1088" s="92">
        <v>34.967927062500003</v>
      </c>
      <c r="K1088" s="92">
        <v>44.806464874375003</v>
      </c>
      <c r="L1088" s="92">
        <v>49.526879285224403</v>
      </c>
      <c r="M1088" s="92">
        <v>54.524582100569603</v>
      </c>
      <c r="N1088" s="92">
        <v>59.814056563626799</v>
      </c>
      <c r="O1088" s="92">
        <v>65.410532896236901</v>
      </c>
      <c r="P1088" s="92">
        <v>71.3300278500692</v>
      </c>
      <c r="Q1088" s="92">
        <v>77.589386431650695</v>
      </c>
      <c r="R1088" s="92">
        <v>84.2063259248648</v>
      </c>
      <c r="S1088" s="92">
        <v>57.796655450704399</v>
      </c>
      <c r="T1088" s="92">
        <v>61.316471767652402</v>
      </c>
    </row>
    <row r="1089" spans="2:20" x14ac:dyDescent="0.25">
      <c r="B1089" s="23" t="s">
        <v>5173</v>
      </c>
      <c r="C1089" s="28" t="s">
        <v>493</v>
      </c>
      <c r="D1089" s="155" t="s">
        <v>5174</v>
      </c>
      <c r="H1089" s="92">
        <v>-8.0261410826860793</v>
      </c>
      <c r="I1089" s="92">
        <v>-8.3557264915943001</v>
      </c>
      <c r="J1089" s="92">
        <v>-9.4119430636882608</v>
      </c>
      <c r="K1089" s="92">
        <v>-10.5611769254179</v>
      </c>
      <c r="L1089" s="92">
        <v>-11.206909748880101</v>
      </c>
      <c r="M1089" s="92">
        <v>-11.885866054783801</v>
      </c>
      <c r="N1089" s="92">
        <v>-12.599669717917299</v>
      </c>
      <c r="O1089" s="92">
        <v>-13.350024865096501</v>
      </c>
      <c r="P1089" s="92">
        <v>-14.1387200008527</v>
      </c>
      <c r="Q1089" s="92">
        <v>-14.9676323555856</v>
      </c>
      <c r="R1089" s="92">
        <v>-15.838732468706899</v>
      </c>
      <c r="S1089" s="92">
        <v>-13.6681533075036</v>
      </c>
      <c r="T1089" s="92">
        <v>-14.271116133757801</v>
      </c>
    </row>
    <row r="1090" spans="2:20" x14ac:dyDescent="0.25">
      <c r="B1090" s="23" t="s">
        <v>5175</v>
      </c>
      <c r="C1090" s="28" t="s">
        <v>493</v>
      </c>
      <c r="D1090" s="155" t="s">
        <v>5176</v>
      </c>
      <c r="H1090" s="92">
        <v>-3.0717537533632</v>
      </c>
      <c r="I1090" s="92">
        <v>-3.1589970459708701</v>
      </c>
      <c r="J1090" s="92">
        <v>-3.24877039555507</v>
      </c>
      <c r="K1090" s="92">
        <v>-3.3411483420499901</v>
      </c>
      <c r="L1090" s="92">
        <v>-3.4362076477594901</v>
      </c>
      <c r="M1090" s="92">
        <v>-3.5340273642208402</v>
      </c>
      <c r="N1090" s="92">
        <v>-3.6346889010947301</v>
      </c>
      <c r="O1090" s="92">
        <v>-3.7382760971431299</v>
      </c>
      <c r="P1090" s="92">
        <v>-3.8448752933588799</v>
      </c>
      <c r="Q1090" s="92">
        <v>-3.9545754083124098</v>
      </c>
      <c r="R1090" s="92">
        <v>-4.0674680157833603</v>
      </c>
      <c r="S1090" s="92">
        <v>-4.1836474247467299</v>
      </c>
      <c r="T1090" s="92">
        <v>-4.3032107617854001</v>
      </c>
    </row>
    <row r="1091" spans="2:20" x14ac:dyDescent="0.25">
      <c r="B1091" s="23" t="s">
        <v>5177</v>
      </c>
      <c r="C1091" s="28" t="s">
        <v>493</v>
      </c>
      <c r="D1091" s="155" t="s">
        <v>5178</v>
      </c>
      <c r="H1091" s="92">
        <v>-5.2339742134299998</v>
      </c>
      <c r="I1091" s="92">
        <v>-5.2339742134299998</v>
      </c>
      <c r="J1091" s="92">
        <v>-15.733312106714999</v>
      </c>
      <c r="K1091" s="92">
        <v>-13.116325</v>
      </c>
      <c r="L1091" s="92">
        <v>-13.116325</v>
      </c>
      <c r="M1091" s="92">
        <v>-13.116325</v>
      </c>
      <c r="N1091" s="92">
        <v>-13.116325</v>
      </c>
      <c r="O1091" s="92">
        <v>-13.116325</v>
      </c>
      <c r="P1091" s="92">
        <v>-13.116325</v>
      </c>
      <c r="Q1091" s="92">
        <v>-13.116325</v>
      </c>
      <c r="R1091" s="92">
        <v>-13.116325</v>
      </c>
      <c r="S1091" s="92">
        <v>-13.116325</v>
      </c>
      <c r="T1091" s="92">
        <v>-13.116325</v>
      </c>
    </row>
    <row r="1092" spans="2:20" x14ac:dyDescent="0.25">
      <c r="B1092" s="23" t="s">
        <v>5179</v>
      </c>
      <c r="C1092" s="28" t="s">
        <v>493</v>
      </c>
      <c r="D1092" s="155" t="s">
        <v>5180</v>
      </c>
      <c r="H1092" s="92">
        <v>0</v>
      </c>
      <c r="I1092" s="92">
        <v>0</v>
      </c>
      <c r="J1092" s="92">
        <v>0</v>
      </c>
      <c r="K1092" s="92">
        <v>0</v>
      </c>
      <c r="L1092" s="92">
        <v>0</v>
      </c>
      <c r="M1092" s="92">
        <v>0</v>
      </c>
      <c r="N1092" s="92">
        <v>0</v>
      </c>
      <c r="O1092" s="92">
        <v>0</v>
      </c>
      <c r="P1092" s="92">
        <v>0</v>
      </c>
      <c r="Q1092" s="92">
        <v>0</v>
      </c>
      <c r="R1092" s="92">
        <v>0</v>
      </c>
      <c r="S1092" s="92">
        <v>0</v>
      </c>
      <c r="T1092" s="92">
        <v>0</v>
      </c>
    </row>
    <row r="1093" spans="2:20" x14ac:dyDescent="0.25">
      <c r="B1093" s="23" t="s">
        <v>5181</v>
      </c>
      <c r="C1093" s="28" t="s">
        <v>493</v>
      </c>
      <c r="D1093" s="155" t="s">
        <v>5182</v>
      </c>
      <c r="H1093" s="92">
        <v>5.9116309505207196</v>
      </c>
      <c r="I1093" s="92">
        <v>6.1621072490048299</v>
      </c>
      <c r="J1093" s="92">
        <v>6.5739014965416702</v>
      </c>
      <c r="K1093" s="92">
        <v>17.787814606907101</v>
      </c>
      <c r="L1093" s="92">
        <v>21.7674368885848</v>
      </c>
      <c r="M1093" s="92">
        <v>25.988363681565001</v>
      </c>
      <c r="N1093" s="92">
        <v>30.4633729446148</v>
      </c>
      <c r="O1093" s="92">
        <v>35.205906933997298</v>
      </c>
      <c r="P1093" s="92">
        <v>40.2301075558576</v>
      </c>
      <c r="Q1093" s="92">
        <v>45.550853667752698</v>
      </c>
      <c r="R1093" s="92">
        <v>51.183800440374597</v>
      </c>
      <c r="S1093" s="92">
        <v>26.828529718454099</v>
      </c>
      <c r="T1093" s="92">
        <v>29.625819872109101</v>
      </c>
    </row>
    <row r="1094" spans="2:20" x14ac:dyDescent="0.25">
      <c r="B1094" s="23" t="s">
        <v>5183</v>
      </c>
      <c r="C1094" s="28" t="s">
        <v>493</v>
      </c>
      <c r="D1094" s="155" t="s">
        <v>5184</v>
      </c>
      <c r="H1094" s="92">
        <v>-1.3005588091145599</v>
      </c>
      <c r="I1094" s="92">
        <v>-1.35566359478106</v>
      </c>
      <c r="J1094" s="92">
        <v>-1.44625832923917</v>
      </c>
      <c r="K1094" s="92">
        <v>-3.9133192135195598</v>
      </c>
      <c r="L1094" s="92">
        <v>-4.7888361154886701</v>
      </c>
      <c r="M1094" s="92">
        <v>-5.7174400099443003</v>
      </c>
      <c r="N1094" s="92">
        <v>-6.7019420478152503</v>
      </c>
      <c r="O1094" s="92">
        <v>-7.7452995254794104</v>
      </c>
      <c r="P1094" s="92">
        <v>-8.8506236622886707</v>
      </c>
      <c r="Q1094" s="92">
        <v>-10.0211878069056</v>
      </c>
      <c r="R1094" s="92">
        <v>-11.260436096882399</v>
      </c>
      <c r="S1094" s="92">
        <v>-5.9022765380599003</v>
      </c>
      <c r="T1094" s="92">
        <v>-6.5176803718640102</v>
      </c>
    </row>
    <row r="1095" spans="2:20" x14ac:dyDescent="0.25">
      <c r="B1095" s="23" t="s">
        <v>5185</v>
      </c>
      <c r="C1095" s="28" t="s">
        <v>493</v>
      </c>
      <c r="D1095" s="155" t="s">
        <v>5186</v>
      </c>
      <c r="H1095" s="92">
        <v>4.6110721414061597</v>
      </c>
      <c r="I1095" s="92">
        <v>4.8064436542237701</v>
      </c>
      <c r="J1095" s="92">
        <v>5.1276431673025096</v>
      </c>
      <c r="K1095" s="92">
        <v>13.8744953933875</v>
      </c>
      <c r="L1095" s="92">
        <v>16.978600773096201</v>
      </c>
      <c r="M1095" s="92">
        <v>20.2709236716207</v>
      </c>
      <c r="N1095" s="92">
        <v>23.761430896799499</v>
      </c>
      <c r="O1095" s="92">
        <v>27.460607408517902</v>
      </c>
      <c r="P1095" s="92">
        <v>31.379483893568899</v>
      </c>
      <c r="Q1095" s="92">
        <v>35.529665860847103</v>
      </c>
      <c r="R1095" s="92">
        <v>39.923364343492203</v>
      </c>
      <c r="S1095" s="92">
        <v>20.926253180394198</v>
      </c>
      <c r="T1095" s="92">
        <v>23.108139500245102</v>
      </c>
    </row>
    <row r="1096" spans="2:20" x14ac:dyDescent="0.25">
      <c r="B1096" s="154" t="s">
        <v>5187</v>
      </c>
    </row>
    <row r="1097" spans="2:20" x14ac:dyDescent="0.25">
      <c r="B1097" s="23" t="s">
        <v>5188</v>
      </c>
      <c r="C1097" s="28" t="s">
        <v>493</v>
      </c>
      <c r="D1097" s="155" t="s">
        <v>5189</v>
      </c>
      <c r="H1097" s="92">
        <v>0</v>
      </c>
      <c r="I1097" s="92">
        <v>0</v>
      </c>
      <c r="J1097" s="92">
        <v>0</v>
      </c>
      <c r="K1097" s="92">
        <v>0.4507498875</v>
      </c>
      <c r="L1097" s="92">
        <v>0.46427238412499999</v>
      </c>
      <c r="M1097" s="92">
        <v>0.47820055564875003</v>
      </c>
      <c r="N1097" s="92">
        <v>0.49254657231821303</v>
      </c>
      <c r="O1097" s="92">
        <v>0.50732296948775901</v>
      </c>
      <c r="P1097" s="92">
        <v>0.52254265857239202</v>
      </c>
      <c r="Q1097" s="92">
        <v>0.53821893832956402</v>
      </c>
      <c r="R1097" s="92">
        <v>0.55436550647945004</v>
      </c>
      <c r="S1097" s="92">
        <v>0.57099647167383405</v>
      </c>
      <c r="T1097" s="92">
        <v>0.58812636582404898</v>
      </c>
    </row>
    <row r="1098" spans="2:20" x14ac:dyDescent="0.25">
      <c r="B1098" s="23" t="s">
        <v>5190</v>
      </c>
      <c r="C1098" s="28" t="s">
        <v>493</v>
      </c>
      <c r="D1098" s="155" t="s">
        <v>5191</v>
      </c>
      <c r="H1098" s="92">
        <v>0</v>
      </c>
      <c r="I1098" s="92">
        <v>0</v>
      </c>
      <c r="J1098" s="92">
        <v>0</v>
      </c>
      <c r="K1098" s="92">
        <v>0</v>
      </c>
      <c r="L1098" s="92">
        <v>0</v>
      </c>
      <c r="M1098" s="92">
        <v>0</v>
      </c>
      <c r="N1098" s="92">
        <v>0</v>
      </c>
      <c r="O1098" s="92">
        <v>0</v>
      </c>
      <c r="P1098" s="92">
        <v>0</v>
      </c>
      <c r="Q1098" s="92">
        <v>0</v>
      </c>
      <c r="R1098" s="92">
        <v>0</v>
      </c>
      <c r="S1098" s="92">
        <v>0</v>
      </c>
      <c r="T1098" s="92">
        <v>0</v>
      </c>
    </row>
    <row r="1099" spans="2:20" x14ac:dyDescent="0.25">
      <c r="B1099" s="23" t="s">
        <v>5192</v>
      </c>
      <c r="C1099" s="28" t="s">
        <v>493</v>
      </c>
      <c r="D1099" s="155" t="s">
        <v>5193</v>
      </c>
      <c r="H1099" s="92">
        <v>0</v>
      </c>
      <c r="I1099" s="92">
        <v>0</v>
      </c>
      <c r="J1099" s="92">
        <v>0</v>
      </c>
      <c r="K1099" s="92">
        <v>-9.0149977500000006E-2</v>
      </c>
      <c r="L1099" s="92">
        <v>-9.2854476825000004E-2</v>
      </c>
      <c r="M1099" s="92">
        <v>-9.5640111129750002E-2</v>
      </c>
      <c r="N1099" s="92">
        <v>-9.85093144636425E-2</v>
      </c>
      <c r="O1099" s="92">
        <v>-0.101464593897552</v>
      </c>
      <c r="P1099" s="92">
        <v>-0.10450853171447801</v>
      </c>
      <c r="Q1099" s="92">
        <v>-0.107643787665913</v>
      </c>
      <c r="R1099" s="92">
        <v>-0.11087310129588999</v>
      </c>
      <c r="S1099" s="92">
        <v>-0.114199294334767</v>
      </c>
      <c r="T1099" s="92">
        <v>-0.11762527316481</v>
      </c>
    </row>
    <row r="1100" spans="2:20" x14ac:dyDescent="0.25">
      <c r="B1100" s="23" t="s">
        <v>5194</v>
      </c>
      <c r="C1100" s="28" t="s">
        <v>493</v>
      </c>
      <c r="D1100" s="155" t="s">
        <v>5195</v>
      </c>
      <c r="H1100" s="92">
        <v>0</v>
      </c>
      <c r="I1100" s="92">
        <v>0</v>
      </c>
      <c r="J1100" s="92">
        <v>0</v>
      </c>
      <c r="K1100" s="92">
        <v>-0.13012000000000001</v>
      </c>
      <c r="L1100" s="92">
        <v>-0.13012000000000001</v>
      </c>
      <c r="M1100" s="92">
        <v>-0.13012000000000001</v>
      </c>
      <c r="N1100" s="92">
        <v>-0.13012000000000001</v>
      </c>
      <c r="O1100" s="92">
        <v>-0.13012000000000001</v>
      </c>
      <c r="P1100" s="92">
        <v>-0.13012000000000001</v>
      </c>
      <c r="Q1100" s="92">
        <v>-0.13012000000000001</v>
      </c>
      <c r="R1100" s="92">
        <v>-0.13012000000000001</v>
      </c>
      <c r="S1100" s="92">
        <v>-0.13012000000000001</v>
      </c>
      <c r="T1100" s="92">
        <v>-0.13012000000000001</v>
      </c>
    </row>
    <row r="1101" spans="2:20" x14ac:dyDescent="0.25">
      <c r="B1101" s="23" t="s">
        <v>5196</v>
      </c>
      <c r="C1101" s="28" t="s">
        <v>493</v>
      </c>
      <c r="D1101" s="155" t="s">
        <v>5197</v>
      </c>
      <c r="H1101" s="92">
        <v>0</v>
      </c>
      <c r="I1101" s="92">
        <v>0</v>
      </c>
      <c r="J1101" s="92">
        <v>0</v>
      </c>
      <c r="K1101" s="92">
        <v>0</v>
      </c>
      <c r="L1101" s="92">
        <v>0</v>
      </c>
      <c r="M1101" s="92">
        <v>0</v>
      </c>
      <c r="N1101" s="92">
        <v>0</v>
      </c>
      <c r="O1101" s="92">
        <v>0</v>
      </c>
      <c r="P1101" s="92">
        <v>0</v>
      </c>
      <c r="Q1101" s="92">
        <v>0</v>
      </c>
      <c r="R1101" s="92">
        <v>0</v>
      </c>
      <c r="S1101" s="92">
        <v>0</v>
      </c>
      <c r="T1101" s="92">
        <v>0</v>
      </c>
    </row>
    <row r="1102" spans="2:20" x14ac:dyDescent="0.25">
      <c r="B1102" s="23" t="s">
        <v>5198</v>
      </c>
      <c r="C1102" s="28" t="s">
        <v>493</v>
      </c>
      <c r="D1102" s="155" t="s">
        <v>5199</v>
      </c>
      <c r="H1102" s="92">
        <v>0</v>
      </c>
      <c r="I1102" s="92">
        <v>0</v>
      </c>
      <c r="J1102" s="92">
        <v>0</v>
      </c>
      <c r="K1102" s="92">
        <v>0.23047991000000001</v>
      </c>
      <c r="L1102" s="92">
        <v>0.2412979073</v>
      </c>
      <c r="M1102" s="92">
        <v>0.252440444519</v>
      </c>
      <c r="N1102" s="92">
        <v>0.26391725785456999</v>
      </c>
      <c r="O1102" s="92">
        <v>0.27573837559020697</v>
      </c>
      <c r="P1102" s="92">
        <v>0.28791412685791301</v>
      </c>
      <c r="Q1102" s="92">
        <v>0.30045515066365103</v>
      </c>
      <c r="R1102" s="92">
        <v>0.31337240518356002</v>
      </c>
      <c r="S1102" s="92">
        <v>0.32667717733906698</v>
      </c>
      <c r="T1102" s="92">
        <v>0.34038109265923899</v>
      </c>
    </row>
    <row r="1103" spans="2:20" x14ac:dyDescent="0.25">
      <c r="B1103" s="23" t="s">
        <v>5200</v>
      </c>
      <c r="C1103" s="28" t="s">
        <v>493</v>
      </c>
      <c r="D1103" s="155" t="s">
        <v>5201</v>
      </c>
      <c r="H1103" s="92">
        <v>0</v>
      </c>
      <c r="I1103" s="92">
        <v>0</v>
      </c>
      <c r="J1103" s="92">
        <v>0</v>
      </c>
      <c r="K1103" s="92">
        <v>-5.0705580200000003E-2</v>
      </c>
      <c r="L1103" s="92">
        <v>-5.3085539606000001E-2</v>
      </c>
      <c r="M1103" s="92">
        <v>-5.5536897794180001E-2</v>
      </c>
      <c r="N1103" s="92">
        <v>-5.8061796728005398E-2</v>
      </c>
      <c r="O1103" s="92">
        <v>-6.0662442629845603E-2</v>
      </c>
      <c r="P1103" s="92">
        <v>-6.3341107908741007E-2</v>
      </c>
      <c r="Q1103" s="92">
        <v>-6.6100133146003201E-2</v>
      </c>
      <c r="R1103" s="92">
        <v>-6.8941929140383301E-2</v>
      </c>
      <c r="S1103" s="92">
        <v>-7.1868979014594797E-2</v>
      </c>
      <c r="T1103" s="92">
        <v>-7.4883840385032596E-2</v>
      </c>
    </row>
    <row r="1104" spans="2:20" x14ac:dyDescent="0.25">
      <c r="B1104" s="23" t="s">
        <v>5202</v>
      </c>
      <c r="C1104" s="28" t="s">
        <v>493</v>
      </c>
      <c r="D1104" s="155" t="s">
        <v>5203</v>
      </c>
      <c r="H1104" s="92">
        <v>0</v>
      </c>
      <c r="I1104" s="92">
        <v>0</v>
      </c>
      <c r="J1104" s="92">
        <v>0</v>
      </c>
      <c r="K1104" s="92">
        <v>0.17977432979999999</v>
      </c>
      <c r="L1104" s="92">
        <v>0.18821236769399999</v>
      </c>
      <c r="M1104" s="92">
        <v>0.19690354672481999</v>
      </c>
      <c r="N1104" s="92">
        <v>0.205855461126565</v>
      </c>
      <c r="O1104" s="92">
        <v>0.21507593296036201</v>
      </c>
      <c r="P1104" s="92">
        <v>0.224573018949172</v>
      </c>
      <c r="Q1104" s="92">
        <v>0.23435501751764801</v>
      </c>
      <c r="R1104" s="92">
        <v>0.244430476043177</v>
      </c>
      <c r="S1104" s="92">
        <v>0.25480819832447199</v>
      </c>
      <c r="T1104" s="92">
        <v>0.26549725227420701</v>
      </c>
    </row>
    <row r="1105" spans="2:20" x14ac:dyDescent="0.25">
      <c r="B1105" s="154" t="s">
        <v>5204</v>
      </c>
    </row>
    <row r="1106" spans="2:20" x14ac:dyDescent="0.25">
      <c r="B1106" s="23" t="s">
        <v>5205</v>
      </c>
      <c r="C1106" s="28" t="s">
        <v>493</v>
      </c>
      <c r="D1106" s="155" t="s">
        <v>5206</v>
      </c>
      <c r="H1106" s="92">
        <v>87.948672360753903</v>
      </c>
      <c r="I1106" s="92">
        <v>65.358641033127597</v>
      </c>
      <c r="J1106" s="92">
        <v>61.989728825535103</v>
      </c>
      <c r="K1106" s="92">
        <v>66.857705438160806</v>
      </c>
      <c r="L1106" s="92">
        <v>72.109308081105496</v>
      </c>
      <c r="M1106" s="92">
        <v>77.774868554511301</v>
      </c>
      <c r="N1106" s="92">
        <v>83.887124219273204</v>
      </c>
      <c r="O1106" s="92">
        <v>90.481409316796103</v>
      </c>
      <c r="P1106" s="92">
        <v>97.595861544291097</v>
      </c>
      <c r="Q1106" s="92">
        <v>105.271645104941</v>
      </c>
      <c r="R1106" s="92">
        <v>93.187841954612907</v>
      </c>
      <c r="S1106" s="92">
        <v>97.716827068910305</v>
      </c>
      <c r="T1106" s="92">
        <v>102.467045159585</v>
      </c>
    </row>
    <row r="1107" spans="2:20" x14ac:dyDescent="0.25">
      <c r="B1107" s="23" t="s">
        <v>2157</v>
      </c>
      <c r="C1107" s="28" t="s">
        <v>493</v>
      </c>
      <c r="D1107" s="155" t="s">
        <v>5207</v>
      </c>
      <c r="H1107" s="92">
        <v>-71.161406516197303</v>
      </c>
      <c r="I1107" s="92">
        <v>-49.098182223433199</v>
      </c>
      <c r="J1107" s="92">
        <v>-42.926614256655803</v>
      </c>
      <c r="K1107" s="92">
        <v>-46.065397044757603</v>
      </c>
      <c r="L1107" s="92">
        <v>-49.441834180436103</v>
      </c>
      <c r="M1107" s="92">
        <v>-53.0742603339529</v>
      </c>
      <c r="N1107" s="92">
        <v>-56.982439859772299</v>
      </c>
      <c r="O1107" s="92">
        <v>-61.187679033243697</v>
      </c>
      <c r="P1107" s="92">
        <v>-65.712947140723301</v>
      </c>
      <c r="Q1107" s="92">
        <v>-70.583007124157504</v>
      </c>
      <c r="R1107" s="92">
        <v>-59.453507794507097</v>
      </c>
      <c r="S1107" s="92">
        <v>-62.229322986933802</v>
      </c>
      <c r="T1107" s="92">
        <v>-65.136512999981207</v>
      </c>
    </row>
    <row r="1108" spans="2:20" x14ac:dyDescent="0.25">
      <c r="B1108" s="23" t="s">
        <v>5208</v>
      </c>
      <c r="C1108" s="28" t="s">
        <v>493</v>
      </c>
      <c r="D1108" s="155" t="s">
        <v>5209</v>
      </c>
      <c r="H1108" s="92">
        <v>-2.2917843231526001</v>
      </c>
      <c r="I1108" s="92">
        <v>-2.3147021663841301</v>
      </c>
      <c r="J1108" s="92">
        <v>-2.3378491880479699</v>
      </c>
      <c r="K1108" s="92">
        <v>-2.36122767992845</v>
      </c>
      <c r="L1108" s="92">
        <v>-2.3848399567277299</v>
      </c>
      <c r="M1108" s="92">
        <v>-2.4086883562950101</v>
      </c>
      <c r="N1108" s="92">
        <v>-2.4327752398579601</v>
      </c>
      <c r="O1108" s="92">
        <v>-2.4571029922565399</v>
      </c>
      <c r="P1108" s="92">
        <v>-2.4816740221790998</v>
      </c>
      <c r="Q1108" s="92">
        <v>-2.5064907624008899</v>
      </c>
      <c r="R1108" s="92">
        <v>-2.5315556700249</v>
      </c>
      <c r="S1108" s="92">
        <v>-2.5568712267251499</v>
      </c>
      <c r="T1108" s="92">
        <v>-2.5824399389924002</v>
      </c>
    </row>
    <row r="1109" spans="2:20" x14ac:dyDescent="0.25">
      <c r="B1109" s="23" t="s">
        <v>5210</v>
      </c>
      <c r="C1109" s="28" t="s">
        <v>493</v>
      </c>
      <c r="D1109" s="155" t="s">
        <v>5211</v>
      </c>
      <c r="H1109" s="92">
        <v>-0.43948041534999999</v>
      </c>
      <c r="I1109" s="92">
        <v>-0.43948041534999999</v>
      </c>
      <c r="J1109" s="92">
        <v>-0.43948041534999999</v>
      </c>
      <c r="K1109" s="92">
        <v>-0.43948041534999999</v>
      </c>
      <c r="L1109" s="92">
        <v>-0.43948041534999999</v>
      </c>
      <c r="M1109" s="92">
        <v>-0.43948041534999999</v>
      </c>
      <c r="N1109" s="92">
        <v>-0.43948041534999999</v>
      </c>
      <c r="O1109" s="92">
        <v>-0.43948041534999999</v>
      </c>
      <c r="P1109" s="92">
        <v>-0.43948041534999999</v>
      </c>
      <c r="Q1109" s="92">
        <v>-0.43948041534999999</v>
      </c>
      <c r="R1109" s="92">
        <v>-0.43948041534999999</v>
      </c>
      <c r="S1109" s="92">
        <v>-0.43948041534999999</v>
      </c>
      <c r="T1109" s="92">
        <v>-0.43948041534999999</v>
      </c>
    </row>
    <row r="1110" spans="2:20" x14ac:dyDescent="0.25">
      <c r="B1110" s="23" t="s">
        <v>5212</v>
      </c>
      <c r="C1110" s="28" t="s">
        <v>493</v>
      </c>
      <c r="D1110" s="155" t="s">
        <v>5213</v>
      </c>
      <c r="H1110" s="92">
        <v>0</v>
      </c>
      <c r="I1110" s="92">
        <v>0</v>
      </c>
      <c r="J1110" s="92">
        <v>0</v>
      </c>
      <c r="K1110" s="92">
        <v>0</v>
      </c>
      <c r="L1110" s="92">
        <v>0</v>
      </c>
      <c r="M1110" s="92">
        <v>0</v>
      </c>
      <c r="N1110" s="92">
        <v>0</v>
      </c>
      <c r="O1110" s="92">
        <v>0</v>
      </c>
      <c r="P1110" s="92">
        <v>0</v>
      </c>
      <c r="Q1110" s="92">
        <v>0</v>
      </c>
      <c r="R1110" s="92">
        <v>0</v>
      </c>
      <c r="S1110" s="92">
        <v>0</v>
      </c>
      <c r="T1110" s="92">
        <v>0</v>
      </c>
    </row>
    <row r="1111" spans="2:20" x14ac:dyDescent="0.25">
      <c r="B1111" s="23" t="s">
        <v>5214</v>
      </c>
      <c r="C1111" s="28" t="s">
        <v>493</v>
      </c>
      <c r="D1111" s="155" t="s">
        <v>5215</v>
      </c>
      <c r="H1111" s="92">
        <v>14.0560011060539</v>
      </c>
      <c r="I1111" s="92">
        <v>13.506276227960299</v>
      </c>
      <c r="J1111" s="92">
        <v>16.285784965481401</v>
      </c>
      <c r="K1111" s="92">
        <v>17.991600298124801</v>
      </c>
      <c r="L1111" s="92">
        <v>19.8431535285916</v>
      </c>
      <c r="M1111" s="92">
        <v>21.852439448913401</v>
      </c>
      <c r="N1111" s="92">
        <v>24.032428704292901</v>
      </c>
      <c r="O1111" s="92">
        <v>26.397146875945801</v>
      </c>
      <c r="P1111" s="92">
        <v>28.961759966038802</v>
      </c>
      <c r="Q1111" s="92">
        <v>31.742666803032701</v>
      </c>
      <c r="R1111" s="92">
        <v>30.763298074730901</v>
      </c>
      <c r="S1111" s="92">
        <v>32.491152439901299</v>
      </c>
      <c r="T1111" s="92">
        <v>34.308611805261599</v>
      </c>
    </row>
    <row r="1112" spans="2:20" x14ac:dyDescent="0.25">
      <c r="B1112" s="23" t="s">
        <v>5216</v>
      </c>
      <c r="C1112" s="28" t="s">
        <v>493</v>
      </c>
      <c r="D1112" s="155" t="s">
        <v>5217</v>
      </c>
      <c r="H1112" s="92">
        <v>-3.0923202433318702</v>
      </c>
      <c r="I1112" s="92">
        <v>-2.9713807701512698</v>
      </c>
      <c r="J1112" s="92">
        <v>-3.5828726924058998</v>
      </c>
      <c r="K1112" s="92">
        <v>-3.9581520655874498</v>
      </c>
      <c r="L1112" s="92">
        <v>-4.36549377629016</v>
      </c>
      <c r="M1112" s="92">
        <v>-4.8075366787609504</v>
      </c>
      <c r="N1112" s="92">
        <v>-5.2871343149444501</v>
      </c>
      <c r="O1112" s="92">
        <v>-5.8073723127080896</v>
      </c>
      <c r="P1112" s="92">
        <v>-6.3715871925285299</v>
      </c>
      <c r="Q1112" s="92">
        <v>-6.9833866966671998</v>
      </c>
      <c r="R1112" s="92">
        <v>-6.7679255764408</v>
      </c>
      <c r="S1112" s="92">
        <v>-7.1480535367782903</v>
      </c>
      <c r="T1112" s="92">
        <v>-7.5478945971575504</v>
      </c>
    </row>
    <row r="1113" spans="2:20" x14ac:dyDescent="0.25">
      <c r="B1113" s="23" t="s">
        <v>5218</v>
      </c>
      <c r="C1113" s="28" t="s">
        <v>493</v>
      </c>
      <c r="D1113" s="155" t="s">
        <v>5219</v>
      </c>
      <c r="H1113" s="92">
        <v>10.9636808627221</v>
      </c>
      <c r="I1113" s="92">
        <v>10.534895457809</v>
      </c>
      <c r="J1113" s="92">
        <v>12.7029122730755</v>
      </c>
      <c r="K1113" s="92">
        <v>14.0334482325373</v>
      </c>
      <c r="L1113" s="92">
        <v>15.4776597523015</v>
      </c>
      <c r="M1113" s="92">
        <v>17.0449027701525</v>
      </c>
      <c r="N1113" s="92">
        <v>18.745294389348501</v>
      </c>
      <c r="O1113" s="92">
        <v>20.5897745632378</v>
      </c>
      <c r="P1113" s="92">
        <v>22.590172773510201</v>
      </c>
      <c r="Q1113" s="92">
        <v>24.759280106365502</v>
      </c>
      <c r="R1113" s="92">
        <v>23.995372498290099</v>
      </c>
      <c r="S1113" s="92">
        <v>25.343098903123</v>
      </c>
      <c r="T1113" s="92">
        <v>26.760717208104001</v>
      </c>
    </row>
    <row r="1114" spans="2:20" x14ac:dyDescent="0.25">
      <c r="B1114" s="154" t="s">
        <v>5220</v>
      </c>
    </row>
    <row r="1115" spans="2:20" x14ac:dyDescent="0.25">
      <c r="B1115" s="23" t="s">
        <v>5221</v>
      </c>
      <c r="C1115" s="28" t="s">
        <v>493</v>
      </c>
      <c r="D1115" s="155" t="s">
        <v>5222</v>
      </c>
      <c r="H1115" s="92">
        <v>0</v>
      </c>
      <c r="I1115" s="92">
        <v>0</v>
      </c>
      <c r="J1115" s="92">
        <v>0</v>
      </c>
      <c r="K1115" s="92">
        <v>0</v>
      </c>
      <c r="L1115" s="92">
        <v>0</v>
      </c>
      <c r="M1115" s="92">
        <v>0</v>
      </c>
      <c r="N1115" s="92">
        <v>0</v>
      </c>
      <c r="O1115" s="92">
        <v>0</v>
      </c>
      <c r="P1115" s="92">
        <v>0</v>
      </c>
      <c r="Q1115" s="92">
        <v>0</v>
      </c>
      <c r="R1115" s="92">
        <v>0</v>
      </c>
      <c r="S1115" s="92">
        <v>0</v>
      </c>
      <c r="T1115" s="92">
        <v>0</v>
      </c>
    </row>
    <row r="1116" spans="2:20" x14ac:dyDescent="0.25">
      <c r="B1116" s="23" t="s">
        <v>5223</v>
      </c>
      <c r="C1116" s="28" t="s">
        <v>493</v>
      </c>
      <c r="D1116" s="155" t="s">
        <v>5224</v>
      </c>
      <c r="H1116" s="92">
        <v>0</v>
      </c>
      <c r="I1116" s="92">
        <v>0</v>
      </c>
      <c r="J1116" s="92">
        <v>0</v>
      </c>
      <c r="K1116" s="92">
        <v>0</v>
      </c>
      <c r="L1116" s="92">
        <v>0</v>
      </c>
      <c r="M1116" s="92">
        <v>0</v>
      </c>
      <c r="N1116" s="92">
        <v>0</v>
      </c>
      <c r="O1116" s="92">
        <v>0</v>
      </c>
      <c r="P1116" s="92">
        <v>0</v>
      </c>
      <c r="Q1116" s="92">
        <v>0</v>
      </c>
      <c r="R1116" s="92">
        <v>0</v>
      </c>
      <c r="S1116" s="92">
        <v>0</v>
      </c>
      <c r="T1116" s="92">
        <v>0</v>
      </c>
    </row>
    <row r="1117" spans="2:20" x14ac:dyDescent="0.25">
      <c r="B1117" s="23" t="s">
        <v>5225</v>
      </c>
      <c r="C1117" s="28" t="s">
        <v>493</v>
      </c>
      <c r="D1117" s="155" t="s">
        <v>5226</v>
      </c>
      <c r="H1117" s="92">
        <v>0</v>
      </c>
      <c r="I1117" s="92">
        <v>0</v>
      </c>
      <c r="J1117" s="92">
        <v>0</v>
      </c>
      <c r="K1117" s="92">
        <v>0</v>
      </c>
      <c r="L1117" s="92">
        <v>0</v>
      </c>
      <c r="M1117" s="92">
        <v>0</v>
      </c>
      <c r="N1117" s="92">
        <v>0</v>
      </c>
      <c r="O1117" s="92">
        <v>0</v>
      </c>
      <c r="P1117" s="92">
        <v>0</v>
      </c>
      <c r="Q1117" s="92">
        <v>0</v>
      </c>
      <c r="R1117" s="92">
        <v>0</v>
      </c>
      <c r="S1117" s="92">
        <v>0</v>
      </c>
      <c r="T1117" s="92">
        <v>0</v>
      </c>
    </row>
    <row r="1118" spans="2:20" x14ac:dyDescent="0.25">
      <c r="B1118" s="23" t="s">
        <v>5227</v>
      </c>
      <c r="C1118" s="28" t="s">
        <v>493</v>
      </c>
      <c r="D1118" s="155" t="s">
        <v>5228</v>
      </c>
      <c r="H1118" s="92">
        <v>0</v>
      </c>
      <c r="I1118" s="92">
        <v>0</v>
      </c>
      <c r="J1118" s="92">
        <v>0</v>
      </c>
      <c r="K1118" s="92">
        <v>0</v>
      </c>
      <c r="L1118" s="92">
        <v>0</v>
      </c>
      <c r="M1118" s="92">
        <v>0</v>
      </c>
      <c r="N1118" s="92">
        <v>0</v>
      </c>
      <c r="O1118" s="92">
        <v>0</v>
      </c>
      <c r="P1118" s="92">
        <v>0</v>
      </c>
      <c r="Q1118" s="92">
        <v>0</v>
      </c>
      <c r="R1118" s="92">
        <v>0</v>
      </c>
      <c r="S1118" s="92">
        <v>0</v>
      </c>
      <c r="T1118" s="92">
        <v>0</v>
      </c>
    </row>
    <row r="1119" spans="2:20" x14ac:dyDescent="0.25">
      <c r="B1119" s="23" t="s">
        <v>5229</v>
      </c>
      <c r="C1119" s="28" t="s">
        <v>493</v>
      </c>
      <c r="D1119" s="155" t="s">
        <v>5230</v>
      </c>
      <c r="H1119" s="92">
        <v>0</v>
      </c>
      <c r="I1119" s="92">
        <v>0</v>
      </c>
      <c r="J1119" s="92">
        <v>0</v>
      </c>
      <c r="K1119" s="92">
        <v>0</v>
      </c>
      <c r="L1119" s="92">
        <v>0</v>
      </c>
      <c r="M1119" s="92">
        <v>0</v>
      </c>
      <c r="N1119" s="92">
        <v>0</v>
      </c>
      <c r="O1119" s="92">
        <v>0</v>
      </c>
      <c r="P1119" s="92">
        <v>0</v>
      </c>
      <c r="Q1119" s="92">
        <v>0</v>
      </c>
      <c r="R1119" s="92">
        <v>0</v>
      </c>
      <c r="S1119" s="92">
        <v>0</v>
      </c>
      <c r="T1119" s="92">
        <v>0</v>
      </c>
    </row>
    <row r="1120" spans="2:20" x14ac:dyDescent="0.25">
      <c r="B1120" s="23" t="s">
        <v>5231</v>
      </c>
      <c r="C1120" s="28" t="s">
        <v>493</v>
      </c>
      <c r="D1120" s="155" t="s">
        <v>5232</v>
      </c>
      <c r="H1120" s="92">
        <v>0</v>
      </c>
      <c r="I1120" s="92">
        <v>0</v>
      </c>
      <c r="J1120" s="92">
        <v>0</v>
      </c>
      <c r="K1120" s="92">
        <v>0</v>
      </c>
      <c r="L1120" s="92">
        <v>0</v>
      </c>
      <c r="M1120" s="92">
        <v>0</v>
      </c>
      <c r="N1120" s="92">
        <v>0</v>
      </c>
      <c r="O1120" s="92">
        <v>0</v>
      </c>
      <c r="P1120" s="92">
        <v>0</v>
      </c>
      <c r="Q1120" s="92">
        <v>0</v>
      </c>
      <c r="R1120" s="92">
        <v>0</v>
      </c>
      <c r="S1120" s="92">
        <v>0</v>
      </c>
      <c r="T1120" s="92">
        <v>0</v>
      </c>
    </row>
    <row r="1121" spans="2:22" x14ac:dyDescent="0.25">
      <c r="B1121" s="23" t="s">
        <v>5233</v>
      </c>
      <c r="C1121" s="28" t="s">
        <v>493</v>
      </c>
      <c r="D1121" s="155" t="s">
        <v>5234</v>
      </c>
      <c r="H1121" s="92">
        <v>0</v>
      </c>
      <c r="I1121" s="92">
        <v>0</v>
      </c>
      <c r="J1121" s="92">
        <v>0</v>
      </c>
      <c r="K1121" s="92">
        <v>0</v>
      </c>
      <c r="L1121" s="92">
        <v>0</v>
      </c>
      <c r="M1121" s="92">
        <v>0</v>
      </c>
      <c r="N1121" s="92">
        <v>0</v>
      </c>
      <c r="O1121" s="92">
        <v>0</v>
      </c>
      <c r="P1121" s="92">
        <v>0</v>
      </c>
      <c r="Q1121" s="92">
        <v>0</v>
      </c>
      <c r="R1121" s="92">
        <v>0</v>
      </c>
      <c r="S1121" s="92">
        <v>0</v>
      </c>
      <c r="T1121" s="92">
        <v>0</v>
      </c>
    </row>
    <row r="1122" spans="2:22" x14ac:dyDescent="0.25">
      <c r="B1122" s="23" t="s">
        <v>5235</v>
      </c>
      <c r="C1122" s="28" t="s">
        <v>493</v>
      </c>
      <c r="D1122" s="155" t="s">
        <v>5236</v>
      </c>
      <c r="H1122" s="92">
        <v>0</v>
      </c>
      <c r="I1122" s="92">
        <v>0</v>
      </c>
      <c r="J1122" s="92">
        <v>0</v>
      </c>
      <c r="K1122" s="92">
        <v>0</v>
      </c>
      <c r="L1122" s="92">
        <v>0</v>
      </c>
      <c r="M1122" s="92">
        <v>0</v>
      </c>
      <c r="N1122" s="92">
        <v>0</v>
      </c>
      <c r="O1122" s="92">
        <v>0</v>
      </c>
      <c r="P1122" s="92">
        <v>0</v>
      </c>
      <c r="Q1122" s="92">
        <v>0</v>
      </c>
      <c r="R1122" s="92">
        <v>0</v>
      </c>
      <c r="S1122" s="92">
        <v>0</v>
      </c>
      <c r="T1122" s="92">
        <v>0</v>
      </c>
    </row>
    <row r="1123" spans="2:22" x14ac:dyDescent="0.25">
      <c r="B1123" s="154" t="s">
        <v>5237</v>
      </c>
    </row>
    <row r="1124" spans="2:22" x14ac:dyDescent="0.25">
      <c r="B1124" s="23" t="s">
        <v>5238</v>
      </c>
      <c r="C1124" s="28" t="s">
        <v>493</v>
      </c>
      <c r="D1124" s="155" t="s">
        <v>5239</v>
      </c>
      <c r="H1124" s="92">
        <v>44.658039417583701</v>
      </c>
      <c r="I1124" s="92">
        <v>18.700336705089001</v>
      </c>
      <c r="J1124" s="92">
        <v>6.8439630915925003</v>
      </c>
      <c r="K1124" s="92">
        <v>7.4017460835572901</v>
      </c>
      <c r="L1124" s="92">
        <v>8.0049883893672096</v>
      </c>
      <c r="M1124" s="92">
        <v>8.6573949431006394</v>
      </c>
      <c r="N1124" s="92">
        <v>9.3629726309633501</v>
      </c>
      <c r="O1124" s="92">
        <v>10.126054900386899</v>
      </c>
      <c r="P1124" s="92">
        <v>10.9513283747684</v>
      </c>
      <c r="Q1124" s="92">
        <v>11.843861637311999</v>
      </c>
      <c r="R1124" s="92">
        <v>12.4360547191776</v>
      </c>
      <c r="S1124" s="92">
        <v>13.057857455136499</v>
      </c>
      <c r="T1124" s="92">
        <v>13.710750327893299</v>
      </c>
    </row>
    <row r="1125" spans="2:22" x14ac:dyDescent="0.25">
      <c r="B1125" s="23" t="s">
        <v>5240</v>
      </c>
      <c r="C1125" s="28" t="s">
        <v>493</v>
      </c>
      <c r="D1125" s="155" t="s">
        <v>5241</v>
      </c>
      <c r="H1125" s="92">
        <v>15.584</v>
      </c>
      <c r="I1125" s="92">
        <v>16.693580799999999</v>
      </c>
      <c r="J1125" s="92">
        <v>17.88216375296</v>
      </c>
      <c r="K1125" s="92">
        <v>19.155373812170801</v>
      </c>
      <c r="L1125" s="92">
        <v>20.519236427597299</v>
      </c>
      <c r="M1125" s="92">
        <v>21.9802060612422</v>
      </c>
      <c r="N1125" s="92">
        <v>23.545196732802701</v>
      </c>
      <c r="O1125" s="92">
        <v>25.2216147401783</v>
      </c>
      <c r="P1125" s="92">
        <v>27.017393709678998</v>
      </c>
      <c r="Q1125" s="92">
        <v>28.941032141808002</v>
      </c>
      <c r="R1125" s="92">
        <v>13.040698343323101</v>
      </c>
      <c r="S1125" s="92">
        <v>13.562326277056</v>
      </c>
      <c r="T1125" s="92">
        <v>14.1048193281383</v>
      </c>
    </row>
    <row r="1126" spans="2:22" x14ac:dyDescent="0.25">
      <c r="B1126" s="23" t="s">
        <v>5242</v>
      </c>
      <c r="C1126" s="28" t="s">
        <v>493</v>
      </c>
      <c r="D1126" s="155" t="s">
        <v>5243</v>
      </c>
      <c r="H1126" s="92">
        <v>9.1948593189207006</v>
      </c>
      <c r="I1126" s="92">
        <v>9.9442403534127504</v>
      </c>
      <c r="J1126" s="92">
        <v>10.7546959422159</v>
      </c>
      <c r="K1126" s="92">
        <v>11.631203661506399</v>
      </c>
      <c r="L1126" s="92">
        <v>12.579146759919199</v>
      </c>
      <c r="M1126" s="92">
        <v>13.6043472208527</v>
      </c>
      <c r="N1126" s="92">
        <v>14.713101519352101</v>
      </c>
      <c r="O1126" s="92">
        <v>15.912219293179399</v>
      </c>
      <c r="P1126" s="92">
        <v>17.209065165573499</v>
      </c>
      <c r="Q1126" s="92">
        <v>18.6116039765677</v>
      </c>
      <c r="R1126" s="92">
        <v>19.542184175395999</v>
      </c>
      <c r="S1126" s="92">
        <v>20.519293384165799</v>
      </c>
      <c r="T1126" s="92">
        <v>21.545258053374098</v>
      </c>
    </row>
    <row r="1127" spans="2:22" x14ac:dyDescent="0.25">
      <c r="B1127" s="23" t="s">
        <v>5244</v>
      </c>
      <c r="C1127" s="28" t="s">
        <v>493</v>
      </c>
      <c r="D1127" s="155" t="s">
        <v>5245</v>
      </c>
      <c r="H1127" s="92">
        <v>18.5117736242495</v>
      </c>
      <c r="I1127" s="92">
        <v>20.020483174625902</v>
      </c>
      <c r="J1127" s="92">
        <v>26.5089060387667</v>
      </c>
      <c r="K1127" s="92">
        <v>28.669381880926299</v>
      </c>
      <c r="L1127" s="92">
        <v>31.005936504221701</v>
      </c>
      <c r="M1127" s="92">
        <v>33.5329203293158</v>
      </c>
      <c r="N1127" s="92">
        <v>36.265853336154997</v>
      </c>
      <c r="O1127" s="92">
        <v>39.221520383051597</v>
      </c>
      <c r="P1127" s="92">
        <v>42.418074294270298</v>
      </c>
      <c r="Q1127" s="92">
        <v>45.875147349253403</v>
      </c>
      <c r="R1127" s="92">
        <v>48.168904716716099</v>
      </c>
      <c r="S1127" s="92">
        <v>50.577349952551899</v>
      </c>
      <c r="T1127" s="92">
        <v>53.1062174501795</v>
      </c>
    </row>
    <row r="1129" spans="2:22" x14ac:dyDescent="0.25">
      <c r="B1129" s="58" t="s">
        <v>5246</v>
      </c>
      <c r="C1129" s="19"/>
      <c r="D1129" s="19"/>
      <c r="E1129" s="19"/>
      <c r="F1129" s="19"/>
      <c r="G1129" s="19"/>
      <c r="H1129" s="19"/>
      <c r="I1129" s="19"/>
      <c r="J1129" s="19"/>
      <c r="K1129" s="19"/>
      <c r="L1129" s="19"/>
      <c r="M1129" s="19"/>
      <c r="N1129" s="19"/>
      <c r="O1129" s="19"/>
      <c r="P1129" s="19"/>
      <c r="Q1129" s="19"/>
      <c r="R1129" s="19"/>
      <c r="S1129" s="19"/>
      <c r="T1129" s="19"/>
      <c r="U1129" s="19"/>
      <c r="V1129" s="19"/>
    </row>
    <row r="1130" spans="2:22" x14ac:dyDescent="0.25">
      <c r="B1130" s="59" t="s">
        <v>5247</v>
      </c>
      <c r="C1130" s="59" t="s">
        <v>1868</v>
      </c>
      <c r="D1130" s="59" t="s">
        <v>5248</v>
      </c>
      <c r="E1130" s="60"/>
      <c r="F1130" s="60"/>
      <c r="G1130" s="60"/>
      <c r="H1130" s="60"/>
      <c r="I1130" s="60"/>
      <c r="J1130" s="60"/>
      <c r="K1130" s="59" t="s">
        <v>5249</v>
      </c>
      <c r="L1130" s="60"/>
      <c r="M1130" s="60"/>
      <c r="N1130" s="60"/>
      <c r="O1130" s="60"/>
      <c r="P1130" s="59" t="s">
        <v>5250</v>
      </c>
      <c r="Q1130" s="60"/>
      <c r="R1130" s="60"/>
      <c r="S1130" s="59" t="s">
        <v>1636</v>
      </c>
      <c r="T1130" s="60"/>
      <c r="U1130" s="59" t="s">
        <v>1637</v>
      </c>
      <c r="V1130" s="60"/>
    </row>
    <row r="1131" spans="2:22" x14ac:dyDescent="0.25">
      <c r="B1131" s="135" t="s">
        <v>1639</v>
      </c>
      <c r="C1131" s="244">
        <f>Inputs!$E$740</f>
        <v>0</v>
      </c>
      <c r="D1131" s="44" t="s">
        <v>5251</v>
      </c>
      <c r="K1131" s="70" t="s">
        <v>5252</v>
      </c>
      <c r="P1131" s="44" t="s">
        <v>5253</v>
      </c>
      <c r="S1131" s="130" t="s">
        <v>1640</v>
      </c>
      <c r="U1131" s="135" t="str">
        <f>IF(Inputs!$E$740=1,"ON (corrected)","OFF (v29)")</f>
        <v>OFF (v29)</v>
      </c>
    </row>
    <row r="1132" spans="2:22" x14ac:dyDescent="0.25">
      <c r="B1132" s="135" t="s">
        <v>1642</v>
      </c>
      <c r="C1132" s="244">
        <f>Inputs!$E$741</f>
        <v>0</v>
      </c>
      <c r="D1132" s="44" t="s">
        <v>5254</v>
      </c>
      <c r="K1132" s="70" t="s">
        <v>5255</v>
      </c>
      <c r="P1132" s="44" t="s">
        <v>5256</v>
      </c>
      <c r="S1132" s="130" t="s">
        <v>1643</v>
      </c>
      <c r="U1132" s="135" t="str">
        <f>IF(Inputs!$E$741=1,"ON (corrected)","OFF (v29)")</f>
        <v>OFF (v29)</v>
      </c>
    </row>
    <row r="1133" spans="2:22" x14ac:dyDescent="0.25">
      <c r="B1133" s="135" t="s">
        <v>1645</v>
      </c>
      <c r="C1133" s="244">
        <f>Inputs!$E$742</f>
        <v>0</v>
      </c>
      <c r="D1133" s="44" t="s">
        <v>5257</v>
      </c>
      <c r="K1133" s="70" t="s">
        <v>5258</v>
      </c>
      <c r="P1133" s="44" t="s">
        <v>5259</v>
      </c>
      <c r="S1133" s="130" t="s">
        <v>1646</v>
      </c>
      <c r="U1133" s="135" t="str">
        <f>IF(Inputs!$E$742=1,"ON (corrected)","OFF (v29)")</f>
        <v>OFF (v29)</v>
      </c>
    </row>
    <row r="1134" spans="2:22" x14ac:dyDescent="0.25">
      <c r="B1134" s="135" t="s">
        <v>1648</v>
      </c>
      <c r="C1134" s="244">
        <f>Inputs!$E$743</f>
        <v>0</v>
      </c>
      <c r="D1134" s="44" t="s">
        <v>5260</v>
      </c>
      <c r="K1134" s="70" t="s">
        <v>5261</v>
      </c>
      <c r="P1134" s="44" t="s">
        <v>5262</v>
      </c>
      <c r="S1134" s="130" t="s">
        <v>1649</v>
      </c>
      <c r="U1134" s="135" t="str">
        <f>IF(Inputs!$E$743=1,"ON (corrected)","OFF (v29)")</f>
        <v>OFF (v29)</v>
      </c>
    </row>
    <row r="1135" spans="2:22" x14ac:dyDescent="0.25">
      <c r="B1135" s="135" t="s">
        <v>1651</v>
      </c>
      <c r="C1135" s="244">
        <f>Inputs!$E$744</f>
        <v>0</v>
      </c>
      <c r="D1135" s="44" t="s">
        <v>5263</v>
      </c>
      <c r="K1135" s="70" t="s">
        <v>5264</v>
      </c>
      <c r="P1135" s="44" t="s">
        <v>5265</v>
      </c>
      <c r="S1135" s="130" t="s">
        <v>1652</v>
      </c>
      <c r="U1135" s="135" t="str">
        <f>IF(Inputs!$E$744=1,"ON (corrected)","OFF (v29)")</f>
        <v>OFF (v29)</v>
      </c>
    </row>
    <row r="1136" spans="2:22" x14ac:dyDescent="0.25">
      <c r="B1136" s="135" t="s">
        <v>1654</v>
      </c>
      <c r="C1136" s="244">
        <f>Inputs!$E$745</f>
        <v>0</v>
      </c>
      <c r="D1136" s="44" t="s">
        <v>5266</v>
      </c>
      <c r="K1136" s="70" t="s">
        <v>5267</v>
      </c>
      <c r="P1136" s="44" t="s">
        <v>5268</v>
      </c>
      <c r="S1136" s="130" t="s">
        <v>1655</v>
      </c>
      <c r="U1136" s="135" t="str">
        <f>IF(Inputs!$E$745=1,"ON (corrected)","OFF (v29)")</f>
        <v>OFF (v29)</v>
      </c>
    </row>
    <row r="1137" spans="2:21" x14ac:dyDescent="0.25">
      <c r="B1137" s="135" t="s">
        <v>1657</v>
      </c>
      <c r="C1137" s="244">
        <f>Inputs!$E$746</f>
        <v>0</v>
      </c>
      <c r="D1137" s="44" t="s">
        <v>5269</v>
      </c>
      <c r="K1137" s="70" t="s">
        <v>5270</v>
      </c>
      <c r="P1137" s="44" t="s">
        <v>5271</v>
      </c>
      <c r="S1137" s="130" t="s">
        <v>1658</v>
      </c>
      <c r="U1137" s="135" t="str">
        <f>IF(Inputs!$E$746=1,"ON (corrected)","OFF (v29)")</f>
        <v>OFF (v29)</v>
      </c>
    </row>
    <row r="1138" spans="2:21" x14ac:dyDescent="0.25">
      <c r="B1138" s="135" t="s">
        <v>1660</v>
      </c>
      <c r="C1138" s="244">
        <f>Inputs!$E$747</f>
        <v>0</v>
      </c>
      <c r="D1138" s="44" t="s">
        <v>5272</v>
      </c>
      <c r="K1138" s="70" t="s">
        <v>5273</v>
      </c>
      <c r="P1138" s="44" t="s">
        <v>5274</v>
      </c>
      <c r="S1138" s="130" t="s">
        <v>1661</v>
      </c>
      <c r="U1138" s="135" t="str">
        <f>IF(Inputs!$E$747=1,"ON (corrected)","OFF (v29)")</f>
        <v>OFF (v29)</v>
      </c>
    </row>
    <row r="1139" spans="2:21" x14ac:dyDescent="0.25">
      <c r="B1139" s="135" t="s">
        <v>1663</v>
      </c>
      <c r="C1139" s="244">
        <f>Inputs!$E$748</f>
        <v>0</v>
      </c>
      <c r="D1139" s="44" t="s">
        <v>5275</v>
      </c>
      <c r="K1139" s="70" t="s">
        <v>5276</v>
      </c>
      <c r="P1139" s="44" t="s">
        <v>5277</v>
      </c>
      <c r="S1139" s="130" t="s">
        <v>1664</v>
      </c>
      <c r="U1139" s="135" t="str">
        <f>IF(Inputs!$E$748=1,"ON (corrected)","OFF (v29)")</f>
        <v>OFF (v29)</v>
      </c>
    </row>
    <row r="1140" spans="2:21" x14ac:dyDescent="0.25">
      <c r="B1140" s="135" t="s">
        <v>1666</v>
      </c>
      <c r="C1140" s="244">
        <f>Inputs!$E$749</f>
        <v>0</v>
      </c>
      <c r="D1140" s="44" t="s">
        <v>5278</v>
      </c>
      <c r="K1140" s="70" t="s">
        <v>5279</v>
      </c>
      <c r="P1140" s="44" t="s">
        <v>5280</v>
      </c>
      <c r="S1140" s="130" t="s">
        <v>1667</v>
      </c>
      <c r="U1140" s="135" t="str">
        <f>IF(Inputs!$E$749=1,"ON (corrected)","OFF (v29)")</f>
        <v>OFF (v29)</v>
      </c>
    </row>
    <row r="1141" spans="2:21" x14ac:dyDescent="0.25">
      <c r="B1141" s="135" t="s">
        <v>1669</v>
      </c>
      <c r="C1141" s="244">
        <f>Inputs!$E$750</f>
        <v>0</v>
      </c>
      <c r="D1141" s="44" t="s">
        <v>5281</v>
      </c>
      <c r="K1141" s="70" t="s">
        <v>5282</v>
      </c>
      <c r="P1141" s="44" t="s">
        <v>5283</v>
      </c>
      <c r="S1141" s="130" t="s">
        <v>1670</v>
      </c>
      <c r="U1141" s="135" t="str">
        <f>IF(Inputs!$E$750=1,"ON (corrected)","OFF (v29)")</f>
        <v>OFF (v29)</v>
      </c>
    </row>
    <row r="1142" spans="2:21" x14ac:dyDescent="0.25">
      <c r="B1142" s="135" t="s">
        <v>1672</v>
      </c>
      <c r="C1142" s="244">
        <f>Inputs!$E$751</f>
        <v>0</v>
      </c>
      <c r="D1142" s="44" t="s">
        <v>5284</v>
      </c>
      <c r="K1142" s="70" t="s">
        <v>5285</v>
      </c>
      <c r="P1142" s="44" t="s">
        <v>5286</v>
      </c>
      <c r="S1142" s="130" t="s">
        <v>1673</v>
      </c>
      <c r="U1142" s="135" t="str">
        <f>IF(Inputs!$E$751=1,"ON (corrected)","OFF (v29)")</f>
        <v>OFF (v29)</v>
      </c>
    </row>
    <row r="1143" spans="2:21" x14ac:dyDescent="0.25">
      <c r="B1143" s="135" t="s">
        <v>1675</v>
      </c>
      <c r="C1143" s="244">
        <f>Inputs!$E$752</f>
        <v>0</v>
      </c>
      <c r="D1143" s="44" t="s">
        <v>5287</v>
      </c>
      <c r="K1143" s="70" t="s">
        <v>5288</v>
      </c>
      <c r="P1143" s="44" t="s">
        <v>5283</v>
      </c>
      <c r="S1143" s="130" t="s">
        <v>1676</v>
      </c>
      <c r="U1143" s="135" t="str">
        <f>IF(Inputs!$E$752=1,"ON (corrected)","OFF (v29)")</f>
        <v>OFF (v29)</v>
      </c>
    </row>
    <row r="1144" spans="2:21" x14ac:dyDescent="0.25">
      <c r="B1144" s="154" t="s">
        <v>5289</v>
      </c>
    </row>
    <row r="1145" spans="2:21" x14ac:dyDescent="0.25">
      <c r="B1145" s="135" t="s">
        <v>5290</v>
      </c>
      <c r="D1145" s="44" t="s">
        <v>5291</v>
      </c>
      <c r="K1145" s="70" t="s">
        <v>5292</v>
      </c>
    </row>
    <row r="1146" spans="2:21" x14ac:dyDescent="0.25">
      <c r="B1146" s="135" t="s">
        <v>5293</v>
      </c>
      <c r="D1146" s="44" t="s">
        <v>5294</v>
      </c>
      <c r="K1146" s="70" t="s">
        <v>5295</v>
      </c>
    </row>
    <row r="1147" spans="2:21" x14ac:dyDescent="0.25">
      <c r="B1147" s="135" t="s">
        <v>5296</v>
      </c>
      <c r="D1147" s="44" t="s">
        <v>5297</v>
      </c>
      <c r="K1147" s="70" t="s">
        <v>5298</v>
      </c>
    </row>
    <row r="1148" spans="2:21" x14ac:dyDescent="0.25">
      <c r="B1148" s="135" t="s">
        <v>5299</v>
      </c>
      <c r="D1148" s="44" t="s">
        <v>5300</v>
      </c>
      <c r="K1148" s="70" t="s">
        <v>5301</v>
      </c>
    </row>
    <row r="1149" spans="2:21" x14ac:dyDescent="0.25">
      <c r="B1149" s="135" t="s">
        <v>5302</v>
      </c>
      <c r="D1149" s="44" t="s">
        <v>5303</v>
      </c>
      <c r="K1149" s="70" t="s">
        <v>5304</v>
      </c>
    </row>
    <row r="1150" spans="2:21" x14ac:dyDescent="0.25">
      <c r="B1150" s="135" t="s">
        <v>5305</v>
      </c>
      <c r="D1150" s="44" t="s">
        <v>5306</v>
      </c>
      <c r="K1150" s="70" t="s">
        <v>5307</v>
      </c>
    </row>
    <row r="1152" spans="2:21" x14ac:dyDescent="0.25">
      <c r="B1152" s="154" t="s">
        <v>5308</v>
      </c>
    </row>
    <row r="1153" spans="2:22" x14ac:dyDescent="0.25">
      <c r="B1153" s="59" t="s">
        <v>5309</v>
      </c>
      <c r="C1153" s="60"/>
      <c r="D1153" s="59" t="s">
        <v>5310</v>
      </c>
      <c r="E1153" s="60"/>
      <c r="F1153" s="60"/>
      <c r="G1153" s="59" t="s">
        <v>5311</v>
      </c>
      <c r="H1153" s="60"/>
      <c r="I1153" s="60"/>
      <c r="J1153" s="60"/>
      <c r="K1153" s="60"/>
      <c r="L1153" s="60"/>
      <c r="M1153" s="60"/>
      <c r="N1153" s="60"/>
      <c r="O1153" s="60"/>
      <c r="P1153" s="60"/>
      <c r="Q1153" s="60"/>
      <c r="R1153" s="60"/>
      <c r="S1153" s="60"/>
      <c r="T1153" s="60"/>
      <c r="U1153" s="60"/>
      <c r="V1153" s="60"/>
    </row>
    <row r="1154" spans="2:22" x14ac:dyDescent="0.25">
      <c r="B1154" s="70" t="s">
        <v>4952</v>
      </c>
      <c r="D1154" s="44" t="s">
        <v>5312</v>
      </c>
      <c r="G1154" s="44" t="s">
        <v>5313</v>
      </c>
    </row>
    <row r="1155" spans="2:22" x14ac:dyDescent="0.25">
      <c r="B1155" s="70" t="s">
        <v>5314</v>
      </c>
      <c r="D1155" s="44" t="s">
        <v>5315</v>
      </c>
      <c r="G1155" s="44" t="s">
        <v>5316</v>
      </c>
    </row>
    <row r="1156" spans="2:22" x14ac:dyDescent="0.25">
      <c r="B1156" s="70" t="s">
        <v>5317</v>
      </c>
      <c r="D1156" s="44" t="s">
        <v>5318</v>
      </c>
      <c r="G1156" s="44" t="s">
        <v>5319</v>
      </c>
    </row>
    <row r="1157" spans="2:22" x14ac:dyDescent="0.25">
      <c r="B1157" s="70" t="s">
        <v>4954</v>
      </c>
      <c r="D1157" s="44" t="s">
        <v>5320</v>
      </c>
      <c r="G1157" s="44" t="s">
        <v>5321</v>
      </c>
    </row>
    <row r="1158" spans="2:22" x14ac:dyDescent="0.25">
      <c r="B1158" s="70" t="s">
        <v>5322</v>
      </c>
      <c r="D1158" s="44" t="s">
        <v>5323</v>
      </c>
      <c r="G1158" s="44" t="s">
        <v>5324</v>
      </c>
    </row>
    <row r="1159" spans="2:22" x14ac:dyDescent="0.25">
      <c r="B1159" s="70" t="s">
        <v>5325</v>
      </c>
      <c r="D1159" s="44" t="s">
        <v>5326</v>
      </c>
      <c r="G1159" s="44" t="s">
        <v>5327</v>
      </c>
    </row>
    <row r="1160" spans="2:22" x14ac:dyDescent="0.25">
      <c r="B1160" s="70" t="s">
        <v>5328</v>
      </c>
      <c r="D1160" s="44" t="s">
        <v>5329</v>
      </c>
      <c r="G1160" s="44" t="s">
        <v>5330</v>
      </c>
    </row>
    <row r="1162" spans="2:22" x14ac:dyDescent="0.25">
      <c r="B1162" s="154" t="s">
        <v>5331</v>
      </c>
    </row>
    <row r="1163" spans="2:22" x14ac:dyDescent="0.25">
      <c r="B1163" s="59" t="s">
        <v>5309</v>
      </c>
      <c r="C1163" s="60"/>
      <c r="D1163" s="59" t="s">
        <v>5332</v>
      </c>
      <c r="E1163" s="60"/>
      <c r="F1163" s="60"/>
      <c r="G1163" s="59" t="s">
        <v>5333</v>
      </c>
      <c r="H1163" s="60"/>
      <c r="I1163" s="60"/>
      <c r="J1163" s="60"/>
      <c r="K1163" s="60"/>
      <c r="L1163" s="60"/>
      <c r="M1163" s="60"/>
      <c r="N1163" s="60"/>
      <c r="O1163" s="60"/>
      <c r="P1163" s="60"/>
      <c r="Q1163" s="60"/>
      <c r="R1163" s="60"/>
      <c r="S1163" s="60"/>
      <c r="T1163" s="60"/>
      <c r="U1163" s="60"/>
      <c r="V1163" s="60"/>
    </row>
    <row r="1164" spans="2:22" x14ac:dyDescent="0.25">
      <c r="B1164" s="70" t="s">
        <v>5334</v>
      </c>
      <c r="D1164" s="44" t="s">
        <v>5335</v>
      </c>
      <c r="G1164" s="44" t="s">
        <v>5336</v>
      </c>
    </row>
    <row r="1165" spans="2:22" x14ac:dyDescent="0.25">
      <c r="B1165" s="70" t="s">
        <v>5337</v>
      </c>
      <c r="D1165" s="44" t="s">
        <v>5338</v>
      </c>
      <c r="G1165" s="44" t="s">
        <v>5339</v>
      </c>
    </row>
    <row r="1166" spans="2:22" x14ac:dyDescent="0.25">
      <c r="B1166" s="70" t="s">
        <v>5340</v>
      </c>
      <c r="D1166" s="44" t="s">
        <v>5341</v>
      </c>
      <c r="G1166" s="44" t="s">
        <v>5342</v>
      </c>
    </row>
    <row r="1167" spans="2:22" x14ac:dyDescent="0.25">
      <c r="B1167" s="70" t="s">
        <v>5343</v>
      </c>
      <c r="D1167" s="44" t="s">
        <v>5344</v>
      </c>
      <c r="G1167" s="44" t="s">
        <v>5345</v>
      </c>
    </row>
    <row r="1168" spans="2:22" x14ac:dyDescent="0.25">
      <c r="B1168" s="70" t="s">
        <v>5346</v>
      </c>
      <c r="D1168" s="44" t="s">
        <v>5347</v>
      </c>
      <c r="G1168" s="44" t="s">
        <v>5348</v>
      </c>
    </row>
    <row r="1169" spans="2:7" x14ac:dyDescent="0.25">
      <c r="B1169" s="70" t="s">
        <v>4786</v>
      </c>
      <c r="D1169" s="44" t="s">
        <v>5349</v>
      </c>
      <c r="G1169" s="44" t="s">
        <v>5350</v>
      </c>
    </row>
    <row r="1170" spans="2:7" x14ac:dyDescent="0.25">
      <c r="B1170" s="70" t="s">
        <v>5351</v>
      </c>
      <c r="D1170" s="44" t="s">
        <v>5352</v>
      </c>
      <c r="G1170" s="44" t="s">
        <v>5353</v>
      </c>
    </row>
    <row r="1171" spans="2:7" x14ac:dyDescent="0.25">
      <c r="B1171" s="70" t="s">
        <v>5354</v>
      </c>
      <c r="D1171" s="44" t="s">
        <v>5355</v>
      </c>
      <c r="G1171" s="44" t="s">
        <v>5356</v>
      </c>
    </row>
    <row r="1172" spans="2:7" x14ac:dyDescent="0.25">
      <c r="B1172" s="70" t="s">
        <v>4950</v>
      </c>
      <c r="D1172" s="44" t="s">
        <v>5357</v>
      </c>
      <c r="G1172" s="44" t="s">
        <v>5358</v>
      </c>
    </row>
    <row r="1173" spans="2:7" x14ac:dyDescent="0.25">
      <c r="B1173" s="70" t="s">
        <v>5359</v>
      </c>
      <c r="D1173" s="44" t="s">
        <v>5360</v>
      </c>
      <c r="G1173" s="44" t="s">
        <v>5361</v>
      </c>
    </row>
    <row r="1174" spans="2:7" x14ac:dyDescent="0.25">
      <c r="B1174" s="70" t="s">
        <v>5362</v>
      </c>
      <c r="D1174" s="44" t="s">
        <v>5363</v>
      </c>
      <c r="G1174" s="44" t="s">
        <v>5364</v>
      </c>
    </row>
    <row r="1175" spans="2:7" x14ac:dyDescent="0.25">
      <c r="B1175" s="70" t="s">
        <v>5365</v>
      </c>
      <c r="D1175" s="44" t="s">
        <v>5366</v>
      </c>
      <c r="G1175" s="44" t="s">
        <v>5367</v>
      </c>
    </row>
    <row r="1177" spans="2:7" x14ac:dyDescent="0.25">
      <c r="B1177" s="145" t="s">
        <v>5368</v>
      </c>
    </row>
    <row r="1178" spans="2:7" x14ac:dyDescent="0.25">
      <c r="B1178" s="145" t="s">
        <v>5369</v>
      </c>
    </row>
    <row r="1179" spans="2:7" x14ac:dyDescent="0.25">
      <c r="B1179" s="145" t="s">
        <v>5370</v>
      </c>
    </row>
    <row r="1180" spans="2:7" x14ac:dyDescent="0.25">
      <c r="B1180" s="145" t="s">
        <v>5371</v>
      </c>
    </row>
  </sheetData>
  <mergeCells count="88">
    <mergeCell ref="I87:K87"/>
    <mergeCell ref="L87:N87"/>
    <mergeCell ref="O87:Q87"/>
    <mergeCell ref="I85:K85"/>
    <mergeCell ref="L85:N85"/>
    <mergeCell ref="O85:Q85"/>
    <mergeCell ref="I86:K86"/>
    <mergeCell ref="L86:N86"/>
    <mergeCell ref="O86:Q86"/>
    <mergeCell ref="I83:K83"/>
    <mergeCell ref="L83:N83"/>
    <mergeCell ref="O83:Q83"/>
    <mergeCell ref="I84:K84"/>
    <mergeCell ref="L84:N84"/>
    <mergeCell ref="O84:Q84"/>
    <mergeCell ref="I81:K81"/>
    <mergeCell ref="L81:N81"/>
    <mergeCell ref="O81:Q81"/>
    <mergeCell ref="I82:K82"/>
    <mergeCell ref="L82:N82"/>
    <mergeCell ref="O82:Q82"/>
    <mergeCell ref="I79:K79"/>
    <mergeCell ref="L79:N79"/>
    <mergeCell ref="O79:Q79"/>
    <mergeCell ref="I80:K80"/>
    <mergeCell ref="L80:N80"/>
    <mergeCell ref="O80:Q80"/>
    <mergeCell ref="I77:K77"/>
    <mergeCell ref="L77:N77"/>
    <mergeCell ref="O77:Q77"/>
    <mergeCell ref="I78:K78"/>
    <mergeCell ref="L78:N78"/>
    <mergeCell ref="O78:Q78"/>
    <mergeCell ref="I75:K75"/>
    <mergeCell ref="L75:N75"/>
    <mergeCell ref="O75:Q75"/>
    <mergeCell ref="I76:K76"/>
    <mergeCell ref="L76:N76"/>
    <mergeCell ref="O76:Q76"/>
    <mergeCell ref="I73:K73"/>
    <mergeCell ref="L73:N73"/>
    <mergeCell ref="O73:Q73"/>
    <mergeCell ref="I74:K74"/>
    <mergeCell ref="L74:N74"/>
    <mergeCell ref="O74:Q74"/>
    <mergeCell ref="I71:K71"/>
    <mergeCell ref="L71:N71"/>
    <mergeCell ref="O71:Q71"/>
    <mergeCell ref="I72:K72"/>
    <mergeCell ref="L72:N72"/>
    <mergeCell ref="O72:Q72"/>
    <mergeCell ref="I69:K69"/>
    <mergeCell ref="L69:N69"/>
    <mergeCell ref="O69:Q69"/>
    <mergeCell ref="I70:K70"/>
    <mergeCell ref="L70:N70"/>
    <mergeCell ref="O70:Q70"/>
    <mergeCell ref="I67:K67"/>
    <mergeCell ref="L67:N67"/>
    <mergeCell ref="O67:Q67"/>
    <mergeCell ref="I68:K68"/>
    <mergeCell ref="L68:N68"/>
    <mergeCell ref="O68:Q68"/>
    <mergeCell ref="I65:K65"/>
    <mergeCell ref="L65:N65"/>
    <mergeCell ref="O65:Q65"/>
    <mergeCell ref="I66:K66"/>
    <mergeCell ref="L66:N66"/>
    <mergeCell ref="O66:Q66"/>
    <mergeCell ref="I63:K63"/>
    <mergeCell ref="L63:N63"/>
    <mergeCell ref="O63:Q63"/>
    <mergeCell ref="I64:K64"/>
    <mergeCell ref="L64:N64"/>
    <mergeCell ref="O64:Q64"/>
    <mergeCell ref="I61:K61"/>
    <mergeCell ref="L61:N61"/>
    <mergeCell ref="O61:Q61"/>
    <mergeCell ref="I62:K62"/>
    <mergeCell ref="L62:N62"/>
    <mergeCell ref="O62:Q62"/>
    <mergeCell ref="I59:K59"/>
    <mergeCell ref="L59:N59"/>
    <mergeCell ref="O59:Q59"/>
    <mergeCell ref="R59:T59"/>
    <mergeCell ref="I60:K60"/>
    <mergeCell ref="L60:N60"/>
    <mergeCell ref="O60:Q60"/>
  </mergeCells>
  <hyperlinks>
    <hyperlink ref="C3" location="'Model Flow'!A1" display="Model Flow" xr:uid="{00000000-0004-0000-1100-000000000000}"/>
    <hyperlink ref="D3" location="Inputs!A1" display="Inputs" xr:uid="{00000000-0004-0000-1100-000001000000}"/>
    <hyperlink ref="E3" location="'FS Data Request'!A1" display="FS Request" xr:uid="{00000000-0004-0000-1100-000002000000}"/>
    <hyperlink ref="F3" location="'Revenue Calculation'!A1" display="Revenue" xr:uid="{00000000-0004-0000-1100-000003000000}"/>
    <hyperlink ref="G3" location="'Cost Calculation'!A1" display="Costs" xr:uid="{00000000-0004-0000-1100-000004000000}"/>
    <hyperlink ref="H3" location="'BUMN Synergy Calculation'!A1" display="BUMN Synergy" xr:uid="{00000000-0004-0000-1100-000005000000}"/>
    <hyperlink ref="I3" location="'Capex &amp; Depreciation'!A1" display="Capex" xr:uid="{00000000-0004-0000-1100-000006000000}"/>
    <hyperlink ref="J3" location="'Working Capital'!A1" display="Work. cap." xr:uid="{00000000-0004-0000-1100-000007000000}"/>
    <hyperlink ref="K3" location="Financing!A1" display="Financing" xr:uid="{00000000-0004-0000-1100-000008000000}"/>
    <hyperlink ref="L3" location="'Funding Requirement'!A1" display="Funding" xr:uid="{00000000-0004-0000-1100-000009000000}"/>
    <hyperlink ref="M3" location="'FSL Output - Without BUMN'!A1" display="Out: w/o BUMN" xr:uid="{00000000-0004-0000-1100-00000A000000}"/>
    <hyperlink ref="N3" location="'FSL Output - With BUMN'!A1" display="Out: With BUMN" xr:uid="{00000000-0004-0000-1100-00000B000000}"/>
    <hyperlink ref="O3" location="'Valuation — Without BUMN'!A1" display="Val: w/o BUMN" xr:uid="{00000000-0004-0000-1100-00000C000000}"/>
    <hyperlink ref="P3" location="'Valuation — With BUMN'!A1" display="Val: With BUMN" xr:uid="{00000000-0004-0000-1100-00000D000000}"/>
    <hyperlink ref="Q3" location="'Project Cash Flows'!A1" display="Proj. CF" xr:uid="{00000000-0004-0000-1100-00000E000000}"/>
    <hyperlink ref="R3" location="'Project Summary'!A1" display="Proj. Summary" xr:uid="{00000000-0004-0000-1100-00000F000000}"/>
    <hyperlink ref="S3" location="'Checks &amp; Reconciliation'!A1" display="Checks" xr:uid="{00000000-0004-0000-1100-000010000000}"/>
  </hyperlinks>
  <pageMargins left="0.4" right="0.4" top="0.5" bottom="0.5" header="0.511811023622047" footer="0.5"/>
  <pageSetup paperSize="9" fitToHeight="0" orientation="landscape" horizontalDpi="300" verticalDpi="300"/>
  <headerFooter>
    <oddFooter>&amp;L&amp;A&amp;RPage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18</vt:i4>
      </vt:variant>
      <vt:variant>
        <vt:lpstr>Named Ranges</vt:lpstr>
      </vt:variant>
      <vt:variant>
        <vt:i4>18</vt:i4>
      </vt:variant>
    </vt:vector>
  </HeadingPairs>
  <TitlesOfParts>
    <vt:vector size="36" baseType="lpstr">
      <vt:lpstr>Model Flow</vt:lpstr>
      <vt:lpstr>Inputs</vt:lpstr>
      <vt:lpstr>FS Data Request</vt:lpstr>
      <vt:lpstr>Revenue Calculation</vt:lpstr>
      <vt:lpstr>Cost Calculation</vt:lpstr>
      <vt:lpstr>BUMN Synergy Calculation</vt:lpstr>
      <vt:lpstr>Capex &amp; Depreciation</vt:lpstr>
      <vt:lpstr>Working Capital</vt:lpstr>
      <vt:lpstr>Financing</vt:lpstr>
      <vt:lpstr>Funding Requirement</vt:lpstr>
      <vt:lpstr>FSL Output - Without BUMN</vt:lpstr>
      <vt:lpstr>FSL Output - With BUMN</vt:lpstr>
      <vt:lpstr>Valuation — Without BUMN</vt:lpstr>
      <vt:lpstr>Project Summary</vt:lpstr>
      <vt:lpstr>Valuation — With BUMN</vt:lpstr>
      <vt:lpstr>Project Cash Flows</vt:lpstr>
      <vt:lpstr>Checks &amp; Reconciliation</vt:lpstr>
      <vt:lpstr>Source Data</vt:lpstr>
      <vt:lpstr>'BUMN Synergy Calculation'!Print_Area</vt:lpstr>
      <vt:lpstr>'Capex &amp; Depreciation'!Print_Area</vt:lpstr>
      <vt:lpstr>'Checks &amp; Reconciliation'!Print_Area</vt:lpstr>
      <vt:lpstr>'Cost Calculation'!Print_Area</vt:lpstr>
      <vt:lpstr>Financing!Print_Area</vt:lpstr>
      <vt:lpstr>'FS Data Request'!Print_Area</vt:lpstr>
      <vt:lpstr>'FSL Output - With BUMN'!Print_Area</vt:lpstr>
      <vt:lpstr>'FSL Output - Without BUMN'!Print_Area</vt:lpstr>
      <vt:lpstr>'Funding Requirement'!Print_Area</vt:lpstr>
      <vt:lpstr>Inputs!Print_Area</vt:lpstr>
      <vt:lpstr>'Model Flow'!Print_Area</vt:lpstr>
      <vt:lpstr>'Project Cash Flows'!Print_Area</vt:lpstr>
      <vt:lpstr>'Project Summary'!Print_Area</vt:lpstr>
      <vt:lpstr>'Revenue Calculation'!Print_Area</vt:lpstr>
      <vt:lpstr>'Source Data'!Print_Area</vt:lpstr>
      <vt:lpstr>'Valuation — With BUMN'!Print_Area</vt:lpstr>
      <vt:lpstr>'Valuation — Without BUMN'!Print_Area</vt:lpstr>
      <vt:lpstr>'Working Capital'!Print_Area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Nadia Veronica</cp:lastModifiedBy>
  <cp:revision>0</cp:revision>
  <dcterms:created xsi:type="dcterms:W3CDTF">2026-09-28T08:50:12Z</dcterms:created>
  <dcterms:modified xsi:type="dcterms:W3CDTF">2026-09-28T11:31:22Z</dcterms:modified>
  <dc:language>en-US</dc:language>
</cp:coreProperties>
</file>